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drawings/drawing5.xml" ContentType="application/vnd.openxmlformats-officedocument.drawing+xml"/>
  <Override PartName="/xl/activeX/activeX4.xml" ContentType="application/vnd.ms-office.activeX+xml"/>
  <Override PartName="/xl/activeX/activeX4.bin" ContentType="application/vnd.ms-office.activeX"/>
  <Override PartName="/xl/drawings/drawing6.xml" ContentType="application/vnd.openxmlformats-officedocument.drawing+xml"/>
  <Override PartName="/xl/drawings/drawing7.xml" ContentType="application/vnd.openxmlformats-officedocument.drawing+xml"/>
  <Override PartName="/xl/activeX/activeX5.xml" ContentType="application/vnd.ms-office.activeX+xml"/>
  <Override PartName="/xl/activeX/activeX5.bin" ContentType="application/vnd.ms-office.activeX"/>
  <Override PartName="/xl/drawings/drawing8.xml" ContentType="application/vnd.openxmlformats-officedocument.drawing+xml"/>
  <Override PartName="/xl/activeX/activeX6.xml" ContentType="application/vnd.ms-office.activeX+xml"/>
  <Override PartName="/xl/activeX/activeX6.bin" ContentType="application/vnd.ms-office.activeX"/>
  <Override PartName="/xl/drawings/drawing9.xml" ContentType="application/vnd.openxmlformats-officedocument.drawing+xml"/>
  <Override PartName="/xl/activeX/activeX7.xml" ContentType="application/vnd.ms-office.activeX+xml"/>
  <Override PartName="/xl/activeX/activeX7.bin" ContentType="application/vnd.ms-office.activeX"/>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24226"/>
  <xr:revisionPtr revIDLastSave="213" documentId="8_{BE9B42BF-4D1C-45F8-8140-EDD187A747FD}" xr6:coauthVersionLast="47" xr6:coauthVersionMax="47" xr10:uidLastSave="{464ED00B-9F52-4188-B90B-DAD869664A6B}"/>
  <workbookProtection workbookAlgorithmName="SHA-512" workbookHashValue="8DD4bPx2c8AuapFOK1YGj0ZGemEc1EkBYLuCAvArYeewWO4nXpGrJUCmTKwdhk5FwWElLajAgleIpF8nl/M3SQ==" workbookSaltValue="djwIRZf6f7hyaFGntp5Dlw==" workbookSpinCount="100000" lockStructure="1"/>
  <bookViews>
    <workbookView xWindow="-120" yWindow="-120" windowWidth="29040" windowHeight="15720" tabRatio="950" firstSheet="1" activeTab="3" xr2:uid="{00000000-000D-0000-FFFF-FFFF00000000}"/>
  </bookViews>
  <sheets>
    <sheet name="Sheet1" sheetId="1" state="hidden" r:id="rId1"/>
    <sheet name="Details" sheetId="3" r:id="rId2"/>
    <sheet name="Basic" sheetId="2" r:id="rId3"/>
    <sheet name="Schedule-I" sheetId="7" r:id="rId4"/>
    <sheet name="Summary" sheetId="5" r:id="rId5"/>
    <sheet name="Tower-1 Abstract of cost" sheetId="8" r:id="rId6"/>
    <sheet name="Tower-I Plinth" sheetId="9" r:id="rId7"/>
    <sheet name="Tower-I Ground" sheetId="10" r:id="rId8"/>
    <sheet name="Tower-I First floor" sheetId="11" r:id="rId9"/>
    <sheet name="Tower I 2nd,3rd &amp; 4th" sheetId="12" r:id="rId10"/>
    <sheet name="Tower-I Terrace" sheetId="13" r:id="rId11"/>
    <sheet name="Tower-2 Abstract of cost" sheetId="14" r:id="rId12"/>
    <sheet name="Tower-2 Plinth" sheetId="15" r:id="rId13"/>
    <sheet name="Tower-2 Ground" sheetId="16" r:id="rId14"/>
    <sheet name="Tower-2 First &amp; Second" sheetId="17" r:id="rId15"/>
    <sheet name="Tower-2 3RD" sheetId="18" r:id="rId16"/>
    <sheet name="Tower-2 Terrace" sheetId="19" r:id="rId17"/>
    <sheet name="Lift" sheetId="30" r:id="rId18"/>
    <sheet name="BOQ Peripheral Drain" sheetId="20" r:id="rId19"/>
    <sheet name="BOQ- PAVER BLOCK" sheetId="21" r:id="rId20"/>
    <sheet name="BOQ RCC ROAD IN COLONY" sheetId="22" r:id="rId21"/>
    <sheet name="DISMANTLING" sheetId="23" r:id="rId22"/>
    <sheet name="BOQ POWER SUPPLY TO COLONY" sheetId="24" r:id="rId23"/>
    <sheet name="PHE works " sheetId="25" r:id="rId24"/>
    <sheet name="Electrical works" sheetId="26" r:id="rId25"/>
    <sheet name="modular kitchen" sheetId="27" r:id="rId26"/>
    <sheet name="Wardrobe" sheetId="28" r:id="rId27"/>
    <sheet name="Landscaping" sheetId="29" r:id="rId28"/>
    <sheet name="Bid form 2nd envelope" sheetId="6"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xlnm.Print_Area" localSheetId="19">'BOQ- PAVER BLOCK'!$B$2:$I$15</definedName>
    <definedName name="_xlnm.Print_Area" localSheetId="18">'BOQ Peripheral Drain'!$B$2:$I$20</definedName>
    <definedName name="_xlnm.Print_Area" localSheetId="20">'BOQ RCC ROAD IN COLONY'!$B$2:$I$22</definedName>
    <definedName name="_xlnm.Print_Area" localSheetId="21">DISMANTLING!$B$2:$H$15</definedName>
    <definedName name="_xlnm.Print_Area" localSheetId="27">Landscaping!$B$2:$M$18</definedName>
    <definedName name="_xlnm.Print_Area" localSheetId="25">'modular kitchen'!$B$2:$G$17</definedName>
    <definedName name="_xlnm.Print_Area" localSheetId="9">'Tower I 2nd,3rd &amp; 4th'!$A$1:$L$421</definedName>
    <definedName name="_xlnm.Print_Area" localSheetId="5">'Tower-1 Abstract of cost'!$A$1:$C$16</definedName>
    <definedName name="_xlnm.Print_Area" localSheetId="13">'Tower-2 Ground'!$A$1:$L$293</definedName>
    <definedName name="_xlnm.Print_Area" localSheetId="8">'Tower-I First floor'!$A$1:$L$419</definedName>
    <definedName name="_xlnm.Print_Area" localSheetId="26">Wardrobe!$B$2:$I$13</definedName>
    <definedName name="_xlnm.Print_Titles" localSheetId="19">'BOQ- PAVER BLOCK'!$3:$6</definedName>
    <definedName name="_xlnm.Print_Titles" localSheetId="18">'BOQ Peripheral Drain'!$4:$7</definedName>
    <definedName name="_xlnm.Print_Titles" localSheetId="22">'BOQ POWER SUPPLY TO COLONY'!$1:$3</definedName>
    <definedName name="_xlnm.Print_Titles" localSheetId="20">'BOQ RCC ROAD IN COLONY'!#REF!</definedName>
    <definedName name="_xlnm.Print_Titles" localSheetId="21">DISMANTLING!#REF!</definedName>
    <definedName name="_xlnm.Print_Titles" localSheetId="27">Landscaping!$3:$4</definedName>
    <definedName name="_xlnm.Print_Titles" localSheetId="25">'modular kitchen'!#REF!</definedName>
    <definedName name="_xlnm.Print_Titles" localSheetId="26">Wardrobe!#REF!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9" i="12" l="1"/>
  <c r="E14" i="7" s="1"/>
  <c r="E23" i="7"/>
  <c r="E16" i="7"/>
  <c r="H7" i="30"/>
  <c r="H8" i="30" s="1"/>
  <c r="E32" i="7"/>
  <c r="E31" i="7"/>
  <c r="E30" i="7"/>
  <c r="E29" i="7"/>
  <c r="E28" i="7"/>
  <c r="E22" i="7"/>
  <c r="E21" i="7"/>
  <c r="E20" i="7"/>
  <c r="E19" i="7"/>
  <c r="E18" i="7"/>
  <c r="E17" i="7"/>
  <c r="E15" i="7"/>
  <c r="E12" i="7"/>
  <c r="E11" i="7"/>
  <c r="E10" i="7"/>
  <c r="P17" i="29"/>
  <c r="H16" i="29"/>
  <c r="J16" i="29" s="1"/>
  <c r="H15" i="29"/>
  <c r="J15" i="29" s="1"/>
  <c r="H14" i="29"/>
  <c r="J14" i="29" s="1"/>
  <c r="H13" i="29"/>
  <c r="J13" i="29" s="1"/>
  <c r="H12" i="29"/>
  <c r="J12" i="29" s="1"/>
  <c r="J11" i="29"/>
  <c r="H11" i="29"/>
  <c r="H10" i="29"/>
  <c r="J10" i="29" s="1"/>
  <c r="H9" i="29"/>
  <c r="J9" i="29" s="1"/>
  <c r="H8" i="29"/>
  <c r="J8" i="29" s="1"/>
  <c r="J7" i="29"/>
  <c r="H7" i="29"/>
  <c r="J6" i="29"/>
  <c r="H6" i="29"/>
  <c r="J5" i="29"/>
  <c r="H5" i="29"/>
  <c r="E13" i="7" l="1"/>
  <c r="J17" i="29"/>
  <c r="F10" i="28"/>
  <c r="G10" i="28" s="1"/>
  <c r="I10" i="28" s="1"/>
  <c r="F9" i="28"/>
  <c r="G9" i="28" s="1"/>
  <c r="I9" i="28" s="1"/>
  <c r="I11" i="28" s="1"/>
  <c r="I12" i="28" s="1"/>
  <c r="I14" i="28" l="1"/>
  <c r="I15" i="28" s="1"/>
  <c r="E13" i="27" l="1"/>
  <c r="G13" i="27" s="1"/>
  <c r="E12" i="27"/>
  <c r="G12" i="27" s="1"/>
  <c r="E11" i="27"/>
  <c r="G11" i="27" s="1"/>
  <c r="E10" i="27"/>
  <c r="G10" i="27" s="1"/>
  <c r="G9" i="27"/>
  <c r="E9" i="27"/>
  <c r="G14" i="27" l="1"/>
  <c r="G15" i="27" s="1"/>
  <c r="G16" i="27" s="1"/>
  <c r="F117" i="26" l="1"/>
  <c r="F118" i="26" s="1"/>
  <c r="F119" i="26" s="1"/>
  <c r="F120" i="26" s="1"/>
  <c r="F121" i="26" s="1"/>
  <c r="F122" i="26" s="1"/>
  <c r="F104" i="26"/>
  <c r="F103" i="26"/>
  <c r="G97" i="26"/>
  <c r="E97" i="26"/>
  <c r="H97" i="26" s="1"/>
  <c r="G96" i="26"/>
  <c r="E96" i="26"/>
  <c r="H96" i="26" s="1"/>
  <c r="G95" i="26"/>
  <c r="E95" i="26"/>
  <c r="H95" i="26" s="1"/>
  <c r="G94" i="26"/>
  <c r="D94" i="26"/>
  <c r="E94" i="26" s="1"/>
  <c r="H94" i="26" s="1"/>
  <c r="G93" i="26"/>
  <c r="E93" i="26"/>
  <c r="H93" i="26" s="1"/>
  <c r="G92" i="26"/>
  <c r="E92" i="26"/>
  <c r="H92" i="26" s="1"/>
  <c r="G91" i="26"/>
  <c r="H91" i="26" s="1"/>
  <c r="E91" i="26"/>
  <c r="G90" i="26"/>
  <c r="E90" i="26"/>
  <c r="H90" i="26" s="1"/>
  <c r="G89" i="26"/>
  <c r="E89" i="26"/>
  <c r="H89" i="26" s="1"/>
  <c r="D89" i="26"/>
  <c r="G88" i="26"/>
  <c r="D88" i="26"/>
  <c r="E88" i="26" s="1"/>
  <c r="H88" i="26" s="1"/>
  <c r="G87" i="26"/>
  <c r="E87" i="26"/>
  <c r="H87" i="26" s="1"/>
  <c r="G86" i="26"/>
  <c r="E86" i="26"/>
  <c r="H86" i="26" s="1"/>
  <c r="G85" i="26"/>
  <c r="E85" i="26"/>
  <c r="H85" i="26" s="1"/>
  <c r="G84" i="26"/>
  <c r="E84" i="26"/>
  <c r="H84" i="26" s="1"/>
  <c r="G83" i="26"/>
  <c r="E83" i="26"/>
  <c r="H83" i="26" s="1"/>
  <c r="G82" i="26"/>
  <c r="E82" i="26"/>
  <c r="H82" i="26" s="1"/>
  <c r="G81" i="26"/>
  <c r="E81" i="26"/>
  <c r="H81" i="26" s="1"/>
  <c r="G80" i="26"/>
  <c r="E80" i="26"/>
  <c r="H80" i="26" s="1"/>
  <c r="G79" i="26"/>
  <c r="E79" i="26"/>
  <c r="H79" i="26" s="1"/>
  <c r="G78" i="26"/>
  <c r="E78" i="26"/>
  <c r="H78" i="26" s="1"/>
  <c r="G77" i="26"/>
  <c r="E77" i="26"/>
  <c r="H77" i="26" s="1"/>
  <c r="G76" i="26"/>
  <c r="E76" i="26"/>
  <c r="H76" i="26" s="1"/>
  <c r="G75" i="26"/>
  <c r="E75" i="26"/>
  <c r="H75" i="26" s="1"/>
  <c r="G74" i="26"/>
  <c r="E74" i="26"/>
  <c r="H74" i="26" s="1"/>
  <c r="G73" i="26"/>
  <c r="E73" i="26"/>
  <c r="H73" i="26" s="1"/>
  <c r="E72" i="26"/>
  <c r="H72" i="26" s="1"/>
  <c r="H71" i="26"/>
  <c r="E71" i="26"/>
  <c r="G70" i="26"/>
  <c r="E70" i="26"/>
  <c r="H70" i="26" s="1"/>
  <c r="G69" i="26"/>
  <c r="E69" i="26"/>
  <c r="H69" i="26" s="1"/>
  <c r="G68" i="26"/>
  <c r="E68" i="26"/>
  <c r="H68" i="26" s="1"/>
  <c r="G67" i="26"/>
  <c r="H67" i="26" s="1"/>
  <c r="E67" i="26"/>
  <c r="G66" i="26"/>
  <c r="E66" i="26"/>
  <c r="H66" i="26" s="1"/>
  <c r="G65" i="26"/>
  <c r="E65" i="26"/>
  <c r="H65" i="26" s="1"/>
  <c r="G64" i="26"/>
  <c r="E64" i="26"/>
  <c r="H64" i="26" s="1"/>
  <c r="G63" i="26"/>
  <c r="H63" i="26" s="1"/>
  <c r="E63" i="26"/>
  <c r="G62" i="26"/>
  <c r="E62" i="26"/>
  <c r="H62" i="26" s="1"/>
  <c r="G61" i="26"/>
  <c r="E61" i="26"/>
  <c r="H61" i="26" s="1"/>
  <c r="G60" i="26"/>
  <c r="E60" i="26"/>
  <c r="H60" i="26" s="1"/>
  <c r="G59" i="26"/>
  <c r="H59" i="26" s="1"/>
  <c r="E59" i="26"/>
  <c r="G58" i="26"/>
  <c r="E58" i="26"/>
  <c r="H58" i="26" s="1"/>
  <c r="G57" i="26"/>
  <c r="E57" i="26"/>
  <c r="H57" i="26" s="1"/>
  <c r="G56" i="26"/>
  <c r="E56" i="26"/>
  <c r="H56" i="26" s="1"/>
  <c r="G55" i="26"/>
  <c r="H55" i="26" s="1"/>
  <c r="E55" i="26"/>
  <c r="G54" i="26"/>
  <c r="E54" i="26"/>
  <c r="H54" i="26" s="1"/>
  <c r="G53" i="26"/>
  <c r="E53" i="26"/>
  <c r="H53" i="26" s="1"/>
  <c r="G52" i="26"/>
  <c r="E52" i="26"/>
  <c r="H52" i="26" s="1"/>
  <c r="G51" i="26"/>
  <c r="H51" i="26" s="1"/>
  <c r="E51" i="26"/>
  <c r="G50" i="26"/>
  <c r="E50" i="26"/>
  <c r="H50" i="26" s="1"/>
  <c r="G49" i="26"/>
  <c r="E49" i="26"/>
  <c r="H49" i="26" s="1"/>
  <c r="G48" i="26"/>
  <c r="E48" i="26"/>
  <c r="H48" i="26" s="1"/>
  <c r="G47" i="26"/>
  <c r="H47" i="26" s="1"/>
  <c r="E47" i="26"/>
  <c r="G46" i="26"/>
  <c r="E46" i="26"/>
  <c r="H46" i="26" s="1"/>
  <c r="G45" i="26"/>
  <c r="E45" i="26"/>
  <c r="H45" i="26" s="1"/>
  <c r="G44" i="26"/>
  <c r="E44" i="26"/>
  <c r="H44" i="26" s="1"/>
  <c r="G43" i="26"/>
  <c r="H43" i="26" s="1"/>
  <c r="E43" i="26"/>
  <c r="G42" i="26"/>
  <c r="E42" i="26"/>
  <c r="H42" i="26" s="1"/>
  <c r="G41" i="26"/>
  <c r="E41" i="26"/>
  <c r="H41" i="26" s="1"/>
  <c r="G40" i="26"/>
  <c r="E40" i="26"/>
  <c r="H40" i="26" s="1"/>
  <c r="G39" i="26"/>
  <c r="H39" i="26" s="1"/>
  <c r="E39" i="26"/>
  <c r="G38" i="26"/>
  <c r="E38" i="26"/>
  <c r="H38" i="26" s="1"/>
  <c r="G37" i="26"/>
  <c r="E37" i="26"/>
  <c r="H37" i="26" s="1"/>
  <c r="G36" i="26"/>
  <c r="E36" i="26"/>
  <c r="H36" i="26" s="1"/>
  <c r="G35" i="26"/>
  <c r="H35" i="26" s="1"/>
  <c r="E35" i="26"/>
  <c r="G34" i="26"/>
  <c r="D34" i="26"/>
  <c r="E34" i="26" s="1"/>
  <c r="H34" i="26" s="1"/>
  <c r="G33" i="26"/>
  <c r="E33" i="26"/>
  <c r="H33" i="26" s="1"/>
  <c r="G32" i="26"/>
  <c r="E32" i="26"/>
  <c r="H32" i="26" s="1"/>
  <c r="H31" i="26"/>
  <c r="G31" i="26"/>
  <c r="E31" i="26"/>
  <c r="G30" i="26"/>
  <c r="E30" i="26"/>
  <c r="H30" i="26" s="1"/>
  <c r="G29" i="26"/>
  <c r="E29" i="26"/>
  <c r="H29" i="26" s="1"/>
  <c r="G28" i="26"/>
  <c r="E28" i="26"/>
  <c r="H28" i="26" s="1"/>
  <c r="H27" i="26"/>
  <c r="G27" i="26"/>
  <c r="E27" i="26"/>
  <c r="G26" i="26"/>
  <c r="E26" i="26"/>
  <c r="H26" i="26" s="1"/>
  <c r="G25" i="26"/>
  <c r="E25" i="26"/>
  <c r="H25" i="26" s="1"/>
  <c r="G24" i="26"/>
  <c r="E24" i="26"/>
  <c r="H24" i="26" s="1"/>
  <c r="H23" i="26"/>
  <c r="G23" i="26"/>
  <c r="E23" i="26"/>
  <c r="G22" i="26"/>
  <c r="E22" i="26"/>
  <c r="H22" i="26" s="1"/>
  <c r="G21" i="26"/>
  <c r="E21" i="26"/>
  <c r="H21" i="26" s="1"/>
  <c r="G20" i="26"/>
  <c r="E20" i="26"/>
  <c r="H20" i="26" s="1"/>
  <c r="H19" i="26"/>
  <c r="G19" i="26"/>
  <c r="E19" i="26"/>
  <c r="G18" i="26"/>
  <c r="E18" i="26"/>
  <c r="H18" i="26" s="1"/>
  <c r="G17" i="26"/>
  <c r="E17" i="26"/>
  <c r="H17" i="26" s="1"/>
  <c r="G16" i="26"/>
  <c r="E16" i="26"/>
  <c r="H16" i="26" s="1"/>
  <c r="H15" i="26"/>
  <c r="G15" i="26"/>
  <c r="E15" i="26"/>
  <c r="G14" i="26"/>
  <c r="E14" i="26"/>
  <c r="H14" i="26" s="1"/>
  <c r="G13" i="26"/>
  <c r="E13" i="26"/>
  <c r="H13" i="26" s="1"/>
  <c r="G12" i="26"/>
  <c r="E12" i="26"/>
  <c r="H12" i="26" s="1"/>
  <c r="H11" i="26"/>
  <c r="G11" i="26"/>
  <c r="E11" i="26"/>
  <c r="G10" i="26"/>
  <c r="E10" i="26"/>
  <c r="H10" i="26" s="1"/>
  <c r="G9" i="26"/>
  <c r="E9" i="26"/>
  <c r="H9" i="26" s="1"/>
  <c r="G8" i="26"/>
  <c r="E8" i="26"/>
  <c r="H8" i="26" s="1"/>
  <c r="H7" i="26"/>
  <c r="G7" i="26"/>
  <c r="E7" i="26"/>
  <c r="G6" i="26"/>
  <c r="E6" i="26"/>
  <c r="H6" i="26" s="1"/>
  <c r="G5" i="26"/>
  <c r="E5" i="26"/>
  <c r="H5" i="26" s="1"/>
  <c r="G216" i="25"/>
  <c r="H216" i="25" s="1"/>
  <c r="I216" i="25" s="1"/>
  <c r="F216" i="25"/>
  <c r="H215" i="25"/>
  <c r="I215" i="25" s="1"/>
  <c r="F215" i="25"/>
  <c r="G214" i="25"/>
  <c r="H214" i="25" s="1"/>
  <c r="I214" i="25" s="1"/>
  <c r="F214" i="25"/>
  <c r="H213" i="25"/>
  <c r="I213" i="25" s="1"/>
  <c r="F213" i="25"/>
  <c r="G212" i="25"/>
  <c r="H212" i="25" s="1"/>
  <c r="F212" i="25"/>
  <c r="H211" i="25"/>
  <c r="I211" i="25" s="1"/>
  <c r="F211" i="25"/>
  <c r="G210" i="25"/>
  <c r="H210" i="25" s="1"/>
  <c r="I210" i="25" s="1"/>
  <c r="F210" i="25"/>
  <c r="I209" i="25"/>
  <c r="H209" i="25"/>
  <c r="F209" i="25"/>
  <c r="G208" i="25"/>
  <c r="H208" i="25" s="1"/>
  <c r="I208" i="25" s="1"/>
  <c r="F208" i="25"/>
  <c r="I207" i="25"/>
  <c r="H207" i="25"/>
  <c r="F207" i="25"/>
  <c r="G206" i="25"/>
  <c r="H206" i="25" s="1"/>
  <c r="I206" i="25" s="1"/>
  <c r="F206" i="25"/>
  <c r="H205" i="25"/>
  <c r="F205" i="25"/>
  <c r="H204" i="25"/>
  <c r="I204" i="25" s="1"/>
  <c r="F204" i="25"/>
  <c r="G203" i="25"/>
  <c r="H203" i="25" s="1"/>
  <c r="I203" i="25" s="1"/>
  <c r="F203" i="25"/>
  <c r="I202" i="25"/>
  <c r="F202" i="25"/>
  <c r="F201" i="25"/>
  <c r="I201" i="25" s="1"/>
  <c r="H200" i="25"/>
  <c r="I200" i="25" s="1"/>
  <c r="F200" i="25"/>
  <c r="I199" i="25"/>
  <c r="H199" i="25"/>
  <c r="F199" i="25"/>
  <c r="F198" i="25"/>
  <c r="I198" i="25" s="1"/>
  <c r="I197" i="25"/>
  <c r="F197" i="25"/>
  <c r="G196" i="25"/>
  <c r="H196" i="25" s="1"/>
  <c r="I196" i="25" s="1"/>
  <c r="F196" i="25"/>
  <c r="H195" i="25"/>
  <c r="I195" i="25" s="1"/>
  <c r="F195" i="25"/>
  <c r="H194" i="25"/>
  <c r="I194" i="25" s="1"/>
  <c r="F194" i="25"/>
  <c r="I193" i="25"/>
  <c r="H193" i="25"/>
  <c r="F193" i="25"/>
  <c r="H192" i="25"/>
  <c r="I192" i="25" s="1"/>
  <c r="F192" i="25"/>
  <c r="H191" i="25"/>
  <c r="I191" i="25" s="1"/>
  <c r="F191" i="25"/>
  <c r="H190" i="25"/>
  <c r="I190" i="25" s="1"/>
  <c r="F190" i="25"/>
  <c r="I189" i="25"/>
  <c r="H189" i="25"/>
  <c r="F189" i="25"/>
  <c r="I188" i="25"/>
  <c r="H188" i="25"/>
  <c r="F188" i="25"/>
  <c r="H187" i="25"/>
  <c r="I187" i="25" s="1"/>
  <c r="F187" i="25"/>
  <c r="H186" i="25"/>
  <c r="I186" i="25" s="1"/>
  <c r="F186" i="25"/>
  <c r="I185" i="25"/>
  <c r="H185" i="25"/>
  <c r="F185" i="25"/>
  <c r="H184" i="25"/>
  <c r="I184" i="25" s="1"/>
  <c r="F184" i="25"/>
  <c r="H183" i="25"/>
  <c r="I183" i="25" s="1"/>
  <c r="F183" i="25"/>
  <c r="H182" i="25"/>
  <c r="I182" i="25" s="1"/>
  <c r="F182" i="25"/>
  <c r="I181" i="25"/>
  <c r="H181" i="25"/>
  <c r="F181" i="25"/>
  <c r="H180" i="25"/>
  <c r="I180" i="25" s="1"/>
  <c r="F180" i="25"/>
  <c r="H179" i="25"/>
  <c r="I179" i="25" s="1"/>
  <c r="F179" i="25"/>
  <c r="H178" i="25"/>
  <c r="I178" i="25" s="1"/>
  <c r="F178" i="25"/>
  <c r="I177" i="25"/>
  <c r="H177" i="25"/>
  <c r="F177" i="25"/>
  <c r="H176" i="25"/>
  <c r="I176" i="25" s="1"/>
  <c r="F176" i="25"/>
  <c r="I175" i="25"/>
  <c r="H175" i="25"/>
  <c r="F175" i="25"/>
  <c r="H174" i="25"/>
  <c r="I174" i="25" s="1"/>
  <c r="F174" i="25"/>
  <c r="I173" i="25"/>
  <c r="H173" i="25"/>
  <c r="F173" i="25"/>
  <c r="H172" i="25"/>
  <c r="I172" i="25" s="1"/>
  <c r="F172" i="25"/>
  <c r="H171" i="25"/>
  <c r="I171" i="25" s="1"/>
  <c r="F171" i="25"/>
  <c r="H170" i="25"/>
  <c r="I170" i="25" s="1"/>
  <c r="F170" i="25"/>
  <c r="I169" i="25"/>
  <c r="H169" i="25"/>
  <c r="F169" i="25"/>
  <c r="H168" i="25"/>
  <c r="I168" i="25" s="1"/>
  <c r="F168" i="25"/>
  <c r="H167" i="25"/>
  <c r="I167" i="25" s="1"/>
  <c r="F167" i="25"/>
  <c r="H166" i="25"/>
  <c r="I166" i="25" s="1"/>
  <c r="F166" i="25"/>
  <c r="I165" i="25"/>
  <c r="H165" i="25"/>
  <c r="F165" i="25"/>
  <c r="I164" i="25"/>
  <c r="F164" i="25"/>
  <c r="F163" i="25"/>
  <c r="I163" i="25" s="1"/>
  <c r="I162" i="25"/>
  <c r="F162" i="25"/>
  <c r="F161" i="25"/>
  <c r="I161" i="25" s="1"/>
  <c r="H160" i="25"/>
  <c r="I160" i="25" s="1"/>
  <c r="F160" i="25"/>
  <c r="F159" i="25"/>
  <c r="I159" i="25" s="1"/>
  <c r="H158" i="25"/>
  <c r="I158" i="25" s="1"/>
  <c r="F158" i="25"/>
  <c r="I157" i="25"/>
  <c r="F157" i="25"/>
  <c r="H156" i="25"/>
  <c r="I156" i="25" s="1"/>
  <c r="F156" i="25"/>
  <c r="I155" i="25"/>
  <c r="F155" i="25"/>
  <c r="H154" i="25"/>
  <c r="E154" i="25"/>
  <c r="F154" i="25" s="1"/>
  <c r="H153" i="25"/>
  <c r="I153" i="25" s="1"/>
  <c r="E153" i="25"/>
  <c r="F153" i="25" s="1"/>
  <c r="H152" i="25"/>
  <c r="I152" i="25" s="1"/>
  <c r="F152" i="25"/>
  <c r="H151" i="25"/>
  <c r="F151" i="25"/>
  <c r="H150" i="25"/>
  <c r="I150" i="25" s="1"/>
  <c r="F150" i="25"/>
  <c r="I149" i="25"/>
  <c r="H149" i="25"/>
  <c r="F149" i="25"/>
  <c r="H148" i="25"/>
  <c r="I148" i="25" s="1"/>
  <c r="F148" i="25"/>
  <c r="H147" i="25"/>
  <c r="F147" i="25"/>
  <c r="H146" i="25"/>
  <c r="I146" i="25" s="1"/>
  <c r="F146" i="25"/>
  <c r="I145" i="25"/>
  <c r="H145" i="25"/>
  <c r="F145" i="25"/>
  <c r="H144" i="25"/>
  <c r="I144" i="25" s="1"/>
  <c r="F144" i="25"/>
  <c r="H143" i="25"/>
  <c r="F143" i="25"/>
  <c r="H142" i="25"/>
  <c r="I142" i="25" s="1"/>
  <c r="F142" i="25"/>
  <c r="I141" i="25"/>
  <c r="H141" i="25"/>
  <c r="F141" i="25"/>
  <c r="H140" i="25"/>
  <c r="I140" i="25" s="1"/>
  <c r="F140" i="25"/>
  <c r="H139" i="25"/>
  <c r="F139" i="25"/>
  <c r="H138" i="25"/>
  <c r="E138" i="25"/>
  <c r="F138" i="25" s="1"/>
  <c r="H137" i="25"/>
  <c r="I137" i="25" s="1"/>
  <c r="F137" i="25"/>
  <c r="H136" i="25"/>
  <c r="E136" i="25"/>
  <c r="F136" i="25" s="1"/>
  <c r="H135" i="25"/>
  <c r="I135" i="25" s="1"/>
  <c r="F135" i="25"/>
  <c r="H134" i="25"/>
  <c r="I134" i="25" s="1"/>
  <c r="E134" i="25"/>
  <c r="F134" i="25" s="1"/>
  <c r="H133" i="25"/>
  <c r="I133" i="25" s="1"/>
  <c r="F133" i="25"/>
  <c r="H132" i="25"/>
  <c r="E132" i="25"/>
  <c r="F132" i="25" s="1"/>
  <c r="I131" i="25"/>
  <c r="H131" i="25"/>
  <c r="F131" i="25"/>
  <c r="E131" i="25"/>
  <c r="H130" i="25"/>
  <c r="E130" i="25"/>
  <c r="F130" i="25" s="1"/>
  <c r="H129" i="25"/>
  <c r="I129" i="25" s="1"/>
  <c r="F129" i="25"/>
  <c r="H128" i="25"/>
  <c r="I128" i="25" s="1"/>
  <c r="E128" i="25"/>
  <c r="F128" i="25" s="1"/>
  <c r="G127" i="25"/>
  <c r="H127" i="25" s="1"/>
  <c r="I127" i="25" s="1"/>
  <c r="E127" i="25"/>
  <c r="F127" i="25" s="1"/>
  <c r="H126" i="25"/>
  <c r="E126" i="25"/>
  <c r="F126" i="25" s="1"/>
  <c r="H125" i="25"/>
  <c r="I125" i="25" s="1"/>
  <c r="F125" i="25"/>
  <c r="H124" i="25"/>
  <c r="E124" i="25"/>
  <c r="F124" i="25" s="1"/>
  <c r="I123" i="25"/>
  <c r="H123" i="25"/>
  <c r="F123" i="25"/>
  <c r="H122" i="25"/>
  <c r="E122" i="25"/>
  <c r="F122" i="25" s="1"/>
  <c r="I121" i="25"/>
  <c r="H121" i="25"/>
  <c r="F121" i="25"/>
  <c r="H120" i="25"/>
  <c r="I120" i="25" s="1"/>
  <c r="F120" i="25"/>
  <c r="E120" i="25"/>
  <c r="H119" i="25"/>
  <c r="F119" i="25"/>
  <c r="E119" i="25"/>
  <c r="H118" i="25"/>
  <c r="I118" i="25" s="1"/>
  <c r="F118" i="25"/>
  <c r="H117" i="25"/>
  <c r="I117" i="25" s="1"/>
  <c r="F117" i="25"/>
  <c r="I116" i="25"/>
  <c r="H116" i="25"/>
  <c r="F116" i="25"/>
  <c r="H115" i="25"/>
  <c r="I115" i="25" s="1"/>
  <c r="F115" i="25"/>
  <c r="H114" i="25"/>
  <c r="I114" i="25" s="1"/>
  <c r="F114" i="25"/>
  <c r="H113" i="25"/>
  <c r="I113" i="25" s="1"/>
  <c r="F113" i="25"/>
  <c r="I112" i="25"/>
  <c r="H112" i="25"/>
  <c r="F112" i="25"/>
  <c r="H111" i="25"/>
  <c r="I111" i="25" s="1"/>
  <c r="F111" i="25"/>
  <c r="I110" i="25"/>
  <c r="H110" i="25"/>
  <c r="F110" i="25"/>
  <c r="H109" i="25"/>
  <c r="I109" i="25" s="1"/>
  <c r="F109" i="25"/>
  <c r="I108" i="25"/>
  <c r="H108" i="25"/>
  <c r="F108" i="25"/>
  <c r="H107" i="25"/>
  <c r="I107" i="25" s="1"/>
  <c r="F107" i="25"/>
  <c r="H106" i="25"/>
  <c r="I106" i="25" s="1"/>
  <c r="F106" i="25"/>
  <c r="H105" i="25"/>
  <c r="I105" i="25" s="1"/>
  <c r="F105" i="25"/>
  <c r="I104" i="25"/>
  <c r="H104" i="25"/>
  <c r="F104" i="25"/>
  <c r="H103" i="25"/>
  <c r="I103" i="25" s="1"/>
  <c r="F103" i="25"/>
  <c r="H102" i="25"/>
  <c r="I102" i="25" s="1"/>
  <c r="F102" i="25"/>
  <c r="H101" i="25"/>
  <c r="I101" i="25" s="1"/>
  <c r="F101" i="25"/>
  <c r="I100" i="25"/>
  <c r="H100" i="25"/>
  <c r="F100" i="25"/>
  <c r="H99" i="25"/>
  <c r="E99" i="25"/>
  <c r="F99" i="25" s="1"/>
  <c r="I99" i="25" s="1"/>
  <c r="H98" i="25"/>
  <c r="E98" i="25"/>
  <c r="F98" i="25" s="1"/>
  <c r="I98" i="25" s="1"/>
  <c r="H97" i="25"/>
  <c r="I97" i="25" s="1"/>
  <c r="F97" i="25"/>
  <c r="H96" i="25"/>
  <c r="E96" i="25"/>
  <c r="F96" i="25" s="1"/>
  <c r="I95" i="25"/>
  <c r="H95" i="25"/>
  <c r="E95" i="25"/>
  <c r="F95" i="25" s="1"/>
  <c r="H94" i="25"/>
  <c r="I94" i="25" s="1"/>
  <c r="F94" i="25"/>
  <c r="H93" i="25"/>
  <c r="F93" i="25"/>
  <c r="H92" i="25"/>
  <c r="I92" i="25" s="1"/>
  <c r="E92" i="25"/>
  <c r="F92" i="25" s="1"/>
  <c r="H91" i="25"/>
  <c r="I91" i="25" s="1"/>
  <c r="F91" i="25"/>
  <c r="H90" i="25"/>
  <c r="I90" i="25" s="1"/>
  <c r="F90" i="25"/>
  <c r="H89" i="25"/>
  <c r="F89" i="25"/>
  <c r="H88" i="25"/>
  <c r="I88" i="25" s="1"/>
  <c r="F88" i="25"/>
  <c r="H87" i="25"/>
  <c r="I87" i="25" s="1"/>
  <c r="F87" i="25"/>
  <c r="H86" i="25"/>
  <c r="I86" i="25" s="1"/>
  <c r="F86" i="25"/>
  <c r="H85" i="25"/>
  <c r="I85" i="25" s="1"/>
  <c r="F85" i="25"/>
  <c r="H84" i="25"/>
  <c r="I84" i="25" s="1"/>
  <c r="F84" i="25"/>
  <c r="H83" i="25"/>
  <c r="I83" i="25" s="1"/>
  <c r="F83" i="25"/>
  <c r="H82" i="25"/>
  <c r="I82" i="25" s="1"/>
  <c r="F82" i="25"/>
  <c r="H81" i="25"/>
  <c r="F81" i="25"/>
  <c r="H80" i="25"/>
  <c r="I80" i="25" s="1"/>
  <c r="F80" i="25"/>
  <c r="H79" i="25"/>
  <c r="I79" i="25" s="1"/>
  <c r="F79" i="25"/>
  <c r="H78" i="25"/>
  <c r="I78" i="25" s="1"/>
  <c r="F78" i="25"/>
  <c r="H77" i="25"/>
  <c r="I77" i="25" s="1"/>
  <c r="F77" i="25"/>
  <c r="H76" i="25"/>
  <c r="I76" i="25" s="1"/>
  <c r="F76" i="25"/>
  <c r="H75" i="25"/>
  <c r="I75" i="25" s="1"/>
  <c r="F75" i="25"/>
  <c r="H74" i="25"/>
  <c r="I74" i="25" s="1"/>
  <c r="F74" i="25"/>
  <c r="H73" i="25"/>
  <c r="F73" i="25"/>
  <c r="H72" i="25"/>
  <c r="I72" i="25" s="1"/>
  <c r="F72" i="25"/>
  <c r="H71" i="25"/>
  <c r="I71" i="25" s="1"/>
  <c r="F71" i="25"/>
  <c r="H70" i="25"/>
  <c r="I70" i="25" s="1"/>
  <c r="F70" i="25"/>
  <c r="H69" i="25"/>
  <c r="E69" i="25"/>
  <c r="F69" i="25" s="1"/>
  <c r="H68" i="25"/>
  <c r="I68" i="25" s="1"/>
  <c r="F68" i="25"/>
  <c r="H67" i="25"/>
  <c r="I67" i="25" s="1"/>
  <c r="F67" i="25"/>
  <c r="H66" i="25"/>
  <c r="E66" i="25"/>
  <c r="F66" i="25" s="1"/>
  <c r="I66" i="25" s="1"/>
  <c r="H65" i="25"/>
  <c r="I65" i="25" s="1"/>
  <c r="F65" i="25"/>
  <c r="I64" i="25"/>
  <c r="H64" i="25"/>
  <c r="F64" i="25"/>
  <c r="H63" i="25"/>
  <c r="I63" i="25" s="1"/>
  <c r="F63" i="25"/>
  <c r="E63" i="25"/>
  <c r="H62" i="25"/>
  <c r="F62" i="25"/>
  <c r="H61" i="25"/>
  <c r="I61" i="25" s="1"/>
  <c r="F61" i="25"/>
  <c r="H60" i="25"/>
  <c r="I60" i="25" s="1"/>
  <c r="F60" i="25"/>
  <c r="H59" i="25"/>
  <c r="I59" i="25" s="1"/>
  <c r="F59" i="25"/>
  <c r="H58" i="25"/>
  <c r="F58" i="25"/>
  <c r="I57" i="25"/>
  <c r="H57" i="25"/>
  <c r="F57" i="25"/>
  <c r="H56" i="25"/>
  <c r="I56" i="25" s="1"/>
  <c r="F56" i="25"/>
  <c r="H55" i="25"/>
  <c r="I55" i="25" s="1"/>
  <c r="F55" i="25"/>
  <c r="H54" i="25"/>
  <c r="F54" i="25"/>
  <c r="H53" i="25"/>
  <c r="I53" i="25" s="1"/>
  <c r="F53" i="25"/>
  <c r="H52" i="25"/>
  <c r="I52" i="25" s="1"/>
  <c r="F52" i="25"/>
  <c r="H51" i="25"/>
  <c r="I51" i="25" s="1"/>
  <c r="F51" i="25"/>
  <c r="H50" i="25"/>
  <c r="F50" i="25"/>
  <c r="I49" i="25"/>
  <c r="H49" i="25"/>
  <c r="F49" i="25"/>
  <c r="H48" i="25"/>
  <c r="I48" i="25" s="1"/>
  <c r="F48" i="25"/>
  <c r="H47" i="25"/>
  <c r="I47" i="25" s="1"/>
  <c r="F47" i="25"/>
  <c r="H46" i="25"/>
  <c r="F46" i="25"/>
  <c r="H45" i="25"/>
  <c r="I45" i="25" s="1"/>
  <c r="F45" i="25"/>
  <c r="H44" i="25"/>
  <c r="I44" i="25" s="1"/>
  <c r="F44" i="25"/>
  <c r="H43" i="25"/>
  <c r="E43" i="25"/>
  <c r="F43" i="25" s="1"/>
  <c r="F42" i="25"/>
  <c r="I42" i="25" s="1"/>
  <c r="I41" i="25"/>
  <c r="F41" i="25"/>
  <c r="I40" i="25"/>
  <c r="H40" i="25"/>
  <c r="F40" i="25"/>
  <c r="H39" i="25"/>
  <c r="I39" i="25" s="1"/>
  <c r="F39" i="25"/>
  <c r="H38" i="25"/>
  <c r="E38" i="25"/>
  <c r="F38" i="25" s="1"/>
  <c r="H37" i="25"/>
  <c r="I37" i="25" s="1"/>
  <c r="F37" i="25"/>
  <c r="H36" i="25"/>
  <c r="E36" i="25"/>
  <c r="F36" i="25" s="1"/>
  <c r="I35" i="25"/>
  <c r="H35" i="25"/>
  <c r="F35" i="25"/>
  <c r="I34" i="25"/>
  <c r="H34" i="25"/>
  <c r="F34" i="25"/>
  <c r="H33" i="25"/>
  <c r="I33" i="25" s="1"/>
  <c r="F33" i="25"/>
  <c r="H32" i="25"/>
  <c r="I32" i="25" s="1"/>
  <c r="F32" i="25"/>
  <c r="I31" i="25"/>
  <c r="H31" i="25"/>
  <c r="F31" i="25"/>
  <c r="H30" i="25"/>
  <c r="I30" i="25" s="1"/>
  <c r="F30" i="25"/>
  <c r="H29" i="25"/>
  <c r="I29" i="25" s="1"/>
  <c r="F29" i="25"/>
  <c r="H28" i="25"/>
  <c r="I28" i="25" s="1"/>
  <c r="F28" i="25"/>
  <c r="I27" i="25"/>
  <c r="H27" i="25"/>
  <c r="F27" i="25"/>
  <c r="H26" i="25"/>
  <c r="I26" i="25" s="1"/>
  <c r="F26" i="25"/>
  <c r="H25" i="25"/>
  <c r="I25" i="25" s="1"/>
  <c r="F25" i="25"/>
  <c r="H24" i="25"/>
  <c r="I24" i="25" s="1"/>
  <c r="F24" i="25"/>
  <c r="I23" i="25"/>
  <c r="H23" i="25"/>
  <c r="F23" i="25"/>
  <c r="H22" i="25"/>
  <c r="E22" i="25"/>
  <c r="F22" i="25" s="1"/>
  <c r="I21" i="25"/>
  <c r="H21" i="25"/>
  <c r="F21" i="25"/>
  <c r="H20" i="25"/>
  <c r="I20" i="25" s="1"/>
  <c r="F20" i="25"/>
  <c r="H19" i="25"/>
  <c r="I19" i="25" s="1"/>
  <c r="F19" i="25"/>
  <c r="H18" i="25"/>
  <c r="I18" i="25" s="1"/>
  <c r="F18" i="25"/>
  <c r="I17" i="25"/>
  <c r="H17" i="25"/>
  <c r="F17" i="25"/>
  <c r="H16" i="25"/>
  <c r="I16" i="25" s="1"/>
  <c r="F16" i="25"/>
  <c r="H15" i="25"/>
  <c r="F15" i="25"/>
  <c r="I14" i="25"/>
  <c r="H14" i="25"/>
  <c r="F14" i="25"/>
  <c r="I13" i="25"/>
  <c r="H13" i="25"/>
  <c r="F13" i="25"/>
  <c r="H12" i="25"/>
  <c r="I12" i="25" s="1"/>
  <c r="F12" i="25"/>
  <c r="H11" i="25"/>
  <c r="F11" i="25"/>
  <c r="H10" i="25"/>
  <c r="I10" i="25" s="1"/>
  <c r="F10" i="25"/>
  <c r="I9" i="25"/>
  <c r="H9" i="25"/>
  <c r="F9" i="25"/>
  <c r="H8" i="25"/>
  <c r="I8" i="25" s="1"/>
  <c r="F8" i="25"/>
  <c r="H7" i="25"/>
  <c r="I7" i="25" s="1"/>
  <c r="F7" i="25"/>
  <c r="H98" i="26" l="1"/>
  <c r="H99" i="26" s="1"/>
  <c r="F123" i="26"/>
  <c r="F124" i="26" s="1"/>
  <c r="F125" i="26" s="1"/>
  <c r="F126" i="26" s="1"/>
  <c r="F127" i="26" s="1"/>
  <c r="F128" i="26" s="1"/>
  <c r="F129" i="26" s="1"/>
  <c r="F130" i="26" s="1"/>
  <c r="F105" i="26"/>
  <c r="F106" i="26" s="1"/>
  <c r="I22" i="25"/>
  <c r="I138" i="25"/>
  <c r="I122" i="25"/>
  <c r="I73" i="25"/>
  <c r="I89" i="25"/>
  <c r="I132" i="25"/>
  <c r="I151" i="25"/>
  <c r="I11" i="25"/>
  <c r="I43" i="25"/>
  <c r="I124" i="25"/>
  <c r="I15" i="25"/>
  <c r="I220" i="25" s="1"/>
  <c r="E27" i="7" s="1"/>
  <c r="I58" i="25"/>
  <c r="I38" i="25"/>
  <c r="I54" i="25"/>
  <c r="I147" i="25"/>
  <c r="I205" i="25"/>
  <c r="I119" i="25"/>
  <c r="I136" i="25"/>
  <c r="I130" i="25"/>
  <c r="I81" i="25"/>
  <c r="I96" i="25"/>
  <c r="I126" i="25"/>
  <c r="I93" i="25"/>
  <c r="I69" i="25"/>
  <c r="I143" i="25"/>
  <c r="I50" i="25"/>
  <c r="I139" i="25"/>
  <c r="I36" i="25"/>
  <c r="I46" i="25"/>
  <c r="I62" i="25"/>
  <c r="I154" i="25"/>
  <c r="I212" i="25"/>
  <c r="F107" i="26" l="1"/>
  <c r="F108" i="26"/>
  <c r="F109" i="26" s="1"/>
  <c r="F110" i="26" s="1"/>
  <c r="F111" i="26" s="1"/>
  <c r="F112" i="26" s="1"/>
  <c r="F113" i="26" s="1"/>
  <c r="I221" i="25"/>
  <c r="I222" i="25" s="1"/>
  <c r="E26" i="24" l="1"/>
  <c r="G26" i="24" s="1"/>
  <c r="E25" i="24"/>
  <c r="G25" i="24" s="1"/>
  <c r="F17" i="24"/>
  <c r="E17" i="24"/>
  <c r="G17" i="24" s="1"/>
  <c r="E10" i="24"/>
  <c r="G10" i="24" s="1"/>
  <c r="E4" i="24"/>
  <c r="G4" i="24" s="1"/>
  <c r="G27" i="24" s="1"/>
  <c r="F13" i="23" l="1"/>
  <c r="G13" i="23" s="1"/>
  <c r="F12" i="23"/>
  <c r="G12" i="23" s="1"/>
  <c r="F11" i="23"/>
  <c r="G11" i="23" s="1"/>
  <c r="G14" i="23" s="1"/>
  <c r="E26" i="7" s="1"/>
  <c r="H19" i="22" l="1"/>
  <c r="G19" i="22"/>
  <c r="I19" i="22" s="1"/>
  <c r="H18" i="22"/>
  <c r="F18" i="22"/>
  <c r="G18" i="22" s="1"/>
  <c r="I18" i="22" s="1"/>
  <c r="H17" i="22"/>
  <c r="G17" i="22"/>
  <c r="I17" i="22" s="1"/>
  <c r="F17" i="22"/>
  <c r="H16" i="22"/>
  <c r="G16" i="22"/>
  <c r="I16" i="22" s="1"/>
  <c r="H15" i="22"/>
  <c r="G15" i="22"/>
  <c r="I15" i="22" s="1"/>
  <c r="H14" i="22"/>
  <c r="F14" i="22"/>
  <c r="G14" i="22" s="1"/>
  <c r="H13" i="22"/>
  <c r="I13" i="22" s="1"/>
  <c r="G13" i="22"/>
  <c r="H12" i="22"/>
  <c r="G12" i="22"/>
  <c r="I12" i="22" s="1"/>
  <c r="H11" i="22"/>
  <c r="G11" i="22"/>
  <c r="I11" i="22" s="1"/>
  <c r="H10" i="22"/>
  <c r="G10" i="22"/>
  <c r="I10" i="22" s="1"/>
  <c r="H9" i="22"/>
  <c r="I9" i="22" s="1"/>
  <c r="G9" i="22"/>
  <c r="I14" i="22" l="1"/>
  <c r="I20" i="22" s="1"/>
  <c r="I21" i="22" s="1"/>
  <c r="H12" i="21"/>
  <c r="G12" i="21"/>
  <c r="I12" i="21" s="1"/>
  <c r="H11" i="21"/>
  <c r="G11" i="21"/>
  <c r="I11" i="21" s="1"/>
  <c r="H10" i="21"/>
  <c r="G10" i="21"/>
  <c r="I10" i="21" s="1"/>
  <c r="H9" i="21"/>
  <c r="I9" i="21" s="1"/>
  <c r="G9" i="21"/>
  <c r="H8" i="21"/>
  <c r="G8" i="21"/>
  <c r="H7" i="21"/>
  <c r="G7" i="21"/>
  <c r="I7" i="21" l="1"/>
  <c r="I8" i="21"/>
  <c r="I13" i="21"/>
  <c r="I14" i="21" l="1"/>
  <c r="E25" i="7"/>
  <c r="H17" i="20"/>
  <c r="G17" i="20"/>
  <c r="I17" i="20" s="1"/>
  <c r="H16" i="20"/>
  <c r="I16" i="20" s="1"/>
  <c r="G16" i="20"/>
  <c r="H15" i="20"/>
  <c r="G15" i="20"/>
  <c r="I15" i="20" s="1"/>
  <c r="H14" i="20"/>
  <c r="G14" i="20"/>
  <c r="I14" i="20" s="1"/>
  <c r="H13" i="20"/>
  <c r="G13" i="20"/>
  <c r="I13" i="20" s="1"/>
  <c r="H12" i="20"/>
  <c r="I12" i="20" s="1"/>
  <c r="G12" i="20"/>
  <c r="H11" i="20"/>
  <c r="G11" i="20"/>
  <c r="I11" i="20" s="1"/>
  <c r="H10" i="20"/>
  <c r="G10" i="20"/>
  <c r="I10" i="20" s="1"/>
  <c r="H9" i="20"/>
  <c r="G9" i="20"/>
  <c r="I9" i="20" l="1"/>
  <c r="I18" i="20"/>
  <c r="I19" i="20" s="1"/>
  <c r="E24" i="7" s="1"/>
  <c r="E33" i="7" s="1"/>
  <c r="K288" i="19" l="1"/>
  <c r="L288" i="19" s="1"/>
  <c r="L287" i="19"/>
  <c r="K287" i="19"/>
  <c r="K286" i="19"/>
  <c r="H286" i="19"/>
  <c r="K285" i="19"/>
  <c r="L285" i="19" s="1"/>
  <c r="L284" i="19"/>
  <c r="K284" i="19"/>
  <c r="K283" i="19"/>
  <c r="H283" i="19"/>
  <c r="L282" i="19"/>
  <c r="K282" i="19"/>
  <c r="K281" i="19"/>
  <c r="K280" i="19"/>
  <c r="H280" i="19"/>
  <c r="L279" i="19"/>
  <c r="K279" i="19"/>
  <c r="H279" i="19"/>
  <c r="K278" i="19"/>
  <c r="L278" i="19" s="1"/>
  <c r="H278" i="19"/>
  <c r="L277" i="19"/>
  <c r="K277" i="19"/>
  <c r="H277" i="19"/>
  <c r="K276" i="19"/>
  <c r="H276" i="19"/>
  <c r="H281" i="19" s="1"/>
  <c r="L281" i="19" s="1"/>
  <c r="L275" i="19"/>
  <c r="K275" i="19"/>
  <c r="H275" i="19"/>
  <c r="K274" i="19"/>
  <c r="L274" i="19" s="1"/>
  <c r="H274" i="19"/>
  <c r="L273" i="19"/>
  <c r="K273" i="19"/>
  <c r="H273" i="19"/>
  <c r="K272" i="19"/>
  <c r="L272" i="19" s="1"/>
  <c r="K271" i="19"/>
  <c r="L271" i="19" s="1"/>
  <c r="K270" i="19"/>
  <c r="L270" i="19" s="1"/>
  <c r="L269" i="19"/>
  <c r="K269" i="19"/>
  <c r="K268" i="19"/>
  <c r="L268" i="19" s="1"/>
  <c r="K267" i="19"/>
  <c r="L267" i="19" s="1"/>
  <c r="K266" i="19"/>
  <c r="K265" i="19"/>
  <c r="E265" i="19"/>
  <c r="H265" i="19" s="1"/>
  <c r="L265" i="19" s="1"/>
  <c r="K264" i="19"/>
  <c r="H264" i="19"/>
  <c r="L263" i="19"/>
  <c r="K263" i="19"/>
  <c r="K262" i="19"/>
  <c r="L262" i="19" s="1"/>
  <c r="L261" i="19"/>
  <c r="K261" i="19"/>
  <c r="K260" i="19"/>
  <c r="L260" i="19" s="1"/>
  <c r="L259" i="19"/>
  <c r="K259" i="19"/>
  <c r="K258" i="19"/>
  <c r="K257" i="19"/>
  <c r="L257" i="19" s="1"/>
  <c r="L256" i="19"/>
  <c r="K256" i="19"/>
  <c r="H256" i="19"/>
  <c r="K255" i="19"/>
  <c r="L254" i="19"/>
  <c r="K254" i="19"/>
  <c r="H254" i="19"/>
  <c r="K253" i="19"/>
  <c r="K252" i="19"/>
  <c r="L252" i="19" s="1"/>
  <c r="L251" i="19"/>
  <c r="K251" i="19"/>
  <c r="K250" i="19"/>
  <c r="K249" i="19"/>
  <c r="L249" i="19" s="1"/>
  <c r="L248" i="19"/>
  <c r="K248" i="19"/>
  <c r="K247" i="19"/>
  <c r="L246" i="19"/>
  <c r="K246" i="19"/>
  <c r="K245" i="19"/>
  <c r="K244" i="19"/>
  <c r="K243" i="19"/>
  <c r="K242" i="19"/>
  <c r="K241" i="19"/>
  <c r="L240" i="19"/>
  <c r="K240" i="19"/>
  <c r="K239" i="19"/>
  <c r="H239" i="19"/>
  <c r="L239" i="19" s="1"/>
  <c r="K238" i="19"/>
  <c r="L238" i="19" s="1"/>
  <c r="H238" i="19"/>
  <c r="K237" i="19"/>
  <c r="E237" i="19"/>
  <c r="H237" i="19" s="1"/>
  <c r="L237" i="19" s="1"/>
  <c r="K236" i="19"/>
  <c r="H236" i="19"/>
  <c r="L236" i="19" s="1"/>
  <c r="L235" i="19"/>
  <c r="K235" i="19"/>
  <c r="K234" i="19"/>
  <c r="L234" i="19" s="1"/>
  <c r="K233" i="19"/>
  <c r="L233" i="19" s="1"/>
  <c r="K232" i="19"/>
  <c r="L232" i="19" s="1"/>
  <c r="L231" i="19"/>
  <c r="K231" i="19"/>
  <c r="K230" i="19"/>
  <c r="L230" i="19" s="1"/>
  <c r="K229" i="19"/>
  <c r="L229" i="19" s="1"/>
  <c r="H229" i="19"/>
  <c r="L228" i="19"/>
  <c r="K228" i="19"/>
  <c r="H228" i="19"/>
  <c r="K227" i="19"/>
  <c r="H227" i="19"/>
  <c r="L226" i="19"/>
  <c r="K226" i="19"/>
  <c r="K225" i="19"/>
  <c r="L225" i="19" s="1"/>
  <c r="H225" i="19"/>
  <c r="K224" i="19"/>
  <c r="L224" i="19" s="1"/>
  <c r="H224" i="19"/>
  <c r="L223" i="19"/>
  <c r="K223" i="19"/>
  <c r="L222" i="19"/>
  <c r="K222" i="19"/>
  <c r="H222" i="19"/>
  <c r="K221" i="19"/>
  <c r="L221" i="19" s="1"/>
  <c r="H221" i="19"/>
  <c r="L220" i="19"/>
  <c r="K220" i="19"/>
  <c r="K219" i="19"/>
  <c r="L219" i="19" s="1"/>
  <c r="L218" i="19"/>
  <c r="K218" i="19"/>
  <c r="K217" i="19"/>
  <c r="K216" i="19"/>
  <c r="L216" i="19" s="1"/>
  <c r="H216" i="19"/>
  <c r="K215" i="19"/>
  <c r="H215" i="19"/>
  <c r="L215" i="19" s="1"/>
  <c r="K214" i="19"/>
  <c r="L214" i="19" s="1"/>
  <c r="H214" i="19"/>
  <c r="L213" i="19"/>
  <c r="K213" i="19"/>
  <c r="H213" i="19"/>
  <c r="K212" i="19"/>
  <c r="H212" i="19"/>
  <c r="H217" i="19" s="1"/>
  <c r="E258" i="19" s="1"/>
  <c r="H258" i="19" s="1"/>
  <c r="L211" i="19"/>
  <c r="K211" i="19"/>
  <c r="K210" i="19"/>
  <c r="L210" i="19" s="1"/>
  <c r="L209" i="19"/>
  <c r="K209" i="19"/>
  <c r="K208" i="19"/>
  <c r="L208" i="19" s="1"/>
  <c r="K207" i="19"/>
  <c r="L207" i="19" s="1"/>
  <c r="H207" i="19"/>
  <c r="H208" i="19" s="1"/>
  <c r="L206" i="19"/>
  <c r="K206" i="19"/>
  <c r="H206" i="19"/>
  <c r="K205" i="19"/>
  <c r="L205" i="19" s="1"/>
  <c r="K204" i="19"/>
  <c r="L204" i="19" s="1"/>
  <c r="K203" i="19"/>
  <c r="D203" i="19"/>
  <c r="K202" i="19"/>
  <c r="E202" i="19"/>
  <c r="H202" i="19" s="1"/>
  <c r="H203" i="19" s="1"/>
  <c r="L203" i="19" s="1"/>
  <c r="L201" i="19"/>
  <c r="K201" i="19"/>
  <c r="K200" i="19"/>
  <c r="K199" i="19"/>
  <c r="H199" i="19"/>
  <c r="L198" i="19"/>
  <c r="K198" i="19"/>
  <c r="K197" i="19"/>
  <c r="L197" i="19" s="1"/>
  <c r="K196" i="19"/>
  <c r="L196" i="19" s="1"/>
  <c r="L195" i="19"/>
  <c r="K195" i="19"/>
  <c r="H195" i="19"/>
  <c r="E195" i="19"/>
  <c r="K194" i="19"/>
  <c r="L194" i="19" s="1"/>
  <c r="H194" i="19"/>
  <c r="H196" i="19" s="1"/>
  <c r="E194" i="19"/>
  <c r="L193" i="19"/>
  <c r="K193" i="19"/>
  <c r="L192" i="19"/>
  <c r="K192" i="19"/>
  <c r="L191" i="19"/>
  <c r="K191" i="19"/>
  <c r="K190" i="19"/>
  <c r="K189" i="19"/>
  <c r="L189" i="19" s="1"/>
  <c r="H189" i="19"/>
  <c r="L188" i="19"/>
  <c r="K188" i="19"/>
  <c r="H188" i="19"/>
  <c r="K187" i="19"/>
  <c r="L187" i="19" s="1"/>
  <c r="H187" i="19"/>
  <c r="G187" i="19"/>
  <c r="E187" i="19"/>
  <c r="K186" i="19"/>
  <c r="L186" i="19" s="1"/>
  <c r="H186" i="19"/>
  <c r="E186" i="19"/>
  <c r="L185" i="19"/>
  <c r="K185" i="19"/>
  <c r="L184" i="19"/>
  <c r="K184" i="19"/>
  <c r="K183" i="19"/>
  <c r="K182" i="19"/>
  <c r="E182" i="19"/>
  <c r="H182" i="19" s="1"/>
  <c r="K181" i="19"/>
  <c r="E181" i="19"/>
  <c r="H181" i="19" s="1"/>
  <c r="K180" i="19"/>
  <c r="L180" i="19" s="1"/>
  <c r="E180" i="19"/>
  <c r="H180" i="19" s="1"/>
  <c r="K179" i="19"/>
  <c r="H179" i="19"/>
  <c r="E179" i="19"/>
  <c r="K178" i="19"/>
  <c r="L178" i="19" s="1"/>
  <c r="K177" i="19"/>
  <c r="L177" i="19" s="1"/>
  <c r="K176" i="19"/>
  <c r="H176" i="19"/>
  <c r="L175" i="19"/>
  <c r="K175" i="19"/>
  <c r="H175" i="19"/>
  <c r="L174" i="19"/>
  <c r="K174" i="19"/>
  <c r="H174" i="19"/>
  <c r="K173" i="19"/>
  <c r="L173" i="19" s="1"/>
  <c r="H173" i="19"/>
  <c r="K172" i="19"/>
  <c r="L172" i="19" s="1"/>
  <c r="K171" i="19"/>
  <c r="L171" i="19" s="1"/>
  <c r="L170" i="19"/>
  <c r="K170" i="19"/>
  <c r="H170" i="19"/>
  <c r="H171" i="19" s="1"/>
  <c r="E170" i="19"/>
  <c r="K169" i="19"/>
  <c r="L168" i="19"/>
  <c r="K168" i="19"/>
  <c r="K167" i="19"/>
  <c r="L167" i="19" s="1"/>
  <c r="K166" i="19"/>
  <c r="L166" i="19" s="1"/>
  <c r="K165" i="19"/>
  <c r="L165" i="19" s="1"/>
  <c r="L164" i="19"/>
  <c r="K164" i="19"/>
  <c r="H164" i="19"/>
  <c r="H166" i="19" s="1"/>
  <c r="L163" i="19"/>
  <c r="K163" i="19"/>
  <c r="H163" i="19"/>
  <c r="K162" i="19"/>
  <c r="L162" i="19" s="1"/>
  <c r="L161" i="19"/>
  <c r="K161" i="19"/>
  <c r="K160" i="19"/>
  <c r="K159" i="19"/>
  <c r="L159" i="19" s="1"/>
  <c r="H159" i="19"/>
  <c r="L158" i="19"/>
  <c r="K158" i="19"/>
  <c r="H158" i="19"/>
  <c r="K157" i="19"/>
  <c r="L157" i="19" s="1"/>
  <c r="H157" i="19"/>
  <c r="K156" i="19"/>
  <c r="H156" i="19"/>
  <c r="H160" i="19" s="1"/>
  <c r="K155" i="19"/>
  <c r="L155" i="19" s="1"/>
  <c r="L154" i="19"/>
  <c r="K154" i="19"/>
  <c r="K153" i="19"/>
  <c r="L153" i="19" s="1"/>
  <c r="K152" i="19"/>
  <c r="L152" i="19" s="1"/>
  <c r="K151" i="19"/>
  <c r="L151" i="19" s="1"/>
  <c r="H151" i="19"/>
  <c r="K150" i="19"/>
  <c r="H150" i="19"/>
  <c r="H152" i="19" s="1"/>
  <c r="L149" i="19"/>
  <c r="K149" i="19"/>
  <c r="L148" i="19"/>
  <c r="K148" i="19"/>
  <c r="L147" i="19"/>
  <c r="K147" i="19"/>
  <c r="K146" i="19"/>
  <c r="K145" i="19"/>
  <c r="G145" i="19"/>
  <c r="K144" i="19"/>
  <c r="K143" i="19"/>
  <c r="E143" i="19"/>
  <c r="K142" i="19"/>
  <c r="G142" i="19"/>
  <c r="L141" i="19"/>
  <c r="K141" i="19"/>
  <c r="K140" i="19"/>
  <c r="K139" i="19"/>
  <c r="H139" i="19"/>
  <c r="L138" i="19"/>
  <c r="K138" i="19"/>
  <c r="H138" i="19"/>
  <c r="K137" i="19"/>
  <c r="L137" i="19" s="1"/>
  <c r="K136" i="19"/>
  <c r="E136" i="19"/>
  <c r="H136" i="19" s="1"/>
  <c r="K135" i="19"/>
  <c r="L135" i="19" s="1"/>
  <c r="G135" i="19"/>
  <c r="E135" i="19"/>
  <c r="K134" i="19"/>
  <c r="G134" i="19"/>
  <c r="L133" i="19"/>
  <c r="K133" i="19"/>
  <c r="K132" i="19"/>
  <c r="H132" i="19"/>
  <c r="L132" i="19" s="1"/>
  <c r="K131" i="19"/>
  <c r="L131" i="19" s="1"/>
  <c r="E131" i="19"/>
  <c r="H131" i="19" s="1"/>
  <c r="L130" i="19"/>
  <c r="K130" i="19"/>
  <c r="E130" i="19"/>
  <c r="H130" i="19" s="1"/>
  <c r="K129" i="19"/>
  <c r="L129" i="19" s="1"/>
  <c r="E129" i="19"/>
  <c r="H129" i="19" s="1"/>
  <c r="K128" i="19"/>
  <c r="L128" i="19" s="1"/>
  <c r="H128" i="19"/>
  <c r="K127" i="19"/>
  <c r="L127" i="19" s="1"/>
  <c r="H127" i="19"/>
  <c r="K126" i="19"/>
  <c r="H126" i="19"/>
  <c r="L125" i="19"/>
  <c r="K125" i="19"/>
  <c r="H125" i="19"/>
  <c r="K124" i="19"/>
  <c r="L124" i="19" s="1"/>
  <c r="K123" i="19"/>
  <c r="L123" i="19" s="1"/>
  <c r="L122" i="19"/>
  <c r="K122" i="19"/>
  <c r="K121" i="19"/>
  <c r="L121" i="19" s="1"/>
  <c r="E121" i="19"/>
  <c r="K120" i="19"/>
  <c r="K119" i="19"/>
  <c r="L119" i="19" s="1"/>
  <c r="H119" i="19"/>
  <c r="K118" i="19"/>
  <c r="L118" i="19" s="1"/>
  <c r="K117" i="19"/>
  <c r="H117" i="19"/>
  <c r="G117" i="19"/>
  <c r="L116" i="19"/>
  <c r="K116" i="19"/>
  <c r="L115" i="19"/>
  <c r="K115" i="19"/>
  <c r="L114" i="19"/>
  <c r="K114" i="19"/>
  <c r="K113" i="19"/>
  <c r="K112" i="19"/>
  <c r="H112" i="19"/>
  <c r="L111" i="19"/>
  <c r="K111" i="19"/>
  <c r="K110" i="19"/>
  <c r="L110" i="19" s="1"/>
  <c r="K109" i="19"/>
  <c r="E109" i="19"/>
  <c r="E110" i="19" s="1"/>
  <c r="E144" i="19" s="1"/>
  <c r="E145" i="19" s="1"/>
  <c r="K108" i="19"/>
  <c r="L108" i="19" s="1"/>
  <c r="L107" i="19"/>
  <c r="K107" i="19"/>
  <c r="E107" i="19"/>
  <c r="K106" i="19"/>
  <c r="H106" i="19"/>
  <c r="K105" i="19"/>
  <c r="G105" i="19"/>
  <c r="H105" i="19" s="1"/>
  <c r="K104" i="19"/>
  <c r="L104" i="19" s="1"/>
  <c r="K103" i="19"/>
  <c r="L103" i="19" s="1"/>
  <c r="K102" i="19"/>
  <c r="L102" i="19" s="1"/>
  <c r="L101" i="19"/>
  <c r="K101" i="19"/>
  <c r="H101" i="19"/>
  <c r="G101" i="19"/>
  <c r="L100" i="19"/>
  <c r="K100" i="19"/>
  <c r="H100" i="19"/>
  <c r="G100" i="19"/>
  <c r="K99" i="19"/>
  <c r="H99" i="19"/>
  <c r="L99" i="19" s="1"/>
  <c r="G99" i="19"/>
  <c r="L98" i="19"/>
  <c r="K98" i="19"/>
  <c r="H98" i="19"/>
  <c r="G98" i="19"/>
  <c r="L97" i="19"/>
  <c r="K97" i="19"/>
  <c r="H97" i="19"/>
  <c r="G97" i="19"/>
  <c r="K96" i="19"/>
  <c r="G96" i="19"/>
  <c r="H96" i="19" s="1"/>
  <c r="L96" i="19" s="1"/>
  <c r="L95" i="19"/>
  <c r="K95" i="19"/>
  <c r="K94" i="19"/>
  <c r="G94" i="19"/>
  <c r="E94" i="19"/>
  <c r="K93" i="19"/>
  <c r="G93" i="19"/>
  <c r="K92" i="19"/>
  <c r="L92" i="19" s="1"/>
  <c r="H92" i="19"/>
  <c r="G92" i="19"/>
  <c r="E92" i="19"/>
  <c r="D92" i="19"/>
  <c r="K91" i="19"/>
  <c r="G91" i="19"/>
  <c r="E91" i="19"/>
  <c r="H91" i="19" s="1"/>
  <c r="L91" i="19" s="1"/>
  <c r="K90" i="19"/>
  <c r="L90" i="19" s="1"/>
  <c r="H90" i="19"/>
  <c r="G90" i="19"/>
  <c r="K89" i="19"/>
  <c r="L89" i="19" s="1"/>
  <c r="H89" i="19"/>
  <c r="G89" i="19"/>
  <c r="K88" i="19"/>
  <c r="L88" i="19" s="1"/>
  <c r="G88" i="19"/>
  <c r="E88" i="19"/>
  <c r="H88" i="19" s="1"/>
  <c r="K87" i="19"/>
  <c r="G87" i="19"/>
  <c r="E87" i="19"/>
  <c r="L86" i="19"/>
  <c r="K86" i="19"/>
  <c r="H86" i="19"/>
  <c r="G86" i="19"/>
  <c r="E86" i="19"/>
  <c r="K85" i="19"/>
  <c r="L85" i="19" s="1"/>
  <c r="L84" i="19"/>
  <c r="K84" i="19"/>
  <c r="K83" i="19"/>
  <c r="L83" i="19" s="1"/>
  <c r="K82" i="19"/>
  <c r="K81" i="19"/>
  <c r="G81" i="19"/>
  <c r="E81" i="19"/>
  <c r="D81" i="19"/>
  <c r="H81" i="19" s="1"/>
  <c r="K80" i="19"/>
  <c r="G80" i="19"/>
  <c r="H80" i="19" s="1"/>
  <c r="L80" i="19" s="1"/>
  <c r="D80" i="19"/>
  <c r="K79" i="19"/>
  <c r="G79" i="19"/>
  <c r="E79" i="19"/>
  <c r="D79" i="19"/>
  <c r="H79" i="19" s="1"/>
  <c r="L79" i="19" s="1"/>
  <c r="K78" i="19"/>
  <c r="G78" i="19"/>
  <c r="H78" i="19" s="1"/>
  <c r="E78" i="19"/>
  <c r="D78" i="19"/>
  <c r="L77" i="19"/>
  <c r="K77" i="19"/>
  <c r="K76" i="19"/>
  <c r="K75" i="19"/>
  <c r="G75" i="19"/>
  <c r="H75" i="19" s="1"/>
  <c r="E75" i="19"/>
  <c r="E76" i="19" s="1"/>
  <c r="K74" i="19"/>
  <c r="L74" i="19" s="1"/>
  <c r="K73" i="19"/>
  <c r="K72" i="19"/>
  <c r="L72" i="19" s="1"/>
  <c r="H72" i="19"/>
  <c r="E72" i="19"/>
  <c r="K71" i="19"/>
  <c r="L71" i="19" s="1"/>
  <c r="H71" i="19"/>
  <c r="E71" i="19"/>
  <c r="D71" i="19"/>
  <c r="K70" i="19"/>
  <c r="E70" i="19"/>
  <c r="D70" i="19"/>
  <c r="L69" i="19"/>
  <c r="K69" i="19"/>
  <c r="K68" i="19"/>
  <c r="K67" i="19"/>
  <c r="L67" i="19" s="1"/>
  <c r="H67" i="19"/>
  <c r="F67" i="19"/>
  <c r="D67" i="19"/>
  <c r="K66" i="19"/>
  <c r="F66" i="19"/>
  <c r="E66" i="19"/>
  <c r="D66" i="19"/>
  <c r="K65" i="19"/>
  <c r="F65" i="19"/>
  <c r="E65" i="19"/>
  <c r="D65" i="19"/>
  <c r="K64" i="19"/>
  <c r="F64" i="19"/>
  <c r="E64" i="19"/>
  <c r="D64" i="19"/>
  <c r="K63" i="19"/>
  <c r="F63" i="19"/>
  <c r="E63" i="19"/>
  <c r="D63" i="19"/>
  <c r="H63" i="19" s="1"/>
  <c r="K62" i="19"/>
  <c r="F62" i="19"/>
  <c r="E62" i="19"/>
  <c r="D62" i="19"/>
  <c r="K61" i="19"/>
  <c r="F61" i="19"/>
  <c r="E61" i="19"/>
  <c r="D61" i="19"/>
  <c r="H61" i="19" s="1"/>
  <c r="K60" i="19"/>
  <c r="F60" i="19"/>
  <c r="E60" i="19"/>
  <c r="D60" i="19"/>
  <c r="K59" i="19"/>
  <c r="H59" i="19"/>
  <c r="F59" i="19"/>
  <c r="E59" i="19"/>
  <c r="D59" i="19"/>
  <c r="K58" i="19"/>
  <c r="F58" i="19"/>
  <c r="E58" i="19"/>
  <c r="D58" i="19"/>
  <c r="K57" i="19"/>
  <c r="L57" i="19" s="1"/>
  <c r="K56" i="19"/>
  <c r="F56" i="19"/>
  <c r="E56" i="19"/>
  <c r="D56" i="19"/>
  <c r="K55" i="19"/>
  <c r="F55" i="19"/>
  <c r="E55" i="19"/>
  <c r="D55" i="19"/>
  <c r="K54" i="19"/>
  <c r="F54" i="19"/>
  <c r="E54" i="19"/>
  <c r="E93" i="19" s="1"/>
  <c r="D54" i="19"/>
  <c r="K53" i="19"/>
  <c r="L53" i="19" s="1"/>
  <c r="K52" i="19"/>
  <c r="K51" i="19"/>
  <c r="L51" i="19" s="1"/>
  <c r="H51" i="19"/>
  <c r="E51" i="19"/>
  <c r="K50" i="19"/>
  <c r="L50" i="19" s="1"/>
  <c r="H50" i="19"/>
  <c r="E50" i="19"/>
  <c r="L49" i="19"/>
  <c r="K49" i="19"/>
  <c r="H49" i="19"/>
  <c r="E49" i="19"/>
  <c r="E90" i="19" s="1"/>
  <c r="K48" i="19"/>
  <c r="L48" i="19" s="1"/>
  <c r="H48" i="19"/>
  <c r="K47" i="19"/>
  <c r="L47" i="19" s="1"/>
  <c r="H47" i="19"/>
  <c r="K46" i="19"/>
  <c r="H46" i="19"/>
  <c r="L46" i="19" s="1"/>
  <c r="K45" i="19"/>
  <c r="L45" i="19" s="1"/>
  <c r="H45" i="19"/>
  <c r="L44" i="19"/>
  <c r="K44" i="19"/>
  <c r="L43" i="19"/>
  <c r="K43" i="19"/>
  <c r="L42" i="19"/>
  <c r="K42" i="19"/>
  <c r="L41" i="19"/>
  <c r="K41" i="19"/>
  <c r="K40" i="19"/>
  <c r="K39" i="19"/>
  <c r="L39" i="19" s="1"/>
  <c r="L38" i="19"/>
  <c r="K38" i="19"/>
  <c r="K37" i="19"/>
  <c r="L37" i="19" s="1"/>
  <c r="K36" i="19"/>
  <c r="L35" i="19"/>
  <c r="K35" i="19"/>
  <c r="E35" i="19"/>
  <c r="H35" i="19" s="1"/>
  <c r="K34" i="19"/>
  <c r="L34" i="19" s="1"/>
  <c r="E34" i="19"/>
  <c r="H34" i="19" s="1"/>
  <c r="K33" i="19"/>
  <c r="L33" i="19" s="1"/>
  <c r="E33" i="19"/>
  <c r="H33" i="19" s="1"/>
  <c r="L32" i="19"/>
  <c r="K32" i="19"/>
  <c r="H32" i="19"/>
  <c r="L31" i="19"/>
  <c r="K31" i="19"/>
  <c r="H31" i="19"/>
  <c r="K30" i="19"/>
  <c r="H30" i="19"/>
  <c r="K29" i="19"/>
  <c r="H29" i="19"/>
  <c r="L29" i="19" s="1"/>
  <c r="L28" i="19"/>
  <c r="K28" i="19"/>
  <c r="K27" i="19"/>
  <c r="L27" i="19" s="1"/>
  <c r="H27" i="19"/>
  <c r="L26" i="19"/>
  <c r="K26" i="19"/>
  <c r="H26" i="19"/>
  <c r="E26" i="19"/>
  <c r="E67" i="19" s="1"/>
  <c r="L25" i="19"/>
  <c r="K25" i="19"/>
  <c r="H25" i="19"/>
  <c r="K24" i="19"/>
  <c r="L24" i="19" s="1"/>
  <c r="H24" i="19"/>
  <c r="K23" i="19"/>
  <c r="H23" i="19"/>
  <c r="L23" i="19" s="1"/>
  <c r="K22" i="19"/>
  <c r="H22" i="19"/>
  <c r="L21" i="19"/>
  <c r="K21" i="19"/>
  <c r="H21" i="19"/>
  <c r="K20" i="19"/>
  <c r="L20" i="19" s="1"/>
  <c r="H20" i="19"/>
  <c r="K19" i="19"/>
  <c r="L19" i="19" s="1"/>
  <c r="H19" i="19"/>
  <c r="K18" i="19"/>
  <c r="L18" i="19" s="1"/>
  <c r="H18" i="19"/>
  <c r="L17" i="19"/>
  <c r="K17" i="19"/>
  <c r="H17" i="19"/>
  <c r="K16" i="19"/>
  <c r="L16" i="19" s="1"/>
  <c r="K15" i="19"/>
  <c r="E15" i="19"/>
  <c r="H15" i="19" s="1"/>
  <c r="K14" i="19"/>
  <c r="E14" i="19"/>
  <c r="H14" i="19" s="1"/>
  <c r="K13" i="19"/>
  <c r="H13" i="19"/>
  <c r="E13" i="19"/>
  <c r="K12" i="19"/>
  <c r="L12" i="19" s="1"/>
  <c r="K11" i="19"/>
  <c r="L11" i="19" s="1"/>
  <c r="K10" i="19"/>
  <c r="H9" i="19"/>
  <c r="G8" i="19"/>
  <c r="H8" i="19" s="1"/>
  <c r="E8" i="19"/>
  <c r="E80" i="19" s="1"/>
  <c r="H7" i="19"/>
  <c r="H10" i="19" s="1"/>
  <c r="H6" i="19"/>
  <c r="K455" i="18"/>
  <c r="L455" i="18" s="1"/>
  <c r="K454" i="18"/>
  <c r="E454" i="18"/>
  <c r="H454" i="18" s="1"/>
  <c r="K453" i="18"/>
  <c r="L453" i="18" s="1"/>
  <c r="H453" i="18"/>
  <c r="K452" i="18"/>
  <c r="E452" i="18"/>
  <c r="H452" i="18" s="1"/>
  <c r="L452" i="18" s="1"/>
  <c r="L451" i="18"/>
  <c r="K451" i="18"/>
  <c r="H451" i="18"/>
  <c r="K450" i="18"/>
  <c r="L450" i="18" s="1"/>
  <c r="K449" i="18"/>
  <c r="E449" i="18"/>
  <c r="H449" i="18" s="1"/>
  <c r="K448" i="18"/>
  <c r="L448" i="18" s="1"/>
  <c r="H448" i="18"/>
  <c r="K447" i="18"/>
  <c r="H447" i="18"/>
  <c r="L447" i="18" s="1"/>
  <c r="E447" i="18"/>
  <c r="L446" i="18"/>
  <c r="K446" i="18"/>
  <c r="H446" i="18"/>
  <c r="K445" i="18"/>
  <c r="E445" i="18"/>
  <c r="H445" i="18" s="1"/>
  <c r="L444" i="18"/>
  <c r="K444" i="18"/>
  <c r="H444" i="18"/>
  <c r="K443" i="18"/>
  <c r="L443" i="18" s="1"/>
  <c r="H443" i="18"/>
  <c r="E443" i="18"/>
  <c r="K442" i="18"/>
  <c r="L442" i="18" s="1"/>
  <c r="H442" i="18"/>
  <c r="K441" i="18"/>
  <c r="L441" i="18" s="1"/>
  <c r="K440" i="18"/>
  <c r="L440" i="18" s="1"/>
  <c r="K439" i="18"/>
  <c r="L439" i="18" s="1"/>
  <c r="L438" i="18"/>
  <c r="K438" i="18"/>
  <c r="K437" i="18"/>
  <c r="L437" i="18" s="1"/>
  <c r="K436" i="18"/>
  <c r="L436" i="18" s="1"/>
  <c r="E436" i="18"/>
  <c r="K435" i="18"/>
  <c r="L435" i="18" s="1"/>
  <c r="L434" i="18"/>
  <c r="K434" i="18"/>
  <c r="E434" i="18"/>
  <c r="K433" i="18"/>
  <c r="L432" i="18"/>
  <c r="K432" i="18"/>
  <c r="H432" i="18"/>
  <c r="K431" i="18"/>
  <c r="L431" i="18" s="1"/>
  <c r="E431" i="18"/>
  <c r="K430" i="18"/>
  <c r="L430" i="18" s="1"/>
  <c r="L429" i="18"/>
  <c r="K429" i="18"/>
  <c r="L428" i="18"/>
  <c r="K428" i="18"/>
  <c r="H428" i="18"/>
  <c r="K427" i="18"/>
  <c r="L427" i="18" s="1"/>
  <c r="L426" i="18"/>
  <c r="K426" i="18"/>
  <c r="K425" i="18"/>
  <c r="L425" i="18" s="1"/>
  <c r="K424" i="18"/>
  <c r="L424" i="18" s="1"/>
  <c r="K423" i="18"/>
  <c r="H423" i="18"/>
  <c r="L422" i="18"/>
  <c r="K422" i="18"/>
  <c r="H422" i="18"/>
  <c r="K421" i="18"/>
  <c r="L421" i="18" s="1"/>
  <c r="H421" i="18"/>
  <c r="K420" i="18"/>
  <c r="L420" i="18" s="1"/>
  <c r="H420" i="18"/>
  <c r="K419" i="18"/>
  <c r="H419" i="18"/>
  <c r="K418" i="18"/>
  <c r="L418" i="18" s="1"/>
  <c r="K417" i="18"/>
  <c r="L417" i="18" s="1"/>
  <c r="K416" i="18"/>
  <c r="L416" i="18" s="1"/>
  <c r="H416" i="18"/>
  <c r="L415" i="18"/>
  <c r="K415" i="18"/>
  <c r="H415" i="18"/>
  <c r="E415" i="18"/>
  <c r="K414" i="18"/>
  <c r="L414" i="18" s="1"/>
  <c r="H414" i="18"/>
  <c r="K413" i="18"/>
  <c r="L413" i="18" s="1"/>
  <c r="L412" i="18"/>
  <c r="K412" i="18"/>
  <c r="K411" i="18"/>
  <c r="L411" i="18" s="1"/>
  <c r="L410" i="18"/>
  <c r="K410" i="18"/>
  <c r="K409" i="18"/>
  <c r="L409" i="18" s="1"/>
  <c r="L408" i="18"/>
  <c r="K408" i="18"/>
  <c r="K407" i="18"/>
  <c r="H407" i="18"/>
  <c r="L406" i="18"/>
  <c r="K406" i="18"/>
  <c r="H406" i="18"/>
  <c r="K405" i="18"/>
  <c r="L405" i="18" s="1"/>
  <c r="H405" i="18"/>
  <c r="L404" i="18"/>
  <c r="K404" i="18"/>
  <c r="L403" i="18"/>
  <c r="K403" i="18"/>
  <c r="H403" i="18"/>
  <c r="K402" i="18"/>
  <c r="L402" i="18" s="1"/>
  <c r="H402" i="18"/>
  <c r="P401" i="18"/>
  <c r="O401" i="18"/>
  <c r="L401" i="18"/>
  <c r="K401" i="18"/>
  <c r="L400" i="18"/>
  <c r="K400" i="18"/>
  <c r="L399" i="18"/>
  <c r="K399" i="18"/>
  <c r="H399" i="18"/>
  <c r="K398" i="18"/>
  <c r="L398" i="18" s="1"/>
  <c r="K397" i="18"/>
  <c r="L397" i="18" s="1"/>
  <c r="L396" i="18"/>
  <c r="K396" i="18"/>
  <c r="K395" i="18"/>
  <c r="L395" i="18" s="1"/>
  <c r="K394" i="18"/>
  <c r="L394" i="18" s="1"/>
  <c r="H394" i="18"/>
  <c r="L393" i="18"/>
  <c r="K393" i="18"/>
  <c r="H393" i="18"/>
  <c r="K392" i="18"/>
  <c r="H392" i="18"/>
  <c r="L391" i="18"/>
  <c r="K391" i="18"/>
  <c r="H391" i="18"/>
  <c r="L390" i="18"/>
  <c r="K390" i="18"/>
  <c r="H390" i="18"/>
  <c r="K389" i="18"/>
  <c r="L389" i="18" s="1"/>
  <c r="L388" i="18"/>
  <c r="K388" i="18"/>
  <c r="K387" i="18"/>
  <c r="L387" i="18" s="1"/>
  <c r="L386" i="18"/>
  <c r="K386" i="18"/>
  <c r="K385" i="18"/>
  <c r="H385" i="18"/>
  <c r="K384" i="18"/>
  <c r="L384" i="18" s="1"/>
  <c r="H384" i="18"/>
  <c r="L383" i="18"/>
  <c r="K383" i="18"/>
  <c r="H383" i="18"/>
  <c r="K382" i="18"/>
  <c r="L382" i="18" s="1"/>
  <c r="K381" i="18"/>
  <c r="L381" i="18" s="1"/>
  <c r="L380" i="18"/>
  <c r="K380" i="18"/>
  <c r="D380" i="18"/>
  <c r="K379" i="18"/>
  <c r="L379" i="18" s="1"/>
  <c r="H379" i="18"/>
  <c r="E379" i="18"/>
  <c r="K378" i="18"/>
  <c r="L378" i="18" s="1"/>
  <c r="H378" i="18"/>
  <c r="E378" i="18"/>
  <c r="K377" i="18"/>
  <c r="L377" i="18" s="1"/>
  <c r="L376" i="18"/>
  <c r="K376" i="18"/>
  <c r="K375" i="18"/>
  <c r="L375" i="18" s="1"/>
  <c r="H375" i="18"/>
  <c r="K374" i="18"/>
  <c r="L374" i="18" s="1"/>
  <c r="H374" i="18"/>
  <c r="L373" i="18"/>
  <c r="K373" i="18"/>
  <c r="K372" i="18"/>
  <c r="L372" i="18" s="1"/>
  <c r="L371" i="18"/>
  <c r="K371" i="18"/>
  <c r="L370" i="18"/>
  <c r="K370" i="18"/>
  <c r="H370" i="18"/>
  <c r="E370" i="18"/>
  <c r="L369" i="18"/>
  <c r="K369" i="18"/>
  <c r="H369" i="18"/>
  <c r="E369" i="18"/>
  <c r="K368" i="18"/>
  <c r="H368" i="18"/>
  <c r="E368" i="18"/>
  <c r="L367" i="18"/>
  <c r="K367" i="18"/>
  <c r="H367" i="18"/>
  <c r="E367" i="18"/>
  <c r="L366" i="18"/>
  <c r="K366" i="18"/>
  <c r="H366" i="18"/>
  <c r="E366" i="18"/>
  <c r="K365" i="18"/>
  <c r="L365" i="18" s="1"/>
  <c r="L364" i="18"/>
  <c r="K364" i="18"/>
  <c r="L363" i="18"/>
  <c r="K363" i="18"/>
  <c r="L362" i="18"/>
  <c r="K362" i="18"/>
  <c r="K361" i="18"/>
  <c r="G361" i="18"/>
  <c r="E361" i="18"/>
  <c r="H361" i="18" s="1"/>
  <c r="L361" i="18" s="1"/>
  <c r="K360" i="18"/>
  <c r="L360" i="18" s="1"/>
  <c r="G360" i="18"/>
  <c r="E360" i="18"/>
  <c r="H360" i="18" s="1"/>
  <c r="K359" i="18"/>
  <c r="G359" i="18"/>
  <c r="H359" i="18" s="1"/>
  <c r="L359" i="18" s="1"/>
  <c r="E359" i="18"/>
  <c r="K358" i="18"/>
  <c r="E358" i="18"/>
  <c r="H358" i="18" s="1"/>
  <c r="K357" i="18"/>
  <c r="E357" i="18"/>
  <c r="H357" i="18" s="1"/>
  <c r="K356" i="18"/>
  <c r="L356" i="18" s="1"/>
  <c r="L355" i="18"/>
  <c r="K355" i="18"/>
  <c r="G355" i="18"/>
  <c r="E355" i="18"/>
  <c r="H355" i="18" s="1"/>
  <c r="K354" i="18"/>
  <c r="G354" i="18"/>
  <c r="E354" i="18"/>
  <c r="H354" i="18" s="1"/>
  <c r="L354" i="18" s="1"/>
  <c r="K353" i="18"/>
  <c r="L353" i="18" s="1"/>
  <c r="H353" i="18"/>
  <c r="G353" i="18"/>
  <c r="E353" i="18"/>
  <c r="L352" i="18"/>
  <c r="K352" i="18"/>
  <c r="H352" i="18"/>
  <c r="E352" i="18"/>
  <c r="K351" i="18"/>
  <c r="L351" i="18" s="1"/>
  <c r="H351" i="18"/>
  <c r="E351" i="18"/>
  <c r="L350" i="18"/>
  <c r="K350" i="18"/>
  <c r="H350" i="18"/>
  <c r="E350" i="18"/>
  <c r="L349" i="18"/>
  <c r="K349" i="18"/>
  <c r="H349" i="18"/>
  <c r="E349" i="18"/>
  <c r="K348" i="18"/>
  <c r="L348" i="18" s="1"/>
  <c r="L347" i="18"/>
  <c r="K347" i="18"/>
  <c r="K346" i="18"/>
  <c r="L346" i="18" s="1"/>
  <c r="L345" i="18"/>
  <c r="K345" i="18"/>
  <c r="H345" i="18"/>
  <c r="E345" i="18"/>
  <c r="K344" i="18"/>
  <c r="E344" i="18"/>
  <c r="H344" i="18" s="1"/>
  <c r="L344" i="18" s="1"/>
  <c r="L343" i="18"/>
  <c r="K343" i="18"/>
  <c r="H343" i="18"/>
  <c r="E343" i="18"/>
  <c r="L342" i="18"/>
  <c r="K342" i="18"/>
  <c r="H342" i="18"/>
  <c r="E342" i="18"/>
  <c r="K341" i="18"/>
  <c r="E341" i="18"/>
  <c r="H341" i="18" s="1"/>
  <c r="L341" i="18" s="1"/>
  <c r="K340" i="18"/>
  <c r="H340" i="18"/>
  <c r="L340" i="18" s="1"/>
  <c r="E340" i="18"/>
  <c r="L339" i="18"/>
  <c r="K339" i="18"/>
  <c r="H339" i="18"/>
  <c r="E339" i="18"/>
  <c r="L338" i="18"/>
  <c r="K338" i="18"/>
  <c r="K337" i="18"/>
  <c r="H337" i="18"/>
  <c r="E337" i="18"/>
  <c r="L336" i="18"/>
  <c r="K336" i="18"/>
  <c r="H336" i="18"/>
  <c r="E336" i="18"/>
  <c r="L335" i="18"/>
  <c r="K335" i="18"/>
  <c r="H335" i="18"/>
  <c r="E335" i="18"/>
  <c r="K334" i="18"/>
  <c r="L334" i="18" s="1"/>
  <c r="H334" i="18"/>
  <c r="E334" i="18"/>
  <c r="K333" i="18"/>
  <c r="H333" i="18"/>
  <c r="E333" i="18"/>
  <c r="L332" i="18"/>
  <c r="K332" i="18"/>
  <c r="H332" i="18"/>
  <c r="E332" i="18"/>
  <c r="K331" i="18"/>
  <c r="L331" i="18" s="1"/>
  <c r="H331" i="18"/>
  <c r="E331" i="18"/>
  <c r="K330" i="18"/>
  <c r="H330" i="18"/>
  <c r="E330" i="18"/>
  <c r="L329" i="18"/>
  <c r="K329" i="18"/>
  <c r="H329" i="18"/>
  <c r="E329" i="18"/>
  <c r="K328" i="18"/>
  <c r="L328" i="18" s="1"/>
  <c r="H328" i="18"/>
  <c r="E328" i="18"/>
  <c r="K327" i="18"/>
  <c r="L327" i="18" s="1"/>
  <c r="L326" i="18"/>
  <c r="K326" i="18"/>
  <c r="L325" i="18"/>
  <c r="K325" i="18"/>
  <c r="L324" i="18"/>
  <c r="K324" i="18"/>
  <c r="H324" i="18"/>
  <c r="L323" i="18"/>
  <c r="K323" i="18"/>
  <c r="H323" i="18"/>
  <c r="K322" i="18"/>
  <c r="L322" i="18" s="1"/>
  <c r="H322" i="18"/>
  <c r="K321" i="18"/>
  <c r="H321" i="18"/>
  <c r="L320" i="18"/>
  <c r="K320" i="18"/>
  <c r="K319" i="18"/>
  <c r="L319" i="18" s="1"/>
  <c r="L318" i="18"/>
  <c r="K318" i="18"/>
  <c r="H318" i="18"/>
  <c r="E318" i="18"/>
  <c r="K317" i="18"/>
  <c r="K316" i="18"/>
  <c r="L316" i="18" s="1"/>
  <c r="K315" i="18"/>
  <c r="L315" i="18" s="1"/>
  <c r="K314" i="18"/>
  <c r="L314" i="18" s="1"/>
  <c r="L313" i="18"/>
  <c r="K313" i="18"/>
  <c r="H313" i="18"/>
  <c r="K312" i="18"/>
  <c r="L312" i="18" s="1"/>
  <c r="H312" i="18"/>
  <c r="K311" i="18"/>
  <c r="E311" i="18"/>
  <c r="H311" i="18" s="1"/>
  <c r="K310" i="18"/>
  <c r="H310" i="18"/>
  <c r="E310" i="18"/>
  <c r="K309" i="18"/>
  <c r="K308" i="18"/>
  <c r="L308" i="18" s="1"/>
  <c r="L307" i="18"/>
  <c r="K307" i="18"/>
  <c r="L306" i="18"/>
  <c r="K306" i="18"/>
  <c r="L305" i="18"/>
  <c r="K305" i="18"/>
  <c r="H305" i="18"/>
  <c r="L304" i="18"/>
  <c r="K304" i="18"/>
  <c r="H304" i="18"/>
  <c r="K303" i="18"/>
  <c r="L303" i="18" s="1"/>
  <c r="K302" i="18"/>
  <c r="L301" i="18"/>
  <c r="K301" i="18"/>
  <c r="K300" i="18"/>
  <c r="L300" i="18" s="1"/>
  <c r="H300" i="18"/>
  <c r="L299" i="18"/>
  <c r="K299" i="18"/>
  <c r="H299" i="18"/>
  <c r="K298" i="18"/>
  <c r="L298" i="18" s="1"/>
  <c r="H298" i="18"/>
  <c r="L297" i="18"/>
  <c r="K297" i="18"/>
  <c r="H297" i="18"/>
  <c r="H302" i="18" s="1"/>
  <c r="L302" i="18" s="1"/>
  <c r="K296" i="18"/>
  <c r="L296" i="18" s="1"/>
  <c r="L295" i="18"/>
  <c r="K295" i="18"/>
  <c r="K294" i="18"/>
  <c r="L294" i="18" s="1"/>
  <c r="K293" i="18"/>
  <c r="L293" i="18" s="1"/>
  <c r="H293" i="18"/>
  <c r="K292" i="18"/>
  <c r="L292" i="18" s="1"/>
  <c r="H292" i="18"/>
  <c r="K291" i="18"/>
  <c r="H291" i="18"/>
  <c r="K290" i="18"/>
  <c r="H290" i="18"/>
  <c r="L290" i="18" s="1"/>
  <c r="L289" i="18"/>
  <c r="K289" i="18"/>
  <c r="H289" i="18"/>
  <c r="K288" i="18"/>
  <c r="L288" i="18" s="1"/>
  <c r="L287" i="18"/>
  <c r="K287" i="18"/>
  <c r="L286" i="18"/>
  <c r="K286" i="18"/>
  <c r="H286" i="18"/>
  <c r="K285" i="18"/>
  <c r="H285" i="18"/>
  <c r="L284" i="18"/>
  <c r="K284" i="18"/>
  <c r="H284" i="18"/>
  <c r="K283" i="18"/>
  <c r="L283" i="18" s="1"/>
  <c r="H283" i="18"/>
  <c r="K282" i="18"/>
  <c r="H282" i="18"/>
  <c r="K281" i="18"/>
  <c r="H281" i="18"/>
  <c r="L280" i="18"/>
  <c r="K280" i="18"/>
  <c r="H280" i="18"/>
  <c r="L279" i="18"/>
  <c r="K279" i="18"/>
  <c r="K278" i="18"/>
  <c r="L278" i="18" s="1"/>
  <c r="K277" i="18"/>
  <c r="L277" i="18" s="1"/>
  <c r="K276" i="18"/>
  <c r="H276" i="18"/>
  <c r="K275" i="18"/>
  <c r="H275" i="18"/>
  <c r="L275" i="18" s="1"/>
  <c r="L274" i="18"/>
  <c r="K274" i="18"/>
  <c r="H274" i="18"/>
  <c r="K273" i="18"/>
  <c r="L273" i="18" s="1"/>
  <c r="H273" i="18"/>
  <c r="K272" i="18"/>
  <c r="H272" i="18"/>
  <c r="L271" i="18"/>
  <c r="K271" i="18"/>
  <c r="H271" i="18"/>
  <c r="L270" i="18"/>
  <c r="K270" i="18"/>
  <c r="H270" i="18"/>
  <c r="L269" i="18"/>
  <c r="K269" i="18"/>
  <c r="K268" i="18"/>
  <c r="H268" i="18"/>
  <c r="L268" i="18" s="1"/>
  <c r="K267" i="18"/>
  <c r="L267" i="18" s="1"/>
  <c r="H267" i="18"/>
  <c r="L266" i="18"/>
  <c r="K266" i="18"/>
  <c r="H266" i="18"/>
  <c r="K265" i="18"/>
  <c r="H265" i="18"/>
  <c r="K264" i="18"/>
  <c r="H264" i="18"/>
  <c r="L264" i="18" s="1"/>
  <c r="L263" i="18"/>
  <c r="K263" i="18"/>
  <c r="H263" i="18"/>
  <c r="K262" i="18"/>
  <c r="H262" i="18"/>
  <c r="K261" i="18"/>
  <c r="L261" i="18" s="1"/>
  <c r="H261" i="18"/>
  <c r="L260" i="18"/>
  <c r="K260" i="18"/>
  <c r="H260" i="18"/>
  <c r="K259" i="18"/>
  <c r="L259" i="18" s="1"/>
  <c r="H259" i="18"/>
  <c r="K258" i="18"/>
  <c r="L258" i="18" s="1"/>
  <c r="L257" i="18"/>
  <c r="K257" i="18"/>
  <c r="L256" i="18"/>
  <c r="K256" i="18"/>
  <c r="P255" i="18"/>
  <c r="K255" i="18"/>
  <c r="L255" i="18" s="1"/>
  <c r="K254" i="18"/>
  <c r="L254" i="18" s="1"/>
  <c r="H254" i="18"/>
  <c r="L253" i="18"/>
  <c r="K253" i="18"/>
  <c r="H253" i="18"/>
  <c r="K252" i="18"/>
  <c r="L252" i="18" s="1"/>
  <c r="K251" i="18"/>
  <c r="L251" i="18" s="1"/>
  <c r="K250" i="18"/>
  <c r="L250" i="18" s="1"/>
  <c r="L249" i="18"/>
  <c r="K249" i="18"/>
  <c r="K248" i="18"/>
  <c r="G248" i="18"/>
  <c r="L247" i="18"/>
  <c r="K247" i="18"/>
  <c r="L246" i="18"/>
  <c r="K246" i="18"/>
  <c r="K245" i="18"/>
  <c r="K244" i="18"/>
  <c r="L244" i="18" s="1"/>
  <c r="K243" i="18"/>
  <c r="L243" i="18" s="1"/>
  <c r="K242" i="18"/>
  <c r="L241" i="18"/>
  <c r="K241" i="18"/>
  <c r="L240" i="18"/>
  <c r="K240" i="18"/>
  <c r="H240" i="18"/>
  <c r="K239" i="18"/>
  <c r="L239" i="18" s="1"/>
  <c r="H239" i="18"/>
  <c r="K238" i="18"/>
  <c r="L238" i="18" s="1"/>
  <c r="H238" i="18"/>
  <c r="K237" i="18"/>
  <c r="L237" i="18" s="1"/>
  <c r="H237" i="18"/>
  <c r="L236" i="18"/>
  <c r="K236" i="18"/>
  <c r="H236" i="18"/>
  <c r="K235" i="18"/>
  <c r="G235" i="18"/>
  <c r="L234" i="18"/>
  <c r="K234" i="18"/>
  <c r="K233" i="18"/>
  <c r="K232" i="18"/>
  <c r="H232" i="18"/>
  <c r="L231" i="18"/>
  <c r="K231" i="18"/>
  <c r="H231" i="18"/>
  <c r="L230" i="18"/>
  <c r="K230" i="18"/>
  <c r="H230" i="18"/>
  <c r="L229" i="18"/>
  <c r="K229" i="18"/>
  <c r="H229" i="18"/>
  <c r="K228" i="18"/>
  <c r="L228" i="18" s="1"/>
  <c r="H228" i="18"/>
  <c r="L227" i="18"/>
  <c r="K227" i="18"/>
  <c r="H227" i="18"/>
  <c r="K226" i="18"/>
  <c r="L226" i="18" s="1"/>
  <c r="H226" i="18"/>
  <c r="K225" i="18"/>
  <c r="H225" i="18"/>
  <c r="K224" i="18"/>
  <c r="L224" i="18" s="1"/>
  <c r="L223" i="18"/>
  <c r="K223" i="18"/>
  <c r="G223" i="18"/>
  <c r="H223" i="18" s="1"/>
  <c r="E223" i="18"/>
  <c r="K222" i="18"/>
  <c r="G222" i="18"/>
  <c r="K221" i="18"/>
  <c r="L221" i="18" s="1"/>
  <c r="K220" i="18"/>
  <c r="L220" i="18" s="1"/>
  <c r="K219" i="18"/>
  <c r="H219" i="18"/>
  <c r="L218" i="18"/>
  <c r="K218" i="18"/>
  <c r="H218" i="18"/>
  <c r="K217" i="18"/>
  <c r="L217" i="18" s="1"/>
  <c r="E217" i="18"/>
  <c r="H217" i="18" s="1"/>
  <c r="K216" i="18"/>
  <c r="L216" i="18" s="1"/>
  <c r="E216" i="18"/>
  <c r="H216" i="18" s="1"/>
  <c r="L215" i="18"/>
  <c r="K215" i="18"/>
  <c r="E215" i="18"/>
  <c r="H215" i="18" s="1"/>
  <c r="K214" i="18"/>
  <c r="E214" i="18"/>
  <c r="H214" i="18" s="1"/>
  <c r="K213" i="18"/>
  <c r="L213" i="18" s="1"/>
  <c r="H213" i="18"/>
  <c r="K212" i="18"/>
  <c r="H212" i="18"/>
  <c r="K211" i="18"/>
  <c r="L211" i="18" s="1"/>
  <c r="H211" i="18"/>
  <c r="L210" i="18"/>
  <c r="K210" i="18"/>
  <c r="H210" i="18"/>
  <c r="L209" i="18"/>
  <c r="K209" i="18"/>
  <c r="H209" i="18"/>
  <c r="K208" i="18"/>
  <c r="H208" i="18"/>
  <c r="K207" i="18"/>
  <c r="H207" i="18"/>
  <c r="L206" i="18"/>
  <c r="K206" i="18"/>
  <c r="H206" i="18"/>
  <c r="K205" i="18"/>
  <c r="L205" i="18" s="1"/>
  <c r="H205" i="18"/>
  <c r="K204" i="18"/>
  <c r="H204" i="18"/>
  <c r="L204" i="18" s="1"/>
  <c r="K203" i="18"/>
  <c r="H203" i="18"/>
  <c r="K202" i="18"/>
  <c r="H202" i="18"/>
  <c r="L202" i="18" s="1"/>
  <c r="K201" i="18"/>
  <c r="L201" i="18" s="1"/>
  <c r="K200" i="18"/>
  <c r="L200" i="18" s="1"/>
  <c r="K199" i="18"/>
  <c r="L199" i="18" s="1"/>
  <c r="K198" i="18"/>
  <c r="L198" i="18" s="1"/>
  <c r="K197" i="18"/>
  <c r="L197" i="18" s="1"/>
  <c r="H197" i="18"/>
  <c r="L196" i="18"/>
  <c r="K196" i="18"/>
  <c r="H196" i="18"/>
  <c r="K195" i="18"/>
  <c r="L195" i="18" s="1"/>
  <c r="H195" i="18"/>
  <c r="L194" i="18"/>
  <c r="K194" i="18"/>
  <c r="H194" i="18"/>
  <c r="K193" i="18"/>
  <c r="L193" i="18" s="1"/>
  <c r="K192" i="18"/>
  <c r="L192" i="18" s="1"/>
  <c r="L191" i="18"/>
  <c r="K191" i="18"/>
  <c r="L190" i="18"/>
  <c r="K190" i="18"/>
  <c r="H190" i="18"/>
  <c r="E190" i="18"/>
  <c r="L189" i="18"/>
  <c r="K189" i="18"/>
  <c r="H189" i="18"/>
  <c r="G189" i="18"/>
  <c r="K188" i="18"/>
  <c r="L188" i="18" s="1"/>
  <c r="H188" i="18"/>
  <c r="G188" i="18"/>
  <c r="L187" i="18"/>
  <c r="K187" i="18"/>
  <c r="H187" i="18"/>
  <c r="G187" i="18"/>
  <c r="E187" i="18"/>
  <c r="K186" i="18"/>
  <c r="L186" i="18" s="1"/>
  <c r="G186" i="18"/>
  <c r="H186" i="18" s="1"/>
  <c r="K185" i="18"/>
  <c r="G185" i="18"/>
  <c r="H185" i="18" s="1"/>
  <c r="L184" i="18"/>
  <c r="K184" i="18"/>
  <c r="G184" i="18"/>
  <c r="H184" i="18" s="1"/>
  <c r="K183" i="18"/>
  <c r="L183" i="18" s="1"/>
  <c r="G183" i="18"/>
  <c r="H183" i="18" s="1"/>
  <c r="K182" i="18"/>
  <c r="L182" i="18" s="1"/>
  <c r="G182" i="18"/>
  <c r="H182" i="18" s="1"/>
  <c r="K181" i="18"/>
  <c r="L181" i="18" s="1"/>
  <c r="G181" i="18"/>
  <c r="H181" i="18" s="1"/>
  <c r="L180" i="18"/>
  <c r="K180" i="18"/>
  <c r="G180" i="18"/>
  <c r="H180" i="18" s="1"/>
  <c r="K179" i="18"/>
  <c r="G179" i="18"/>
  <c r="E179" i="18"/>
  <c r="K178" i="18"/>
  <c r="H178" i="18"/>
  <c r="L178" i="18" s="1"/>
  <c r="G178" i="18"/>
  <c r="K177" i="18"/>
  <c r="G177" i="18"/>
  <c r="H177" i="18" s="1"/>
  <c r="L177" i="18" s="1"/>
  <c r="K176" i="18"/>
  <c r="H176" i="18"/>
  <c r="L176" i="18" s="1"/>
  <c r="G176" i="18"/>
  <c r="K175" i="18"/>
  <c r="G175" i="18"/>
  <c r="H175" i="18" s="1"/>
  <c r="L175" i="18" s="1"/>
  <c r="K174" i="18"/>
  <c r="G174" i="18"/>
  <c r="H174" i="18" s="1"/>
  <c r="L174" i="18" s="1"/>
  <c r="L173" i="18"/>
  <c r="K173" i="18"/>
  <c r="L172" i="18"/>
  <c r="K172" i="18"/>
  <c r="L171" i="18"/>
  <c r="K171" i="18"/>
  <c r="K170" i="18"/>
  <c r="L170" i="18" s="1"/>
  <c r="K169" i="18"/>
  <c r="H169" i="18"/>
  <c r="L169" i="18" s="1"/>
  <c r="L168" i="18"/>
  <c r="K168" i="18"/>
  <c r="H168" i="18"/>
  <c r="L167" i="18"/>
  <c r="K167" i="18"/>
  <c r="H167" i="18"/>
  <c r="K166" i="18"/>
  <c r="H166" i="18"/>
  <c r="L165" i="18"/>
  <c r="K165" i="18"/>
  <c r="H165" i="18"/>
  <c r="K164" i="18"/>
  <c r="L164" i="18" s="1"/>
  <c r="H164" i="18"/>
  <c r="K163" i="18"/>
  <c r="L163" i="18" s="1"/>
  <c r="H163" i="18"/>
  <c r="K162" i="18"/>
  <c r="L162" i="18" s="1"/>
  <c r="H162" i="18"/>
  <c r="L161" i="18"/>
  <c r="K161" i="18"/>
  <c r="K160" i="18"/>
  <c r="L160" i="18" s="1"/>
  <c r="E160" i="18"/>
  <c r="K159" i="18"/>
  <c r="H159" i="18"/>
  <c r="G159" i="18"/>
  <c r="K158" i="18"/>
  <c r="L158" i="18" s="1"/>
  <c r="G158" i="18"/>
  <c r="H158" i="18" s="1"/>
  <c r="K157" i="18"/>
  <c r="H157" i="18"/>
  <c r="G157" i="18"/>
  <c r="K156" i="18"/>
  <c r="L156" i="18" s="1"/>
  <c r="G156" i="18"/>
  <c r="H156" i="18" s="1"/>
  <c r="K155" i="18"/>
  <c r="G155" i="18"/>
  <c r="H155" i="18" s="1"/>
  <c r="K154" i="18"/>
  <c r="G154" i="18"/>
  <c r="H154" i="18" s="1"/>
  <c r="K153" i="18"/>
  <c r="L153" i="18" s="1"/>
  <c r="K152" i="18"/>
  <c r="L152" i="18" s="1"/>
  <c r="K151" i="18"/>
  <c r="L151" i="18" s="1"/>
  <c r="H151" i="18"/>
  <c r="G151" i="18"/>
  <c r="K150" i="18"/>
  <c r="L150" i="18" s="1"/>
  <c r="H150" i="18"/>
  <c r="G150" i="18"/>
  <c r="E150" i="18"/>
  <c r="K149" i="18"/>
  <c r="G149" i="18"/>
  <c r="H149" i="18" s="1"/>
  <c r="K148" i="18"/>
  <c r="G148" i="18"/>
  <c r="H148" i="18" s="1"/>
  <c r="L148" i="18" s="1"/>
  <c r="K147" i="18"/>
  <c r="L147" i="18" s="1"/>
  <c r="G147" i="18"/>
  <c r="H147" i="18" s="1"/>
  <c r="L146" i="18"/>
  <c r="K146" i="18"/>
  <c r="G146" i="18"/>
  <c r="H146" i="18" s="1"/>
  <c r="K145" i="18"/>
  <c r="L145" i="18" s="1"/>
  <c r="G145" i="18"/>
  <c r="H145" i="18" s="1"/>
  <c r="K144" i="18"/>
  <c r="L144" i="18" s="1"/>
  <c r="G144" i="18"/>
  <c r="H144" i="18" s="1"/>
  <c r="K143" i="18"/>
  <c r="G143" i="18"/>
  <c r="E143" i="18"/>
  <c r="E152" i="18" s="1"/>
  <c r="K142" i="18"/>
  <c r="G142" i="18"/>
  <c r="H142" i="18" s="1"/>
  <c r="L142" i="18" s="1"/>
  <c r="L141" i="18"/>
  <c r="K141" i="18"/>
  <c r="K140" i="18"/>
  <c r="L140" i="18" s="1"/>
  <c r="L139" i="18"/>
  <c r="K139" i="18"/>
  <c r="L138" i="18"/>
  <c r="K138" i="18"/>
  <c r="K137" i="18"/>
  <c r="F137" i="18"/>
  <c r="E137" i="18"/>
  <c r="K136" i="18"/>
  <c r="L136" i="18" s="1"/>
  <c r="F136" i="18"/>
  <c r="H136" i="18" s="1"/>
  <c r="E136" i="18"/>
  <c r="K135" i="18"/>
  <c r="L135" i="18" s="1"/>
  <c r="H135" i="18"/>
  <c r="F135" i="18"/>
  <c r="E135" i="18"/>
  <c r="K134" i="18"/>
  <c r="E134" i="18"/>
  <c r="H134" i="18" s="1"/>
  <c r="K133" i="18"/>
  <c r="F133" i="18"/>
  <c r="E133" i="18"/>
  <c r="K132" i="18"/>
  <c r="H132" i="18"/>
  <c r="L132" i="18" s="1"/>
  <c r="F132" i="18"/>
  <c r="E132" i="18"/>
  <c r="K131" i="18"/>
  <c r="L131" i="18" s="1"/>
  <c r="K130" i="18"/>
  <c r="L130" i="18" s="1"/>
  <c r="K129" i="18"/>
  <c r="H129" i="18"/>
  <c r="G129" i="18"/>
  <c r="E129" i="18"/>
  <c r="D129" i="18"/>
  <c r="K128" i="18"/>
  <c r="G128" i="18"/>
  <c r="E128" i="18"/>
  <c r="D128" i="18"/>
  <c r="K127" i="18"/>
  <c r="G127" i="18"/>
  <c r="H127" i="18" s="1"/>
  <c r="E127" i="18"/>
  <c r="D127" i="18"/>
  <c r="L126" i="18"/>
  <c r="K126" i="18"/>
  <c r="K125" i="18"/>
  <c r="L125" i="18" s="1"/>
  <c r="L124" i="18"/>
  <c r="K124" i="18"/>
  <c r="K123" i="18"/>
  <c r="F123" i="18"/>
  <c r="D123" i="18"/>
  <c r="K122" i="18"/>
  <c r="F122" i="18"/>
  <c r="L121" i="18"/>
  <c r="K121" i="18"/>
  <c r="H121" i="18"/>
  <c r="F121" i="18"/>
  <c r="E121" i="18"/>
  <c r="D121" i="18"/>
  <c r="K120" i="18"/>
  <c r="L120" i="18" s="1"/>
  <c r="F120" i="18"/>
  <c r="E120" i="18"/>
  <c r="H120" i="18" s="1"/>
  <c r="D120" i="18"/>
  <c r="L119" i="18"/>
  <c r="K119" i="18"/>
  <c r="H119" i="18"/>
  <c r="F119" i="18"/>
  <c r="E119" i="18"/>
  <c r="D119" i="18"/>
  <c r="K118" i="18"/>
  <c r="L118" i="18" s="1"/>
  <c r="L117" i="18"/>
  <c r="K117" i="18"/>
  <c r="K116" i="18"/>
  <c r="E116" i="18"/>
  <c r="K115" i="18"/>
  <c r="L114" i="18"/>
  <c r="K114" i="18"/>
  <c r="K113" i="18"/>
  <c r="L113" i="18" s="1"/>
  <c r="F113" i="18"/>
  <c r="E113" i="18"/>
  <c r="H113" i="18" s="1"/>
  <c r="K112" i="18"/>
  <c r="L112" i="18" s="1"/>
  <c r="F112" i="18"/>
  <c r="E112" i="18"/>
  <c r="H112" i="18" s="1"/>
  <c r="K111" i="18"/>
  <c r="F111" i="18"/>
  <c r="H111" i="18" s="1"/>
  <c r="L111" i="18" s="1"/>
  <c r="E111" i="18"/>
  <c r="K110" i="18"/>
  <c r="F110" i="18"/>
  <c r="H110" i="18" s="1"/>
  <c r="E110" i="18"/>
  <c r="K109" i="18"/>
  <c r="F109" i="18"/>
  <c r="E109" i="18"/>
  <c r="H109" i="18" s="1"/>
  <c r="L109" i="18" s="1"/>
  <c r="L108" i="18"/>
  <c r="K108" i="18"/>
  <c r="K107" i="18"/>
  <c r="L107" i="18" s="1"/>
  <c r="K106" i="18"/>
  <c r="L106" i="18" s="1"/>
  <c r="H106" i="18"/>
  <c r="K105" i="18"/>
  <c r="L105" i="18" s="1"/>
  <c r="H105" i="18"/>
  <c r="K104" i="18"/>
  <c r="E104" i="18"/>
  <c r="H104" i="18" s="1"/>
  <c r="K103" i="18"/>
  <c r="H103" i="18"/>
  <c r="E103" i="18"/>
  <c r="K102" i="18"/>
  <c r="E102" i="18"/>
  <c r="H102" i="18" s="1"/>
  <c r="K101" i="18"/>
  <c r="H101" i="18"/>
  <c r="E101" i="18"/>
  <c r="K100" i="18"/>
  <c r="L100" i="18" s="1"/>
  <c r="H100" i="18"/>
  <c r="K99" i="18"/>
  <c r="H99" i="18"/>
  <c r="L99" i="18" s="1"/>
  <c r="K98" i="18"/>
  <c r="L98" i="18" s="1"/>
  <c r="H98" i="18"/>
  <c r="K97" i="18"/>
  <c r="H97" i="18"/>
  <c r="K96" i="18"/>
  <c r="H96" i="18"/>
  <c r="K95" i="18"/>
  <c r="H95" i="18"/>
  <c r="L95" i="18" s="1"/>
  <c r="K94" i="18"/>
  <c r="L94" i="18" s="1"/>
  <c r="H94" i="18"/>
  <c r="L93" i="18"/>
  <c r="K93" i="18"/>
  <c r="H93" i="18"/>
  <c r="K92" i="18"/>
  <c r="L92" i="18" s="1"/>
  <c r="H92" i="18"/>
  <c r="L91" i="18"/>
  <c r="K91" i="18"/>
  <c r="H91" i="18"/>
  <c r="K90" i="18"/>
  <c r="L90" i="18" s="1"/>
  <c r="H90" i="18"/>
  <c r="K89" i="18"/>
  <c r="L89" i="18" s="1"/>
  <c r="H89" i="18"/>
  <c r="K88" i="18"/>
  <c r="L88" i="18" s="1"/>
  <c r="L87" i="18"/>
  <c r="K87" i="18"/>
  <c r="K86" i="18"/>
  <c r="L86" i="18" s="1"/>
  <c r="K85" i="18"/>
  <c r="L85" i="18" s="1"/>
  <c r="E85" i="18"/>
  <c r="K84" i="18"/>
  <c r="L84" i="18" s="1"/>
  <c r="L83" i="18"/>
  <c r="K83" i="18"/>
  <c r="J82" i="18"/>
  <c r="K82" i="18" s="1"/>
  <c r="L82" i="18" s="1"/>
  <c r="K81" i="18"/>
  <c r="H81" i="18"/>
  <c r="G81" i="18"/>
  <c r="K80" i="18"/>
  <c r="H80" i="18"/>
  <c r="K79" i="18"/>
  <c r="H79" i="18"/>
  <c r="K78" i="18"/>
  <c r="L78" i="18" s="1"/>
  <c r="G78" i="18"/>
  <c r="H78" i="18" s="1"/>
  <c r="L77" i="18"/>
  <c r="K77" i="18"/>
  <c r="H77" i="18"/>
  <c r="K76" i="18"/>
  <c r="L76" i="18" s="1"/>
  <c r="H76" i="18"/>
  <c r="L75" i="18"/>
  <c r="K75" i="18"/>
  <c r="L74" i="18"/>
  <c r="K74" i="18"/>
  <c r="J74" i="18"/>
  <c r="L73" i="18"/>
  <c r="K73" i="18"/>
  <c r="H73" i="18"/>
  <c r="K72" i="18"/>
  <c r="L72" i="18" s="1"/>
  <c r="H72" i="18"/>
  <c r="K71" i="18"/>
  <c r="H71" i="18"/>
  <c r="L71" i="18" s="1"/>
  <c r="E71" i="18"/>
  <c r="E123" i="18" s="1"/>
  <c r="K70" i="18"/>
  <c r="E70" i="18"/>
  <c r="K69" i="18"/>
  <c r="H69" i="18"/>
  <c r="L69" i="18" s="1"/>
  <c r="E69" i="18"/>
  <c r="L68" i="18"/>
  <c r="K68" i="18"/>
  <c r="H68" i="18"/>
  <c r="E68" i="18"/>
  <c r="L67" i="18"/>
  <c r="K67" i="18"/>
  <c r="H67" i="18"/>
  <c r="L66" i="18"/>
  <c r="K66" i="18"/>
  <c r="H66" i="18"/>
  <c r="K65" i="18"/>
  <c r="H65" i="18"/>
  <c r="L65" i="18" s="1"/>
  <c r="K64" i="18"/>
  <c r="L64" i="18" s="1"/>
  <c r="H64" i="18"/>
  <c r="L63" i="18"/>
  <c r="K63" i="18"/>
  <c r="H63" i="18"/>
  <c r="L62" i="18"/>
  <c r="K62" i="18"/>
  <c r="H62" i="18"/>
  <c r="K61" i="18"/>
  <c r="H61" i="18"/>
  <c r="L61" i="18" s="1"/>
  <c r="K60" i="18"/>
  <c r="L60" i="18" s="1"/>
  <c r="H60" i="18"/>
  <c r="L59" i="18"/>
  <c r="K59" i="18"/>
  <c r="H59" i="18"/>
  <c r="L58" i="18"/>
  <c r="K58" i="18"/>
  <c r="H58" i="18"/>
  <c r="K57" i="18"/>
  <c r="H57" i="18"/>
  <c r="L57" i="18" s="1"/>
  <c r="K56" i="18"/>
  <c r="L56" i="18" s="1"/>
  <c r="H56" i="18"/>
  <c r="L55" i="18"/>
  <c r="K55" i="18"/>
  <c r="K54" i="18"/>
  <c r="L54" i="18" s="1"/>
  <c r="L53" i="18"/>
  <c r="K53" i="18"/>
  <c r="E53" i="18"/>
  <c r="K52" i="18"/>
  <c r="L52" i="18" s="1"/>
  <c r="K51" i="18"/>
  <c r="L51" i="18" s="1"/>
  <c r="L50" i="18"/>
  <c r="K50" i="18"/>
  <c r="L49" i="18"/>
  <c r="K49" i="18"/>
  <c r="H49" i="18"/>
  <c r="G49" i="18"/>
  <c r="E49" i="18"/>
  <c r="K48" i="18"/>
  <c r="G48" i="18"/>
  <c r="K47" i="18"/>
  <c r="L46" i="18"/>
  <c r="K46" i="18"/>
  <c r="G46" i="18"/>
  <c r="H46" i="18" s="1"/>
  <c r="L45" i="18"/>
  <c r="K45" i="18"/>
  <c r="H45" i="18"/>
  <c r="G45" i="18"/>
  <c r="K44" i="18"/>
  <c r="G44" i="18"/>
  <c r="E44" i="18"/>
  <c r="H44" i="18" s="1"/>
  <c r="K43" i="18"/>
  <c r="L43" i="18" s="1"/>
  <c r="H43" i="18"/>
  <c r="G43" i="18"/>
  <c r="K42" i="18"/>
  <c r="L42" i="18" s="1"/>
  <c r="G42" i="18"/>
  <c r="H42" i="18" s="1"/>
  <c r="K41" i="18"/>
  <c r="G41" i="18"/>
  <c r="H41" i="18" s="1"/>
  <c r="K40" i="18"/>
  <c r="G40" i="18"/>
  <c r="H40" i="18" s="1"/>
  <c r="K39" i="18"/>
  <c r="L39" i="18" s="1"/>
  <c r="G39" i="18"/>
  <c r="H39" i="18" s="1"/>
  <c r="L38" i="18"/>
  <c r="K38" i="18"/>
  <c r="G38" i="18"/>
  <c r="H38" i="18" s="1"/>
  <c r="L37" i="18"/>
  <c r="K37" i="18"/>
  <c r="G37" i="18"/>
  <c r="H37" i="18" s="1"/>
  <c r="K36" i="18"/>
  <c r="G36" i="18"/>
  <c r="H36" i="18" s="1"/>
  <c r="K35" i="18"/>
  <c r="H35" i="18"/>
  <c r="L35" i="18" s="1"/>
  <c r="G35" i="18"/>
  <c r="K34" i="18"/>
  <c r="G34" i="18"/>
  <c r="H34" i="18" s="1"/>
  <c r="K33" i="18"/>
  <c r="G33" i="18"/>
  <c r="H33" i="18" s="1"/>
  <c r="K32" i="18"/>
  <c r="L32" i="18" s="1"/>
  <c r="H32" i="18"/>
  <c r="G32" i="18"/>
  <c r="K31" i="18"/>
  <c r="G31" i="18"/>
  <c r="H31" i="18" s="1"/>
  <c r="L31" i="18" s="1"/>
  <c r="K30" i="18"/>
  <c r="G30" i="18"/>
  <c r="H30" i="18" s="1"/>
  <c r="K29" i="18"/>
  <c r="G29" i="18"/>
  <c r="H29" i="18" s="1"/>
  <c r="L28" i="18"/>
  <c r="K28" i="18"/>
  <c r="H28" i="18"/>
  <c r="G28" i="18"/>
  <c r="K27" i="18"/>
  <c r="G27" i="18"/>
  <c r="H27" i="18" s="1"/>
  <c r="K26" i="18"/>
  <c r="L26" i="18" s="1"/>
  <c r="G26" i="18"/>
  <c r="H26" i="18" s="1"/>
  <c r="K25" i="18"/>
  <c r="G25" i="18"/>
  <c r="H25" i="18" s="1"/>
  <c r="K24" i="18"/>
  <c r="L24" i="18" s="1"/>
  <c r="G24" i="18"/>
  <c r="H24" i="18" s="1"/>
  <c r="K23" i="18"/>
  <c r="G23" i="18"/>
  <c r="H23" i="18" s="1"/>
  <c r="K22" i="18"/>
  <c r="G22" i="18"/>
  <c r="H22" i="18" s="1"/>
  <c r="K21" i="18"/>
  <c r="L21" i="18" s="1"/>
  <c r="G21" i="18"/>
  <c r="H21" i="18" s="1"/>
  <c r="K20" i="18"/>
  <c r="G20" i="18"/>
  <c r="F115" i="18" s="1"/>
  <c r="L19" i="18"/>
  <c r="K19" i="18"/>
  <c r="K18" i="18"/>
  <c r="L18" i="18" s="1"/>
  <c r="K17" i="18"/>
  <c r="E17" i="18"/>
  <c r="H17" i="18" s="1"/>
  <c r="K16" i="18"/>
  <c r="L16" i="18" s="1"/>
  <c r="H16" i="18"/>
  <c r="E16" i="18"/>
  <c r="K15" i="18"/>
  <c r="E15" i="18"/>
  <c r="H15" i="18" s="1"/>
  <c r="K14" i="18"/>
  <c r="E14" i="18"/>
  <c r="H14" i="18" s="1"/>
  <c r="K13" i="18"/>
  <c r="E13" i="18"/>
  <c r="H13" i="18" s="1"/>
  <c r="K12" i="18"/>
  <c r="K11" i="18"/>
  <c r="L11" i="18" s="1"/>
  <c r="L10" i="18"/>
  <c r="K10" i="18"/>
  <c r="D10" i="18"/>
  <c r="H9" i="18"/>
  <c r="H8" i="18"/>
  <c r="H7" i="18"/>
  <c r="L428" i="17"/>
  <c r="K428" i="17"/>
  <c r="K427" i="17"/>
  <c r="E427" i="17"/>
  <c r="H427" i="17" s="1"/>
  <c r="L427" i="17" s="1"/>
  <c r="K426" i="17"/>
  <c r="L426" i="17" s="1"/>
  <c r="H426" i="17"/>
  <c r="K425" i="17"/>
  <c r="L425" i="17" s="1"/>
  <c r="E425" i="17"/>
  <c r="H425" i="17" s="1"/>
  <c r="K424" i="17"/>
  <c r="L424" i="17" s="1"/>
  <c r="H424" i="17"/>
  <c r="K423" i="17"/>
  <c r="L423" i="17" s="1"/>
  <c r="K422" i="17"/>
  <c r="E422" i="17"/>
  <c r="H422" i="17" s="1"/>
  <c r="K421" i="17"/>
  <c r="H421" i="17"/>
  <c r="L421" i="17" s="1"/>
  <c r="K420" i="17"/>
  <c r="H420" i="17"/>
  <c r="E420" i="17"/>
  <c r="L419" i="17"/>
  <c r="K419" i="17"/>
  <c r="H419" i="17"/>
  <c r="K418" i="17"/>
  <c r="E418" i="17"/>
  <c r="H418" i="17" s="1"/>
  <c r="K417" i="17"/>
  <c r="L417" i="17" s="1"/>
  <c r="H417" i="17"/>
  <c r="K416" i="17"/>
  <c r="L416" i="17" s="1"/>
  <c r="L415" i="17"/>
  <c r="K415" i="17"/>
  <c r="L414" i="17"/>
  <c r="K414" i="17"/>
  <c r="K413" i="17"/>
  <c r="L413" i="17" s="1"/>
  <c r="L412" i="17"/>
  <c r="K412" i="17"/>
  <c r="L411" i="17"/>
  <c r="K411" i="17"/>
  <c r="K410" i="17"/>
  <c r="H410" i="17"/>
  <c r="E410" i="17"/>
  <c r="L409" i="17"/>
  <c r="K409" i="17"/>
  <c r="K408" i="17"/>
  <c r="L408" i="17" s="1"/>
  <c r="E408" i="17"/>
  <c r="K407" i="17"/>
  <c r="L406" i="17"/>
  <c r="K406" i="17"/>
  <c r="K405" i="17"/>
  <c r="L405" i="17" s="1"/>
  <c r="K404" i="17"/>
  <c r="L404" i="17" s="1"/>
  <c r="K403" i="17"/>
  <c r="L403" i="17" s="1"/>
  <c r="K402" i="17"/>
  <c r="L402" i="17" s="1"/>
  <c r="K401" i="17"/>
  <c r="L401" i="17" s="1"/>
  <c r="K400" i="17"/>
  <c r="L400" i="17" s="1"/>
  <c r="K399" i="17"/>
  <c r="L399" i="17" s="1"/>
  <c r="H399" i="17"/>
  <c r="L398" i="17"/>
  <c r="K398" i="17"/>
  <c r="K397" i="17"/>
  <c r="L397" i="17" s="1"/>
  <c r="K396" i="17"/>
  <c r="H396" i="17"/>
  <c r="K395" i="17"/>
  <c r="L395" i="17" s="1"/>
  <c r="H395" i="17"/>
  <c r="K394" i="17"/>
  <c r="K393" i="17"/>
  <c r="H393" i="17"/>
  <c r="K392" i="17"/>
  <c r="L392" i="17" s="1"/>
  <c r="K391" i="17"/>
  <c r="L391" i="17" s="1"/>
  <c r="K390" i="17"/>
  <c r="L390" i="17" s="1"/>
  <c r="H390" i="17"/>
  <c r="L389" i="17"/>
  <c r="K389" i="17"/>
  <c r="H389" i="17"/>
  <c r="E389" i="17"/>
  <c r="K388" i="17"/>
  <c r="L388" i="17" s="1"/>
  <c r="H388" i="17"/>
  <c r="K387" i="17"/>
  <c r="L387" i="17" s="1"/>
  <c r="K386" i="17"/>
  <c r="L386" i="17" s="1"/>
  <c r="K385" i="17"/>
  <c r="L385" i="17" s="1"/>
  <c r="K384" i="17"/>
  <c r="L384" i="17" s="1"/>
  <c r="K383" i="17"/>
  <c r="L383" i="17" s="1"/>
  <c r="L382" i="17"/>
  <c r="K382" i="17"/>
  <c r="K381" i="17"/>
  <c r="H381" i="17"/>
  <c r="L380" i="17"/>
  <c r="K380" i="17"/>
  <c r="H380" i="17"/>
  <c r="K379" i="17"/>
  <c r="L379" i="17" s="1"/>
  <c r="H379" i="17"/>
  <c r="K378" i="17"/>
  <c r="L378" i="17" s="1"/>
  <c r="L377" i="17"/>
  <c r="K377" i="17"/>
  <c r="H377" i="17"/>
  <c r="K376" i="17"/>
  <c r="L376" i="17" s="1"/>
  <c r="H376" i="17"/>
  <c r="L375" i="17"/>
  <c r="K375" i="17"/>
  <c r="L374" i="17"/>
  <c r="K374" i="17"/>
  <c r="K373" i="17"/>
  <c r="H373" i="17"/>
  <c r="K372" i="17"/>
  <c r="L372" i="17" s="1"/>
  <c r="K371" i="17"/>
  <c r="L371" i="17" s="1"/>
  <c r="L370" i="17"/>
  <c r="K370" i="17"/>
  <c r="K369" i="17"/>
  <c r="L369" i="17" s="1"/>
  <c r="K368" i="17"/>
  <c r="H368" i="17"/>
  <c r="K367" i="17"/>
  <c r="L367" i="17" s="1"/>
  <c r="H367" i="17"/>
  <c r="K366" i="17"/>
  <c r="L366" i="17" s="1"/>
  <c r="H366" i="17"/>
  <c r="L365" i="17"/>
  <c r="K365" i="17"/>
  <c r="H365" i="17"/>
  <c r="K364" i="17"/>
  <c r="L364" i="17" s="1"/>
  <c r="H364" i="17"/>
  <c r="K363" i="17"/>
  <c r="L363" i="17" s="1"/>
  <c r="K362" i="17"/>
  <c r="L362" i="17" s="1"/>
  <c r="K361" i="17"/>
  <c r="L361" i="17" s="1"/>
  <c r="K360" i="17"/>
  <c r="K359" i="17"/>
  <c r="H359" i="17"/>
  <c r="H360" i="17" s="1"/>
  <c r="K358" i="17"/>
  <c r="H358" i="17"/>
  <c r="L357" i="17"/>
  <c r="K357" i="17"/>
  <c r="H357" i="17"/>
  <c r="L356" i="17"/>
  <c r="K356" i="17"/>
  <c r="L355" i="17"/>
  <c r="K355" i="17"/>
  <c r="K354" i="17"/>
  <c r="L354" i="17" s="1"/>
  <c r="D354" i="17"/>
  <c r="L353" i="17"/>
  <c r="K353" i="17"/>
  <c r="H353" i="17"/>
  <c r="E353" i="17"/>
  <c r="K352" i="17"/>
  <c r="L352" i="17" s="1"/>
  <c r="E352" i="17"/>
  <c r="H352" i="17" s="1"/>
  <c r="K351" i="17"/>
  <c r="L351" i="17" s="1"/>
  <c r="K350" i="17"/>
  <c r="L350" i="17" s="1"/>
  <c r="K349" i="17"/>
  <c r="H349" i="17"/>
  <c r="K348" i="17"/>
  <c r="L348" i="17" s="1"/>
  <c r="H348" i="17"/>
  <c r="K347" i="17"/>
  <c r="L347" i="17" s="1"/>
  <c r="K346" i="17"/>
  <c r="L346" i="17" s="1"/>
  <c r="K345" i="17"/>
  <c r="K344" i="17"/>
  <c r="E344" i="17"/>
  <c r="H344" i="17" s="1"/>
  <c r="L343" i="17"/>
  <c r="K343" i="17"/>
  <c r="E343" i="17"/>
  <c r="H343" i="17" s="1"/>
  <c r="K342" i="17"/>
  <c r="E342" i="17"/>
  <c r="H342" i="17" s="1"/>
  <c r="K341" i="17"/>
  <c r="H341" i="17"/>
  <c r="E341" i="17"/>
  <c r="K340" i="17"/>
  <c r="E340" i="17"/>
  <c r="H340" i="17" s="1"/>
  <c r="K339" i="17"/>
  <c r="L339" i="17" s="1"/>
  <c r="K338" i="17"/>
  <c r="L338" i="17" s="1"/>
  <c r="K337" i="17"/>
  <c r="L337" i="17" s="1"/>
  <c r="L336" i="17"/>
  <c r="K336" i="17"/>
  <c r="L335" i="17"/>
  <c r="K335" i="17"/>
  <c r="G335" i="17"/>
  <c r="E335" i="17"/>
  <c r="H335" i="17" s="1"/>
  <c r="K334" i="17"/>
  <c r="G334" i="17"/>
  <c r="E334" i="17"/>
  <c r="H334" i="17" s="1"/>
  <c r="L334" i="17" s="1"/>
  <c r="K333" i="17"/>
  <c r="L333" i="17" s="1"/>
  <c r="H333" i="17"/>
  <c r="G333" i="17"/>
  <c r="E333" i="17"/>
  <c r="K332" i="17"/>
  <c r="H332" i="17"/>
  <c r="E332" i="17"/>
  <c r="K331" i="17"/>
  <c r="H331" i="17"/>
  <c r="L331" i="17" s="1"/>
  <c r="E331" i="17"/>
  <c r="K330" i="17"/>
  <c r="L330" i="17" s="1"/>
  <c r="K329" i="17"/>
  <c r="G329" i="17"/>
  <c r="E329" i="17"/>
  <c r="H329" i="17" s="1"/>
  <c r="K328" i="17"/>
  <c r="G328" i="17"/>
  <c r="E328" i="17"/>
  <c r="H328" i="17" s="1"/>
  <c r="L328" i="17" s="1"/>
  <c r="K327" i="17"/>
  <c r="G327" i="17"/>
  <c r="E327" i="17"/>
  <c r="K326" i="17"/>
  <c r="E326" i="17"/>
  <c r="H326" i="17" s="1"/>
  <c r="K325" i="17"/>
  <c r="E325" i="17"/>
  <c r="H325" i="17" s="1"/>
  <c r="K324" i="17"/>
  <c r="H324" i="17"/>
  <c r="L324" i="17" s="1"/>
  <c r="E324" i="17"/>
  <c r="K323" i="17"/>
  <c r="L323" i="17" s="1"/>
  <c r="K322" i="17"/>
  <c r="L322" i="17" s="1"/>
  <c r="K321" i="17"/>
  <c r="L321" i="17" s="1"/>
  <c r="K320" i="17"/>
  <c r="H320" i="17"/>
  <c r="E320" i="17"/>
  <c r="K319" i="17"/>
  <c r="E319" i="17"/>
  <c r="H319" i="17" s="1"/>
  <c r="L319" i="17" s="1"/>
  <c r="L318" i="17"/>
  <c r="K318" i="17"/>
  <c r="E318" i="17"/>
  <c r="H318" i="17" s="1"/>
  <c r="K317" i="17"/>
  <c r="H317" i="17"/>
  <c r="E317" i="17"/>
  <c r="L316" i="17"/>
  <c r="K316" i="17"/>
  <c r="E316" i="17"/>
  <c r="H316" i="17" s="1"/>
  <c r="K315" i="17"/>
  <c r="E315" i="17"/>
  <c r="H315" i="17" s="1"/>
  <c r="L315" i="17" s="1"/>
  <c r="K314" i="17"/>
  <c r="H314" i="17"/>
  <c r="E314" i="17"/>
  <c r="L313" i="17"/>
  <c r="K313" i="17"/>
  <c r="K312" i="17"/>
  <c r="E312" i="17"/>
  <c r="H312" i="17" s="1"/>
  <c r="K311" i="17"/>
  <c r="E311" i="17"/>
  <c r="H311" i="17" s="1"/>
  <c r="K310" i="17"/>
  <c r="H310" i="17"/>
  <c r="L310" i="17" s="1"/>
  <c r="E310" i="17"/>
  <c r="K309" i="17"/>
  <c r="E309" i="17"/>
  <c r="H309" i="17" s="1"/>
  <c r="K308" i="17"/>
  <c r="L308" i="17" s="1"/>
  <c r="E308" i="17"/>
  <c r="H308" i="17" s="1"/>
  <c r="L307" i="17"/>
  <c r="K307" i="17"/>
  <c r="H307" i="17"/>
  <c r="E307" i="17"/>
  <c r="K306" i="17"/>
  <c r="H306" i="17"/>
  <c r="E306" i="17"/>
  <c r="K305" i="17"/>
  <c r="L305" i="17" s="1"/>
  <c r="E305" i="17"/>
  <c r="H305" i="17" s="1"/>
  <c r="L304" i="17"/>
  <c r="K304" i="17"/>
  <c r="L303" i="17"/>
  <c r="K303" i="17"/>
  <c r="K302" i="17"/>
  <c r="L302" i="17" s="1"/>
  <c r="L301" i="17"/>
  <c r="K301" i="17"/>
  <c r="H301" i="17"/>
  <c r="L300" i="17"/>
  <c r="K300" i="17"/>
  <c r="H300" i="17"/>
  <c r="K299" i="17"/>
  <c r="H299" i="17"/>
  <c r="L299" i="17" s="1"/>
  <c r="K298" i="17"/>
  <c r="L298" i="17" s="1"/>
  <c r="H298" i="17"/>
  <c r="K297" i="17"/>
  <c r="L297" i="17" s="1"/>
  <c r="K296" i="17"/>
  <c r="L296" i="17" s="1"/>
  <c r="K295" i="17"/>
  <c r="H295" i="17"/>
  <c r="E295" i="17"/>
  <c r="K294" i="17"/>
  <c r="K293" i="17"/>
  <c r="L293" i="17" s="1"/>
  <c r="K292" i="17"/>
  <c r="L292" i="17" s="1"/>
  <c r="L291" i="17"/>
  <c r="K291" i="17"/>
  <c r="L290" i="17"/>
  <c r="K290" i="17"/>
  <c r="H290" i="17"/>
  <c r="E290" i="17"/>
  <c r="K289" i="17"/>
  <c r="H289" i="17"/>
  <c r="E289" i="17"/>
  <c r="K288" i="17"/>
  <c r="K287" i="17"/>
  <c r="L287" i="17" s="1"/>
  <c r="L286" i="17"/>
  <c r="K286" i="17"/>
  <c r="L285" i="17"/>
  <c r="K285" i="17"/>
  <c r="L284" i="17"/>
  <c r="K284" i="17"/>
  <c r="K283" i="17"/>
  <c r="L283" i="17" s="1"/>
  <c r="H283" i="17"/>
  <c r="K282" i="17"/>
  <c r="H282" i="17"/>
  <c r="L281" i="17"/>
  <c r="K281" i="17"/>
  <c r="L280" i="17"/>
  <c r="K280" i="17"/>
  <c r="L279" i="17"/>
  <c r="K279" i="17"/>
  <c r="L278" i="17"/>
  <c r="K278" i="17"/>
  <c r="H278" i="17"/>
  <c r="K277" i="17"/>
  <c r="L277" i="17" s="1"/>
  <c r="H277" i="17"/>
  <c r="L276" i="17"/>
  <c r="K276" i="17"/>
  <c r="H276" i="17"/>
  <c r="K275" i="17"/>
  <c r="L275" i="17" s="1"/>
  <c r="H275" i="17"/>
  <c r="L274" i="17"/>
  <c r="K274" i="17"/>
  <c r="H274" i="17"/>
  <c r="K273" i="17"/>
  <c r="L273" i="17" s="1"/>
  <c r="K272" i="17"/>
  <c r="L272" i="17" s="1"/>
  <c r="H272" i="17"/>
  <c r="K271" i="17"/>
  <c r="H271" i="17"/>
  <c r="L271" i="17" s="1"/>
  <c r="K270" i="17"/>
  <c r="L270" i="17" s="1"/>
  <c r="H270" i="17"/>
  <c r="L269" i="17"/>
  <c r="K269" i="17"/>
  <c r="H269" i="17"/>
  <c r="K268" i="17"/>
  <c r="H268" i="17"/>
  <c r="K267" i="17"/>
  <c r="L267" i="17" s="1"/>
  <c r="H267" i="17"/>
  <c r="K266" i="17"/>
  <c r="L266" i="17" s="1"/>
  <c r="K265" i="17"/>
  <c r="L265" i="17" s="1"/>
  <c r="L264" i="17"/>
  <c r="K264" i="17"/>
  <c r="K263" i="17"/>
  <c r="L263" i="17" s="1"/>
  <c r="H263" i="17"/>
  <c r="K262" i="17"/>
  <c r="H262" i="17"/>
  <c r="L262" i="17" s="1"/>
  <c r="K261" i="17"/>
  <c r="H261" i="17"/>
  <c r="K260" i="17"/>
  <c r="H260" i="17"/>
  <c r="L260" i="17" s="1"/>
  <c r="K259" i="17"/>
  <c r="H259" i="17"/>
  <c r="L259" i="17" s="1"/>
  <c r="L258" i="17"/>
  <c r="K258" i="17"/>
  <c r="H258" i="17"/>
  <c r="K257" i="17"/>
  <c r="L257" i="17" s="1"/>
  <c r="H257" i="17"/>
  <c r="L256" i="17"/>
  <c r="K256" i="17"/>
  <c r="L255" i="17"/>
  <c r="K255" i="17"/>
  <c r="H255" i="17"/>
  <c r="K254" i="17"/>
  <c r="L254" i="17" s="1"/>
  <c r="H254" i="17"/>
  <c r="L253" i="17"/>
  <c r="K253" i="17"/>
  <c r="H253" i="17"/>
  <c r="K252" i="17"/>
  <c r="H252" i="17"/>
  <c r="L251" i="17"/>
  <c r="K251" i="17"/>
  <c r="H251" i="17"/>
  <c r="K250" i="17"/>
  <c r="H250" i="17"/>
  <c r="L249" i="17"/>
  <c r="K249" i="17"/>
  <c r="H249" i="17"/>
  <c r="K248" i="17"/>
  <c r="H248" i="17"/>
  <c r="K247" i="17"/>
  <c r="L247" i="17" s="1"/>
  <c r="L246" i="17"/>
  <c r="K246" i="17"/>
  <c r="K245" i="17"/>
  <c r="L245" i="17" s="1"/>
  <c r="L244" i="17"/>
  <c r="K244" i="17"/>
  <c r="K243" i="17"/>
  <c r="H243" i="17"/>
  <c r="L243" i="17" s="1"/>
  <c r="K242" i="17"/>
  <c r="L242" i="17" s="1"/>
  <c r="H242" i="17"/>
  <c r="L241" i="17"/>
  <c r="K241" i="17"/>
  <c r="K240" i="17"/>
  <c r="L240" i="17" s="1"/>
  <c r="L239" i="17"/>
  <c r="K239" i="17"/>
  <c r="L238" i="17"/>
  <c r="K238" i="17"/>
  <c r="K237" i="17"/>
  <c r="G237" i="17"/>
  <c r="K236" i="17"/>
  <c r="L236" i="17" s="1"/>
  <c r="K235" i="17"/>
  <c r="K234" i="17"/>
  <c r="L234" i="17" s="1"/>
  <c r="G234" i="17"/>
  <c r="H234" i="17" s="1"/>
  <c r="H235" i="17" s="1"/>
  <c r="H394" i="17" s="1"/>
  <c r="L394" i="17" s="1"/>
  <c r="E234" i="17"/>
  <c r="K233" i="17"/>
  <c r="L233" i="17" s="1"/>
  <c r="L232" i="17"/>
  <c r="K232" i="17"/>
  <c r="K231" i="17"/>
  <c r="L230" i="17"/>
  <c r="K230" i="17"/>
  <c r="K229" i="17"/>
  <c r="H229" i="17"/>
  <c r="L229" i="17" s="1"/>
  <c r="K228" i="17"/>
  <c r="H228" i="17"/>
  <c r="L228" i="17" s="1"/>
  <c r="K227" i="17"/>
  <c r="L227" i="17" s="1"/>
  <c r="H227" i="17"/>
  <c r="K226" i="17"/>
  <c r="L226" i="17" s="1"/>
  <c r="H226" i="17"/>
  <c r="K225" i="17"/>
  <c r="L225" i="17" s="1"/>
  <c r="H225" i="17"/>
  <c r="K224" i="17"/>
  <c r="H224" i="17"/>
  <c r="H231" i="17" s="1"/>
  <c r="G224" i="17"/>
  <c r="L223" i="17"/>
  <c r="K223" i="17"/>
  <c r="L222" i="17"/>
  <c r="K222" i="17"/>
  <c r="K221" i="17"/>
  <c r="L221" i="17" s="1"/>
  <c r="H221" i="17"/>
  <c r="K220" i="17"/>
  <c r="H220" i="17"/>
  <c r="L220" i="17" s="1"/>
  <c r="L219" i="17"/>
  <c r="K219" i="17"/>
  <c r="H219" i="17"/>
  <c r="K218" i="17"/>
  <c r="H218" i="17"/>
  <c r="L217" i="17"/>
  <c r="K217" i="17"/>
  <c r="H217" i="17"/>
  <c r="K216" i="17"/>
  <c r="H216" i="17"/>
  <c r="K215" i="17"/>
  <c r="L215" i="17" s="1"/>
  <c r="H215" i="17"/>
  <c r="K214" i="17"/>
  <c r="H214" i="17"/>
  <c r="K213" i="17"/>
  <c r="L213" i="17" s="1"/>
  <c r="K212" i="17"/>
  <c r="G212" i="17"/>
  <c r="E212" i="17"/>
  <c r="K211" i="17"/>
  <c r="G211" i="17"/>
  <c r="K210" i="17"/>
  <c r="L210" i="17" s="1"/>
  <c r="L209" i="17"/>
  <c r="K209" i="17"/>
  <c r="K208" i="17"/>
  <c r="H208" i="17"/>
  <c r="L208" i="17" s="1"/>
  <c r="L207" i="17"/>
  <c r="K207" i="17"/>
  <c r="H207" i="17"/>
  <c r="K206" i="17"/>
  <c r="E206" i="17"/>
  <c r="H206" i="17" s="1"/>
  <c r="L206" i="17" s="1"/>
  <c r="K205" i="17"/>
  <c r="H205" i="17"/>
  <c r="L205" i="17" s="1"/>
  <c r="E205" i="17"/>
  <c r="K204" i="17"/>
  <c r="H204" i="17"/>
  <c r="L204" i="17" s="1"/>
  <c r="E204" i="17"/>
  <c r="K203" i="17"/>
  <c r="E203" i="17"/>
  <c r="H203" i="17" s="1"/>
  <c r="L203" i="17" s="1"/>
  <c r="L202" i="17"/>
  <c r="K202" i="17"/>
  <c r="H202" i="17"/>
  <c r="K201" i="17"/>
  <c r="H201" i="17"/>
  <c r="L200" i="17"/>
  <c r="K200" i="17"/>
  <c r="H200" i="17"/>
  <c r="K199" i="17"/>
  <c r="H199" i="17"/>
  <c r="L198" i="17"/>
  <c r="K198" i="17"/>
  <c r="H198" i="17"/>
  <c r="K197" i="17"/>
  <c r="L197" i="17" s="1"/>
  <c r="H197" i="17"/>
  <c r="L196" i="17"/>
  <c r="K196" i="17"/>
  <c r="H196" i="17"/>
  <c r="K195" i="17"/>
  <c r="L195" i="17" s="1"/>
  <c r="H195" i="17"/>
  <c r="L194" i="17"/>
  <c r="K194" i="17"/>
  <c r="H194" i="17"/>
  <c r="K193" i="17"/>
  <c r="L193" i="17" s="1"/>
  <c r="H193" i="17"/>
  <c r="L192" i="17"/>
  <c r="K192" i="17"/>
  <c r="H192" i="17"/>
  <c r="K191" i="17"/>
  <c r="L191" i="17" s="1"/>
  <c r="K190" i="17"/>
  <c r="L190" i="17" s="1"/>
  <c r="K189" i="17"/>
  <c r="L189" i="17" s="1"/>
  <c r="K188" i="17"/>
  <c r="L188" i="17" s="1"/>
  <c r="L187" i="17"/>
  <c r="K187" i="17"/>
  <c r="H187" i="17"/>
  <c r="K186" i="17"/>
  <c r="H186" i="17"/>
  <c r="L186" i="17" s="1"/>
  <c r="K185" i="17"/>
  <c r="L185" i="17" s="1"/>
  <c r="H185" i="17"/>
  <c r="L184" i="17"/>
  <c r="K184" i="17"/>
  <c r="H184" i="17"/>
  <c r="L183" i="17"/>
  <c r="K183" i="17"/>
  <c r="K182" i="17"/>
  <c r="L182" i="17" s="1"/>
  <c r="L181" i="17"/>
  <c r="K181" i="17"/>
  <c r="K180" i="17"/>
  <c r="E180" i="17"/>
  <c r="H180" i="17" s="1"/>
  <c r="L180" i="17" s="1"/>
  <c r="K179" i="17"/>
  <c r="L179" i="17" s="1"/>
  <c r="H179" i="17"/>
  <c r="G179" i="17"/>
  <c r="K178" i="17"/>
  <c r="G178" i="17"/>
  <c r="H178" i="17" s="1"/>
  <c r="L178" i="17" s="1"/>
  <c r="K177" i="17"/>
  <c r="G177" i="17"/>
  <c r="E177" i="17"/>
  <c r="E181" i="17" s="1"/>
  <c r="E224" i="17" s="1"/>
  <c r="K176" i="17"/>
  <c r="L176" i="17" s="1"/>
  <c r="G176" i="17"/>
  <c r="H176" i="17" s="1"/>
  <c r="L175" i="17"/>
  <c r="K175" i="17"/>
  <c r="G175" i="17"/>
  <c r="H175" i="17" s="1"/>
  <c r="K174" i="17"/>
  <c r="L174" i="17" s="1"/>
  <c r="G174" i="17"/>
  <c r="H174" i="17" s="1"/>
  <c r="K173" i="17"/>
  <c r="L173" i="17" s="1"/>
  <c r="G173" i="17"/>
  <c r="H173" i="17" s="1"/>
  <c r="L172" i="17"/>
  <c r="K172" i="17"/>
  <c r="H172" i="17"/>
  <c r="G172" i="17"/>
  <c r="K171" i="17"/>
  <c r="H171" i="17"/>
  <c r="G171" i="17"/>
  <c r="L170" i="17"/>
  <c r="K170" i="17"/>
  <c r="G170" i="17"/>
  <c r="H170" i="17" s="1"/>
  <c r="L169" i="17"/>
  <c r="K169" i="17"/>
  <c r="H169" i="17"/>
  <c r="G169" i="17"/>
  <c r="E169" i="17"/>
  <c r="K168" i="17"/>
  <c r="H168" i="17"/>
  <c r="G168" i="17"/>
  <c r="K167" i="17"/>
  <c r="H167" i="17"/>
  <c r="L167" i="17" s="1"/>
  <c r="G167" i="17"/>
  <c r="L166" i="17"/>
  <c r="K166" i="17"/>
  <c r="H166" i="17"/>
  <c r="G166" i="17"/>
  <c r="K165" i="17"/>
  <c r="H165" i="17"/>
  <c r="G165" i="17"/>
  <c r="K164" i="17"/>
  <c r="H164" i="17"/>
  <c r="L164" i="17" s="1"/>
  <c r="G164" i="17"/>
  <c r="K163" i="17"/>
  <c r="L163" i="17" s="1"/>
  <c r="L162" i="17"/>
  <c r="K162" i="17"/>
  <c r="K161" i="17"/>
  <c r="L161" i="17" s="1"/>
  <c r="L160" i="17"/>
  <c r="K160" i="17"/>
  <c r="L159" i="17"/>
  <c r="K159" i="17"/>
  <c r="H159" i="17"/>
  <c r="K158" i="17"/>
  <c r="L158" i="17" s="1"/>
  <c r="H158" i="17"/>
  <c r="K157" i="17"/>
  <c r="L157" i="17" s="1"/>
  <c r="H157" i="17"/>
  <c r="L156" i="17"/>
  <c r="K156" i="17"/>
  <c r="H156" i="17"/>
  <c r="L155" i="17"/>
  <c r="K155" i="17"/>
  <c r="H155" i="17"/>
  <c r="K154" i="17"/>
  <c r="L154" i="17" s="1"/>
  <c r="H154" i="17"/>
  <c r="K153" i="17"/>
  <c r="L153" i="17" s="1"/>
  <c r="H153" i="17"/>
  <c r="K152" i="17"/>
  <c r="L152" i="17" s="1"/>
  <c r="H152" i="17"/>
  <c r="L151" i="17"/>
  <c r="K151" i="17"/>
  <c r="K150" i="17"/>
  <c r="L150" i="17" s="1"/>
  <c r="E150" i="17"/>
  <c r="L149" i="17"/>
  <c r="K149" i="17"/>
  <c r="G149" i="17"/>
  <c r="H149" i="17" s="1"/>
  <c r="L148" i="17"/>
  <c r="K148" i="17"/>
  <c r="G148" i="17"/>
  <c r="H148" i="17" s="1"/>
  <c r="K147" i="17"/>
  <c r="G147" i="17"/>
  <c r="H147" i="17" s="1"/>
  <c r="L146" i="17"/>
  <c r="K146" i="17"/>
  <c r="G146" i="17"/>
  <c r="H146" i="17" s="1"/>
  <c r="K145" i="17"/>
  <c r="L145" i="17" s="1"/>
  <c r="H145" i="17"/>
  <c r="G145" i="17"/>
  <c r="K144" i="17"/>
  <c r="L144" i="17" s="1"/>
  <c r="G144" i="17"/>
  <c r="H144" i="17" s="1"/>
  <c r="L143" i="17"/>
  <c r="K143" i="17"/>
  <c r="L142" i="17"/>
  <c r="K142" i="17"/>
  <c r="K141" i="17"/>
  <c r="L141" i="17" s="1"/>
  <c r="H141" i="17"/>
  <c r="G141" i="17"/>
  <c r="L140" i="17"/>
  <c r="K140" i="17"/>
  <c r="G140" i="17"/>
  <c r="H140" i="17" s="1"/>
  <c r="E140" i="17"/>
  <c r="L139" i="17"/>
  <c r="K139" i="17"/>
  <c r="G139" i="17"/>
  <c r="H139" i="17" s="1"/>
  <c r="K138" i="17"/>
  <c r="L138" i="17" s="1"/>
  <c r="G138" i="17"/>
  <c r="H138" i="17" s="1"/>
  <c r="K137" i="17"/>
  <c r="G137" i="17"/>
  <c r="H137" i="17" s="1"/>
  <c r="L136" i="17"/>
  <c r="K136" i="17"/>
  <c r="G136" i="17"/>
  <c r="H136" i="17" s="1"/>
  <c r="K135" i="17"/>
  <c r="G135" i="17"/>
  <c r="H135" i="17" s="1"/>
  <c r="L135" i="17" s="1"/>
  <c r="K134" i="17"/>
  <c r="G134" i="17"/>
  <c r="H134" i="17" s="1"/>
  <c r="K133" i="17"/>
  <c r="G133" i="17"/>
  <c r="H133" i="17" s="1"/>
  <c r="L133" i="17" s="1"/>
  <c r="E133" i="17"/>
  <c r="E142" i="17" s="1"/>
  <c r="L132" i="17"/>
  <c r="K132" i="17"/>
  <c r="H132" i="17"/>
  <c r="G132" i="17"/>
  <c r="K131" i="17"/>
  <c r="L131" i="17" s="1"/>
  <c r="K130" i="17"/>
  <c r="L130" i="17" s="1"/>
  <c r="K129" i="17"/>
  <c r="L129" i="17" s="1"/>
  <c r="K128" i="17"/>
  <c r="L128" i="17" s="1"/>
  <c r="K127" i="17"/>
  <c r="H127" i="17"/>
  <c r="L127" i="17" s="1"/>
  <c r="E127" i="17"/>
  <c r="K126" i="17"/>
  <c r="F126" i="17"/>
  <c r="H126" i="17" s="1"/>
  <c r="L126" i="17" s="1"/>
  <c r="E126" i="17"/>
  <c r="K125" i="17"/>
  <c r="L125" i="17" s="1"/>
  <c r="F125" i="17"/>
  <c r="H125" i="17" s="1"/>
  <c r="E125" i="17"/>
  <c r="L124" i="17"/>
  <c r="K124" i="17"/>
  <c r="K123" i="17"/>
  <c r="L123" i="17" s="1"/>
  <c r="K122" i="17"/>
  <c r="G122" i="17"/>
  <c r="H122" i="17" s="1"/>
  <c r="E122" i="17"/>
  <c r="D122" i="17"/>
  <c r="K121" i="17"/>
  <c r="H121" i="17"/>
  <c r="L121" i="17" s="1"/>
  <c r="G121" i="17"/>
  <c r="E121" i="17"/>
  <c r="D121" i="17"/>
  <c r="K120" i="17"/>
  <c r="G120" i="17"/>
  <c r="E120" i="17"/>
  <c r="D120" i="17"/>
  <c r="L119" i="17"/>
  <c r="K119" i="17"/>
  <c r="L118" i="17"/>
  <c r="K118" i="17"/>
  <c r="K117" i="17"/>
  <c r="L117" i="17" s="1"/>
  <c r="K116" i="17"/>
  <c r="F116" i="17"/>
  <c r="E116" i="17"/>
  <c r="D116" i="17"/>
  <c r="K115" i="17"/>
  <c r="F115" i="17"/>
  <c r="E115" i="17"/>
  <c r="H115" i="17" s="1"/>
  <c r="L115" i="17" s="1"/>
  <c r="D115" i="17"/>
  <c r="K114" i="17"/>
  <c r="F114" i="17"/>
  <c r="D114" i="17"/>
  <c r="K113" i="17"/>
  <c r="F113" i="17"/>
  <c r="E113" i="17"/>
  <c r="H113" i="17" s="1"/>
  <c r="L113" i="17" s="1"/>
  <c r="D113" i="17"/>
  <c r="K112" i="17"/>
  <c r="F112" i="17"/>
  <c r="E112" i="17"/>
  <c r="D112" i="17"/>
  <c r="L111" i="17"/>
  <c r="K111" i="17"/>
  <c r="L110" i="17"/>
  <c r="K110" i="17"/>
  <c r="K109" i="17"/>
  <c r="K108" i="17"/>
  <c r="L107" i="17"/>
  <c r="K107" i="17"/>
  <c r="L106" i="17"/>
  <c r="K106" i="17"/>
  <c r="H106" i="17"/>
  <c r="F106" i="17"/>
  <c r="E106" i="17"/>
  <c r="K105" i="17"/>
  <c r="F105" i="17"/>
  <c r="H105" i="17" s="1"/>
  <c r="E105" i="17"/>
  <c r="K104" i="17"/>
  <c r="F104" i="17"/>
  <c r="E104" i="17"/>
  <c r="L103" i="17"/>
  <c r="K103" i="17"/>
  <c r="F103" i="17"/>
  <c r="E103" i="17"/>
  <c r="H103" i="17" s="1"/>
  <c r="K102" i="17"/>
  <c r="F102" i="17"/>
  <c r="H102" i="17" s="1"/>
  <c r="L102" i="17" s="1"/>
  <c r="E102" i="17"/>
  <c r="K101" i="17"/>
  <c r="L101" i="17" s="1"/>
  <c r="L100" i="17"/>
  <c r="K100" i="17"/>
  <c r="K99" i="17"/>
  <c r="H99" i="17"/>
  <c r="L98" i="17"/>
  <c r="K98" i="17"/>
  <c r="H98" i="17"/>
  <c r="K97" i="17"/>
  <c r="L97" i="17" s="1"/>
  <c r="E97" i="17"/>
  <c r="H97" i="17" s="1"/>
  <c r="L96" i="17"/>
  <c r="K96" i="17"/>
  <c r="E96" i="17"/>
  <c r="H96" i="17" s="1"/>
  <c r="K95" i="17"/>
  <c r="E95" i="17"/>
  <c r="H95" i="17" s="1"/>
  <c r="K94" i="17"/>
  <c r="L94" i="17" s="1"/>
  <c r="E94" i="17"/>
  <c r="H94" i="17" s="1"/>
  <c r="L93" i="17"/>
  <c r="K93" i="17"/>
  <c r="H93" i="17"/>
  <c r="L92" i="17"/>
  <c r="K92" i="17"/>
  <c r="H92" i="17"/>
  <c r="K91" i="17"/>
  <c r="H91" i="17"/>
  <c r="K90" i="17"/>
  <c r="L90" i="17" s="1"/>
  <c r="H90" i="17"/>
  <c r="L89" i="17"/>
  <c r="K89" i="17"/>
  <c r="H89" i="17"/>
  <c r="L88" i="17"/>
  <c r="K88" i="17"/>
  <c r="H88" i="17"/>
  <c r="K87" i="17"/>
  <c r="H87" i="17"/>
  <c r="L86" i="17"/>
  <c r="K86" i="17"/>
  <c r="H86" i="17"/>
  <c r="L85" i="17"/>
  <c r="K85" i="17"/>
  <c r="H85" i="17"/>
  <c r="K84" i="17"/>
  <c r="H84" i="17"/>
  <c r="K83" i="17"/>
  <c r="L83" i="17" s="1"/>
  <c r="H83" i="17"/>
  <c r="K82" i="17"/>
  <c r="L82" i="17" s="1"/>
  <c r="K81" i="17"/>
  <c r="L81" i="17" s="1"/>
  <c r="K80" i="17"/>
  <c r="H80" i="17"/>
  <c r="K79" i="17"/>
  <c r="L79" i="17" s="1"/>
  <c r="E79" i="17"/>
  <c r="K78" i="17"/>
  <c r="L78" i="17" s="1"/>
  <c r="K77" i="17"/>
  <c r="L77" i="17" s="1"/>
  <c r="K75" i="17"/>
  <c r="L75" i="17" s="1"/>
  <c r="G75" i="17"/>
  <c r="H75" i="17" s="1"/>
  <c r="K74" i="17"/>
  <c r="H74" i="17"/>
  <c r="L73" i="17"/>
  <c r="K73" i="17"/>
  <c r="H73" i="17"/>
  <c r="L72" i="17"/>
  <c r="K72" i="17"/>
  <c r="K71" i="17"/>
  <c r="L71" i="17" s="1"/>
  <c r="J71" i="17"/>
  <c r="J76" i="17" s="1"/>
  <c r="K76" i="17" s="1"/>
  <c r="L76" i="17" s="1"/>
  <c r="L70" i="17"/>
  <c r="K70" i="17"/>
  <c r="H70" i="17"/>
  <c r="K69" i="17"/>
  <c r="L69" i="17" s="1"/>
  <c r="H69" i="17"/>
  <c r="L68" i="17"/>
  <c r="K68" i="17"/>
  <c r="E68" i="17"/>
  <c r="H68" i="17" s="1"/>
  <c r="L67" i="17"/>
  <c r="K67" i="17"/>
  <c r="H67" i="17"/>
  <c r="E67" i="17"/>
  <c r="K66" i="17"/>
  <c r="E66" i="17"/>
  <c r="E114" i="17" s="1"/>
  <c r="K65" i="17"/>
  <c r="L65" i="17" s="1"/>
  <c r="E65" i="17"/>
  <c r="H65" i="17" s="1"/>
  <c r="K64" i="17"/>
  <c r="L64" i="17" s="1"/>
  <c r="H64" i="17"/>
  <c r="K63" i="17"/>
  <c r="H63" i="17"/>
  <c r="K62" i="17"/>
  <c r="L62" i="17" s="1"/>
  <c r="H62" i="17"/>
  <c r="L61" i="17"/>
  <c r="K61" i="17"/>
  <c r="H61" i="17"/>
  <c r="L60" i="17"/>
  <c r="K60" i="17"/>
  <c r="H60" i="17"/>
  <c r="K59" i="17"/>
  <c r="L59" i="17" s="1"/>
  <c r="H59" i="17"/>
  <c r="L58" i="17"/>
  <c r="K58" i="17"/>
  <c r="H58" i="17"/>
  <c r="L57" i="17"/>
  <c r="K57" i="17"/>
  <c r="H57" i="17"/>
  <c r="L56" i="17"/>
  <c r="K56" i="17"/>
  <c r="H56" i="17"/>
  <c r="K55" i="17"/>
  <c r="H55" i="17"/>
  <c r="K54" i="17"/>
  <c r="L54" i="17" s="1"/>
  <c r="H54" i="17"/>
  <c r="L53" i="17"/>
  <c r="K53" i="17"/>
  <c r="K52" i="17"/>
  <c r="L52" i="17" s="1"/>
  <c r="L51" i="17"/>
  <c r="K51" i="17"/>
  <c r="E51" i="17"/>
  <c r="E109" i="17" s="1"/>
  <c r="K50" i="17"/>
  <c r="L50" i="17" s="1"/>
  <c r="E50" i="17"/>
  <c r="E108" i="17" s="1"/>
  <c r="H108" i="17" s="1"/>
  <c r="K49" i="17"/>
  <c r="L49" i="17" s="1"/>
  <c r="L48" i="17"/>
  <c r="K48" i="17"/>
  <c r="K47" i="17"/>
  <c r="G47" i="17"/>
  <c r="K46" i="17"/>
  <c r="K45" i="17"/>
  <c r="G45" i="17"/>
  <c r="H45" i="17" s="1"/>
  <c r="L45" i="17" s="1"/>
  <c r="K44" i="17"/>
  <c r="G44" i="17"/>
  <c r="E44" i="17"/>
  <c r="K43" i="17"/>
  <c r="L43" i="17" s="1"/>
  <c r="G43" i="17"/>
  <c r="H43" i="17" s="1"/>
  <c r="K42" i="17"/>
  <c r="L42" i="17" s="1"/>
  <c r="G42" i="17"/>
  <c r="H42" i="17" s="1"/>
  <c r="L41" i="17"/>
  <c r="K41" i="17"/>
  <c r="G41" i="17"/>
  <c r="H41" i="17" s="1"/>
  <c r="K40" i="17"/>
  <c r="L40" i="17" s="1"/>
  <c r="G40" i="17"/>
  <c r="H40" i="17" s="1"/>
  <c r="K39" i="17"/>
  <c r="G39" i="17"/>
  <c r="H39" i="17" s="1"/>
  <c r="K38" i="17"/>
  <c r="G38" i="17"/>
  <c r="H38" i="17" s="1"/>
  <c r="L38" i="17" s="1"/>
  <c r="K37" i="17"/>
  <c r="L37" i="17" s="1"/>
  <c r="G37" i="17"/>
  <c r="H37" i="17" s="1"/>
  <c r="K36" i="17"/>
  <c r="G36" i="17"/>
  <c r="H36" i="17" s="1"/>
  <c r="L36" i="17" s="1"/>
  <c r="L35" i="17"/>
  <c r="K35" i="17"/>
  <c r="G35" i="17"/>
  <c r="H35" i="17" s="1"/>
  <c r="L34" i="17"/>
  <c r="K34" i="17"/>
  <c r="G34" i="17"/>
  <c r="H34" i="17" s="1"/>
  <c r="L33" i="17"/>
  <c r="K33" i="17"/>
  <c r="H33" i="17"/>
  <c r="G33" i="17"/>
  <c r="K32" i="17"/>
  <c r="G32" i="17"/>
  <c r="H32" i="17" s="1"/>
  <c r="L32" i="17" s="1"/>
  <c r="K31" i="17"/>
  <c r="G31" i="17"/>
  <c r="H31" i="17" s="1"/>
  <c r="L31" i="17" s="1"/>
  <c r="L30" i="17"/>
  <c r="K30" i="17"/>
  <c r="H30" i="17"/>
  <c r="G30" i="17"/>
  <c r="K29" i="17"/>
  <c r="G29" i="17"/>
  <c r="H29" i="17" s="1"/>
  <c r="L29" i="17" s="1"/>
  <c r="K28" i="17"/>
  <c r="L28" i="17" s="1"/>
  <c r="G28" i="17"/>
  <c r="H28" i="17" s="1"/>
  <c r="K27" i="17"/>
  <c r="L27" i="17" s="1"/>
  <c r="G27" i="17"/>
  <c r="H27" i="17" s="1"/>
  <c r="K26" i="17"/>
  <c r="G26" i="17"/>
  <c r="H26" i="17" s="1"/>
  <c r="L26" i="17" s="1"/>
  <c r="L25" i="17"/>
  <c r="K25" i="17"/>
  <c r="H25" i="17"/>
  <c r="G25" i="17"/>
  <c r="K24" i="17"/>
  <c r="L24" i="17" s="1"/>
  <c r="G24" i="17"/>
  <c r="H24" i="17" s="1"/>
  <c r="K23" i="17"/>
  <c r="G23" i="17"/>
  <c r="H23" i="17" s="1"/>
  <c r="L23" i="17" s="1"/>
  <c r="K22" i="17"/>
  <c r="L22" i="17" s="1"/>
  <c r="H22" i="17"/>
  <c r="G22" i="17"/>
  <c r="K21" i="17"/>
  <c r="L21" i="17" s="1"/>
  <c r="G21" i="17"/>
  <c r="H21" i="17" s="1"/>
  <c r="K20" i="17"/>
  <c r="G20" i="17"/>
  <c r="F108" i="17" s="1"/>
  <c r="L19" i="17"/>
  <c r="K19" i="17"/>
  <c r="L18" i="17"/>
  <c r="K18" i="17"/>
  <c r="L17" i="17"/>
  <c r="K17" i="17"/>
  <c r="E17" i="17"/>
  <c r="H17" i="17" s="1"/>
  <c r="K16" i="17"/>
  <c r="E16" i="17"/>
  <c r="H16" i="17" s="1"/>
  <c r="K15" i="17"/>
  <c r="H15" i="17"/>
  <c r="L15" i="17" s="1"/>
  <c r="E15" i="17"/>
  <c r="K14" i="17"/>
  <c r="L14" i="17" s="1"/>
  <c r="E14" i="17"/>
  <c r="H14" i="17" s="1"/>
  <c r="K13" i="17"/>
  <c r="L13" i="17" s="1"/>
  <c r="E13" i="17"/>
  <c r="H13" i="17" s="1"/>
  <c r="K12" i="17"/>
  <c r="K11" i="17"/>
  <c r="L11" i="17" s="1"/>
  <c r="K10" i="17"/>
  <c r="L10" i="17" s="1"/>
  <c r="D10" i="17"/>
  <c r="H9" i="17"/>
  <c r="H8" i="17"/>
  <c r="H7" i="17"/>
  <c r="K285" i="16"/>
  <c r="E285" i="16"/>
  <c r="H285" i="16" s="1"/>
  <c r="L284" i="16"/>
  <c r="K284" i="16"/>
  <c r="E284" i="16"/>
  <c r="L283" i="16"/>
  <c r="K283" i="16"/>
  <c r="L282" i="16"/>
  <c r="K282" i="16"/>
  <c r="E282" i="16"/>
  <c r="K281" i="16"/>
  <c r="K280" i="16"/>
  <c r="H280" i="16"/>
  <c r="K279" i="16"/>
  <c r="K278" i="16"/>
  <c r="L278" i="16" s="1"/>
  <c r="K277" i="16"/>
  <c r="L277" i="16" s="1"/>
  <c r="K276" i="16"/>
  <c r="H276" i="16"/>
  <c r="L275" i="16"/>
  <c r="K275" i="16"/>
  <c r="K274" i="16"/>
  <c r="L274" i="16" s="1"/>
  <c r="L273" i="16"/>
  <c r="K273" i="16"/>
  <c r="H273" i="16"/>
  <c r="K272" i="16"/>
  <c r="L272" i="16" s="1"/>
  <c r="K271" i="16"/>
  <c r="L271" i="16" s="1"/>
  <c r="K270" i="16"/>
  <c r="L270" i="16" s="1"/>
  <c r="H270" i="16"/>
  <c r="K269" i="16"/>
  <c r="H269" i="16"/>
  <c r="K268" i="16"/>
  <c r="K267" i="16"/>
  <c r="H267" i="16"/>
  <c r="K266" i="16"/>
  <c r="L266" i="16" s="1"/>
  <c r="K265" i="16"/>
  <c r="L265" i="16" s="1"/>
  <c r="K264" i="16"/>
  <c r="L264" i="16" s="1"/>
  <c r="H264" i="16"/>
  <c r="H265" i="16" s="1"/>
  <c r="L263" i="16"/>
  <c r="K263" i="16"/>
  <c r="L262" i="16"/>
  <c r="K262" i="16"/>
  <c r="K261" i="16"/>
  <c r="L261" i="16" s="1"/>
  <c r="K260" i="16"/>
  <c r="L260" i="16" s="1"/>
  <c r="K259" i="16"/>
  <c r="L259" i="16" s="1"/>
  <c r="L258" i="16"/>
  <c r="K258" i="16"/>
  <c r="L257" i="16"/>
  <c r="K257" i="16"/>
  <c r="H257" i="16"/>
  <c r="K256" i="16"/>
  <c r="H256" i="16"/>
  <c r="K255" i="16"/>
  <c r="L255" i="16" s="1"/>
  <c r="H255" i="16"/>
  <c r="L254" i="16"/>
  <c r="K254" i="16"/>
  <c r="K253" i="16"/>
  <c r="L253" i="16" s="1"/>
  <c r="H253" i="16"/>
  <c r="L252" i="16"/>
  <c r="K252" i="16"/>
  <c r="H252" i="16"/>
  <c r="K251" i="16"/>
  <c r="L251" i="16" s="1"/>
  <c r="L250" i="16"/>
  <c r="K250" i="16"/>
  <c r="K249" i="16"/>
  <c r="L249" i="16" s="1"/>
  <c r="H249" i="16"/>
  <c r="L248" i="16"/>
  <c r="K248" i="16"/>
  <c r="H248" i="16"/>
  <c r="K247" i="16"/>
  <c r="L247" i="16" s="1"/>
  <c r="H247" i="16"/>
  <c r="K246" i="16"/>
  <c r="L246" i="16" s="1"/>
  <c r="K245" i="16"/>
  <c r="H245" i="16"/>
  <c r="K244" i="16"/>
  <c r="L244" i="16" s="1"/>
  <c r="K243" i="16"/>
  <c r="L243" i="16" s="1"/>
  <c r="H243" i="16"/>
  <c r="K242" i="16"/>
  <c r="L242" i="16" s="1"/>
  <c r="H242" i="16"/>
  <c r="L241" i="16"/>
  <c r="K241" i="16"/>
  <c r="K240" i="16"/>
  <c r="L240" i="16" s="1"/>
  <c r="H240" i="16"/>
  <c r="L239" i="16"/>
  <c r="K239" i="16"/>
  <c r="H239" i="16"/>
  <c r="K238" i="16"/>
  <c r="L238" i="16" s="1"/>
  <c r="K237" i="16"/>
  <c r="L237" i="16" s="1"/>
  <c r="K236" i="16"/>
  <c r="K235" i="16"/>
  <c r="H235" i="16"/>
  <c r="H236" i="16" s="1"/>
  <c r="K234" i="16"/>
  <c r="L234" i="16" s="1"/>
  <c r="K233" i="16"/>
  <c r="L233" i="16" s="1"/>
  <c r="K232" i="16"/>
  <c r="L232" i="16" s="1"/>
  <c r="D232" i="16"/>
  <c r="K231" i="16"/>
  <c r="L231" i="16" s="1"/>
  <c r="H231" i="16"/>
  <c r="K230" i="16"/>
  <c r="E230" i="16"/>
  <c r="H230" i="16" s="1"/>
  <c r="K229" i="16"/>
  <c r="L229" i="16" s="1"/>
  <c r="K228" i="16"/>
  <c r="L228" i="16" s="1"/>
  <c r="K227" i="16"/>
  <c r="H227" i="16"/>
  <c r="L227" i="16" s="1"/>
  <c r="L226" i="16"/>
  <c r="K226" i="16"/>
  <c r="L225" i="16"/>
  <c r="K225" i="16"/>
  <c r="K224" i="16"/>
  <c r="K223" i="16"/>
  <c r="H223" i="16"/>
  <c r="L223" i="16" s="1"/>
  <c r="E223" i="16"/>
  <c r="K222" i="16"/>
  <c r="L222" i="16" s="1"/>
  <c r="E222" i="16"/>
  <c r="H222" i="16" s="1"/>
  <c r="K221" i="16"/>
  <c r="L221" i="16" s="1"/>
  <c r="K220" i="16"/>
  <c r="L220" i="16" s="1"/>
  <c r="L219" i="16"/>
  <c r="K219" i="16"/>
  <c r="L218" i="16"/>
  <c r="K218" i="16"/>
  <c r="K217" i="16"/>
  <c r="L217" i="16" s="1"/>
  <c r="E217" i="16"/>
  <c r="H217" i="16" s="1"/>
  <c r="K216" i="16"/>
  <c r="L216" i="16" s="1"/>
  <c r="K215" i="16"/>
  <c r="L215" i="16" s="1"/>
  <c r="K214" i="16"/>
  <c r="L214" i="16" s="1"/>
  <c r="H214" i="16"/>
  <c r="K213" i="16"/>
  <c r="L213" i="16" s="1"/>
  <c r="H213" i="16"/>
  <c r="E213" i="16"/>
  <c r="L212" i="16"/>
  <c r="K212" i="16"/>
  <c r="L211" i="16"/>
  <c r="K211" i="16"/>
  <c r="K210" i="16"/>
  <c r="E210" i="16"/>
  <c r="H210" i="16" s="1"/>
  <c r="K209" i="16"/>
  <c r="L209" i="16" s="1"/>
  <c r="H209" i="16"/>
  <c r="K208" i="16"/>
  <c r="L208" i="16" s="1"/>
  <c r="H208" i="16"/>
  <c r="L207" i="16"/>
  <c r="K207" i="16"/>
  <c r="H207" i="16"/>
  <c r="K206" i="16"/>
  <c r="L206" i="16" s="1"/>
  <c r="H206" i="16"/>
  <c r="K205" i="16"/>
  <c r="L205" i="16" s="1"/>
  <c r="L204" i="16"/>
  <c r="K204" i="16"/>
  <c r="L203" i="16"/>
  <c r="K203" i="16"/>
  <c r="H203" i="16"/>
  <c r="E203" i="16"/>
  <c r="K202" i="16"/>
  <c r="K201" i="16"/>
  <c r="L201" i="16" s="1"/>
  <c r="L200" i="16"/>
  <c r="K200" i="16"/>
  <c r="K199" i="16"/>
  <c r="L199" i="16" s="1"/>
  <c r="L198" i="16"/>
  <c r="K198" i="16"/>
  <c r="H198" i="16"/>
  <c r="E198" i="16"/>
  <c r="K197" i="16"/>
  <c r="H197" i="16"/>
  <c r="E197" i="16"/>
  <c r="K196" i="16"/>
  <c r="H196" i="16"/>
  <c r="E196" i="16"/>
  <c r="L195" i="16"/>
  <c r="K195" i="16"/>
  <c r="H195" i="16"/>
  <c r="E195" i="16"/>
  <c r="K194" i="16"/>
  <c r="E194" i="16"/>
  <c r="H194" i="16" s="1"/>
  <c r="H199" i="16" s="1"/>
  <c r="K193" i="16"/>
  <c r="K192" i="16"/>
  <c r="L192" i="16" s="1"/>
  <c r="K191" i="16"/>
  <c r="L191" i="16" s="1"/>
  <c r="K190" i="16"/>
  <c r="L190" i="16" s="1"/>
  <c r="K189" i="16"/>
  <c r="H189" i="16"/>
  <c r="L188" i="16"/>
  <c r="K188" i="16"/>
  <c r="K187" i="16"/>
  <c r="L187" i="16" s="1"/>
  <c r="K186" i="16"/>
  <c r="H186" i="16"/>
  <c r="L186" i="16" s="1"/>
  <c r="K185" i="16"/>
  <c r="L185" i="16" s="1"/>
  <c r="K184" i="16"/>
  <c r="L184" i="16" s="1"/>
  <c r="L183" i="16"/>
  <c r="K183" i="16"/>
  <c r="H183" i="16"/>
  <c r="K182" i="16"/>
  <c r="L182" i="16" s="1"/>
  <c r="L181" i="16"/>
  <c r="K181" i="16"/>
  <c r="L180" i="16"/>
  <c r="K180" i="16"/>
  <c r="K179" i="16"/>
  <c r="K178" i="16"/>
  <c r="K177" i="16"/>
  <c r="L177" i="16" s="1"/>
  <c r="L176" i="16"/>
  <c r="K176" i="16"/>
  <c r="K175" i="16"/>
  <c r="L175" i="16" s="1"/>
  <c r="H175" i="16"/>
  <c r="L174" i="16"/>
  <c r="K174" i="16"/>
  <c r="H174" i="16"/>
  <c r="K173" i="16"/>
  <c r="H173" i="16"/>
  <c r="K172" i="16"/>
  <c r="L172" i="16" s="1"/>
  <c r="K171" i="16"/>
  <c r="L171" i="16" s="1"/>
  <c r="L170" i="16"/>
  <c r="K170" i="16"/>
  <c r="L169" i="16"/>
  <c r="K169" i="16"/>
  <c r="K168" i="16"/>
  <c r="K167" i="16"/>
  <c r="L167" i="16" s="1"/>
  <c r="E167" i="16"/>
  <c r="H167" i="16" s="1"/>
  <c r="L166" i="16"/>
  <c r="K166" i="16"/>
  <c r="L165" i="16"/>
  <c r="K165" i="16"/>
  <c r="K164" i="16"/>
  <c r="G164" i="16"/>
  <c r="E164" i="16"/>
  <c r="L163" i="16"/>
  <c r="K163" i="16"/>
  <c r="K162" i="16"/>
  <c r="L162" i="16" s="1"/>
  <c r="K161" i="16"/>
  <c r="K160" i="16"/>
  <c r="H160" i="16"/>
  <c r="L160" i="16" s="1"/>
  <c r="L159" i="16"/>
  <c r="K159" i="16"/>
  <c r="H159" i="16"/>
  <c r="K158" i="16"/>
  <c r="H158" i="16"/>
  <c r="K157" i="16"/>
  <c r="L157" i="16" s="1"/>
  <c r="H157" i="16"/>
  <c r="K156" i="16"/>
  <c r="H156" i="16"/>
  <c r="L156" i="16" s="1"/>
  <c r="K155" i="16"/>
  <c r="H155" i="16"/>
  <c r="L155" i="16" s="1"/>
  <c r="K154" i="16"/>
  <c r="G154" i="16"/>
  <c r="K153" i="16"/>
  <c r="L153" i="16" s="1"/>
  <c r="G153" i="16"/>
  <c r="E153" i="16"/>
  <c r="H153" i="16" s="1"/>
  <c r="K152" i="16"/>
  <c r="L152" i="16" s="1"/>
  <c r="E152" i="16"/>
  <c r="H152" i="16" s="1"/>
  <c r="K151" i="16"/>
  <c r="H151" i="16"/>
  <c r="L151" i="16" s="1"/>
  <c r="E151" i="16"/>
  <c r="K150" i="16"/>
  <c r="E150" i="16"/>
  <c r="H150" i="16" s="1"/>
  <c r="L150" i="16" s="1"/>
  <c r="K149" i="16"/>
  <c r="G149" i="16"/>
  <c r="E149" i="16"/>
  <c r="K148" i="16"/>
  <c r="E148" i="16"/>
  <c r="H148" i="16" s="1"/>
  <c r="K147" i="16"/>
  <c r="G147" i="16"/>
  <c r="H147" i="16" s="1"/>
  <c r="E147" i="16"/>
  <c r="K146" i="16"/>
  <c r="H146" i="16"/>
  <c r="G146" i="16"/>
  <c r="E146" i="16"/>
  <c r="K145" i="16"/>
  <c r="L144" i="16"/>
  <c r="K144" i="16"/>
  <c r="K143" i="16"/>
  <c r="L143" i="16" s="1"/>
  <c r="K142" i="16"/>
  <c r="L142" i="16" s="1"/>
  <c r="H142" i="16"/>
  <c r="K141" i="16"/>
  <c r="L141" i="16" s="1"/>
  <c r="H141" i="16"/>
  <c r="L140" i="16"/>
  <c r="K140" i="16"/>
  <c r="H140" i="16"/>
  <c r="K139" i="16"/>
  <c r="E139" i="16"/>
  <c r="H139" i="16" s="1"/>
  <c r="K138" i="16"/>
  <c r="H138" i="16"/>
  <c r="L138" i="16" s="1"/>
  <c r="K137" i="16"/>
  <c r="H137" i="16"/>
  <c r="L137" i="16" s="1"/>
  <c r="K136" i="16"/>
  <c r="L136" i="16" s="1"/>
  <c r="H136" i="16"/>
  <c r="K135" i="16"/>
  <c r="L135" i="16" s="1"/>
  <c r="H135" i="16"/>
  <c r="K134" i="16"/>
  <c r="H134" i="16"/>
  <c r="L134" i="16" s="1"/>
  <c r="L133" i="16"/>
  <c r="K133" i="16"/>
  <c r="H133" i="16"/>
  <c r="K132" i="16"/>
  <c r="L132" i="16" s="1"/>
  <c r="H132" i="16"/>
  <c r="K131" i="16"/>
  <c r="L131" i="16" s="1"/>
  <c r="H131" i="16"/>
  <c r="L130" i="16"/>
  <c r="K130" i="16"/>
  <c r="H130" i="16"/>
  <c r="K129" i="16"/>
  <c r="H129" i="16"/>
  <c r="L129" i="16" s="1"/>
  <c r="K128" i="16"/>
  <c r="L128" i="16" s="1"/>
  <c r="H128" i="16"/>
  <c r="K127" i="16"/>
  <c r="H127" i="16"/>
  <c r="L126" i="16"/>
  <c r="K126" i="16"/>
  <c r="L125" i="16"/>
  <c r="K125" i="16"/>
  <c r="K124" i="16"/>
  <c r="L124" i="16" s="1"/>
  <c r="K123" i="16"/>
  <c r="L123" i="16" s="1"/>
  <c r="H123" i="16"/>
  <c r="L122" i="16"/>
  <c r="K122" i="16"/>
  <c r="H122" i="16"/>
  <c r="L121" i="16"/>
  <c r="K121" i="16"/>
  <c r="H121" i="16"/>
  <c r="L120" i="16"/>
  <c r="K120" i="16"/>
  <c r="L119" i="16"/>
  <c r="K119" i="16"/>
  <c r="H119" i="16"/>
  <c r="E119" i="16"/>
  <c r="L118" i="16"/>
  <c r="K118" i="16"/>
  <c r="K117" i="16"/>
  <c r="L117" i="16" s="1"/>
  <c r="K116" i="16"/>
  <c r="L115" i="16"/>
  <c r="K115" i="16"/>
  <c r="H115" i="16"/>
  <c r="K114" i="16"/>
  <c r="H114" i="16"/>
  <c r="L114" i="16" s="1"/>
  <c r="K113" i="16"/>
  <c r="L113" i="16" s="1"/>
  <c r="H113" i="16"/>
  <c r="K112" i="16"/>
  <c r="L112" i="16" s="1"/>
  <c r="K111" i="16"/>
  <c r="L111" i="16" s="1"/>
  <c r="H111" i="16"/>
  <c r="H116" i="16" s="1"/>
  <c r="E111" i="16"/>
  <c r="L110" i="16"/>
  <c r="K110" i="16"/>
  <c r="L109" i="16"/>
  <c r="K109" i="16"/>
  <c r="K108" i="16"/>
  <c r="L108" i="16" s="1"/>
  <c r="K107" i="16"/>
  <c r="F107" i="16"/>
  <c r="H107" i="16" s="1"/>
  <c r="E107" i="16"/>
  <c r="K106" i="16"/>
  <c r="F106" i="16"/>
  <c r="H106" i="16" s="1"/>
  <c r="E106" i="16"/>
  <c r="K105" i="16"/>
  <c r="F105" i="16"/>
  <c r="E105" i="16"/>
  <c r="L104" i="16"/>
  <c r="K104" i="16"/>
  <c r="K103" i="16"/>
  <c r="L103" i="16" s="1"/>
  <c r="K102" i="16"/>
  <c r="H102" i="16"/>
  <c r="G102" i="16"/>
  <c r="E102" i="16"/>
  <c r="K101" i="16"/>
  <c r="L101" i="16" s="1"/>
  <c r="H101" i="16"/>
  <c r="G101" i="16"/>
  <c r="E101" i="16"/>
  <c r="K100" i="16"/>
  <c r="G100" i="16"/>
  <c r="H100" i="16" s="1"/>
  <c r="E100" i="16"/>
  <c r="L99" i="16"/>
  <c r="K99" i="16"/>
  <c r="L98" i="16"/>
  <c r="K98" i="16"/>
  <c r="K97" i="16"/>
  <c r="E97" i="16"/>
  <c r="H97" i="16" s="1"/>
  <c r="K96" i="16"/>
  <c r="L96" i="16" s="1"/>
  <c r="L95" i="16"/>
  <c r="K95" i="16"/>
  <c r="K94" i="16"/>
  <c r="L94" i="16" s="1"/>
  <c r="K93" i="16"/>
  <c r="L92" i="16"/>
  <c r="K92" i="16"/>
  <c r="K91" i="16"/>
  <c r="F91" i="16"/>
  <c r="H91" i="16" s="1"/>
  <c r="L91" i="16" s="1"/>
  <c r="K90" i="16"/>
  <c r="F90" i="16"/>
  <c r="L89" i="16"/>
  <c r="K89" i="16"/>
  <c r="K88" i="16"/>
  <c r="L88" i="16" s="1"/>
  <c r="L87" i="16"/>
  <c r="K87" i="16"/>
  <c r="H87" i="16"/>
  <c r="K86" i="16"/>
  <c r="H86" i="16"/>
  <c r="L86" i="16" s="1"/>
  <c r="K85" i="16"/>
  <c r="L85" i="16" s="1"/>
  <c r="H85" i="16"/>
  <c r="K84" i="16"/>
  <c r="H84" i="16"/>
  <c r="E84" i="16"/>
  <c r="L83" i="16"/>
  <c r="K83" i="16"/>
  <c r="H83" i="16"/>
  <c r="K82" i="16"/>
  <c r="H82" i="16"/>
  <c r="L81" i="16"/>
  <c r="K81" i="16"/>
  <c r="H81" i="16"/>
  <c r="K80" i="16"/>
  <c r="L80" i="16" s="1"/>
  <c r="H80" i="16"/>
  <c r="L79" i="16"/>
  <c r="K79" i="16"/>
  <c r="H79" i="16"/>
  <c r="K78" i="16"/>
  <c r="H78" i="16"/>
  <c r="K77" i="16"/>
  <c r="L77" i="16" s="1"/>
  <c r="H77" i="16"/>
  <c r="L76" i="16"/>
  <c r="K76" i="16"/>
  <c r="H76" i="16"/>
  <c r="L75" i="16"/>
  <c r="K75" i="16"/>
  <c r="H75" i="16"/>
  <c r="K74" i="16"/>
  <c r="L74" i="16" s="1"/>
  <c r="H74" i="16"/>
  <c r="K73" i="16"/>
  <c r="L73" i="16" s="1"/>
  <c r="H73" i="16"/>
  <c r="K72" i="16"/>
  <c r="L72" i="16" s="1"/>
  <c r="H72" i="16"/>
  <c r="L71" i="16"/>
  <c r="K71" i="16"/>
  <c r="L70" i="16"/>
  <c r="K70" i="16"/>
  <c r="L69" i="16"/>
  <c r="K69" i="16"/>
  <c r="K68" i="16"/>
  <c r="L68" i="16" s="1"/>
  <c r="E68" i="16"/>
  <c r="K67" i="16"/>
  <c r="L67" i="16" s="1"/>
  <c r="K66" i="16"/>
  <c r="L66" i="16" s="1"/>
  <c r="K64" i="16"/>
  <c r="G64" i="16"/>
  <c r="H64" i="16" s="1"/>
  <c r="L64" i="16" s="1"/>
  <c r="K63" i="16"/>
  <c r="H63" i="16"/>
  <c r="K62" i="16"/>
  <c r="L62" i="16" s="1"/>
  <c r="H62" i="16"/>
  <c r="L61" i="16"/>
  <c r="K61" i="16"/>
  <c r="K60" i="16"/>
  <c r="L60" i="16" s="1"/>
  <c r="J60" i="16"/>
  <c r="J65" i="16" s="1"/>
  <c r="K65" i="16" s="1"/>
  <c r="L65" i="16" s="1"/>
  <c r="L59" i="16"/>
  <c r="K59" i="16"/>
  <c r="H59" i="16"/>
  <c r="K58" i="16"/>
  <c r="L58" i="16" s="1"/>
  <c r="H58" i="16"/>
  <c r="K57" i="16"/>
  <c r="L57" i="16" s="1"/>
  <c r="H57" i="16"/>
  <c r="K56" i="16"/>
  <c r="L56" i="16" s="1"/>
  <c r="H56" i="16"/>
  <c r="E56" i="16"/>
  <c r="K55" i="16"/>
  <c r="H55" i="16"/>
  <c r="K54" i="16"/>
  <c r="L54" i="16" s="1"/>
  <c r="H54" i="16"/>
  <c r="K53" i="16"/>
  <c r="H53" i="16"/>
  <c r="L53" i="16" s="1"/>
  <c r="L52" i="16"/>
  <c r="K52" i="16"/>
  <c r="H52" i="16"/>
  <c r="K51" i="16"/>
  <c r="L51" i="16" s="1"/>
  <c r="H51" i="16"/>
  <c r="K50" i="16"/>
  <c r="L50" i="16" s="1"/>
  <c r="H50" i="16"/>
  <c r="K49" i="16"/>
  <c r="H49" i="16"/>
  <c r="L49" i="16" s="1"/>
  <c r="L48" i="16"/>
  <c r="K48" i="16"/>
  <c r="H48" i="16"/>
  <c r="K47" i="16"/>
  <c r="H47" i="16"/>
  <c r="L46" i="16"/>
  <c r="K46" i="16"/>
  <c r="H46" i="16"/>
  <c r="K45" i="16"/>
  <c r="H45" i="16"/>
  <c r="L45" i="16" s="1"/>
  <c r="K44" i="16"/>
  <c r="L44" i="16" s="1"/>
  <c r="H44" i="16"/>
  <c r="K43" i="16"/>
  <c r="L43" i="16" s="1"/>
  <c r="L42" i="16"/>
  <c r="K42" i="16"/>
  <c r="L41" i="16"/>
  <c r="K41" i="16"/>
  <c r="K40" i="16"/>
  <c r="L40" i="16" s="1"/>
  <c r="E40" i="16"/>
  <c r="E168" i="16" s="1"/>
  <c r="H168" i="16" s="1"/>
  <c r="L39" i="16"/>
  <c r="K39" i="16"/>
  <c r="K38" i="16"/>
  <c r="G38" i="16"/>
  <c r="F94" i="16" s="1"/>
  <c r="H94" i="16" s="1"/>
  <c r="E38" i="16"/>
  <c r="E41" i="16" s="1"/>
  <c r="E94" i="16" s="1"/>
  <c r="K37" i="16"/>
  <c r="K36" i="16"/>
  <c r="G36" i="16"/>
  <c r="H36" i="16" s="1"/>
  <c r="K35" i="16"/>
  <c r="L35" i="16" s="1"/>
  <c r="G35" i="16"/>
  <c r="H35" i="16" s="1"/>
  <c r="K34" i="16"/>
  <c r="L34" i="16" s="1"/>
  <c r="H34" i="16"/>
  <c r="G34" i="16"/>
  <c r="K33" i="16"/>
  <c r="H33" i="16"/>
  <c r="G33" i="16"/>
  <c r="K32" i="16"/>
  <c r="L32" i="16" s="1"/>
  <c r="G32" i="16"/>
  <c r="H32" i="16" s="1"/>
  <c r="K31" i="16"/>
  <c r="L31" i="16" s="1"/>
  <c r="H31" i="16"/>
  <c r="G31" i="16"/>
  <c r="K30" i="16"/>
  <c r="H30" i="16"/>
  <c r="G30" i="16"/>
  <c r="L29" i="16"/>
  <c r="K29" i="16"/>
  <c r="G29" i="16"/>
  <c r="H29" i="16" s="1"/>
  <c r="K28" i="16"/>
  <c r="H28" i="16"/>
  <c r="L28" i="16" s="1"/>
  <c r="G28" i="16"/>
  <c r="K27" i="16"/>
  <c r="G27" i="16"/>
  <c r="H27" i="16" s="1"/>
  <c r="L26" i="16"/>
  <c r="K26" i="16"/>
  <c r="G26" i="16"/>
  <c r="H26" i="16" s="1"/>
  <c r="K25" i="16"/>
  <c r="L25" i="16" s="1"/>
  <c r="H25" i="16"/>
  <c r="G25" i="16"/>
  <c r="K24" i="16"/>
  <c r="H24" i="16"/>
  <c r="G24" i="16"/>
  <c r="K23" i="16"/>
  <c r="L23" i="16" s="1"/>
  <c r="G23" i="16"/>
  <c r="H23" i="16" s="1"/>
  <c r="K22" i="16"/>
  <c r="L22" i="16" s="1"/>
  <c r="H22" i="16"/>
  <c r="G22" i="16"/>
  <c r="K21" i="16"/>
  <c r="G21" i="16"/>
  <c r="H21" i="16" s="1"/>
  <c r="L20" i="16"/>
  <c r="K20" i="16"/>
  <c r="G20" i="16"/>
  <c r="H20" i="16" s="1"/>
  <c r="K19" i="16"/>
  <c r="L19" i="16" s="1"/>
  <c r="H19" i="16"/>
  <c r="G19" i="16"/>
  <c r="K18" i="16"/>
  <c r="G18" i="16"/>
  <c r="H18" i="16" s="1"/>
  <c r="K17" i="16"/>
  <c r="L17" i="16" s="1"/>
  <c r="G17" i="16"/>
  <c r="H17" i="16" s="1"/>
  <c r="K16" i="16"/>
  <c r="L16" i="16" s="1"/>
  <c r="L15" i="16"/>
  <c r="K15" i="16"/>
  <c r="K14" i="16"/>
  <c r="H14" i="16"/>
  <c r="E14" i="16"/>
  <c r="E91" i="16" s="1"/>
  <c r="K13" i="16"/>
  <c r="L13" i="16" s="1"/>
  <c r="E13" i="16"/>
  <c r="H13" i="16" s="1"/>
  <c r="K12" i="16"/>
  <c r="L12" i="16" s="1"/>
  <c r="L11" i="16"/>
  <c r="K11" i="16"/>
  <c r="K10" i="16"/>
  <c r="L10" i="16" s="1"/>
  <c r="D10" i="16"/>
  <c r="D9" i="16"/>
  <c r="D102" i="16" s="1"/>
  <c r="H8" i="16"/>
  <c r="D8" i="16"/>
  <c r="D101" i="16" s="1"/>
  <c r="H7" i="16"/>
  <c r="D7" i="16"/>
  <c r="D100" i="16" s="1"/>
  <c r="L104" i="15"/>
  <c r="K104" i="15"/>
  <c r="K102" i="15"/>
  <c r="L102" i="15" s="1"/>
  <c r="K101" i="15"/>
  <c r="L101" i="15" s="1"/>
  <c r="K100" i="15"/>
  <c r="K99" i="15"/>
  <c r="L99" i="15" s="1"/>
  <c r="K98" i="15"/>
  <c r="L98" i="15" s="1"/>
  <c r="K97" i="15"/>
  <c r="L97" i="15" s="1"/>
  <c r="G97" i="15"/>
  <c r="H97" i="15" s="1"/>
  <c r="E97" i="15"/>
  <c r="K96" i="15"/>
  <c r="E96" i="15"/>
  <c r="K95" i="15"/>
  <c r="E95" i="15"/>
  <c r="K94" i="15"/>
  <c r="E94" i="15"/>
  <c r="K93" i="15"/>
  <c r="L93" i="15" s="1"/>
  <c r="K92" i="15"/>
  <c r="L92" i="15" s="1"/>
  <c r="K91" i="15"/>
  <c r="G91" i="15"/>
  <c r="K90" i="15"/>
  <c r="L90" i="15" s="1"/>
  <c r="K89" i="15"/>
  <c r="L89" i="15" s="1"/>
  <c r="K88" i="15"/>
  <c r="E88" i="15"/>
  <c r="K87" i="15"/>
  <c r="E87" i="15"/>
  <c r="K86" i="15"/>
  <c r="E86" i="15"/>
  <c r="K85" i="15"/>
  <c r="E85" i="15"/>
  <c r="K84" i="15"/>
  <c r="E84" i="15"/>
  <c r="K83" i="15"/>
  <c r="E83" i="15"/>
  <c r="L82" i="15"/>
  <c r="K82" i="15"/>
  <c r="L81" i="15"/>
  <c r="K81" i="15"/>
  <c r="K80" i="15"/>
  <c r="H80" i="15"/>
  <c r="K79" i="15"/>
  <c r="L79" i="15" s="1"/>
  <c r="H79" i="15"/>
  <c r="L78" i="15"/>
  <c r="K78" i="15"/>
  <c r="E78" i="15"/>
  <c r="L77" i="15"/>
  <c r="K77" i="15"/>
  <c r="K76" i="15"/>
  <c r="L76" i="15" s="1"/>
  <c r="E72" i="15"/>
  <c r="E74" i="15" s="1"/>
  <c r="H71" i="15"/>
  <c r="H70" i="15"/>
  <c r="H69" i="15"/>
  <c r="H68" i="15"/>
  <c r="H67" i="15"/>
  <c r="H66" i="15"/>
  <c r="H65" i="15"/>
  <c r="H64" i="15"/>
  <c r="H63" i="15"/>
  <c r="H62" i="15"/>
  <c r="H61" i="15"/>
  <c r="H60" i="15"/>
  <c r="H59" i="15"/>
  <c r="H58" i="15"/>
  <c r="H57" i="15"/>
  <c r="H56" i="15"/>
  <c r="H55" i="15"/>
  <c r="G51" i="15"/>
  <c r="H51" i="15" s="1"/>
  <c r="G50" i="15"/>
  <c r="G49" i="15"/>
  <c r="G95" i="15" s="1"/>
  <c r="G48" i="15"/>
  <c r="G94" i="15" s="1"/>
  <c r="L38" i="15"/>
  <c r="K38" i="15"/>
  <c r="H34" i="15"/>
  <c r="D34" i="15"/>
  <c r="D48" i="15" s="1"/>
  <c r="K30" i="15"/>
  <c r="L30" i="15" s="1"/>
  <c r="H29" i="15"/>
  <c r="E29" i="15"/>
  <c r="E37" i="15" s="1"/>
  <c r="D28" i="15"/>
  <c r="H28" i="15" s="1"/>
  <c r="H27" i="15"/>
  <c r="D27" i="15"/>
  <c r="D35" i="15" s="1"/>
  <c r="H26" i="15"/>
  <c r="D26" i="15"/>
  <c r="K24" i="15"/>
  <c r="L24" i="15" s="1"/>
  <c r="H23" i="15"/>
  <c r="D22" i="15"/>
  <c r="H22" i="15" s="1"/>
  <c r="D21" i="15"/>
  <c r="H21" i="15" s="1"/>
  <c r="D20" i="15"/>
  <c r="H20" i="15" s="1"/>
  <c r="L18" i="15"/>
  <c r="K18" i="15"/>
  <c r="L17" i="15"/>
  <c r="K17" i="15"/>
  <c r="H17" i="15"/>
  <c r="L14" i="15"/>
  <c r="K14" i="15"/>
  <c r="K13" i="15"/>
  <c r="L13" i="15" s="1"/>
  <c r="E12" i="15"/>
  <c r="H12" i="15" s="1"/>
  <c r="H11" i="15"/>
  <c r="H10" i="15"/>
  <c r="H9" i="15"/>
  <c r="C12" i="14"/>
  <c r="L164" i="13"/>
  <c r="K164" i="13"/>
  <c r="L163" i="13"/>
  <c r="K163" i="13"/>
  <c r="L162" i="13"/>
  <c r="K162" i="13"/>
  <c r="H162" i="13"/>
  <c r="L161" i="13"/>
  <c r="K161" i="13"/>
  <c r="L160" i="13"/>
  <c r="K160" i="13"/>
  <c r="L159" i="13"/>
  <c r="K159" i="13"/>
  <c r="H159" i="13"/>
  <c r="L158" i="13"/>
  <c r="K158" i="13"/>
  <c r="K157" i="13"/>
  <c r="L157" i="13" s="1"/>
  <c r="K156" i="13"/>
  <c r="L156" i="13" s="1"/>
  <c r="H156" i="13"/>
  <c r="L155" i="13"/>
  <c r="K155" i="13"/>
  <c r="H155" i="13"/>
  <c r="L154" i="13"/>
  <c r="K154" i="13"/>
  <c r="L153" i="13"/>
  <c r="K153" i="13"/>
  <c r="L152" i="13"/>
  <c r="K152" i="13"/>
  <c r="K151" i="13"/>
  <c r="L151" i="13" s="1"/>
  <c r="K150" i="13"/>
  <c r="L150" i="13" s="1"/>
  <c r="K149" i="13"/>
  <c r="L149" i="13" s="1"/>
  <c r="E149" i="13"/>
  <c r="L148" i="13"/>
  <c r="K148" i="13"/>
  <c r="K147" i="13"/>
  <c r="L147" i="13" s="1"/>
  <c r="L146" i="13"/>
  <c r="K146" i="13"/>
  <c r="H146" i="13"/>
  <c r="K145" i="13"/>
  <c r="L145" i="13" s="1"/>
  <c r="K144" i="13"/>
  <c r="L144" i="13" s="1"/>
  <c r="K143" i="13"/>
  <c r="L143" i="13" s="1"/>
  <c r="K142" i="13"/>
  <c r="L142" i="13" s="1"/>
  <c r="L141" i="13"/>
  <c r="K141" i="13"/>
  <c r="H141" i="13"/>
  <c r="H143" i="13" s="1"/>
  <c r="K140" i="13"/>
  <c r="L140" i="13" s="1"/>
  <c r="K139" i="13"/>
  <c r="L139" i="13" s="1"/>
  <c r="L138" i="13"/>
  <c r="K138" i="13"/>
  <c r="K137" i="13"/>
  <c r="H137" i="13"/>
  <c r="L137" i="13" s="1"/>
  <c r="L136" i="13"/>
  <c r="K136" i="13"/>
  <c r="K135" i="13"/>
  <c r="H135" i="13"/>
  <c r="L135" i="13" s="1"/>
  <c r="K134" i="13"/>
  <c r="L134" i="13" s="1"/>
  <c r="K133" i="13"/>
  <c r="K132" i="13"/>
  <c r="H132" i="13"/>
  <c r="H133" i="13" s="1"/>
  <c r="L133" i="13" s="1"/>
  <c r="K131" i="13"/>
  <c r="L131" i="13" s="1"/>
  <c r="K130" i="13"/>
  <c r="D130" i="13"/>
  <c r="K129" i="13"/>
  <c r="H129" i="13"/>
  <c r="E129" i="13"/>
  <c r="K128" i="13"/>
  <c r="L128" i="13" s="1"/>
  <c r="K127" i="13"/>
  <c r="L127" i="13" s="1"/>
  <c r="K126" i="13"/>
  <c r="L126" i="13" s="1"/>
  <c r="H126" i="13"/>
  <c r="L125" i="13"/>
  <c r="K125" i="13"/>
  <c r="K124" i="13"/>
  <c r="L124" i="13" s="1"/>
  <c r="K123" i="13"/>
  <c r="L123" i="13" s="1"/>
  <c r="K122" i="13"/>
  <c r="E122" i="13"/>
  <c r="H122" i="13" s="1"/>
  <c r="H123" i="13" s="1"/>
  <c r="K121" i="13"/>
  <c r="L121" i="13" s="1"/>
  <c r="L120" i="13"/>
  <c r="K120" i="13"/>
  <c r="L119" i="13"/>
  <c r="K119" i="13"/>
  <c r="L118" i="13"/>
  <c r="K118" i="13"/>
  <c r="K117" i="13"/>
  <c r="L117" i="13" s="1"/>
  <c r="H117" i="13"/>
  <c r="L116" i="13"/>
  <c r="K116" i="13"/>
  <c r="H116" i="13"/>
  <c r="L115" i="13"/>
  <c r="K115" i="13"/>
  <c r="L114" i="13"/>
  <c r="K114" i="13"/>
  <c r="L113" i="13"/>
  <c r="K113" i="13"/>
  <c r="H113" i="13"/>
  <c r="E113" i="13"/>
  <c r="K112" i="13"/>
  <c r="H112" i="13"/>
  <c r="H114" i="13" s="1"/>
  <c r="E112" i="13"/>
  <c r="K111" i="13"/>
  <c r="L111" i="13" s="1"/>
  <c r="K110" i="13"/>
  <c r="L110" i="13" s="1"/>
  <c r="L109" i="13"/>
  <c r="K109" i="13"/>
  <c r="H109" i="13"/>
  <c r="K108" i="13"/>
  <c r="L108" i="13" s="1"/>
  <c r="H108" i="13"/>
  <c r="L107" i="13"/>
  <c r="K107" i="13"/>
  <c r="K106" i="13"/>
  <c r="L106" i="13" s="1"/>
  <c r="K105" i="13"/>
  <c r="L105" i="13" s="1"/>
  <c r="L104" i="13"/>
  <c r="K104" i="13"/>
  <c r="K103" i="13"/>
  <c r="G103" i="13"/>
  <c r="K102" i="13"/>
  <c r="K101" i="13"/>
  <c r="L101" i="13" s="1"/>
  <c r="G101" i="13"/>
  <c r="H101" i="13" s="1"/>
  <c r="E101" i="13"/>
  <c r="K100" i="13"/>
  <c r="G100" i="13"/>
  <c r="L99" i="13"/>
  <c r="K99" i="13"/>
  <c r="K98" i="13"/>
  <c r="L98" i="13" s="1"/>
  <c r="K97" i="13"/>
  <c r="L97" i="13" s="1"/>
  <c r="H97" i="13"/>
  <c r="K96" i="13"/>
  <c r="H96" i="13"/>
  <c r="L96" i="13" s="1"/>
  <c r="L95" i="13"/>
  <c r="K95" i="13"/>
  <c r="L94" i="13"/>
  <c r="K94" i="13"/>
  <c r="H94" i="13"/>
  <c r="E94" i="13"/>
  <c r="K93" i="13"/>
  <c r="L93" i="13" s="1"/>
  <c r="G93" i="13"/>
  <c r="K92" i="13"/>
  <c r="G92" i="13"/>
  <c r="E92" i="13"/>
  <c r="H92" i="13" s="1"/>
  <c r="K91" i="13"/>
  <c r="L91" i="13" s="1"/>
  <c r="L90" i="13"/>
  <c r="K90" i="13"/>
  <c r="K89" i="13"/>
  <c r="H89" i="13"/>
  <c r="L89" i="13" s="1"/>
  <c r="K88" i="13"/>
  <c r="L88" i="13" s="1"/>
  <c r="H88" i="13"/>
  <c r="K87" i="13"/>
  <c r="L87" i="13" s="1"/>
  <c r="H87" i="13"/>
  <c r="K86" i="13"/>
  <c r="L86" i="13" s="1"/>
  <c r="H86" i="13"/>
  <c r="L85" i="13"/>
  <c r="K85" i="13"/>
  <c r="L84" i="13"/>
  <c r="K84" i="13"/>
  <c r="L83" i="13"/>
  <c r="K83" i="13"/>
  <c r="E83" i="13"/>
  <c r="L82" i="13"/>
  <c r="K82" i="13"/>
  <c r="K81" i="13"/>
  <c r="L81" i="13" s="1"/>
  <c r="H81" i="13"/>
  <c r="L80" i="13"/>
  <c r="K80" i="13"/>
  <c r="L79" i="13"/>
  <c r="K79" i="13"/>
  <c r="H79" i="13"/>
  <c r="G79" i="13"/>
  <c r="K78" i="13"/>
  <c r="L78" i="13" s="1"/>
  <c r="K77" i="13"/>
  <c r="L77" i="13" s="1"/>
  <c r="L76" i="13"/>
  <c r="K76" i="13"/>
  <c r="K75" i="13"/>
  <c r="K74" i="13"/>
  <c r="L74" i="13" s="1"/>
  <c r="H74" i="13"/>
  <c r="K73" i="13"/>
  <c r="L73" i="13" s="1"/>
  <c r="K72" i="13"/>
  <c r="L72" i="13" s="1"/>
  <c r="K71" i="13"/>
  <c r="E71" i="13"/>
  <c r="K70" i="13"/>
  <c r="L70" i="13" s="1"/>
  <c r="L69" i="13"/>
  <c r="K69" i="13"/>
  <c r="E69" i="13"/>
  <c r="E93" i="13" s="1"/>
  <c r="K68" i="13"/>
  <c r="H68" i="13"/>
  <c r="K67" i="13"/>
  <c r="L67" i="13" s="1"/>
  <c r="G67" i="13"/>
  <c r="H67" i="13" s="1"/>
  <c r="K66" i="13"/>
  <c r="L66" i="13" s="1"/>
  <c r="L65" i="13"/>
  <c r="K65" i="13"/>
  <c r="E65" i="13"/>
  <c r="E100" i="13" s="1"/>
  <c r="H100" i="13" s="1"/>
  <c r="L100" i="13" s="1"/>
  <c r="K64" i="13"/>
  <c r="L64" i="13" s="1"/>
  <c r="H64" i="13"/>
  <c r="G64" i="13"/>
  <c r="K63" i="13"/>
  <c r="H63" i="13"/>
  <c r="L63" i="13" s="1"/>
  <c r="G63" i="13"/>
  <c r="L62" i="13"/>
  <c r="K62" i="13"/>
  <c r="G62" i="13"/>
  <c r="H62" i="13" s="1"/>
  <c r="K61" i="13"/>
  <c r="H61" i="13"/>
  <c r="G61" i="13"/>
  <c r="E61" i="13"/>
  <c r="K60" i="13"/>
  <c r="L60" i="13" s="1"/>
  <c r="K59" i="13"/>
  <c r="L59" i="13" s="1"/>
  <c r="L58" i="13"/>
  <c r="K58" i="13"/>
  <c r="L57" i="13"/>
  <c r="K57" i="13"/>
  <c r="L56" i="13"/>
  <c r="K56" i="13"/>
  <c r="E56" i="13"/>
  <c r="H56" i="13" s="1"/>
  <c r="D56" i="13"/>
  <c r="K55" i="13"/>
  <c r="K54" i="13"/>
  <c r="E54" i="13"/>
  <c r="H54" i="13" s="1"/>
  <c r="L53" i="13"/>
  <c r="K53" i="13"/>
  <c r="H53" i="13"/>
  <c r="E53" i="13"/>
  <c r="D53" i="13"/>
  <c r="K52" i="13"/>
  <c r="L52" i="13" s="1"/>
  <c r="L51" i="13"/>
  <c r="K51" i="13"/>
  <c r="K50" i="13"/>
  <c r="G50" i="13"/>
  <c r="E50" i="13"/>
  <c r="H50" i="13" s="1"/>
  <c r="K49" i="13"/>
  <c r="L49" i="13" s="1"/>
  <c r="K48" i="13"/>
  <c r="K47" i="13"/>
  <c r="L47" i="13" s="1"/>
  <c r="H47" i="13"/>
  <c r="L46" i="13"/>
  <c r="K46" i="13"/>
  <c r="H46" i="13"/>
  <c r="H48" i="13" s="1"/>
  <c r="L48" i="13" s="1"/>
  <c r="L45" i="13"/>
  <c r="K45" i="13"/>
  <c r="K44" i="13"/>
  <c r="L44" i="13" s="1"/>
  <c r="K43" i="13"/>
  <c r="F43" i="13"/>
  <c r="E43" i="13"/>
  <c r="D43" i="13"/>
  <c r="H43" i="13" s="1"/>
  <c r="L43" i="13" s="1"/>
  <c r="K42" i="13"/>
  <c r="F42" i="13"/>
  <c r="E42" i="13"/>
  <c r="H42" i="13" s="1"/>
  <c r="L42" i="13" s="1"/>
  <c r="D42" i="13"/>
  <c r="K41" i="13"/>
  <c r="F41" i="13"/>
  <c r="E41" i="13"/>
  <c r="D41" i="13"/>
  <c r="K40" i="13"/>
  <c r="F40" i="13"/>
  <c r="E40" i="13"/>
  <c r="D40" i="13"/>
  <c r="H40" i="13" s="1"/>
  <c r="L40" i="13" s="1"/>
  <c r="L39" i="13"/>
  <c r="K39" i="13"/>
  <c r="K38" i="13"/>
  <c r="L38" i="13" s="1"/>
  <c r="K37" i="13"/>
  <c r="L37" i="13" s="1"/>
  <c r="K36" i="13"/>
  <c r="H36" i="13"/>
  <c r="L36" i="13" s="1"/>
  <c r="F36" i="13"/>
  <c r="E36" i="13"/>
  <c r="K35" i="13"/>
  <c r="F35" i="13"/>
  <c r="E35" i="13"/>
  <c r="H35" i="13" s="1"/>
  <c r="K34" i="13"/>
  <c r="L34" i="13" s="1"/>
  <c r="H34" i="13"/>
  <c r="F34" i="13"/>
  <c r="E34" i="13"/>
  <c r="K33" i="13"/>
  <c r="H33" i="13"/>
  <c r="F33" i="13"/>
  <c r="E33" i="13"/>
  <c r="K32" i="13"/>
  <c r="F32" i="13"/>
  <c r="E32" i="13"/>
  <c r="H32" i="13" s="1"/>
  <c r="K31" i="13"/>
  <c r="L31" i="13" s="1"/>
  <c r="K30" i="13"/>
  <c r="L30" i="13" s="1"/>
  <c r="K29" i="13"/>
  <c r="L29" i="13" s="1"/>
  <c r="L28" i="13"/>
  <c r="K28" i="13"/>
  <c r="L27" i="13"/>
  <c r="K27" i="13"/>
  <c r="E27" i="13"/>
  <c r="L26" i="13"/>
  <c r="K26" i="13"/>
  <c r="L25" i="13"/>
  <c r="K25" i="13"/>
  <c r="L24" i="13"/>
  <c r="K24" i="13"/>
  <c r="L23" i="13"/>
  <c r="K23" i="13"/>
  <c r="H23" i="13"/>
  <c r="L22" i="13"/>
  <c r="K22" i="13"/>
  <c r="H22" i="13"/>
  <c r="L21" i="13"/>
  <c r="K21" i="13"/>
  <c r="H21" i="13"/>
  <c r="K20" i="13"/>
  <c r="H20" i="13"/>
  <c r="L19" i="13"/>
  <c r="K19" i="13"/>
  <c r="H19" i="13"/>
  <c r="K18" i="13"/>
  <c r="H18" i="13"/>
  <c r="L18" i="13" s="1"/>
  <c r="K17" i="13"/>
  <c r="H17" i="13"/>
  <c r="L17" i="13" s="1"/>
  <c r="K16" i="13"/>
  <c r="L16" i="13" s="1"/>
  <c r="H16" i="13"/>
  <c r="L15" i="13"/>
  <c r="K15" i="13"/>
  <c r="H15" i="13"/>
  <c r="K14" i="13"/>
  <c r="H14" i="13"/>
  <c r="L14" i="13" s="1"/>
  <c r="L13" i="13"/>
  <c r="K13" i="13"/>
  <c r="L12" i="13"/>
  <c r="K12" i="13"/>
  <c r="K11" i="13"/>
  <c r="L11" i="13" s="1"/>
  <c r="L10" i="13"/>
  <c r="K10" i="13"/>
  <c r="H9" i="13"/>
  <c r="G8" i="13"/>
  <c r="E8" i="13"/>
  <c r="H7" i="13"/>
  <c r="G7" i="13"/>
  <c r="H6" i="13"/>
  <c r="G6" i="13"/>
  <c r="K418" i="12"/>
  <c r="L418" i="12" s="1"/>
  <c r="K417" i="12"/>
  <c r="H417" i="12"/>
  <c r="L417" i="12" s="1"/>
  <c r="E417" i="12"/>
  <c r="K416" i="12"/>
  <c r="L416" i="12" s="1"/>
  <c r="H416" i="12"/>
  <c r="K415" i="12"/>
  <c r="E415" i="12"/>
  <c r="H415" i="12" s="1"/>
  <c r="L415" i="12" s="1"/>
  <c r="L414" i="12"/>
  <c r="K414" i="12"/>
  <c r="H414" i="12"/>
  <c r="L413" i="12"/>
  <c r="K413" i="12"/>
  <c r="K412" i="12"/>
  <c r="L412" i="12" s="1"/>
  <c r="K411" i="12"/>
  <c r="L411" i="12" s="1"/>
  <c r="K410" i="12"/>
  <c r="L410" i="12" s="1"/>
  <c r="L409" i="12"/>
  <c r="K409" i="12"/>
  <c r="H409" i="12"/>
  <c r="E409" i="12"/>
  <c r="L408" i="12"/>
  <c r="K408" i="12"/>
  <c r="L407" i="12"/>
  <c r="K407" i="12"/>
  <c r="E407" i="12"/>
  <c r="H407" i="12" s="1"/>
  <c r="K406" i="12"/>
  <c r="K405" i="12"/>
  <c r="H405" i="12"/>
  <c r="L405" i="12" s="1"/>
  <c r="L404" i="12"/>
  <c r="K404" i="12"/>
  <c r="E404" i="12"/>
  <c r="K403" i="12"/>
  <c r="L403" i="12" s="1"/>
  <c r="L402" i="12"/>
  <c r="K402" i="12"/>
  <c r="L401" i="12"/>
  <c r="K401" i="12"/>
  <c r="K400" i="12"/>
  <c r="L400" i="12" s="1"/>
  <c r="L399" i="12"/>
  <c r="K399" i="12"/>
  <c r="K398" i="12"/>
  <c r="L398" i="12" s="1"/>
  <c r="K397" i="12"/>
  <c r="L397" i="12" s="1"/>
  <c r="L396" i="12"/>
  <c r="K396" i="12"/>
  <c r="L395" i="12"/>
  <c r="K395" i="12"/>
  <c r="H395" i="12"/>
  <c r="K394" i="12"/>
  <c r="L394" i="12" s="1"/>
  <c r="H394" i="12"/>
  <c r="K393" i="12"/>
  <c r="L393" i="12" s="1"/>
  <c r="H393" i="12"/>
  <c r="L392" i="12"/>
  <c r="H392" i="12"/>
  <c r="K391" i="12"/>
  <c r="L391" i="12" s="1"/>
  <c r="K390" i="12"/>
  <c r="L390" i="12" s="1"/>
  <c r="K389" i="12"/>
  <c r="L389" i="12" s="1"/>
  <c r="H389" i="12"/>
  <c r="K388" i="12"/>
  <c r="E388" i="12"/>
  <c r="H388" i="12" s="1"/>
  <c r="K387" i="12"/>
  <c r="H387" i="12"/>
  <c r="L387" i="12" s="1"/>
  <c r="K386" i="12"/>
  <c r="L386" i="12" s="1"/>
  <c r="L385" i="12"/>
  <c r="K385" i="12"/>
  <c r="L384" i="12"/>
  <c r="K384" i="12"/>
  <c r="L383" i="12"/>
  <c r="K383" i="12"/>
  <c r="K382" i="12"/>
  <c r="L382" i="12" s="1"/>
  <c r="K381" i="12"/>
  <c r="L381" i="12" s="1"/>
  <c r="K380" i="12"/>
  <c r="H380" i="12"/>
  <c r="L379" i="12"/>
  <c r="K379" i="12"/>
  <c r="H379" i="12"/>
  <c r="L378" i="12"/>
  <c r="K378" i="12"/>
  <c r="H378" i="12"/>
  <c r="L377" i="12"/>
  <c r="K377" i="12"/>
  <c r="L376" i="12"/>
  <c r="K376" i="12"/>
  <c r="H376" i="12"/>
  <c r="K375" i="12"/>
  <c r="L375" i="12" s="1"/>
  <c r="H375" i="12"/>
  <c r="K374" i="12"/>
  <c r="L374" i="12" s="1"/>
  <c r="K373" i="12"/>
  <c r="L373" i="12" s="1"/>
  <c r="L372" i="12"/>
  <c r="K372" i="12"/>
  <c r="H372" i="12"/>
  <c r="K371" i="12"/>
  <c r="L371" i="12" s="1"/>
  <c r="K370" i="12"/>
  <c r="L370" i="12" s="1"/>
  <c r="L369" i="12"/>
  <c r="K369" i="12"/>
  <c r="L368" i="12"/>
  <c r="K368" i="12"/>
  <c r="L367" i="12"/>
  <c r="K367" i="12"/>
  <c r="H367" i="12"/>
  <c r="L366" i="12"/>
  <c r="K366" i="12"/>
  <c r="H366" i="12"/>
  <c r="K365" i="12"/>
  <c r="L365" i="12" s="1"/>
  <c r="H365" i="12"/>
  <c r="K364" i="12"/>
  <c r="L364" i="12" s="1"/>
  <c r="H364" i="12"/>
  <c r="L363" i="12"/>
  <c r="K363" i="12"/>
  <c r="H363" i="12"/>
  <c r="L362" i="12"/>
  <c r="K362" i="12"/>
  <c r="K361" i="12"/>
  <c r="L361" i="12" s="1"/>
  <c r="L360" i="12"/>
  <c r="K360" i="12"/>
  <c r="K359" i="12"/>
  <c r="L359" i="12" s="1"/>
  <c r="K358" i="12"/>
  <c r="H358" i="12"/>
  <c r="K357" i="12"/>
  <c r="L357" i="12" s="1"/>
  <c r="H357" i="12"/>
  <c r="L356" i="12"/>
  <c r="K356" i="12"/>
  <c r="H356" i="12"/>
  <c r="L355" i="12"/>
  <c r="K355" i="12"/>
  <c r="L354" i="12"/>
  <c r="K354" i="12"/>
  <c r="K353" i="12"/>
  <c r="D353" i="12"/>
  <c r="K352" i="12"/>
  <c r="E352" i="12"/>
  <c r="H352" i="12" s="1"/>
  <c r="K351" i="12"/>
  <c r="H351" i="12"/>
  <c r="E351" i="12"/>
  <c r="K350" i="12"/>
  <c r="L350" i="12" s="1"/>
  <c r="K349" i="12"/>
  <c r="L349" i="12" s="1"/>
  <c r="K348" i="12"/>
  <c r="H348" i="12"/>
  <c r="L347" i="12"/>
  <c r="K347" i="12"/>
  <c r="H347" i="12"/>
  <c r="L346" i="12"/>
  <c r="K346" i="12"/>
  <c r="L345" i="12"/>
  <c r="K345" i="12"/>
  <c r="K344" i="12"/>
  <c r="L344" i="12" s="1"/>
  <c r="K343" i="12"/>
  <c r="L343" i="12" s="1"/>
  <c r="H343" i="12"/>
  <c r="E343" i="12"/>
  <c r="K342" i="12"/>
  <c r="H342" i="12"/>
  <c r="L342" i="12" s="1"/>
  <c r="E342" i="12"/>
  <c r="K341" i="12"/>
  <c r="L341" i="12" s="1"/>
  <c r="E341" i="12"/>
  <c r="H341" i="12" s="1"/>
  <c r="K340" i="12"/>
  <c r="E340" i="12"/>
  <c r="H340" i="12" s="1"/>
  <c r="K339" i="12"/>
  <c r="H339" i="12"/>
  <c r="L339" i="12" s="1"/>
  <c r="E339" i="12"/>
  <c r="L338" i="12"/>
  <c r="K338" i="12"/>
  <c r="K337" i="12"/>
  <c r="L337" i="12" s="1"/>
  <c r="K336" i="12"/>
  <c r="L336" i="12" s="1"/>
  <c r="L335" i="12"/>
  <c r="K335" i="12"/>
  <c r="K334" i="12"/>
  <c r="H334" i="12"/>
  <c r="L334" i="12" s="1"/>
  <c r="E334" i="12"/>
  <c r="K333" i="12"/>
  <c r="L333" i="12" s="1"/>
  <c r="E333" i="12"/>
  <c r="H333" i="12" s="1"/>
  <c r="K332" i="12"/>
  <c r="L332" i="12" s="1"/>
  <c r="E332" i="12"/>
  <c r="H332" i="12" s="1"/>
  <c r="K331" i="12"/>
  <c r="H331" i="12"/>
  <c r="L331" i="12" s="1"/>
  <c r="E331" i="12"/>
  <c r="L330" i="12"/>
  <c r="K330" i="12"/>
  <c r="K329" i="12"/>
  <c r="L329" i="12" s="1"/>
  <c r="K328" i="12"/>
  <c r="L328" i="12" s="1"/>
  <c r="L327" i="12"/>
  <c r="K327" i="12"/>
  <c r="H327" i="12"/>
  <c r="E327" i="12"/>
  <c r="L326" i="12"/>
  <c r="K326" i="12"/>
  <c r="H326" i="12"/>
  <c r="E326" i="12"/>
  <c r="K325" i="12"/>
  <c r="L325" i="12" s="1"/>
  <c r="E325" i="12"/>
  <c r="H325" i="12" s="1"/>
  <c r="K324" i="12"/>
  <c r="L324" i="12" s="1"/>
  <c r="H324" i="12"/>
  <c r="E324" i="12"/>
  <c r="L323" i="12"/>
  <c r="K323" i="12"/>
  <c r="E323" i="12"/>
  <c r="H323" i="12" s="1"/>
  <c r="K322" i="12"/>
  <c r="L322" i="12" s="1"/>
  <c r="E322" i="12"/>
  <c r="H322" i="12" s="1"/>
  <c r="L321" i="12"/>
  <c r="K321" i="12"/>
  <c r="L320" i="12"/>
  <c r="K320" i="12"/>
  <c r="K319" i="12"/>
  <c r="H319" i="12"/>
  <c r="L319" i="12" s="1"/>
  <c r="L318" i="12"/>
  <c r="K318" i="12"/>
  <c r="H318" i="12"/>
  <c r="K317" i="12"/>
  <c r="L317" i="12" s="1"/>
  <c r="H317" i="12"/>
  <c r="L316" i="12"/>
  <c r="K316" i="12"/>
  <c r="H316" i="12"/>
  <c r="L315" i="12"/>
  <c r="K315" i="12"/>
  <c r="K314" i="12"/>
  <c r="L314" i="12" s="1"/>
  <c r="K313" i="12"/>
  <c r="E313" i="12"/>
  <c r="H313" i="12" s="1"/>
  <c r="K312" i="12"/>
  <c r="L311" i="12"/>
  <c r="K311" i="12"/>
  <c r="K310" i="12"/>
  <c r="L310" i="12" s="1"/>
  <c r="K309" i="12"/>
  <c r="L309" i="12" s="1"/>
  <c r="K308" i="12"/>
  <c r="H308" i="12"/>
  <c r="L308" i="12" s="1"/>
  <c r="E308" i="12"/>
  <c r="K307" i="12"/>
  <c r="H307" i="12"/>
  <c r="E307" i="12"/>
  <c r="K306" i="12"/>
  <c r="L305" i="12"/>
  <c r="K305" i="12"/>
  <c r="K304" i="12"/>
  <c r="L304" i="12" s="1"/>
  <c r="K303" i="12"/>
  <c r="L303" i="12" s="1"/>
  <c r="K302" i="12"/>
  <c r="L302" i="12" s="1"/>
  <c r="K301" i="12"/>
  <c r="L301" i="12" s="1"/>
  <c r="H301" i="12"/>
  <c r="K300" i="12"/>
  <c r="L300" i="12" s="1"/>
  <c r="H300" i="12"/>
  <c r="L299" i="12"/>
  <c r="K299" i="12"/>
  <c r="K298" i="12"/>
  <c r="L298" i="12" s="1"/>
  <c r="K297" i="12"/>
  <c r="L297" i="12" s="1"/>
  <c r="K296" i="12"/>
  <c r="H296" i="12"/>
  <c r="K295" i="12"/>
  <c r="L295" i="12" s="1"/>
  <c r="H295" i="12"/>
  <c r="L294" i="12"/>
  <c r="K294" i="12"/>
  <c r="H294" i="12"/>
  <c r="L293" i="12"/>
  <c r="K293" i="12"/>
  <c r="H293" i="12"/>
  <c r="K292" i="12"/>
  <c r="L292" i="12" s="1"/>
  <c r="L291" i="12"/>
  <c r="K291" i="12"/>
  <c r="K290" i="12"/>
  <c r="H290" i="12"/>
  <c r="L290" i="12" s="1"/>
  <c r="L289" i="12"/>
  <c r="K289" i="12"/>
  <c r="H289" i="12"/>
  <c r="K288" i="12"/>
  <c r="L288" i="12" s="1"/>
  <c r="H288" i="12"/>
  <c r="K287" i="12"/>
  <c r="L287" i="12" s="1"/>
  <c r="H287" i="12"/>
  <c r="K286" i="12"/>
  <c r="H286" i="12"/>
  <c r="L286" i="12" s="1"/>
  <c r="K285" i="12"/>
  <c r="H285" i="12"/>
  <c r="L285" i="12" s="1"/>
  <c r="K284" i="12"/>
  <c r="L284" i="12" s="1"/>
  <c r="L283" i="12"/>
  <c r="K283" i="12"/>
  <c r="L282" i="12"/>
  <c r="K282" i="12"/>
  <c r="L281" i="12"/>
  <c r="K281" i="12"/>
  <c r="H281" i="12"/>
  <c r="K280" i="12"/>
  <c r="H280" i="12"/>
  <c r="L280" i="12" s="1"/>
  <c r="K279" i="12"/>
  <c r="L279" i="12" s="1"/>
  <c r="L278" i="12"/>
  <c r="K278" i="12"/>
  <c r="L277" i="12"/>
  <c r="K277" i="12"/>
  <c r="L276" i="12"/>
  <c r="K276" i="12"/>
  <c r="K275" i="12"/>
  <c r="G275" i="12"/>
  <c r="K274" i="12"/>
  <c r="G274" i="12"/>
  <c r="L273" i="12"/>
  <c r="K273" i="12"/>
  <c r="K272" i="12"/>
  <c r="L272" i="12" s="1"/>
  <c r="K271" i="12"/>
  <c r="G271" i="12"/>
  <c r="K270" i="12"/>
  <c r="L270" i="12" s="1"/>
  <c r="K269" i="12"/>
  <c r="L269" i="12" s="1"/>
  <c r="H269" i="12"/>
  <c r="L268" i="12"/>
  <c r="K268" i="12"/>
  <c r="K267" i="12"/>
  <c r="L267" i="12" s="1"/>
  <c r="G267" i="12"/>
  <c r="E267" i="12"/>
  <c r="H267" i="12" s="1"/>
  <c r="L266" i="12"/>
  <c r="K266" i="12"/>
  <c r="G266" i="12"/>
  <c r="H266" i="12" s="1"/>
  <c r="E266" i="12"/>
  <c r="L265" i="12"/>
  <c r="K265" i="12"/>
  <c r="G265" i="12"/>
  <c r="H265" i="12" s="1"/>
  <c r="E265" i="12"/>
  <c r="K264" i="12"/>
  <c r="G264" i="12"/>
  <c r="H264" i="12" s="1"/>
  <c r="L264" i="12" s="1"/>
  <c r="E264" i="12"/>
  <c r="K263" i="12"/>
  <c r="H263" i="12"/>
  <c r="L263" i="12" s="1"/>
  <c r="G263" i="12"/>
  <c r="E263" i="12"/>
  <c r="L262" i="12"/>
  <c r="K262" i="12"/>
  <c r="H262" i="12"/>
  <c r="G262" i="12"/>
  <c r="E262" i="12"/>
  <c r="K261" i="12"/>
  <c r="G261" i="12"/>
  <c r="E261" i="12"/>
  <c r="H261" i="12" s="1"/>
  <c r="L261" i="12" s="1"/>
  <c r="L260" i="12"/>
  <c r="K260" i="12"/>
  <c r="H260" i="12"/>
  <c r="G260" i="12"/>
  <c r="E260" i="12"/>
  <c r="K259" i="12"/>
  <c r="G259" i="12"/>
  <c r="E259" i="12"/>
  <c r="H259" i="12" s="1"/>
  <c r="L259" i="12" s="1"/>
  <c r="K258" i="12"/>
  <c r="G258" i="12"/>
  <c r="E258" i="12"/>
  <c r="H258" i="12" s="1"/>
  <c r="K257" i="12"/>
  <c r="G257" i="12"/>
  <c r="K256" i="12"/>
  <c r="L256" i="12" s="1"/>
  <c r="K255" i="12"/>
  <c r="L255" i="12" s="1"/>
  <c r="K254" i="12"/>
  <c r="G254" i="12"/>
  <c r="E254" i="12"/>
  <c r="H254" i="12" s="1"/>
  <c r="L254" i="12" s="1"/>
  <c r="K253" i="12"/>
  <c r="H253" i="12"/>
  <c r="L253" i="12" s="1"/>
  <c r="G253" i="12"/>
  <c r="E253" i="12"/>
  <c r="K252" i="12"/>
  <c r="G252" i="12"/>
  <c r="E252" i="12"/>
  <c r="H252" i="12" s="1"/>
  <c r="K251" i="12"/>
  <c r="G251" i="12"/>
  <c r="E251" i="12"/>
  <c r="H251" i="12" s="1"/>
  <c r="K250" i="12"/>
  <c r="G250" i="12"/>
  <c r="E250" i="12"/>
  <c r="K249" i="12"/>
  <c r="L249" i="12" s="1"/>
  <c r="G249" i="12"/>
  <c r="E249" i="12"/>
  <c r="H249" i="12" s="1"/>
  <c r="L248" i="12"/>
  <c r="K248" i="12"/>
  <c r="G248" i="12"/>
  <c r="E248" i="12"/>
  <c r="H248" i="12" s="1"/>
  <c r="K247" i="12"/>
  <c r="L247" i="12" s="1"/>
  <c r="G247" i="12"/>
  <c r="H247" i="12" s="1"/>
  <c r="E247" i="12"/>
  <c r="K246" i="12"/>
  <c r="G246" i="12"/>
  <c r="H246" i="12" s="1"/>
  <c r="L246" i="12" s="1"/>
  <c r="E246" i="12"/>
  <c r="K245" i="12"/>
  <c r="G245" i="12"/>
  <c r="H245" i="12" s="1"/>
  <c r="L245" i="12" s="1"/>
  <c r="E245" i="12"/>
  <c r="L244" i="12"/>
  <c r="K244" i="12"/>
  <c r="K243" i="12"/>
  <c r="G243" i="12"/>
  <c r="K242" i="12"/>
  <c r="G242" i="12"/>
  <c r="L241" i="12"/>
  <c r="K241" i="12"/>
  <c r="K240" i="12"/>
  <c r="L240" i="12" s="1"/>
  <c r="L239" i="12"/>
  <c r="K239" i="12"/>
  <c r="H239" i="12"/>
  <c r="K238" i="12"/>
  <c r="H238" i="12"/>
  <c r="L238" i="12" s="1"/>
  <c r="K237" i="12"/>
  <c r="H237" i="12"/>
  <c r="L237" i="12" s="1"/>
  <c r="E237" i="12"/>
  <c r="K236" i="12"/>
  <c r="L236" i="12" s="1"/>
  <c r="H236" i="12"/>
  <c r="E236" i="12"/>
  <c r="K235" i="12"/>
  <c r="E235" i="12"/>
  <c r="H235" i="12" s="1"/>
  <c r="L234" i="12"/>
  <c r="K234" i="12"/>
  <c r="H234" i="12"/>
  <c r="E234" i="12"/>
  <c r="L233" i="12"/>
  <c r="K233" i="12"/>
  <c r="H233" i="12"/>
  <c r="L232" i="12"/>
  <c r="K232" i="12"/>
  <c r="H232" i="12"/>
  <c r="K231" i="12"/>
  <c r="H231" i="12"/>
  <c r="K230" i="12"/>
  <c r="L230" i="12" s="1"/>
  <c r="H230" i="12"/>
  <c r="K229" i="12"/>
  <c r="H229" i="12"/>
  <c r="L228" i="12"/>
  <c r="K228" i="12"/>
  <c r="H228" i="12"/>
  <c r="K227" i="12"/>
  <c r="L227" i="12" s="1"/>
  <c r="H227" i="12"/>
  <c r="K226" i="12"/>
  <c r="L226" i="12" s="1"/>
  <c r="K225" i="12"/>
  <c r="L225" i="12" s="1"/>
  <c r="L224" i="12"/>
  <c r="K224" i="12"/>
  <c r="K223" i="12"/>
  <c r="H223" i="12"/>
  <c r="L223" i="12" s="1"/>
  <c r="K222" i="12"/>
  <c r="H222" i="12"/>
  <c r="K221" i="12"/>
  <c r="L221" i="12" s="1"/>
  <c r="H221" i="12"/>
  <c r="L220" i="12"/>
  <c r="K220" i="12"/>
  <c r="H220" i="12"/>
  <c r="L219" i="12"/>
  <c r="K219" i="12"/>
  <c r="H219" i="12"/>
  <c r="K218" i="12"/>
  <c r="L218" i="12" s="1"/>
  <c r="H218" i="12"/>
  <c r="K217" i="12"/>
  <c r="L217" i="12" s="1"/>
  <c r="H217" i="12"/>
  <c r="L216" i="12"/>
  <c r="K216" i="12"/>
  <c r="H216" i="12"/>
  <c r="K215" i="12"/>
  <c r="H215" i="12"/>
  <c r="L215" i="12" s="1"/>
  <c r="K214" i="12"/>
  <c r="L214" i="12" s="1"/>
  <c r="H214" i="12"/>
  <c r="K213" i="12"/>
  <c r="L213" i="12" s="1"/>
  <c r="H213" i="12"/>
  <c r="K212" i="12"/>
  <c r="L212" i="12" s="1"/>
  <c r="L211" i="12"/>
  <c r="K211" i="12"/>
  <c r="K210" i="12"/>
  <c r="L210" i="12" s="1"/>
  <c r="K209" i="12"/>
  <c r="L209" i="12" s="1"/>
  <c r="H209" i="12"/>
  <c r="K208" i="12"/>
  <c r="H208" i="12"/>
  <c r="L208" i="12" s="1"/>
  <c r="E208" i="12"/>
  <c r="E210" i="12" s="1"/>
  <c r="E275" i="12" s="1"/>
  <c r="K207" i="12"/>
  <c r="G207" i="12"/>
  <c r="H207" i="12" s="1"/>
  <c r="L207" i="12" s="1"/>
  <c r="K206" i="12"/>
  <c r="L206" i="12" s="1"/>
  <c r="H206" i="12"/>
  <c r="G206" i="12"/>
  <c r="K205" i="12"/>
  <c r="H205" i="12"/>
  <c r="L205" i="12" s="1"/>
  <c r="G205" i="12"/>
  <c r="L204" i="12"/>
  <c r="K204" i="12"/>
  <c r="G204" i="12"/>
  <c r="H204" i="12" s="1"/>
  <c r="K203" i="12"/>
  <c r="L203" i="12" s="1"/>
  <c r="L202" i="12"/>
  <c r="K202" i="12"/>
  <c r="K201" i="12"/>
  <c r="G201" i="12"/>
  <c r="E201" i="12"/>
  <c r="D201" i="12"/>
  <c r="K200" i="12"/>
  <c r="G200" i="12"/>
  <c r="H200" i="12" s="1"/>
  <c r="L200" i="12" s="1"/>
  <c r="E200" i="12"/>
  <c r="K199" i="12"/>
  <c r="G199" i="12"/>
  <c r="H199" i="12" s="1"/>
  <c r="L199" i="12" s="1"/>
  <c r="K198" i="12"/>
  <c r="L198" i="12" s="1"/>
  <c r="G198" i="12"/>
  <c r="H198" i="12" s="1"/>
  <c r="E198" i="12"/>
  <c r="K197" i="12"/>
  <c r="G197" i="12"/>
  <c r="H197" i="12" s="1"/>
  <c r="L197" i="12" s="1"/>
  <c r="E197" i="12"/>
  <c r="K196" i="12"/>
  <c r="G196" i="12"/>
  <c r="H196" i="12" s="1"/>
  <c r="E196" i="12"/>
  <c r="K195" i="12"/>
  <c r="G195" i="12"/>
  <c r="H195" i="12" s="1"/>
  <c r="L195" i="12" s="1"/>
  <c r="E195" i="12"/>
  <c r="L194" i="12"/>
  <c r="K194" i="12"/>
  <c r="H194" i="12"/>
  <c r="G194" i="12"/>
  <c r="E194" i="12"/>
  <c r="K193" i="12"/>
  <c r="H193" i="12"/>
  <c r="L193" i="12" s="1"/>
  <c r="G193" i="12"/>
  <c r="E193" i="12"/>
  <c r="L192" i="12"/>
  <c r="K192" i="12"/>
  <c r="H192" i="12"/>
  <c r="G192" i="12"/>
  <c r="K191" i="12"/>
  <c r="G191" i="12"/>
  <c r="H191" i="12" s="1"/>
  <c r="L191" i="12" s="1"/>
  <c r="E191" i="12"/>
  <c r="K190" i="12"/>
  <c r="H190" i="12"/>
  <c r="L190" i="12" s="1"/>
  <c r="G190" i="12"/>
  <c r="K189" i="12"/>
  <c r="G189" i="12"/>
  <c r="H189" i="12" s="1"/>
  <c r="L189" i="12" s="1"/>
  <c r="K188" i="12"/>
  <c r="G188" i="12"/>
  <c r="E188" i="12"/>
  <c r="H188" i="12" s="1"/>
  <c r="L188" i="12" s="1"/>
  <c r="K187" i="12"/>
  <c r="G187" i="12"/>
  <c r="E187" i="12"/>
  <c r="K186" i="12"/>
  <c r="L186" i="12" s="1"/>
  <c r="H186" i="12"/>
  <c r="G186" i="12"/>
  <c r="E186" i="12"/>
  <c r="K185" i="12"/>
  <c r="L185" i="12" s="1"/>
  <c r="G185" i="12"/>
  <c r="H185" i="12" s="1"/>
  <c r="K184" i="12"/>
  <c r="H184" i="12"/>
  <c r="G184" i="12"/>
  <c r="K183" i="12"/>
  <c r="L183" i="12" s="1"/>
  <c r="G183" i="12"/>
  <c r="H183" i="12" s="1"/>
  <c r="K182" i="12"/>
  <c r="L182" i="12" s="1"/>
  <c r="K181" i="12"/>
  <c r="L181" i="12" s="1"/>
  <c r="L180" i="12"/>
  <c r="K180" i="12"/>
  <c r="L179" i="12"/>
  <c r="K179" i="12"/>
  <c r="K178" i="12"/>
  <c r="H178" i="12"/>
  <c r="L178" i="12" s="1"/>
  <c r="K177" i="12"/>
  <c r="H177" i="12"/>
  <c r="L177" i="12" s="1"/>
  <c r="K176" i="12"/>
  <c r="L176" i="12" s="1"/>
  <c r="H176" i="12"/>
  <c r="L175" i="12"/>
  <c r="K175" i="12"/>
  <c r="H175" i="12"/>
  <c r="K174" i="12"/>
  <c r="L174" i="12" s="1"/>
  <c r="H174" i="12"/>
  <c r="K173" i="12"/>
  <c r="H173" i="12"/>
  <c r="L173" i="12" s="1"/>
  <c r="K172" i="12"/>
  <c r="H172" i="12"/>
  <c r="K171" i="12"/>
  <c r="L171" i="12" s="1"/>
  <c r="H171" i="12"/>
  <c r="K170" i="12"/>
  <c r="L170" i="12" s="1"/>
  <c r="H170" i="12"/>
  <c r="K169" i="12"/>
  <c r="H169" i="12"/>
  <c r="L169" i="12" s="1"/>
  <c r="K168" i="12"/>
  <c r="L168" i="12" s="1"/>
  <c r="K167" i="12"/>
  <c r="L167" i="12" s="1"/>
  <c r="K166" i="12"/>
  <c r="G166" i="12"/>
  <c r="E166" i="12"/>
  <c r="K165" i="12"/>
  <c r="G165" i="12"/>
  <c r="E165" i="12"/>
  <c r="K164" i="12"/>
  <c r="G164" i="12"/>
  <c r="H164" i="12" s="1"/>
  <c r="L164" i="12" s="1"/>
  <c r="E164" i="12"/>
  <c r="L163" i="12"/>
  <c r="K163" i="12"/>
  <c r="G163" i="12"/>
  <c r="H163" i="12" s="1"/>
  <c r="E163" i="12"/>
  <c r="L162" i="12"/>
  <c r="K162" i="12"/>
  <c r="G162" i="12"/>
  <c r="H162" i="12" s="1"/>
  <c r="E162" i="12"/>
  <c r="L161" i="12"/>
  <c r="K161" i="12"/>
  <c r="L160" i="12"/>
  <c r="K160" i="12"/>
  <c r="K159" i="12"/>
  <c r="G159" i="12"/>
  <c r="H159" i="12" s="1"/>
  <c r="L159" i="12" s="1"/>
  <c r="E159" i="12"/>
  <c r="K158" i="12"/>
  <c r="H158" i="12"/>
  <c r="L158" i="12" s="1"/>
  <c r="G158" i="12"/>
  <c r="E158" i="12"/>
  <c r="L157" i="12"/>
  <c r="K157" i="12"/>
  <c r="H157" i="12"/>
  <c r="G157" i="12"/>
  <c r="E157" i="12"/>
  <c r="K156" i="12"/>
  <c r="L156" i="12" s="1"/>
  <c r="G156" i="12"/>
  <c r="E156" i="12"/>
  <c r="H156" i="12" s="1"/>
  <c r="L155" i="12"/>
  <c r="K155" i="12"/>
  <c r="H155" i="12"/>
  <c r="G155" i="12"/>
  <c r="E155" i="12"/>
  <c r="K154" i="12"/>
  <c r="G154" i="12"/>
  <c r="H154" i="12" s="1"/>
  <c r="E154" i="12"/>
  <c r="K153" i="12"/>
  <c r="G153" i="12"/>
  <c r="H153" i="12" s="1"/>
  <c r="E153" i="12"/>
  <c r="K152" i="12"/>
  <c r="L152" i="12" s="1"/>
  <c r="G152" i="12"/>
  <c r="H152" i="12" s="1"/>
  <c r="E152" i="12"/>
  <c r="K151" i="12"/>
  <c r="G151" i="12"/>
  <c r="E151" i="12"/>
  <c r="L150" i="12"/>
  <c r="K150" i="12"/>
  <c r="G150" i="12"/>
  <c r="H150" i="12" s="1"/>
  <c r="E150" i="12"/>
  <c r="K149" i="12"/>
  <c r="H149" i="12"/>
  <c r="L149" i="12" s="1"/>
  <c r="G149" i="12"/>
  <c r="E149" i="12"/>
  <c r="K148" i="12"/>
  <c r="L148" i="12" s="1"/>
  <c r="H148" i="12"/>
  <c r="G148" i="12"/>
  <c r="E148" i="12"/>
  <c r="K147" i="12"/>
  <c r="G147" i="12"/>
  <c r="E147" i="12"/>
  <c r="K146" i="12"/>
  <c r="G146" i="12"/>
  <c r="E146" i="12"/>
  <c r="L145" i="12"/>
  <c r="K145" i="12"/>
  <c r="G145" i="12"/>
  <c r="E145" i="12"/>
  <c r="H145" i="12" s="1"/>
  <c r="L144" i="12"/>
  <c r="K144" i="12"/>
  <c r="H144" i="12"/>
  <c r="G144" i="12"/>
  <c r="E144" i="12"/>
  <c r="K143" i="12"/>
  <c r="H143" i="12"/>
  <c r="G143" i="12"/>
  <c r="E143" i="12"/>
  <c r="K142" i="12"/>
  <c r="H142" i="12"/>
  <c r="G142" i="12"/>
  <c r="L141" i="12"/>
  <c r="K141" i="12"/>
  <c r="H141" i="12"/>
  <c r="G141" i="12"/>
  <c r="E141" i="12"/>
  <c r="K140" i="12"/>
  <c r="G140" i="12"/>
  <c r="E140" i="12"/>
  <c r="H140" i="12" s="1"/>
  <c r="L140" i="12" s="1"/>
  <c r="K139" i="12"/>
  <c r="L139" i="12" s="1"/>
  <c r="H139" i="12"/>
  <c r="G139" i="12"/>
  <c r="E139" i="12"/>
  <c r="K138" i="12"/>
  <c r="L138" i="12" s="1"/>
  <c r="H138" i="12"/>
  <c r="G138" i="12"/>
  <c r="E138" i="12"/>
  <c r="K137" i="12"/>
  <c r="G137" i="12"/>
  <c r="H137" i="12" s="1"/>
  <c r="E137" i="12"/>
  <c r="K136" i="12"/>
  <c r="L136" i="12" s="1"/>
  <c r="L135" i="12"/>
  <c r="K135" i="12"/>
  <c r="L134" i="12"/>
  <c r="K134" i="12"/>
  <c r="L133" i="12"/>
  <c r="K133" i="12"/>
  <c r="K132" i="12"/>
  <c r="H132" i="12"/>
  <c r="L131" i="12"/>
  <c r="K131" i="12"/>
  <c r="H131" i="12"/>
  <c r="L130" i="12"/>
  <c r="K130" i="12"/>
  <c r="H130" i="12"/>
  <c r="K129" i="12"/>
  <c r="L129" i="12" s="1"/>
  <c r="H129" i="12"/>
  <c r="L128" i="12"/>
  <c r="K128" i="12"/>
  <c r="K127" i="12"/>
  <c r="L127" i="12" s="1"/>
  <c r="K126" i="12"/>
  <c r="L126" i="12" s="1"/>
  <c r="H126" i="12"/>
  <c r="G126" i="12"/>
  <c r="E126" i="12"/>
  <c r="K125" i="12"/>
  <c r="G125" i="12"/>
  <c r="E125" i="12"/>
  <c r="K124" i="12"/>
  <c r="L124" i="12" s="1"/>
  <c r="K123" i="12"/>
  <c r="L123" i="12" s="1"/>
  <c r="K122" i="12"/>
  <c r="F122" i="12"/>
  <c r="D122" i="12"/>
  <c r="K121" i="12"/>
  <c r="F121" i="12"/>
  <c r="D121" i="12"/>
  <c r="K120" i="12"/>
  <c r="F120" i="12"/>
  <c r="D120" i="12"/>
  <c r="K119" i="12"/>
  <c r="F119" i="12"/>
  <c r="D119" i="12"/>
  <c r="L118" i="12"/>
  <c r="K118" i="12"/>
  <c r="L117" i="12"/>
  <c r="K117" i="12"/>
  <c r="K116" i="12"/>
  <c r="F116" i="12"/>
  <c r="K115" i="12"/>
  <c r="L114" i="12"/>
  <c r="K114" i="12"/>
  <c r="L113" i="12"/>
  <c r="K113" i="12"/>
  <c r="L112" i="12"/>
  <c r="K112" i="12"/>
  <c r="K111" i="12"/>
  <c r="F111" i="12"/>
  <c r="E111" i="12"/>
  <c r="D111" i="12"/>
  <c r="H111" i="12" s="1"/>
  <c r="L111" i="12" s="1"/>
  <c r="K110" i="12"/>
  <c r="F110" i="12"/>
  <c r="E110" i="12"/>
  <c r="H110" i="12" s="1"/>
  <c r="L110" i="12" s="1"/>
  <c r="D110" i="12"/>
  <c r="K109" i="12"/>
  <c r="F109" i="12"/>
  <c r="E109" i="12"/>
  <c r="D109" i="12"/>
  <c r="H109" i="12" s="1"/>
  <c r="L109" i="12" s="1"/>
  <c r="K108" i="12"/>
  <c r="H108" i="12"/>
  <c r="L108" i="12" s="1"/>
  <c r="F108" i="12"/>
  <c r="E108" i="12"/>
  <c r="D108" i="12"/>
  <c r="K107" i="12"/>
  <c r="F107" i="12"/>
  <c r="E107" i="12"/>
  <c r="D107" i="12"/>
  <c r="L106" i="12"/>
  <c r="K106" i="12"/>
  <c r="K105" i="12"/>
  <c r="L104" i="12"/>
  <c r="K104" i="12"/>
  <c r="H104" i="12"/>
  <c r="F104" i="12"/>
  <c r="E104" i="12"/>
  <c r="D104" i="12"/>
  <c r="K103" i="12"/>
  <c r="L103" i="12" s="1"/>
  <c r="F103" i="12"/>
  <c r="H103" i="12" s="1"/>
  <c r="E103" i="12"/>
  <c r="D103" i="12"/>
  <c r="K102" i="12"/>
  <c r="F102" i="12"/>
  <c r="D102" i="12"/>
  <c r="C102" i="12"/>
  <c r="K101" i="12"/>
  <c r="F101" i="12"/>
  <c r="D101" i="12"/>
  <c r="C101" i="12"/>
  <c r="K100" i="12"/>
  <c r="F100" i="12"/>
  <c r="D100" i="12"/>
  <c r="C100" i="12"/>
  <c r="K99" i="12"/>
  <c r="H99" i="12"/>
  <c r="L99" i="12" s="1"/>
  <c r="F99" i="12"/>
  <c r="E99" i="12"/>
  <c r="D99" i="12"/>
  <c r="K98" i="12"/>
  <c r="H98" i="12"/>
  <c r="F98" i="12"/>
  <c r="E98" i="12"/>
  <c r="D98" i="12"/>
  <c r="K97" i="12"/>
  <c r="F97" i="12"/>
  <c r="E97" i="12"/>
  <c r="D97" i="12"/>
  <c r="K96" i="12"/>
  <c r="L96" i="12" s="1"/>
  <c r="F96" i="12"/>
  <c r="H96" i="12" s="1"/>
  <c r="E96" i="12"/>
  <c r="D96" i="12"/>
  <c r="K95" i="12"/>
  <c r="H95" i="12"/>
  <c r="E95" i="12"/>
  <c r="D95" i="12"/>
  <c r="L94" i="12"/>
  <c r="K94" i="12"/>
  <c r="F94" i="12"/>
  <c r="H94" i="12" s="1"/>
  <c r="E94" i="12"/>
  <c r="D94" i="12"/>
  <c r="K93" i="12"/>
  <c r="L93" i="12" s="1"/>
  <c r="H93" i="12"/>
  <c r="F93" i="12"/>
  <c r="E93" i="12"/>
  <c r="D93" i="12"/>
  <c r="L92" i="12"/>
  <c r="K92" i="12"/>
  <c r="L91" i="12"/>
  <c r="K91" i="12"/>
  <c r="L90" i="12"/>
  <c r="K90" i="12"/>
  <c r="K89" i="12"/>
  <c r="L89" i="12" s="1"/>
  <c r="E89" i="12"/>
  <c r="H90" i="12" s="1"/>
  <c r="K88" i="12"/>
  <c r="L88" i="12" s="1"/>
  <c r="L87" i="12"/>
  <c r="K87" i="12"/>
  <c r="K86" i="12"/>
  <c r="L86" i="12" s="1"/>
  <c r="J86" i="12"/>
  <c r="K85" i="12"/>
  <c r="G85" i="12"/>
  <c r="H85" i="12" s="1"/>
  <c r="L85" i="12" s="1"/>
  <c r="K84" i="12"/>
  <c r="H84" i="12"/>
  <c r="L84" i="12" s="1"/>
  <c r="E84" i="12"/>
  <c r="K83" i="12"/>
  <c r="L83" i="12" s="1"/>
  <c r="H83" i="12"/>
  <c r="L82" i="12"/>
  <c r="K82" i="12"/>
  <c r="J81" i="12"/>
  <c r="K81" i="12" s="1"/>
  <c r="L81" i="12" s="1"/>
  <c r="K80" i="12"/>
  <c r="L80" i="12" s="1"/>
  <c r="H80" i="12"/>
  <c r="K79" i="12"/>
  <c r="H79" i="12"/>
  <c r="L79" i="12" s="1"/>
  <c r="K78" i="12"/>
  <c r="E78" i="12"/>
  <c r="K77" i="12"/>
  <c r="H77" i="12"/>
  <c r="E77" i="12"/>
  <c r="K76" i="12"/>
  <c r="E76" i="12"/>
  <c r="E101" i="12" s="1"/>
  <c r="H101" i="12" s="1"/>
  <c r="L101" i="12" s="1"/>
  <c r="K75" i="12"/>
  <c r="H75" i="12"/>
  <c r="E75" i="12"/>
  <c r="L74" i="12"/>
  <c r="K74" i="12"/>
  <c r="H74" i="12"/>
  <c r="K73" i="12"/>
  <c r="L73" i="12" s="1"/>
  <c r="H73" i="12"/>
  <c r="K72" i="12"/>
  <c r="H72" i="12"/>
  <c r="K71" i="12"/>
  <c r="L71" i="12" s="1"/>
  <c r="H71" i="12"/>
  <c r="L70" i="12"/>
  <c r="K70" i="12"/>
  <c r="H70" i="12"/>
  <c r="K69" i="12"/>
  <c r="H69" i="12"/>
  <c r="K68" i="12"/>
  <c r="H68" i="12"/>
  <c r="L67" i="12"/>
  <c r="K67" i="12"/>
  <c r="K66" i="12"/>
  <c r="L66" i="12" s="1"/>
  <c r="L65" i="12"/>
  <c r="K65" i="12"/>
  <c r="K64" i="12"/>
  <c r="L64" i="12" s="1"/>
  <c r="L63" i="12"/>
  <c r="K63" i="12"/>
  <c r="L62" i="12"/>
  <c r="K62" i="12"/>
  <c r="K61" i="12"/>
  <c r="L61" i="12" s="1"/>
  <c r="H61" i="12"/>
  <c r="G61" i="12"/>
  <c r="K60" i="12"/>
  <c r="G60" i="12"/>
  <c r="E60" i="12"/>
  <c r="K59" i="12"/>
  <c r="G59" i="12"/>
  <c r="E59" i="12"/>
  <c r="H59" i="12" s="1"/>
  <c r="L59" i="12" s="1"/>
  <c r="L58" i="12"/>
  <c r="K58" i="12"/>
  <c r="H58" i="12"/>
  <c r="G58" i="12"/>
  <c r="E58" i="12"/>
  <c r="K57" i="12"/>
  <c r="G57" i="12"/>
  <c r="H57" i="12" s="1"/>
  <c r="K56" i="12"/>
  <c r="L56" i="12" s="1"/>
  <c r="H56" i="12"/>
  <c r="G56" i="12"/>
  <c r="K55" i="12"/>
  <c r="L55" i="12" s="1"/>
  <c r="H55" i="12"/>
  <c r="G55" i="12"/>
  <c r="K54" i="12"/>
  <c r="H54" i="12"/>
  <c r="G54" i="12"/>
  <c r="E54" i="12"/>
  <c r="K53" i="12"/>
  <c r="G53" i="12"/>
  <c r="H53" i="12" s="1"/>
  <c r="L52" i="12"/>
  <c r="K52" i="12"/>
  <c r="H52" i="12"/>
  <c r="G52" i="12"/>
  <c r="K51" i="12"/>
  <c r="G51" i="12"/>
  <c r="E51" i="12"/>
  <c r="H51" i="12" s="1"/>
  <c r="K50" i="12"/>
  <c r="H50" i="12"/>
  <c r="G50" i="12"/>
  <c r="E50" i="12"/>
  <c r="K49" i="12"/>
  <c r="G49" i="12"/>
  <c r="E49" i="12"/>
  <c r="K48" i="12"/>
  <c r="H48" i="12"/>
  <c r="L48" i="12" s="1"/>
  <c r="G48" i="12"/>
  <c r="E48" i="12"/>
  <c r="K47" i="12"/>
  <c r="L47" i="12" s="1"/>
  <c r="H47" i="12"/>
  <c r="G47" i="12"/>
  <c r="K46" i="12"/>
  <c r="G46" i="12"/>
  <c r="H46" i="12" s="1"/>
  <c r="K45" i="12"/>
  <c r="H45" i="12"/>
  <c r="L45" i="12" s="1"/>
  <c r="G45" i="12"/>
  <c r="K44" i="12"/>
  <c r="H44" i="12"/>
  <c r="G44" i="12"/>
  <c r="E44" i="12"/>
  <c r="K43" i="12"/>
  <c r="G43" i="12"/>
  <c r="H43" i="12" s="1"/>
  <c r="K42" i="12"/>
  <c r="L42" i="12" s="1"/>
  <c r="G42" i="12"/>
  <c r="H42" i="12" s="1"/>
  <c r="K41" i="12"/>
  <c r="L41" i="12" s="1"/>
  <c r="G41" i="12"/>
  <c r="H41" i="12" s="1"/>
  <c r="K40" i="12"/>
  <c r="G40" i="12"/>
  <c r="E40" i="12"/>
  <c r="K39" i="12"/>
  <c r="G39" i="12"/>
  <c r="E39" i="12"/>
  <c r="H39" i="12" s="1"/>
  <c r="L39" i="12" s="1"/>
  <c r="K38" i="12"/>
  <c r="G38" i="12"/>
  <c r="E38" i="12"/>
  <c r="K37" i="12"/>
  <c r="H37" i="12"/>
  <c r="L37" i="12" s="1"/>
  <c r="G37" i="12"/>
  <c r="K36" i="12"/>
  <c r="H36" i="12"/>
  <c r="L36" i="12" s="1"/>
  <c r="G36" i="12"/>
  <c r="K35" i="12"/>
  <c r="G35" i="12"/>
  <c r="H35" i="12" s="1"/>
  <c r="L35" i="12" s="1"/>
  <c r="K34" i="12"/>
  <c r="G34" i="12"/>
  <c r="E34" i="12"/>
  <c r="L33" i="12"/>
  <c r="K33" i="12"/>
  <c r="G33" i="12"/>
  <c r="H33" i="12" s="1"/>
  <c r="E33" i="12"/>
  <c r="K32" i="12"/>
  <c r="L32" i="12" s="1"/>
  <c r="H32" i="12"/>
  <c r="G32" i="12"/>
  <c r="K31" i="12"/>
  <c r="G31" i="12"/>
  <c r="E31" i="12"/>
  <c r="K30" i="12"/>
  <c r="G30" i="12"/>
  <c r="H30" i="12" s="1"/>
  <c r="E30" i="12"/>
  <c r="K29" i="12"/>
  <c r="G29" i="12"/>
  <c r="E29" i="12"/>
  <c r="K28" i="12"/>
  <c r="G28" i="12"/>
  <c r="H28" i="12" s="1"/>
  <c r="L28" i="12" s="1"/>
  <c r="E28" i="12"/>
  <c r="L27" i="12"/>
  <c r="K27" i="12"/>
  <c r="G27" i="12"/>
  <c r="H27" i="12" s="1"/>
  <c r="E27" i="12"/>
  <c r="K26" i="12"/>
  <c r="H26" i="12"/>
  <c r="G26" i="12"/>
  <c r="E26" i="12"/>
  <c r="K25" i="12"/>
  <c r="G25" i="12"/>
  <c r="H25" i="12" s="1"/>
  <c r="E25" i="12"/>
  <c r="K24" i="12"/>
  <c r="L24" i="12" s="1"/>
  <c r="G24" i="12"/>
  <c r="H24" i="12" s="1"/>
  <c r="E24" i="12"/>
  <c r="K23" i="12"/>
  <c r="H23" i="12"/>
  <c r="L23" i="12" s="1"/>
  <c r="G23" i="12"/>
  <c r="K22" i="12"/>
  <c r="L22" i="12" s="1"/>
  <c r="G22" i="12"/>
  <c r="H22" i="12" s="1"/>
  <c r="K21" i="12"/>
  <c r="G21" i="12"/>
  <c r="H21" i="12" s="1"/>
  <c r="L20" i="12"/>
  <c r="K20" i="12"/>
  <c r="H20" i="12"/>
  <c r="G20" i="12"/>
  <c r="E20" i="12"/>
  <c r="L19" i="12"/>
  <c r="K19" i="12"/>
  <c r="G19" i="12"/>
  <c r="H19" i="12" s="1"/>
  <c r="E19" i="12"/>
  <c r="L18" i="12"/>
  <c r="K18" i="12"/>
  <c r="L17" i="12"/>
  <c r="K17" i="12"/>
  <c r="L16" i="12"/>
  <c r="K16" i="12"/>
  <c r="H16" i="12"/>
  <c r="E16" i="12"/>
  <c r="K15" i="12"/>
  <c r="H15" i="12"/>
  <c r="E15" i="12"/>
  <c r="K14" i="12"/>
  <c r="L14" i="12" s="1"/>
  <c r="H14" i="12"/>
  <c r="E14" i="12"/>
  <c r="K13" i="12"/>
  <c r="L13" i="12" s="1"/>
  <c r="H13" i="12"/>
  <c r="E13" i="12"/>
  <c r="K12" i="12"/>
  <c r="E12" i="12"/>
  <c r="H12" i="12" s="1"/>
  <c r="K11" i="12"/>
  <c r="K10" i="12"/>
  <c r="L10" i="12" s="1"/>
  <c r="K9" i="12"/>
  <c r="L9" i="12" s="1"/>
  <c r="D9" i="12"/>
  <c r="H8" i="12"/>
  <c r="H7" i="12"/>
  <c r="K416" i="11"/>
  <c r="L416" i="11" s="1"/>
  <c r="K415" i="11"/>
  <c r="E415" i="11"/>
  <c r="H415" i="11" s="1"/>
  <c r="K414" i="11"/>
  <c r="H414" i="11"/>
  <c r="K413" i="11"/>
  <c r="E413" i="11"/>
  <c r="H413" i="11" s="1"/>
  <c r="K412" i="11"/>
  <c r="L412" i="11" s="1"/>
  <c r="H412" i="11"/>
  <c r="K411" i="11"/>
  <c r="L411" i="11" s="1"/>
  <c r="K410" i="11"/>
  <c r="L410" i="11" s="1"/>
  <c r="L409" i="11"/>
  <c r="K409" i="11"/>
  <c r="L408" i="11"/>
  <c r="K408" i="11"/>
  <c r="K407" i="11"/>
  <c r="E407" i="11"/>
  <c r="H407" i="11" s="1"/>
  <c r="L407" i="11" s="1"/>
  <c r="L406" i="11"/>
  <c r="K406" i="11"/>
  <c r="K405" i="11"/>
  <c r="L405" i="11" s="1"/>
  <c r="E405" i="11"/>
  <c r="K404" i="11"/>
  <c r="K403" i="11"/>
  <c r="H403" i="11"/>
  <c r="L403" i="11" s="1"/>
  <c r="K402" i="11"/>
  <c r="L402" i="11" s="1"/>
  <c r="K401" i="11"/>
  <c r="L401" i="11" s="1"/>
  <c r="K400" i="11"/>
  <c r="L400" i="11" s="1"/>
  <c r="K399" i="11"/>
  <c r="L399" i="11" s="1"/>
  <c r="H399" i="11"/>
  <c r="L398" i="11"/>
  <c r="K398" i="11"/>
  <c r="L397" i="11"/>
  <c r="K397" i="11"/>
  <c r="K396" i="11"/>
  <c r="K395" i="11"/>
  <c r="L395" i="11" s="1"/>
  <c r="L394" i="11"/>
  <c r="K394" i="11"/>
  <c r="K393" i="11"/>
  <c r="H393" i="11"/>
  <c r="L393" i="11" s="1"/>
  <c r="L392" i="11"/>
  <c r="K392" i="11"/>
  <c r="H392" i="11"/>
  <c r="K391" i="11"/>
  <c r="H391" i="11"/>
  <c r="L391" i="11" s="1"/>
  <c r="K390" i="11"/>
  <c r="H390" i="11"/>
  <c r="H394" i="11" s="1"/>
  <c r="H396" i="11" s="1"/>
  <c r="L396" i="11" s="1"/>
  <c r="K389" i="11"/>
  <c r="L389" i="11" s="1"/>
  <c r="L388" i="11"/>
  <c r="K388" i="11"/>
  <c r="K387" i="11"/>
  <c r="L387" i="11" s="1"/>
  <c r="H387" i="11"/>
  <c r="K386" i="11"/>
  <c r="H386" i="11"/>
  <c r="L386" i="11" s="1"/>
  <c r="E386" i="11"/>
  <c r="L385" i="11"/>
  <c r="K385" i="11"/>
  <c r="H385" i="11"/>
  <c r="L384" i="11"/>
  <c r="K384" i="11"/>
  <c r="K383" i="11"/>
  <c r="L383" i="11" s="1"/>
  <c r="L382" i="11"/>
  <c r="K382" i="11"/>
  <c r="K381" i="11"/>
  <c r="L381" i="11" s="1"/>
  <c r="L380" i="11"/>
  <c r="K380" i="11"/>
  <c r="K379" i="11"/>
  <c r="L379" i="11" s="1"/>
  <c r="K378" i="11"/>
  <c r="H378" i="11"/>
  <c r="L378" i="11" s="1"/>
  <c r="K377" i="11"/>
  <c r="L377" i="11" s="1"/>
  <c r="H377" i="11"/>
  <c r="K376" i="11"/>
  <c r="H376" i="11"/>
  <c r="L375" i="11"/>
  <c r="K375" i="11"/>
  <c r="K374" i="11"/>
  <c r="H374" i="11"/>
  <c r="L373" i="11"/>
  <c r="K373" i="11"/>
  <c r="H373" i="11"/>
  <c r="L372" i="11"/>
  <c r="K372" i="11"/>
  <c r="K371" i="11"/>
  <c r="L371" i="11" s="1"/>
  <c r="K370" i="11"/>
  <c r="L370" i="11" s="1"/>
  <c r="H370" i="11"/>
  <c r="L369" i="11"/>
  <c r="K369" i="11"/>
  <c r="K368" i="11"/>
  <c r="L368" i="11" s="1"/>
  <c r="L367" i="11"/>
  <c r="K367" i="11"/>
  <c r="K366" i="11"/>
  <c r="L366" i="11" s="1"/>
  <c r="K365" i="11"/>
  <c r="H365" i="11"/>
  <c r="K364" i="11"/>
  <c r="L364" i="11" s="1"/>
  <c r="H364" i="11"/>
  <c r="L363" i="11"/>
  <c r="K363" i="11"/>
  <c r="H363" i="11"/>
  <c r="L362" i="11"/>
  <c r="K362" i="11"/>
  <c r="H362" i="11"/>
  <c r="K361" i="11"/>
  <c r="H361" i="11"/>
  <c r="L360" i="11"/>
  <c r="K360" i="11"/>
  <c r="L359" i="11"/>
  <c r="K359" i="11"/>
  <c r="L358" i="11"/>
  <c r="K358" i="11"/>
  <c r="L357" i="11"/>
  <c r="K357" i="11"/>
  <c r="L356" i="11"/>
  <c r="K356" i="11"/>
  <c r="H356" i="11"/>
  <c r="L355" i="11"/>
  <c r="K355" i="11"/>
  <c r="H355" i="11"/>
  <c r="L354" i="11"/>
  <c r="K354" i="11"/>
  <c r="H354" i="11"/>
  <c r="L353" i="11"/>
  <c r="K353" i="11"/>
  <c r="K352" i="11"/>
  <c r="L352" i="11" s="1"/>
  <c r="K351" i="11"/>
  <c r="D351" i="11"/>
  <c r="K350" i="11"/>
  <c r="E350" i="11"/>
  <c r="H350" i="11" s="1"/>
  <c r="L350" i="11" s="1"/>
  <c r="K349" i="11"/>
  <c r="L349" i="11" s="1"/>
  <c r="E349" i="11"/>
  <c r="H349" i="11" s="1"/>
  <c r="L348" i="11"/>
  <c r="K348" i="11"/>
  <c r="K347" i="11"/>
  <c r="L347" i="11" s="1"/>
  <c r="K346" i="11"/>
  <c r="H346" i="11"/>
  <c r="K345" i="11"/>
  <c r="H345" i="11"/>
  <c r="L345" i="11" s="1"/>
  <c r="K344" i="11"/>
  <c r="L344" i="11" s="1"/>
  <c r="L343" i="11"/>
  <c r="K343" i="11"/>
  <c r="K342" i="11"/>
  <c r="K341" i="11"/>
  <c r="E341" i="11"/>
  <c r="H341" i="11" s="1"/>
  <c r="L341" i="11" s="1"/>
  <c r="K340" i="11"/>
  <c r="H340" i="11"/>
  <c r="L340" i="11" s="1"/>
  <c r="E340" i="11"/>
  <c r="L339" i="11"/>
  <c r="K339" i="11"/>
  <c r="E339" i="11"/>
  <c r="H339" i="11" s="1"/>
  <c r="L338" i="11"/>
  <c r="K338" i="11"/>
  <c r="E338" i="11"/>
  <c r="H338" i="11" s="1"/>
  <c r="K337" i="11"/>
  <c r="E337" i="11"/>
  <c r="H337" i="11" s="1"/>
  <c r="K336" i="11"/>
  <c r="L336" i="11" s="1"/>
  <c r="K335" i="11"/>
  <c r="L335" i="11" s="1"/>
  <c r="K334" i="11"/>
  <c r="L334" i="11" s="1"/>
  <c r="L333" i="11"/>
  <c r="K333" i="11"/>
  <c r="L332" i="11"/>
  <c r="K332" i="11"/>
  <c r="H332" i="11"/>
  <c r="E332" i="11"/>
  <c r="L331" i="11"/>
  <c r="K331" i="11"/>
  <c r="E331" i="11"/>
  <c r="H331" i="11" s="1"/>
  <c r="K330" i="11"/>
  <c r="E330" i="11"/>
  <c r="H330" i="11" s="1"/>
  <c r="K329" i="11"/>
  <c r="H329" i="11"/>
  <c r="L329" i="11" s="1"/>
  <c r="E329" i="11"/>
  <c r="K328" i="11"/>
  <c r="L328" i="11" s="1"/>
  <c r="K327" i="11"/>
  <c r="L327" i="11" s="1"/>
  <c r="K326" i="11"/>
  <c r="L326" i="11" s="1"/>
  <c r="K325" i="11"/>
  <c r="L325" i="11" s="1"/>
  <c r="H325" i="11"/>
  <c r="E325" i="11"/>
  <c r="K324" i="11"/>
  <c r="L324" i="11" s="1"/>
  <c r="H324" i="11"/>
  <c r="E324" i="11"/>
  <c r="K323" i="11"/>
  <c r="E323" i="11"/>
  <c r="H323" i="11" s="1"/>
  <c r="K322" i="11"/>
  <c r="L322" i="11" s="1"/>
  <c r="H322" i="11"/>
  <c r="E322" i="11"/>
  <c r="K321" i="11"/>
  <c r="E321" i="11"/>
  <c r="H321" i="11" s="1"/>
  <c r="K320" i="11"/>
  <c r="H320" i="11"/>
  <c r="E320" i="11"/>
  <c r="K319" i="11"/>
  <c r="L319" i="11" s="1"/>
  <c r="K318" i="11"/>
  <c r="K317" i="11"/>
  <c r="H317" i="11"/>
  <c r="K316" i="11"/>
  <c r="L316" i="11" s="1"/>
  <c r="H316" i="11"/>
  <c r="L315" i="11"/>
  <c r="K315" i="11"/>
  <c r="H315" i="11"/>
  <c r="K314" i="11"/>
  <c r="H314" i="11"/>
  <c r="L313" i="11"/>
  <c r="K313" i="11"/>
  <c r="L312" i="11"/>
  <c r="K312" i="11"/>
  <c r="L311" i="11"/>
  <c r="K311" i="11"/>
  <c r="H311" i="11"/>
  <c r="H312" i="11" s="1"/>
  <c r="E311" i="11"/>
  <c r="K310" i="11"/>
  <c r="K309" i="11"/>
  <c r="L309" i="11" s="1"/>
  <c r="K308" i="11"/>
  <c r="L308" i="11" s="1"/>
  <c r="K307" i="11"/>
  <c r="K306" i="11"/>
  <c r="E306" i="11"/>
  <c r="H306" i="11" s="1"/>
  <c r="K305" i="11"/>
  <c r="L305" i="11" s="1"/>
  <c r="E305" i="11"/>
  <c r="H305" i="11" s="1"/>
  <c r="K304" i="11"/>
  <c r="L303" i="11"/>
  <c r="K303" i="11"/>
  <c r="K302" i="11"/>
  <c r="L302" i="11" s="1"/>
  <c r="K301" i="11"/>
  <c r="L301" i="11" s="1"/>
  <c r="L300" i="11"/>
  <c r="K300" i="11"/>
  <c r="K299" i="11"/>
  <c r="H299" i="11"/>
  <c r="K298" i="11"/>
  <c r="L298" i="11" s="1"/>
  <c r="H298" i="11"/>
  <c r="K297" i="11"/>
  <c r="L297" i="11" s="1"/>
  <c r="L296" i="11"/>
  <c r="K296" i="11"/>
  <c r="K295" i="11"/>
  <c r="L295" i="11" s="1"/>
  <c r="L294" i="11"/>
  <c r="K294" i="11"/>
  <c r="H294" i="11"/>
  <c r="K293" i="11"/>
  <c r="L293" i="11" s="1"/>
  <c r="H293" i="11"/>
  <c r="K292" i="11"/>
  <c r="L292" i="11" s="1"/>
  <c r="H292" i="11"/>
  <c r="K291" i="11"/>
  <c r="H291" i="11"/>
  <c r="L291" i="11" s="1"/>
  <c r="K290" i="11"/>
  <c r="L290" i="11" s="1"/>
  <c r="K289" i="11"/>
  <c r="L289" i="11" s="1"/>
  <c r="L288" i="11"/>
  <c r="K288" i="11"/>
  <c r="H288" i="11"/>
  <c r="K287" i="11"/>
  <c r="H287" i="11"/>
  <c r="L286" i="11"/>
  <c r="K286" i="11"/>
  <c r="H286" i="11"/>
  <c r="K285" i="11"/>
  <c r="L285" i="11" s="1"/>
  <c r="H285" i="11"/>
  <c r="K284" i="11"/>
  <c r="L284" i="11" s="1"/>
  <c r="H284" i="11"/>
  <c r="K283" i="11"/>
  <c r="L283" i="11" s="1"/>
  <c r="H283" i="11"/>
  <c r="K282" i="11"/>
  <c r="L282" i="11" s="1"/>
  <c r="K281" i="11"/>
  <c r="L281" i="11" s="1"/>
  <c r="K280" i="11"/>
  <c r="L280" i="11" s="1"/>
  <c r="K279" i="11"/>
  <c r="L279" i="11" s="1"/>
  <c r="H279" i="11"/>
  <c r="K278" i="11"/>
  <c r="H278" i="11"/>
  <c r="L277" i="11"/>
  <c r="K277" i="11"/>
  <c r="L276" i="11"/>
  <c r="K276" i="11"/>
  <c r="L275" i="11"/>
  <c r="K275" i="11"/>
  <c r="L274" i="11"/>
  <c r="K274" i="11"/>
  <c r="K273" i="11"/>
  <c r="G273" i="11"/>
  <c r="E273" i="11"/>
  <c r="H273" i="11" s="1"/>
  <c r="K272" i="11"/>
  <c r="H272" i="11"/>
  <c r="L272" i="11" s="1"/>
  <c r="G272" i="11"/>
  <c r="E272" i="11"/>
  <c r="L271" i="11"/>
  <c r="K271" i="11"/>
  <c r="K270" i="11"/>
  <c r="L270" i="11" s="1"/>
  <c r="K269" i="11"/>
  <c r="G269" i="11"/>
  <c r="L268" i="11"/>
  <c r="K268" i="11"/>
  <c r="K267" i="11"/>
  <c r="L267" i="11" s="1"/>
  <c r="K266" i="11"/>
  <c r="K265" i="11"/>
  <c r="E265" i="11"/>
  <c r="H265" i="11" s="1"/>
  <c r="K264" i="11"/>
  <c r="E264" i="11"/>
  <c r="H264" i="11" s="1"/>
  <c r="L264" i="11" s="1"/>
  <c r="K263" i="11"/>
  <c r="G263" i="11"/>
  <c r="E263" i="11"/>
  <c r="H263" i="11" s="1"/>
  <c r="K262" i="11"/>
  <c r="L262" i="11" s="1"/>
  <c r="G262" i="11"/>
  <c r="E262" i="11"/>
  <c r="H262" i="11" s="1"/>
  <c r="K261" i="11"/>
  <c r="L261" i="11" s="1"/>
  <c r="H261" i="11"/>
  <c r="K260" i="11"/>
  <c r="G260" i="11"/>
  <c r="E260" i="11"/>
  <c r="H260" i="11" s="1"/>
  <c r="L260" i="11" s="1"/>
  <c r="K259" i="11"/>
  <c r="H259" i="11"/>
  <c r="G259" i="11"/>
  <c r="E259" i="11"/>
  <c r="K258" i="11"/>
  <c r="L258" i="11" s="1"/>
  <c r="H258" i="11"/>
  <c r="G258" i="11"/>
  <c r="E258" i="11"/>
  <c r="K257" i="11"/>
  <c r="G257" i="11"/>
  <c r="E257" i="11"/>
  <c r="H257" i="11" s="1"/>
  <c r="L257" i="11" s="1"/>
  <c r="K256" i="11"/>
  <c r="L256" i="11" s="1"/>
  <c r="G256" i="11"/>
  <c r="E256" i="11"/>
  <c r="H256" i="11" s="1"/>
  <c r="K255" i="11"/>
  <c r="G255" i="11"/>
  <c r="E255" i="11"/>
  <c r="H255" i="11" s="1"/>
  <c r="K254" i="11"/>
  <c r="G254" i="11"/>
  <c r="L253" i="11"/>
  <c r="K253" i="11"/>
  <c r="K252" i="11"/>
  <c r="K251" i="11"/>
  <c r="L251" i="11" s="1"/>
  <c r="H251" i="11"/>
  <c r="E251" i="11"/>
  <c r="K250" i="11"/>
  <c r="L250" i="11" s="1"/>
  <c r="H250" i="11"/>
  <c r="L249" i="11"/>
  <c r="K249" i="11"/>
  <c r="G249" i="11"/>
  <c r="E249" i="11"/>
  <c r="H249" i="11" s="1"/>
  <c r="K248" i="11"/>
  <c r="G248" i="11"/>
  <c r="H248" i="11" s="1"/>
  <c r="E248" i="11"/>
  <c r="K247" i="11"/>
  <c r="G247" i="11"/>
  <c r="H247" i="11" s="1"/>
  <c r="E247" i="11"/>
  <c r="K246" i="11"/>
  <c r="L246" i="11" s="1"/>
  <c r="H246" i="11"/>
  <c r="E246" i="11"/>
  <c r="K245" i="11"/>
  <c r="H245" i="11"/>
  <c r="E245" i="11"/>
  <c r="K244" i="11"/>
  <c r="H244" i="11"/>
  <c r="E244" i="11"/>
  <c r="K243" i="11"/>
  <c r="G243" i="11"/>
  <c r="H243" i="11" s="1"/>
  <c r="E243" i="11"/>
  <c r="K242" i="11"/>
  <c r="L242" i="11" s="1"/>
  <c r="K241" i="11"/>
  <c r="G241" i="11"/>
  <c r="H241" i="11" s="1"/>
  <c r="L241" i="11" s="1"/>
  <c r="E241" i="11"/>
  <c r="K240" i="11"/>
  <c r="H240" i="11"/>
  <c r="G240" i="11"/>
  <c r="E240" i="11"/>
  <c r="K239" i="11"/>
  <c r="L239" i="11" s="1"/>
  <c r="K238" i="11"/>
  <c r="L238" i="11" s="1"/>
  <c r="K237" i="11"/>
  <c r="L237" i="11" s="1"/>
  <c r="H237" i="11"/>
  <c r="K236" i="11"/>
  <c r="H236" i="11"/>
  <c r="K235" i="11"/>
  <c r="L235" i="11" s="1"/>
  <c r="H235" i="11"/>
  <c r="E235" i="11"/>
  <c r="L234" i="11"/>
  <c r="K234" i="11"/>
  <c r="H234" i="11"/>
  <c r="E234" i="11"/>
  <c r="K233" i="11"/>
  <c r="L233" i="11" s="1"/>
  <c r="H233" i="11"/>
  <c r="E233" i="11"/>
  <c r="K232" i="11"/>
  <c r="H232" i="11"/>
  <c r="E232" i="11"/>
  <c r="K231" i="11"/>
  <c r="L231" i="11" s="1"/>
  <c r="H231" i="11"/>
  <c r="L230" i="11"/>
  <c r="K230" i="11"/>
  <c r="H230" i="11"/>
  <c r="L229" i="11"/>
  <c r="K229" i="11"/>
  <c r="H229" i="11"/>
  <c r="K228" i="11"/>
  <c r="H228" i="11"/>
  <c r="K227" i="11"/>
  <c r="H227" i="11"/>
  <c r="L226" i="11"/>
  <c r="K226" i="11"/>
  <c r="H226" i="11"/>
  <c r="K225" i="11"/>
  <c r="H225" i="11"/>
  <c r="K224" i="11"/>
  <c r="L224" i="11" s="1"/>
  <c r="L223" i="11"/>
  <c r="K223" i="11"/>
  <c r="K222" i="11"/>
  <c r="L222" i="11" s="1"/>
  <c r="L221" i="11"/>
  <c r="K221" i="11"/>
  <c r="H221" i="11"/>
  <c r="K220" i="11"/>
  <c r="H220" i="11"/>
  <c r="K219" i="11"/>
  <c r="H219" i="11"/>
  <c r="K218" i="11"/>
  <c r="L218" i="11" s="1"/>
  <c r="H218" i="11"/>
  <c r="L217" i="11"/>
  <c r="K217" i="11"/>
  <c r="H217" i="11"/>
  <c r="K216" i="11"/>
  <c r="H216" i="11"/>
  <c r="L215" i="11"/>
  <c r="K215" i="11"/>
  <c r="H215" i="11"/>
  <c r="K214" i="11"/>
  <c r="H214" i="11"/>
  <c r="L213" i="11"/>
  <c r="K213" i="11"/>
  <c r="H213" i="11"/>
  <c r="K212" i="11"/>
  <c r="H212" i="11"/>
  <c r="L212" i="11" s="1"/>
  <c r="K211" i="11"/>
  <c r="L211" i="11" s="1"/>
  <c r="H211" i="11"/>
  <c r="K210" i="11"/>
  <c r="L210" i="11" s="1"/>
  <c r="K209" i="11"/>
  <c r="L209" i="11" s="1"/>
  <c r="K208" i="11"/>
  <c r="L208" i="11" s="1"/>
  <c r="E208" i="11"/>
  <c r="L207" i="11"/>
  <c r="K207" i="11"/>
  <c r="H207" i="11"/>
  <c r="K206" i="11"/>
  <c r="L206" i="11" s="1"/>
  <c r="H206" i="11"/>
  <c r="E206" i="11"/>
  <c r="L205" i="11"/>
  <c r="K205" i="11"/>
  <c r="G205" i="11"/>
  <c r="H205" i="11" s="1"/>
  <c r="K204" i="11"/>
  <c r="H204" i="11"/>
  <c r="G204" i="11"/>
  <c r="K203" i="11"/>
  <c r="G203" i="11"/>
  <c r="H203" i="11" s="1"/>
  <c r="L203" i="11" s="1"/>
  <c r="K202" i="11"/>
  <c r="L202" i="11" s="1"/>
  <c r="G202" i="11"/>
  <c r="H202" i="11" s="1"/>
  <c r="L201" i="11"/>
  <c r="K201" i="11"/>
  <c r="L200" i="11"/>
  <c r="K200" i="11"/>
  <c r="K199" i="11"/>
  <c r="G199" i="11"/>
  <c r="H199" i="11" s="1"/>
  <c r="L199" i="11" s="1"/>
  <c r="E199" i="11"/>
  <c r="D199" i="11"/>
  <c r="K198" i="11"/>
  <c r="H198" i="11"/>
  <c r="G198" i="11"/>
  <c r="E198" i="11"/>
  <c r="L197" i="11"/>
  <c r="K197" i="11"/>
  <c r="H197" i="11"/>
  <c r="G197" i="11"/>
  <c r="K196" i="11"/>
  <c r="L196" i="11" s="1"/>
  <c r="G196" i="11"/>
  <c r="E196" i="11"/>
  <c r="H196" i="11" s="1"/>
  <c r="K195" i="11"/>
  <c r="G195" i="11"/>
  <c r="E195" i="11"/>
  <c r="H195" i="11" s="1"/>
  <c r="K194" i="11"/>
  <c r="L194" i="11" s="1"/>
  <c r="H194" i="11"/>
  <c r="G194" i="11"/>
  <c r="E194" i="11"/>
  <c r="K193" i="11"/>
  <c r="H193" i="11"/>
  <c r="G193" i="11"/>
  <c r="E193" i="11"/>
  <c r="K192" i="11"/>
  <c r="G192" i="11"/>
  <c r="E192" i="11"/>
  <c r="H192" i="11" s="1"/>
  <c r="K191" i="11"/>
  <c r="G191" i="11"/>
  <c r="E191" i="11"/>
  <c r="K190" i="11"/>
  <c r="H190" i="11"/>
  <c r="G190" i="11"/>
  <c r="K189" i="11"/>
  <c r="L189" i="11" s="1"/>
  <c r="G189" i="11"/>
  <c r="H189" i="11" s="1"/>
  <c r="E189" i="11"/>
  <c r="K188" i="11"/>
  <c r="L188" i="11" s="1"/>
  <c r="H188" i="11"/>
  <c r="G188" i="11"/>
  <c r="K187" i="11"/>
  <c r="H187" i="11"/>
  <c r="G187" i="11"/>
  <c r="K186" i="11"/>
  <c r="H186" i="11"/>
  <c r="L186" i="11" s="1"/>
  <c r="G186" i="11"/>
  <c r="E186" i="11"/>
  <c r="L185" i="11"/>
  <c r="K185" i="11"/>
  <c r="G185" i="11"/>
  <c r="E185" i="11"/>
  <c r="H185" i="11" s="1"/>
  <c r="K184" i="11"/>
  <c r="G184" i="11"/>
  <c r="E184" i="11"/>
  <c r="K183" i="11"/>
  <c r="G183" i="11"/>
  <c r="H183" i="11" s="1"/>
  <c r="K182" i="11"/>
  <c r="G182" i="11"/>
  <c r="H182" i="11" s="1"/>
  <c r="L182" i="11" s="1"/>
  <c r="L181" i="11"/>
  <c r="K181" i="11"/>
  <c r="G181" i="11"/>
  <c r="H181" i="11" s="1"/>
  <c r="K180" i="11"/>
  <c r="L180" i="11" s="1"/>
  <c r="L179" i="11"/>
  <c r="K179" i="11"/>
  <c r="K178" i="11"/>
  <c r="L178" i="11" s="1"/>
  <c r="K177" i="11"/>
  <c r="L177" i="11" s="1"/>
  <c r="K176" i="11"/>
  <c r="L176" i="11" s="1"/>
  <c r="H176" i="11"/>
  <c r="L175" i="11"/>
  <c r="K175" i="11"/>
  <c r="H175" i="11"/>
  <c r="K174" i="11"/>
  <c r="L174" i="11" s="1"/>
  <c r="H174" i="11"/>
  <c r="L173" i="11"/>
  <c r="K173" i="11"/>
  <c r="H173" i="11"/>
  <c r="K172" i="11"/>
  <c r="L172" i="11" s="1"/>
  <c r="H172" i="11"/>
  <c r="L171" i="11"/>
  <c r="K171" i="11"/>
  <c r="H171" i="11"/>
  <c r="K170" i="11"/>
  <c r="L170" i="11" s="1"/>
  <c r="H170" i="11"/>
  <c r="L169" i="11"/>
  <c r="K169" i="11"/>
  <c r="H169" i="11"/>
  <c r="K168" i="11"/>
  <c r="L168" i="11" s="1"/>
  <c r="H168" i="11"/>
  <c r="L167" i="11"/>
  <c r="K167" i="11"/>
  <c r="H167" i="11"/>
  <c r="L166" i="11"/>
  <c r="K166" i="11"/>
  <c r="K165" i="11"/>
  <c r="K164" i="11"/>
  <c r="G164" i="11"/>
  <c r="E164" i="11"/>
  <c r="H164" i="11" s="1"/>
  <c r="L164" i="11" s="1"/>
  <c r="K163" i="11"/>
  <c r="G163" i="11"/>
  <c r="H163" i="11" s="1"/>
  <c r="E163" i="11"/>
  <c r="K162" i="11"/>
  <c r="G162" i="11"/>
  <c r="E162" i="11"/>
  <c r="K161" i="11"/>
  <c r="G161" i="11"/>
  <c r="E161" i="11"/>
  <c r="K160" i="11"/>
  <c r="G160" i="11"/>
  <c r="H160" i="11" s="1"/>
  <c r="E160" i="11"/>
  <c r="K159" i="11"/>
  <c r="L159" i="11" s="1"/>
  <c r="K158" i="11"/>
  <c r="K157" i="11"/>
  <c r="G157" i="11"/>
  <c r="E157" i="11"/>
  <c r="K156" i="11"/>
  <c r="G156" i="11"/>
  <c r="H156" i="11" s="1"/>
  <c r="L156" i="11" s="1"/>
  <c r="E156" i="11"/>
  <c r="L155" i="11"/>
  <c r="K155" i="11"/>
  <c r="G155" i="11"/>
  <c r="H155" i="11" s="1"/>
  <c r="E155" i="11"/>
  <c r="K154" i="11"/>
  <c r="G154" i="11"/>
  <c r="H154" i="11" s="1"/>
  <c r="E154" i="11"/>
  <c r="K153" i="11"/>
  <c r="L153" i="11" s="1"/>
  <c r="H153" i="11"/>
  <c r="G153" i="11"/>
  <c r="E153" i="11"/>
  <c r="K152" i="11"/>
  <c r="G152" i="11"/>
  <c r="E152" i="11"/>
  <c r="K151" i="11"/>
  <c r="H151" i="11"/>
  <c r="L151" i="11" s="1"/>
  <c r="G151" i="11"/>
  <c r="E151" i="11"/>
  <c r="K150" i="11"/>
  <c r="H150" i="11"/>
  <c r="G150" i="11"/>
  <c r="E150" i="11"/>
  <c r="K149" i="11"/>
  <c r="G149" i="11"/>
  <c r="H149" i="11" s="1"/>
  <c r="E149" i="11"/>
  <c r="K148" i="11"/>
  <c r="G148" i="11"/>
  <c r="E148" i="11"/>
  <c r="K147" i="11"/>
  <c r="L147" i="11" s="1"/>
  <c r="G147" i="11"/>
  <c r="H147" i="11" s="1"/>
  <c r="E147" i="11"/>
  <c r="K146" i="11"/>
  <c r="L146" i="11" s="1"/>
  <c r="H146" i="11"/>
  <c r="G146" i="11"/>
  <c r="E146" i="11"/>
  <c r="K145" i="11"/>
  <c r="G145" i="11"/>
  <c r="E145" i="11"/>
  <c r="H145" i="11" s="1"/>
  <c r="K144" i="11"/>
  <c r="G144" i="11"/>
  <c r="E144" i="11"/>
  <c r="H144" i="11" s="1"/>
  <c r="L143" i="11"/>
  <c r="K143" i="11"/>
  <c r="G143" i="11"/>
  <c r="H143" i="11" s="1"/>
  <c r="E143" i="11"/>
  <c r="K142" i="11"/>
  <c r="L142" i="11" s="1"/>
  <c r="G142" i="11"/>
  <c r="E142" i="11"/>
  <c r="H142" i="11" s="1"/>
  <c r="K141" i="11"/>
  <c r="H141" i="11"/>
  <c r="L141" i="11" s="1"/>
  <c r="G141" i="11"/>
  <c r="E141" i="11"/>
  <c r="K140" i="11"/>
  <c r="G140" i="11"/>
  <c r="H140" i="11" s="1"/>
  <c r="L140" i="11" s="1"/>
  <c r="K139" i="11"/>
  <c r="H139" i="11"/>
  <c r="L139" i="11" s="1"/>
  <c r="G139" i="11"/>
  <c r="E139" i="11"/>
  <c r="K138" i="11"/>
  <c r="H138" i="11"/>
  <c r="L138" i="11" s="1"/>
  <c r="G138" i="11"/>
  <c r="E138" i="11"/>
  <c r="K137" i="11"/>
  <c r="G137" i="11"/>
  <c r="E137" i="11"/>
  <c r="H137" i="11" s="1"/>
  <c r="L137" i="11" s="1"/>
  <c r="K136" i="11"/>
  <c r="G136" i="11"/>
  <c r="E136" i="11"/>
  <c r="H136" i="11" s="1"/>
  <c r="L136" i="11" s="1"/>
  <c r="K135" i="11"/>
  <c r="H135" i="11"/>
  <c r="G135" i="11"/>
  <c r="E135" i="11"/>
  <c r="K134" i="11"/>
  <c r="L134" i="11" s="1"/>
  <c r="L133" i="11"/>
  <c r="K133" i="11"/>
  <c r="L132" i="11"/>
  <c r="K132" i="11"/>
  <c r="L131" i="11"/>
  <c r="K131" i="11"/>
  <c r="K130" i="11"/>
  <c r="H130" i="11"/>
  <c r="L129" i="11"/>
  <c r="K129" i="11"/>
  <c r="H129" i="11"/>
  <c r="L128" i="11"/>
  <c r="K128" i="11"/>
  <c r="H128" i="11"/>
  <c r="K127" i="11"/>
  <c r="H127" i="11"/>
  <c r="L126" i="11"/>
  <c r="K126" i="11"/>
  <c r="K125" i="11"/>
  <c r="K124" i="11"/>
  <c r="G124" i="11"/>
  <c r="H124" i="11" s="1"/>
  <c r="H125" i="11" s="1"/>
  <c r="E124" i="11"/>
  <c r="K123" i="11"/>
  <c r="G123" i="11"/>
  <c r="E123" i="11"/>
  <c r="H123" i="11" s="1"/>
  <c r="L123" i="11" s="1"/>
  <c r="K122" i="11"/>
  <c r="L122" i="11" s="1"/>
  <c r="K121" i="11"/>
  <c r="L121" i="11" s="1"/>
  <c r="K120" i="11"/>
  <c r="L120" i="11" s="1"/>
  <c r="F120" i="11"/>
  <c r="H120" i="11" s="1"/>
  <c r="E120" i="11"/>
  <c r="D120" i="11"/>
  <c r="K119" i="11"/>
  <c r="F119" i="11"/>
  <c r="D119" i="11"/>
  <c r="K118" i="11"/>
  <c r="F118" i="11"/>
  <c r="E118" i="11"/>
  <c r="D118" i="11"/>
  <c r="K117" i="11"/>
  <c r="F117" i="11"/>
  <c r="H117" i="11" s="1"/>
  <c r="D117" i="11"/>
  <c r="L116" i="11"/>
  <c r="K116" i="11"/>
  <c r="K115" i="11"/>
  <c r="L115" i="11" s="1"/>
  <c r="K114" i="11"/>
  <c r="F114" i="11"/>
  <c r="E114" i="11"/>
  <c r="H114" i="11" s="1"/>
  <c r="L114" i="11" s="1"/>
  <c r="K113" i="11"/>
  <c r="F113" i="11"/>
  <c r="K112" i="11"/>
  <c r="L112" i="11" s="1"/>
  <c r="K111" i="11"/>
  <c r="F111" i="11"/>
  <c r="E111" i="11"/>
  <c r="D111" i="11"/>
  <c r="K110" i="11"/>
  <c r="F110" i="11"/>
  <c r="E110" i="11"/>
  <c r="D110" i="11"/>
  <c r="K109" i="11"/>
  <c r="F109" i="11"/>
  <c r="E109" i="11"/>
  <c r="D109" i="11"/>
  <c r="K108" i="11"/>
  <c r="F108" i="11"/>
  <c r="E108" i="11"/>
  <c r="D108" i="11"/>
  <c r="H108" i="11" s="1"/>
  <c r="K107" i="11"/>
  <c r="F107" i="11"/>
  <c r="E107" i="11"/>
  <c r="D107" i="11"/>
  <c r="K106" i="11"/>
  <c r="L106" i="11" s="1"/>
  <c r="K105" i="11"/>
  <c r="L105" i="11" s="1"/>
  <c r="K104" i="11"/>
  <c r="F104" i="11"/>
  <c r="E104" i="11"/>
  <c r="D104" i="11"/>
  <c r="K103" i="11"/>
  <c r="F103" i="11"/>
  <c r="E103" i="11"/>
  <c r="D103" i="11"/>
  <c r="K102" i="11"/>
  <c r="F102" i="11"/>
  <c r="D102" i="11"/>
  <c r="C102" i="11"/>
  <c r="K101" i="11"/>
  <c r="F101" i="11"/>
  <c r="E101" i="11"/>
  <c r="D101" i="11"/>
  <c r="C101" i="11"/>
  <c r="K100" i="11"/>
  <c r="F100" i="11"/>
  <c r="E100" i="11"/>
  <c r="D100" i="11"/>
  <c r="C100" i="11"/>
  <c r="K99" i="11"/>
  <c r="F99" i="11"/>
  <c r="E99" i="11"/>
  <c r="D99" i="11"/>
  <c r="K98" i="11"/>
  <c r="F98" i="11"/>
  <c r="E98" i="11"/>
  <c r="D98" i="11"/>
  <c r="K97" i="11"/>
  <c r="F97" i="11"/>
  <c r="E97" i="11"/>
  <c r="D97" i="11"/>
  <c r="L96" i="11"/>
  <c r="K96" i="11"/>
  <c r="F96" i="11"/>
  <c r="H96" i="11" s="1"/>
  <c r="E96" i="11"/>
  <c r="D96" i="11"/>
  <c r="K95" i="11"/>
  <c r="E95" i="11"/>
  <c r="H95" i="11" s="1"/>
  <c r="D95" i="11"/>
  <c r="K94" i="11"/>
  <c r="F94" i="11"/>
  <c r="E94" i="11"/>
  <c r="D94" i="11"/>
  <c r="K93" i="11"/>
  <c r="F93" i="11"/>
  <c r="E93" i="11"/>
  <c r="H93" i="11" s="1"/>
  <c r="D93" i="11"/>
  <c r="L92" i="11"/>
  <c r="K92" i="11"/>
  <c r="K91" i="11"/>
  <c r="L91" i="11" s="1"/>
  <c r="L90" i="11"/>
  <c r="K90" i="11"/>
  <c r="H90" i="11"/>
  <c r="L89" i="11"/>
  <c r="K89" i="11"/>
  <c r="L88" i="11"/>
  <c r="K88" i="11"/>
  <c r="K87" i="11"/>
  <c r="L87" i="11" s="1"/>
  <c r="J86" i="11"/>
  <c r="K86" i="11" s="1"/>
  <c r="K85" i="11"/>
  <c r="G85" i="11"/>
  <c r="H85" i="11" s="1"/>
  <c r="H86" i="11" s="1"/>
  <c r="L86" i="11" s="1"/>
  <c r="L84" i="11"/>
  <c r="K84" i="11"/>
  <c r="E84" i="11"/>
  <c r="H84" i="11" s="1"/>
  <c r="K83" i="11"/>
  <c r="H83" i="11"/>
  <c r="L83" i="11" s="1"/>
  <c r="L82" i="11"/>
  <c r="K82" i="11"/>
  <c r="K81" i="11"/>
  <c r="L81" i="11" s="1"/>
  <c r="J81" i="11"/>
  <c r="K80" i="11"/>
  <c r="H80" i="11"/>
  <c r="L80" i="11" s="1"/>
  <c r="K79" i="11"/>
  <c r="L79" i="11" s="1"/>
  <c r="H79" i="11"/>
  <c r="K78" i="11"/>
  <c r="L78" i="11" s="1"/>
  <c r="H78" i="11"/>
  <c r="E78" i="11"/>
  <c r="K77" i="11"/>
  <c r="E77" i="11"/>
  <c r="H77" i="11" s="1"/>
  <c r="L77" i="11" s="1"/>
  <c r="K76" i="11"/>
  <c r="H76" i="11"/>
  <c r="L76" i="11" s="1"/>
  <c r="E76" i="11"/>
  <c r="K75" i="11"/>
  <c r="L75" i="11" s="1"/>
  <c r="H75" i="11"/>
  <c r="E75" i="11"/>
  <c r="E117" i="11" s="1"/>
  <c r="K74" i="11"/>
  <c r="H74" i="11"/>
  <c r="L74" i="11" s="1"/>
  <c r="K73" i="11"/>
  <c r="L73" i="11" s="1"/>
  <c r="H73" i="11"/>
  <c r="L72" i="11"/>
  <c r="K72" i="11"/>
  <c r="H72" i="11"/>
  <c r="K71" i="11"/>
  <c r="L71" i="11" s="1"/>
  <c r="H71" i="11"/>
  <c r="K70" i="11"/>
  <c r="H70" i="11"/>
  <c r="L70" i="11" s="1"/>
  <c r="K69" i="11"/>
  <c r="L69" i="11" s="1"/>
  <c r="H69" i="11"/>
  <c r="K68" i="11"/>
  <c r="H68" i="11"/>
  <c r="L68" i="11" s="1"/>
  <c r="L67" i="11"/>
  <c r="K67" i="11"/>
  <c r="K66" i="11"/>
  <c r="L66" i="11" s="1"/>
  <c r="L65" i="11"/>
  <c r="K65" i="11"/>
  <c r="E65" i="11"/>
  <c r="K64" i="11"/>
  <c r="L64" i="11" s="1"/>
  <c r="K63" i="11"/>
  <c r="L63" i="11" s="1"/>
  <c r="L62" i="11"/>
  <c r="K62" i="11"/>
  <c r="K61" i="11"/>
  <c r="L61" i="11" s="1"/>
  <c r="H61" i="11"/>
  <c r="G61" i="11"/>
  <c r="K60" i="11"/>
  <c r="G60" i="11"/>
  <c r="H60" i="11" s="1"/>
  <c r="L60" i="11" s="1"/>
  <c r="E60" i="11"/>
  <c r="K59" i="11"/>
  <c r="G59" i="11"/>
  <c r="E59" i="11"/>
  <c r="H59" i="11" s="1"/>
  <c r="K58" i="11"/>
  <c r="L58" i="11" s="1"/>
  <c r="G58" i="11"/>
  <c r="E58" i="11"/>
  <c r="H58" i="11" s="1"/>
  <c r="K57" i="11"/>
  <c r="G57" i="11"/>
  <c r="H57" i="11" s="1"/>
  <c r="L57" i="11" s="1"/>
  <c r="K56" i="11"/>
  <c r="G56" i="11"/>
  <c r="H56" i="11" s="1"/>
  <c r="L56" i="11" s="1"/>
  <c r="K55" i="11"/>
  <c r="G55" i="11"/>
  <c r="H55" i="11" s="1"/>
  <c r="L55" i="11" s="1"/>
  <c r="K54" i="11"/>
  <c r="G54" i="11"/>
  <c r="E54" i="11"/>
  <c r="K53" i="11"/>
  <c r="G53" i="11"/>
  <c r="E53" i="11"/>
  <c r="H53" i="11" s="1"/>
  <c r="K52" i="11"/>
  <c r="H52" i="11"/>
  <c r="L52" i="11" s="1"/>
  <c r="G52" i="11"/>
  <c r="K51" i="11"/>
  <c r="G51" i="11"/>
  <c r="E51" i="11"/>
  <c r="H51" i="11" s="1"/>
  <c r="L51" i="11" s="1"/>
  <c r="K50" i="11"/>
  <c r="L50" i="11" s="1"/>
  <c r="H50" i="11"/>
  <c r="G50" i="11"/>
  <c r="E50" i="11"/>
  <c r="L49" i="11"/>
  <c r="K49" i="11"/>
  <c r="H49" i="11"/>
  <c r="G49" i="11"/>
  <c r="E49" i="11"/>
  <c r="K48" i="11"/>
  <c r="G48" i="11"/>
  <c r="H48" i="11" s="1"/>
  <c r="E48" i="11"/>
  <c r="L47" i="11"/>
  <c r="K47" i="11"/>
  <c r="H47" i="11"/>
  <c r="G47" i="11"/>
  <c r="K46" i="11"/>
  <c r="L46" i="11" s="1"/>
  <c r="H46" i="11"/>
  <c r="G46" i="11"/>
  <c r="K45" i="11"/>
  <c r="G45" i="11"/>
  <c r="H45" i="11" s="1"/>
  <c r="K44" i="11"/>
  <c r="G44" i="11"/>
  <c r="E44" i="11"/>
  <c r="H44" i="11" s="1"/>
  <c r="L44" i="11" s="1"/>
  <c r="L43" i="11"/>
  <c r="K43" i="11"/>
  <c r="G43" i="11"/>
  <c r="H43" i="11" s="1"/>
  <c r="K42" i="11"/>
  <c r="G42" i="11"/>
  <c r="H42" i="11" s="1"/>
  <c r="L41" i="11"/>
  <c r="K41" i="11"/>
  <c r="G41" i="11"/>
  <c r="H41" i="11" s="1"/>
  <c r="K40" i="11"/>
  <c r="L40" i="11" s="1"/>
  <c r="G40" i="11"/>
  <c r="H40" i="11" s="1"/>
  <c r="E40" i="11"/>
  <c r="K39" i="11"/>
  <c r="G39" i="11"/>
  <c r="H39" i="11" s="1"/>
  <c r="L39" i="11" s="1"/>
  <c r="E39" i="11"/>
  <c r="K38" i="11"/>
  <c r="L38" i="11" s="1"/>
  <c r="H38" i="11"/>
  <c r="G38" i="11"/>
  <c r="E38" i="11"/>
  <c r="K37" i="11"/>
  <c r="G37" i="11"/>
  <c r="H37" i="11" s="1"/>
  <c r="L37" i="11" s="1"/>
  <c r="K36" i="11"/>
  <c r="G36" i="11"/>
  <c r="H36" i="11" s="1"/>
  <c r="L36" i="11" s="1"/>
  <c r="L35" i="11"/>
  <c r="K35" i="11"/>
  <c r="G35" i="11"/>
  <c r="H35" i="11" s="1"/>
  <c r="K34" i="11"/>
  <c r="G34" i="11"/>
  <c r="H34" i="11" s="1"/>
  <c r="E34" i="11"/>
  <c r="L33" i="11"/>
  <c r="K33" i="11"/>
  <c r="G33" i="11"/>
  <c r="H33" i="11" s="1"/>
  <c r="E33" i="11"/>
  <c r="K32" i="11"/>
  <c r="H32" i="11"/>
  <c r="G32" i="11"/>
  <c r="K31" i="11"/>
  <c r="G31" i="11"/>
  <c r="H31" i="11" s="1"/>
  <c r="E31" i="11"/>
  <c r="L30" i="11"/>
  <c r="K30" i="11"/>
  <c r="G30" i="11"/>
  <c r="E30" i="11"/>
  <c r="H30" i="11" s="1"/>
  <c r="K29" i="11"/>
  <c r="L29" i="11" s="1"/>
  <c r="G29" i="11"/>
  <c r="H29" i="11" s="1"/>
  <c r="E29" i="11"/>
  <c r="K28" i="11"/>
  <c r="H28" i="11"/>
  <c r="G28" i="11"/>
  <c r="E28" i="11"/>
  <c r="K27" i="11"/>
  <c r="G27" i="11"/>
  <c r="H27" i="11" s="1"/>
  <c r="E27" i="11"/>
  <c r="K26" i="11"/>
  <c r="L26" i="11" s="1"/>
  <c r="G26" i="11"/>
  <c r="H26" i="11" s="1"/>
  <c r="E26" i="11"/>
  <c r="K25" i="11"/>
  <c r="G25" i="11"/>
  <c r="H25" i="11" s="1"/>
  <c r="L25" i="11" s="1"/>
  <c r="E25" i="11"/>
  <c r="K24" i="11"/>
  <c r="G24" i="11"/>
  <c r="H24" i="11" s="1"/>
  <c r="L24" i="11" s="1"/>
  <c r="E24" i="11"/>
  <c r="K23" i="11"/>
  <c r="L23" i="11" s="1"/>
  <c r="H23" i="11"/>
  <c r="G23" i="11"/>
  <c r="K22" i="11"/>
  <c r="H22" i="11"/>
  <c r="G22" i="11"/>
  <c r="K21" i="11"/>
  <c r="G21" i="11"/>
  <c r="H21" i="11" s="1"/>
  <c r="K20" i="11"/>
  <c r="L20" i="11" s="1"/>
  <c r="H20" i="11"/>
  <c r="G20" i="11"/>
  <c r="E20" i="11"/>
  <c r="K19" i="11"/>
  <c r="H19" i="11"/>
  <c r="L19" i="11" s="1"/>
  <c r="G19" i="11"/>
  <c r="E19" i="11"/>
  <c r="K18" i="11"/>
  <c r="L18" i="11" s="1"/>
  <c r="K17" i="11"/>
  <c r="L17" i="11" s="1"/>
  <c r="K16" i="11"/>
  <c r="E16" i="11"/>
  <c r="H16" i="11" s="1"/>
  <c r="L16" i="11" s="1"/>
  <c r="L15" i="11"/>
  <c r="K15" i="11"/>
  <c r="E15" i="11"/>
  <c r="H15" i="11" s="1"/>
  <c r="K14" i="11"/>
  <c r="E14" i="11"/>
  <c r="H14" i="11" s="1"/>
  <c r="L14" i="11" s="1"/>
  <c r="L13" i="11"/>
  <c r="K13" i="11"/>
  <c r="E13" i="11"/>
  <c r="H13" i="11" s="1"/>
  <c r="K12" i="11"/>
  <c r="E12" i="11"/>
  <c r="H12" i="11" s="1"/>
  <c r="K11" i="11"/>
  <c r="L10" i="11"/>
  <c r="K10" i="11"/>
  <c r="K9" i="11"/>
  <c r="L9" i="11" s="1"/>
  <c r="D9" i="11"/>
  <c r="H8" i="11"/>
  <c r="H7" i="11"/>
  <c r="K273" i="10"/>
  <c r="H273" i="10"/>
  <c r="E273" i="10"/>
  <c r="L272" i="10"/>
  <c r="K272" i="10"/>
  <c r="E272" i="10"/>
  <c r="L271" i="10"/>
  <c r="K271" i="10"/>
  <c r="K270" i="10"/>
  <c r="H270" i="10"/>
  <c r="E270" i="10"/>
  <c r="K269" i="10"/>
  <c r="K268" i="10"/>
  <c r="L268" i="10" s="1"/>
  <c r="H268" i="10"/>
  <c r="L267" i="10"/>
  <c r="K267" i="10"/>
  <c r="L266" i="10"/>
  <c r="K266" i="10"/>
  <c r="K265" i="10"/>
  <c r="L265" i="10" s="1"/>
  <c r="K264" i="10"/>
  <c r="H264" i="10"/>
  <c r="L264" i="10" s="1"/>
  <c r="L263" i="10"/>
  <c r="K263" i="10"/>
  <c r="L262" i="10"/>
  <c r="K262" i="10"/>
  <c r="L261" i="10"/>
  <c r="K261" i="10"/>
  <c r="H261" i="10"/>
  <c r="K260" i="10"/>
  <c r="L260" i="10" s="1"/>
  <c r="L259" i="10"/>
  <c r="K259" i="10"/>
  <c r="H258" i="10"/>
  <c r="L258" i="10" s="1"/>
  <c r="H257" i="10"/>
  <c r="L257" i="10" s="1"/>
  <c r="L255" i="10"/>
  <c r="H255" i="10"/>
  <c r="L254" i="10"/>
  <c r="L253" i="10"/>
  <c r="K253" i="10"/>
  <c r="K252" i="10"/>
  <c r="H252" i="10"/>
  <c r="L251" i="10"/>
  <c r="K251" i="10"/>
  <c r="L250" i="10"/>
  <c r="K250" i="10"/>
  <c r="L249" i="10"/>
  <c r="K249" i="10"/>
  <c r="K248" i="10"/>
  <c r="L248" i="10" s="1"/>
  <c r="L247" i="10"/>
  <c r="K247" i="10"/>
  <c r="K246" i="10"/>
  <c r="L246" i="10" s="1"/>
  <c r="K245" i="10"/>
  <c r="H245" i="10"/>
  <c r="L245" i="10" s="1"/>
  <c r="L244" i="10"/>
  <c r="K244" i="10"/>
  <c r="H244" i="10"/>
  <c r="K243" i="10"/>
  <c r="L243" i="10" s="1"/>
  <c r="H243" i="10"/>
  <c r="K242" i="10"/>
  <c r="L242" i="10" s="1"/>
  <c r="K241" i="10"/>
  <c r="H241" i="10"/>
  <c r="K240" i="10"/>
  <c r="L240" i="10" s="1"/>
  <c r="H240" i="10"/>
  <c r="K239" i="10"/>
  <c r="L239" i="10" s="1"/>
  <c r="K238" i="10"/>
  <c r="L238" i="10" s="1"/>
  <c r="K237" i="10"/>
  <c r="L237" i="10" s="1"/>
  <c r="K236" i="10"/>
  <c r="H236" i="10"/>
  <c r="L236" i="10" s="1"/>
  <c r="K235" i="10"/>
  <c r="L235" i="10" s="1"/>
  <c r="H235" i="10"/>
  <c r="K234" i="10"/>
  <c r="L234" i="10" s="1"/>
  <c r="L233" i="10"/>
  <c r="K233" i="10"/>
  <c r="K232" i="10"/>
  <c r="L232" i="10" s="1"/>
  <c r="K231" i="10"/>
  <c r="L231" i="10" s="1"/>
  <c r="K230" i="10"/>
  <c r="H230" i="10"/>
  <c r="L230" i="10" s="1"/>
  <c r="L229" i="10"/>
  <c r="K229" i="10"/>
  <c r="K228" i="10"/>
  <c r="L228" i="10" s="1"/>
  <c r="L227" i="10"/>
  <c r="D227" i="10"/>
  <c r="K226" i="10"/>
  <c r="L226" i="10" s="1"/>
  <c r="H226" i="10"/>
  <c r="L225" i="10"/>
  <c r="K225" i="10"/>
  <c r="L224" i="10"/>
  <c r="K224" i="10"/>
  <c r="K223" i="10"/>
  <c r="L223" i="10" s="1"/>
  <c r="H223" i="10"/>
  <c r="L222" i="10"/>
  <c r="K222" i="10"/>
  <c r="K221" i="10"/>
  <c r="L221" i="10" s="1"/>
  <c r="K220" i="10"/>
  <c r="K219" i="10"/>
  <c r="L219" i="10" s="1"/>
  <c r="E219" i="10"/>
  <c r="H219" i="10" s="1"/>
  <c r="L218" i="10"/>
  <c r="K218" i="10"/>
  <c r="E218" i="10"/>
  <c r="H218" i="10" s="1"/>
  <c r="H220" i="10" s="1"/>
  <c r="L217" i="10"/>
  <c r="K217" i="10"/>
  <c r="K216" i="10"/>
  <c r="L216" i="10" s="1"/>
  <c r="K215" i="10"/>
  <c r="L215" i="10" s="1"/>
  <c r="K214" i="10"/>
  <c r="L214" i="10" s="1"/>
  <c r="K213" i="10"/>
  <c r="L213" i="10" s="1"/>
  <c r="E213" i="10"/>
  <c r="H213" i="10" s="1"/>
  <c r="K212" i="10"/>
  <c r="L212" i="10" s="1"/>
  <c r="L211" i="10"/>
  <c r="K211" i="10"/>
  <c r="K210" i="10"/>
  <c r="L210" i="10" s="1"/>
  <c r="K209" i="10"/>
  <c r="L209" i="10" s="1"/>
  <c r="H209" i="10"/>
  <c r="H210" i="10" s="1"/>
  <c r="E209" i="10"/>
  <c r="K208" i="10"/>
  <c r="L208" i="10" s="1"/>
  <c r="K207" i="10"/>
  <c r="L207" i="10" s="1"/>
  <c r="L206" i="10"/>
  <c r="K206" i="10"/>
  <c r="H206" i="10"/>
  <c r="E206" i="10"/>
  <c r="K205" i="10"/>
  <c r="L205" i="10" s="1"/>
  <c r="H205" i="10"/>
  <c r="K204" i="10"/>
  <c r="H204" i="10"/>
  <c r="K203" i="10"/>
  <c r="H203" i="10"/>
  <c r="L203" i="10" s="1"/>
  <c r="L202" i="10"/>
  <c r="K202" i="10"/>
  <c r="H202" i="10"/>
  <c r="K201" i="10"/>
  <c r="L201" i="10" s="1"/>
  <c r="K200" i="10"/>
  <c r="K199" i="10"/>
  <c r="E199" i="10"/>
  <c r="H199" i="10" s="1"/>
  <c r="H200" i="10" s="1"/>
  <c r="L200" i="10" s="1"/>
  <c r="K198" i="10"/>
  <c r="L197" i="10"/>
  <c r="K197" i="10"/>
  <c r="K196" i="10"/>
  <c r="L196" i="10" s="1"/>
  <c r="L195" i="10"/>
  <c r="K195" i="10"/>
  <c r="K194" i="10"/>
  <c r="H194" i="10"/>
  <c r="E194" i="10"/>
  <c r="L193" i="10"/>
  <c r="K193" i="10"/>
  <c r="H193" i="10"/>
  <c r="E193" i="10"/>
  <c r="K192" i="10"/>
  <c r="L192" i="10" s="1"/>
  <c r="H192" i="10"/>
  <c r="E192" i="10"/>
  <c r="K191" i="10"/>
  <c r="H191" i="10"/>
  <c r="E191" i="10"/>
  <c r="K190" i="10"/>
  <c r="L189" i="10"/>
  <c r="K189" i="10"/>
  <c r="K188" i="10"/>
  <c r="L188" i="10" s="1"/>
  <c r="K187" i="10"/>
  <c r="L187" i="10" s="1"/>
  <c r="K186" i="10"/>
  <c r="L186" i="10" s="1"/>
  <c r="H186" i="10"/>
  <c r="K185" i="10"/>
  <c r="L185" i="10" s="1"/>
  <c r="L184" i="10"/>
  <c r="K184" i="10"/>
  <c r="L183" i="10"/>
  <c r="K183" i="10"/>
  <c r="H183" i="10"/>
  <c r="K182" i="10"/>
  <c r="L182" i="10" s="1"/>
  <c r="K181" i="10"/>
  <c r="L181" i="10" s="1"/>
  <c r="K180" i="10"/>
  <c r="H180" i="10"/>
  <c r="L180" i="10" s="1"/>
  <c r="K179" i="10"/>
  <c r="L179" i="10" s="1"/>
  <c r="L178" i="10"/>
  <c r="K178" i="10"/>
  <c r="K177" i="10"/>
  <c r="H176" i="10"/>
  <c r="L176" i="10" s="1"/>
  <c r="L175" i="10"/>
  <c r="L174" i="10"/>
  <c r="K173" i="10"/>
  <c r="L173" i="10" s="1"/>
  <c r="K172" i="10"/>
  <c r="L172" i="10" s="1"/>
  <c r="H172" i="10"/>
  <c r="L171" i="10"/>
  <c r="K171" i="10"/>
  <c r="H171" i="10"/>
  <c r="K170" i="10"/>
  <c r="H170" i="10"/>
  <c r="K169" i="10"/>
  <c r="L169" i="10" s="1"/>
  <c r="K168" i="10"/>
  <c r="L168" i="10" s="1"/>
  <c r="L167" i="10"/>
  <c r="K167" i="10"/>
  <c r="K166" i="10"/>
  <c r="L166" i="10" s="1"/>
  <c r="K165" i="10"/>
  <c r="E165" i="10"/>
  <c r="H165" i="10" s="1"/>
  <c r="K164" i="10"/>
  <c r="K163" i="10"/>
  <c r="E163" i="10"/>
  <c r="H163" i="10" s="1"/>
  <c r="L163" i="10" s="1"/>
  <c r="L162" i="10"/>
  <c r="K162" i="10"/>
  <c r="K161" i="10"/>
  <c r="L161" i="10" s="1"/>
  <c r="K160" i="10"/>
  <c r="G160" i="10"/>
  <c r="K159" i="10"/>
  <c r="L159" i="10" s="1"/>
  <c r="K158" i="10"/>
  <c r="L158" i="10" s="1"/>
  <c r="K157" i="10"/>
  <c r="K156" i="10"/>
  <c r="L155" i="10"/>
  <c r="K155" i="10"/>
  <c r="H155" i="10"/>
  <c r="K154" i="10"/>
  <c r="L154" i="10" s="1"/>
  <c r="H154" i="10"/>
  <c r="K153" i="10"/>
  <c r="L153" i="10" s="1"/>
  <c r="H153" i="10"/>
  <c r="K152" i="10"/>
  <c r="L152" i="10" s="1"/>
  <c r="H152" i="10"/>
  <c r="K151" i="10"/>
  <c r="G151" i="10"/>
  <c r="K150" i="10"/>
  <c r="E150" i="10"/>
  <c r="H150" i="10" s="1"/>
  <c r="L150" i="10" s="1"/>
  <c r="D150" i="10"/>
  <c r="K149" i="10"/>
  <c r="E149" i="10"/>
  <c r="H149" i="10" s="1"/>
  <c r="D149" i="10"/>
  <c r="K148" i="10"/>
  <c r="G148" i="10"/>
  <c r="E148" i="10"/>
  <c r="H148" i="10" s="1"/>
  <c r="L147" i="10"/>
  <c r="K147" i="10"/>
  <c r="E147" i="10"/>
  <c r="H147" i="10" s="1"/>
  <c r="K146" i="10"/>
  <c r="G146" i="10"/>
  <c r="E146" i="10"/>
  <c r="K145" i="10"/>
  <c r="G145" i="10"/>
  <c r="E145" i="10"/>
  <c r="H145" i="10" s="1"/>
  <c r="K144" i="10"/>
  <c r="K143" i="10"/>
  <c r="L143" i="10" s="1"/>
  <c r="L142" i="10"/>
  <c r="K142" i="10"/>
  <c r="K141" i="10"/>
  <c r="H141" i="10"/>
  <c r="L141" i="10" s="1"/>
  <c r="K140" i="10"/>
  <c r="H140" i="10"/>
  <c r="K139" i="10"/>
  <c r="L139" i="10" s="1"/>
  <c r="H139" i="10"/>
  <c r="K138" i="10"/>
  <c r="L138" i="10" s="1"/>
  <c r="E138" i="10"/>
  <c r="H138" i="10" s="1"/>
  <c r="K137" i="10"/>
  <c r="L137" i="10" s="1"/>
  <c r="H137" i="10"/>
  <c r="K136" i="10"/>
  <c r="H136" i="10"/>
  <c r="K135" i="10"/>
  <c r="L135" i="10" s="1"/>
  <c r="H135" i="10"/>
  <c r="K134" i="10"/>
  <c r="H134" i="10"/>
  <c r="L134" i="10" s="1"/>
  <c r="K133" i="10"/>
  <c r="L133" i="10" s="1"/>
  <c r="H133" i="10"/>
  <c r="K132" i="10"/>
  <c r="H132" i="10"/>
  <c r="K131" i="10"/>
  <c r="L131" i="10" s="1"/>
  <c r="L130" i="10"/>
  <c r="K130" i="10"/>
  <c r="K129" i="10"/>
  <c r="L129" i="10" s="1"/>
  <c r="K128" i="10"/>
  <c r="L128" i="10" s="1"/>
  <c r="H128" i="10"/>
  <c r="K127" i="10"/>
  <c r="L127" i="10" s="1"/>
  <c r="K126" i="10"/>
  <c r="L126" i="10" s="1"/>
  <c r="G126" i="10"/>
  <c r="H126" i="10" s="1"/>
  <c r="E126" i="10"/>
  <c r="K125" i="10"/>
  <c r="L125" i="10" s="1"/>
  <c r="K124" i="10"/>
  <c r="L124" i="10" s="1"/>
  <c r="K123" i="10"/>
  <c r="L123" i="10" s="1"/>
  <c r="K122" i="10"/>
  <c r="H122" i="10"/>
  <c r="L122" i="10" s="1"/>
  <c r="K121" i="10"/>
  <c r="L121" i="10" s="1"/>
  <c r="H121" i="10"/>
  <c r="K120" i="10"/>
  <c r="L120" i="10" s="1"/>
  <c r="H120" i="10"/>
  <c r="L119" i="10"/>
  <c r="K119" i="10"/>
  <c r="K118" i="10"/>
  <c r="G118" i="10"/>
  <c r="E118" i="10"/>
  <c r="H118" i="10" s="1"/>
  <c r="K117" i="10"/>
  <c r="L117" i="10" s="1"/>
  <c r="K116" i="10"/>
  <c r="L116" i="10" s="1"/>
  <c r="L115" i="10"/>
  <c r="K115" i="10"/>
  <c r="K114" i="10"/>
  <c r="H114" i="10"/>
  <c r="K113" i="10"/>
  <c r="L113" i="10" s="1"/>
  <c r="H113" i="10"/>
  <c r="K112" i="10"/>
  <c r="L112" i="10" s="1"/>
  <c r="H112" i="10"/>
  <c r="K111" i="10"/>
  <c r="H111" i="10"/>
  <c r="L111" i="10" s="1"/>
  <c r="K110" i="10"/>
  <c r="L110" i="10" s="1"/>
  <c r="K109" i="10"/>
  <c r="K108" i="10"/>
  <c r="G108" i="10"/>
  <c r="E108" i="10"/>
  <c r="D108" i="10"/>
  <c r="L107" i="10"/>
  <c r="K107" i="10"/>
  <c r="H107" i="10"/>
  <c r="G107" i="10"/>
  <c r="E107" i="10"/>
  <c r="D107" i="10"/>
  <c r="K106" i="10"/>
  <c r="L106" i="10" s="1"/>
  <c r="K105" i="10"/>
  <c r="L104" i="10"/>
  <c r="K104" i="10"/>
  <c r="E104" i="10"/>
  <c r="H104" i="10" s="1"/>
  <c r="H105" i="10" s="1"/>
  <c r="L105" i="10" s="1"/>
  <c r="L103" i="10"/>
  <c r="K103" i="10"/>
  <c r="K102" i="10"/>
  <c r="L102" i="10" s="1"/>
  <c r="K101" i="10"/>
  <c r="K100" i="10"/>
  <c r="F100" i="10"/>
  <c r="K99" i="10"/>
  <c r="L99" i="10" s="1"/>
  <c r="K98" i="10"/>
  <c r="F98" i="10"/>
  <c r="D98" i="10"/>
  <c r="K97" i="10"/>
  <c r="F97" i="10"/>
  <c r="H97" i="10" s="1"/>
  <c r="E97" i="10"/>
  <c r="D97" i="10"/>
  <c r="K96" i="10"/>
  <c r="L96" i="10" s="1"/>
  <c r="K95" i="10"/>
  <c r="L95" i="10" s="1"/>
  <c r="K94" i="10"/>
  <c r="F94" i="10"/>
  <c r="E94" i="10"/>
  <c r="K93" i="10"/>
  <c r="F93" i="10"/>
  <c r="H93" i="10" s="1"/>
  <c r="E93" i="10"/>
  <c r="K92" i="10"/>
  <c r="F92" i="10"/>
  <c r="H92" i="10" s="1"/>
  <c r="D92" i="10"/>
  <c r="C92" i="10"/>
  <c r="K91" i="10"/>
  <c r="F91" i="10"/>
  <c r="E91" i="10"/>
  <c r="D91" i="10"/>
  <c r="K90" i="10"/>
  <c r="F90" i="10"/>
  <c r="E90" i="10"/>
  <c r="H90" i="10" s="1"/>
  <c r="L90" i="10" s="1"/>
  <c r="D90" i="10"/>
  <c r="K89" i="10"/>
  <c r="F89" i="10"/>
  <c r="E89" i="10"/>
  <c r="D89" i="10"/>
  <c r="K88" i="10"/>
  <c r="E88" i="10"/>
  <c r="D88" i="10"/>
  <c r="H88" i="10" s="1"/>
  <c r="L88" i="10" s="1"/>
  <c r="K87" i="10"/>
  <c r="F87" i="10"/>
  <c r="E87" i="10"/>
  <c r="H87" i="10" s="1"/>
  <c r="L87" i="10" s="1"/>
  <c r="D87" i="10"/>
  <c r="K86" i="10"/>
  <c r="L86" i="10" s="1"/>
  <c r="H86" i="10"/>
  <c r="F86" i="10"/>
  <c r="E86" i="10"/>
  <c r="D86" i="10"/>
  <c r="K85" i="10"/>
  <c r="L85" i="10" s="1"/>
  <c r="K84" i="10"/>
  <c r="L84" i="10" s="1"/>
  <c r="K83" i="10"/>
  <c r="L83" i="10" s="1"/>
  <c r="K82" i="10"/>
  <c r="L82" i="10" s="1"/>
  <c r="E82" i="10"/>
  <c r="L81" i="10"/>
  <c r="K81" i="10"/>
  <c r="K80" i="10"/>
  <c r="L80" i="10" s="1"/>
  <c r="K79" i="10"/>
  <c r="L79" i="10" s="1"/>
  <c r="J79" i="10"/>
  <c r="K78" i="10"/>
  <c r="G78" i="10"/>
  <c r="H78" i="10" s="1"/>
  <c r="K77" i="10"/>
  <c r="L77" i="10" s="1"/>
  <c r="H77" i="10"/>
  <c r="K76" i="10"/>
  <c r="L76" i="10" s="1"/>
  <c r="H76" i="10"/>
  <c r="K75" i="10"/>
  <c r="L75" i="10" s="1"/>
  <c r="K74" i="10"/>
  <c r="L74" i="10" s="1"/>
  <c r="J74" i="10"/>
  <c r="L73" i="10"/>
  <c r="K73" i="10"/>
  <c r="H73" i="10"/>
  <c r="K72" i="10"/>
  <c r="L72" i="10" s="1"/>
  <c r="H72" i="10"/>
  <c r="K71" i="10"/>
  <c r="E71" i="10"/>
  <c r="E92" i="10" s="1"/>
  <c r="K70" i="10"/>
  <c r="H70" i="10"/>
  <c r="L70" i="10" s="1"/>
  <c r="K69" i="10"/>
  <c r="L69" i="10" s="1"/>
  <c r="H69" i="10"/>
  <c r="L68" i="10"/>
  <c r="K68" i="10"/>
  <c r="H68" i="10"/>
  <c r="K67" i="10"/>
  <c r="L67" i="10" s="1"/>
  <c r="H67" i="10"/>
  <c r="K66" i="10"/>
  <c r="H66" i="10"/>
  <c r="L66" i="10" s="1"/>
  <c r="K65" i="10"/>
  <c r="L65" i="10" s="1"/>
  <c r="H65" i="10"/>
  <c r="L64" i="10"/>
  <c r="K64" i="10"/>
  <c r="K63" i="10"/>
  <c r="L63" i="10" s="1"/>
  <c r="K62" i="10"/>
  <c r="L62" i="10" s="1"/>
  <c r="K61" i="10"/>
  <c r="L61" i="10" s="1"/>
  <c r="L60" i="10"/>
  <c r="K60" i="10"/>
  <c r="L59" i="10"/>
  <c r="K59" i="10"/>
  <c r="K58" i="10"/>
  <c r="G58" i="10"/>
  <c r="H58" i="10" s="1"/>
  <c r="K57" i="10"/>
  <c r="G57" i="10"/>
  <c r="F101" i="10" s="1"/>
  <c r="E57" i="10"/>
  <c r="E62" i="10" s="1"/>
  <c r="K56" i="10"/>
  <c r="L56" i="10" s="1"/>
  <c r="H56" i="10"/>
  <c r="G56" i="10"/>
  <c r="E56" i="10"/>
  <c r="K55" i="10"/>
  <c r="L55" i="10" s="1"/>
  <c r="H55" i="10"/>
  <c r="G55" i="10"/>
  <c r="E55" i="10"/>
  <c r="K54" i="10"/>
  <c r="L54" i="10" s="1"/>
  <c r="G54" i="10"/>
  <c r="H54" i="10" s="1"/>
  <c r="K53" i="10"/>
  <c r="L53" i="10" s="1"/>
  <c r="H53" i="10"/>
  <c r="G53" i="10"/>
  <c r="K52" i="10"/>
  <c r="L52" i="10" s="1"/>
  <c r="G52" i="10"/>
  <c r="H52" i="10" s="1"/>
  <c r="K51" i="10"/>
  <c r="G51" i="10"/>
  <c r="E51" i="10"/>
  <c r="K50" i="10"/>
  <c r="L50" i="10" s="1"/>
  <c r="H50" i="10"/>
  <c r="G50" i="10"/>
  <c r="E50" i="10"/>
  <c r="K49" i="10"/>
  <c r="G49" i="10"/>
  <c r="H49" i="10" s="1"/>
  <c r="K48" i="10"/>
  <c r="G48" i="10"/>
  <c r="E48" i="10"/>
  <c r="L47" i="10"/>
  <c r="K47" i="10"/>
  <c r="G47" i="10"/>
  <c r="E47" i="10"/>
  <c r="H47" i="10" s="1"/>
  <c r="K46" i="10"/>
  <c r="G46" i="10"/>
  <c r="H46" i="10" s="1"/>
  <c r="E46" i="10"/>
  <c r="L45" i="10"/>
  <c r="K45" i="10"/>
  <c r="H45" i="10"/>
  <c r="G45" i="10"/>
  <c r="E45" i="10"/>
  <c r="K44" i="10"/>
  <c r="G44" i="10"/>
  <c r="H44" i="10" s="1"/>
  <c r="K43" i="10"/>
  <c r="G43" i="10"/>
  <c r="H43" i="10" s="1"/>
  <c r="K42" i="10"/>
  <c r="L42" i="10" s="1"/>
  <c r="H42" i="10"/>
  <c r="G42" i="10"/>
  <c r="K41" i="10"/>
  <c r="G41" i="10"/>
  <c r="H41" i="10" s="1"/>
  <c r="E41" i="10"/>
  <c r="K40" i="10"/>
  <c r="G40" i="10"/>
  <c r="H40" i="10" s="1"/>
  <c r="L39" i="10"/>
  <c r="K39" i="10"/>
  <c r="G39" i="10"/>
  <c r="H39" i="10" s="1"/>
  <c r="K38" i="10"/>
  <c r="L38" i="10" s="1"/>
  <c r="H38" i="10"/>
  <c r="G38" i="10"/>
  <c r="K37" i="10"/>
  <c r="G37" i="10"/>
  <c r="H37" i="10" s="1"/>
  <c r="E37" i="10"/>
  <c r="K36" i="10"/>
  <c r="G36" i="10"/>
  <c r="H36" i="10" s="1"/>
  <c r="L36" i="10" s="1"/>
  <c r="E36" i="10"/>
  <c r="K35" i="10"/>
  <c r="G35" i="10"/>
  <c r="E35" i="10"/>
  <c r="K34" i="10"/>
  <c r="L34" i="10" s="1"/>
  <c r="H34" i="10"/>
  <c r="G34" i="10"/>
  <c r="K33" i="10"/>
  <c r="G33" i="10"/>
  <c r="H33" i="10" s="1"/>
  <c r="K32" i="10"/>
  <c r="G32" i="10"/>
  <c r="H32" i="10" s="1"/>
  <c r="K31" i="10"/>
  <c r="L31" i="10" s="1"/>
  <c r="H31" i="10"/>
  <c r="G31" i="10"/>
  <c r="E31" i="10"/>
  <c r="K30" i="10"/>
  <c r="L30" i="10" s="1"/>
  <c r="G30" i="10"/>
  <c r="E30" i="10"/>
  <c r="H30" i="10" s="1"/>
  <c r="K29" i="10"/>
  <c r="G29" i="10"/>
  <c r="H29" i="10" s="1"/>
  <c r="K28" i="10"/>
  <c r="G28" i="10"/>
  <c r="H28" i="10" s="1"/>
  <c r="L28" i="10" s="1"/>
  <c r="E28" i="10"/>
  <c r="K27" i="10"/>
  <c r="G27" i="10"/>
  <c r="E27" i="10"/>
  <c r="L26" i="10"/>
  <c r="K26" i="10"/>
  <c r="H26" i="10"/>
  <c r="G26" i="10"/>
  <c r="E26" i="10"/>
  <c r="K25" i="10"/>
  <c r="L25" i="10" s="1"/>
  <c r="G25" i="10"/>
  <c r="E25" i="10"/>
  <c r="H25" i="10" s="1"/>
  <c r="K24" i="10"/>
  <c r="G24" i="10"/>
  <c r="H24" i="10" s="1"/>
  <c r="E24" i="10"/>
  <c r="K23" i="10"/>
  <c r="L23" i="10" s="1"/>
  <c r="G23" i="10"/>
  <c r="H23" i="10" s="1"/>
  <c r="E23" i="10"/>
  <c r="K22" i="10"/>
  <c r="G22" i="10"/>
  <c r="E22" i="10"/>
  <c r="L21" i="10"/>
  <c r="K21" i="10"/>
  <c r="G21" i="10"/>
  <c r="H21" i="10" s="1"/>
  <c r="E21" i="10"/>
  <c r="K20" i="10"/>
  <c r="G20" i="10"/>
  <c r="H20" i="10" s="1"/>
  <c r="K19" i="10"/>
  <c r="G19" i="10"/>
  <c r="H19" i="10" s="1"/>
  <c r="K18" i="10"/>
  <c r="G18" i="10"/>
  <c r="H18" i="10" s="1"/>
  <c r="L18" i="10" s="1"/>
  <c r="K17" i="10"/>
  <c r="G17" i="10"/>
  <c r="H17" i="10" s="1"/>
  <c r="E17" i="10"/>
  <c r="L16" i="10"/>
  <c r="K16" i="10"/>
  <c r="H16" i="10"/>
  <c r="G16" i="10"/>
  <c r="E16" i="10"/>
  <c r="K15" i="10"/>
  <c r="L15" i="10" s="1"/>
  <c r="K14" i="10"/>
  <c r="L14" i="10" s="1"/>
  <c r="K13" i="10"/>
  <c r="E13" i="10"/>
  <c r="K12" i="10"/>
  <c r="L12" i="10" s="1"/>
  <c r="H12" i="10"/>
  <c r="E12" i="10"/>
  <c r="K11" i="10"/>
  <c r="L11" i="10" s="1"/>
  <c r="K10" i="10"/>
  <c r="L10" i="10" s="1"/>
  <c r="K9" i="10"/>
  <c r="L9" i="10" s="1"/>
  <c r="D9" i="10"/>
  <c r="H8" i="10"/>
  <c r="H7" i="10"/>
  <c r="K133" i="9"/>
  <c r="E132" i="9"/>
  <c r="E102" i="9" s="1"/>
  <c r="L130" i="9"/>
  <c r="K130" i="9"/>
  <c r="E129" i="9"/>
  <c r="H129" i="9" s="1"/>
  <c r="K127" i="9"/>
  <c r="L127" i="9" s="1"/>
  <c r="E125" i="9"/>
  <c r="E124" i="9"/>
  <c r="K122" i="9"/>
  <c r="L122" i="9" s="1"/>
  <c r="G121" i="9"/>
  <c r="H121" i="9" s="1"/>
  <c r="E121" i="9"/>
  <c r="G120" i="9"/>
  <c r="G119" i="9"/>
  <c r="H119" i="9" s="1"/>
  <c r="K117" i="9"/>
  <c r="L117" i="9" s="1"/>
  <c r="H116" i="9"/>
  <c r="E115" i="9"/>
  <c r="H115" i="9" s="1"/>
  <c r="H114" i="9"/>
  <c r="E113" i="9"/>
  <c r="H113" i="9" s="1"/>
  <c r="H112" i="9"/>
  <c r="E111" i="9"/>
  <c r="H111" i="9" s="1"/>
  <c r="K108" i="9"/>
  <c r="E106" i="9"/>
  <c r="H107" i="9" s="1"/>
  <c r="H108" i="9" s="1"/>
  <c r="L104" i="9"/>
  <c r="K104" i="9"/>
  <c r="E100" i="9"/>
  <c r="E99" i="9"/>
  <c r="E119" i="9" s="1"/>
  <c r="H97" i="9"/>
  <c r="E97" i="9"/>
  <c r="H96" i="9"/>
  <c r="H95" i="9"/>
  <c r="H94" i="9"/>
  <c r="H93" i="9"/>
  <c r="H92" i="9"/>
  <c r="H91" i="9"/>
  <c r="H90" i="9"/>
  <c r="H89" i="9"/>
  <c r="H88" i="9"/>
  <c r="H87" i="9"/>
  <c r="H86" i="9"/>
  <c r="H85" i="9"/>
  <c r="H84" i="9"/>
  <c r="H83" i="9"/>
  <c r="H82" i="9"/>
  <c r="H81" i="9"/>
  <c r="H80" i="9"/>
  <c r="H79" i="9"/>
  <c r="H78" i="9"/>
  <c r="H77" i="9"/>
  <c r="H76" i="9"/>
  <c r="H75" i="9"/>
  <c r="H74" i="9"/>
  <c r="H73" i="9"/>
  <c r="H72" i="9"/>
  <c r="H71" i="9"/>
  <c r="H70" i="9"/>
  <c r="H69" i="9"/>
  <c r="H68" i="9"/>
  <c r="H67" i="9"/>
  <c r="E66" i="9"/>
  <c r="H66" i="9" s="1"/>
  <c r="H65" i="9"/>
  <c r="H64" i="9"/>
  <c r="H63" i="9"/>
  <c r="E63" i="9"/>
  <c r="H62" i="9"/>
  <c r="H61" i="9"/>
  <c r="H60" i="9"/>
  <c r="H59" i="9"/>
  <c r="H58" i="9"/>
  <c r="H57" i="9"/>
  <c r="H56" i="9"/>
  <c r="G52" i="9"/>
  <c r="H52" i="9" s="1"/>
  <c r="E52" i="9"/>
  <c r="E126" i="9" s="1"/>
  <c r="G51" i="9"/>
  <c r="G125" i="9" s="1"/>
  <c r="H125" i="9" s="1"/>
  <c r="G50" i="9"/>
  <c r="D50" i="9"/>
  <c r="D53" i="9" s="1"/>
  <c r="H48" i="9"/>
  <c r="H47" i="9"/>
  <c r="H46" i="9"/>
  <c r="H45" i="9"/>
  <c r="H44" i="9"/>
  <c r="H43" i="9"/>
  <c r="L40" i="9"/>
  <c r="K40" i="9"/>
  <c r="H39" i="9"/>
  <c r="H38" i="9"/>
  <c r="H37" i="9"/>
  <c r="H36" i="9"/>
  <c r="L32" i="9"/>
  <c r="K32" i="9"/>
  <c r="H31" i="9"/>
  <c r="H30" i="9"/>
  <c r="H29" i="9"/>
  <c r="H28" i="9"/>
  <c r="L26" i="9"/>
  <c r="K26" i="9"/>
  <c r="H23" i="9"/>
  <c r="H22" i="9"/>
  <c r="H21" i="9"/>
  <c r="H20" i="9"/>
  <c r="L18" i="9"/>
  <c r="K18" i="9"/>
  <c r="K17" i="9"/>
  <c r="L17" i="9" s="1"/>
  <c r="K14" i="9"/>
  <c r="L14" i="9" s="1"/>
  <c r="K13" i="9"/>
  <c r="L13" i="9" s="1"/>
  <c r="H12" i="9"/>
  <c r="H11" i="9"/>
  <c r="H10" i="9"/>
  <c r="H9" i="9"/>
  <c r="C12" i="8"/>
  <c r="B43" i="7"/>
  <c r="B41" i="7"/>
  <c r="E41" i="7"/>
  <c r="D94" i="15" l="1"/>
  <c r="E100" i="15"/>
  <c r="H100" i="15" s="1"/>
  <c r="L100" i="15" s="1"/>
  <c r="H74" i="15"/>
  <c r="E103" i="15"/>
  <c r="H103" i="15" s="1"/>
  <c r="L103" i="15" s="1"/>
  <c r="E91" i="15"/>
  <c r="H94" i="15"/>
  <c r="L94" i="15" s="1"/>
  <c r="E279" i="16"/>
  <c r="H279" i="16" s="1"/>
  <c r="L279" i="16" s="1"/>
  <c r="L236" i="16"/>
  <c r="H91" i="15"/>
  <c r="L91" i="15" s="1"/>
  <c r="H268" i="16"/>
  <c r="L268" i="16" s="1"/>
  <c r="L168" i="16"/>
  <c r="L360" i="17"/>
  <c r="E405" i="17"/>
  <c r="H109" i="17"/>
  <c r="L109" i="17" s="1"/>
  <c r="H35" i="15"/>
  <c r="D43" i="15"/>
  <c r="D49" i="15"/>
  <c r="L100" i="16"/>
  <c r="L154" i="16"/>
  <c r="L39" i="17"/>
  <c r="H48" i="15"/>
  <c r="L30" i="16"/>
  <c r="H38" i="16"/>
  <c r="L102" i="16"/>
  <c r="E154" i="16"/>
  <c r="H154" i="16" s="1"/>
  <c r="L158" i="16"/>
  <c r="H164" i="16"/>
  <c r="L164" i="16" s="1"/>
  <c r="H224" i="16"/>
  <c r="L224" i="16" s="1"/>
  <c r="L44" i="17"/>
  <c r="L309" i="17"/>
  <c r="L314" i="17"/>
  <c r="E52" i="18"/>
  <c r="E115" i="18" s="1"/>
  <c r="H115" i="18" s="1"/>
  <c r="L115" i="18" s="1"/>
  <c r="L333" i="18"/>
  <c r="L116" i="16"/>
  <c r="H37" i="15"/>
  <c r="H179" i="16"/>
  <c r="D41" i="15"/>
  <c r="L38" i="16"/>
  <c r="L82" i="16"/>
  <c r="L127" i="16"/>
  <c r="L146" i="16"/>
  <c r="L189" i="16"/>
  <c r="L280" i="16"/>
  <c r="L285" i="16"/>
  <c r="L171" i="17"/>
  <c r="L80" i="15"/>
  <c r="L27" i="16"/>
  <c r="L63" i="16"/>
  <c r="L78" i="16"/>
  <c r="L107" i="16"/>
  <c r="L210" i="16"/>
  <c r="L245" i="16"/>
  <c r="L66" i="17"/>
  <c r="L168" i="17"/>
  <c r="L235" i="17"/>
  <c r="L326" i="17"/>
  <c r="H345" i="17"/>
  <c r="L345" i="17" s="1"/>
  <c r="F116" i="18"/>
  <c r="H116" i="18" s="1"/>
  <c r="L116" i="18" s="1"/>
  <c r="H48" i="18"/>
  <c r="L262" i="18"/>
  <c r="L24" i="16"/>
  <c r="L55" i="16"/>
  <c r="L196" i="16"/>
  <c r="L256" i="16"/>
  <c r="L269" i="16"/>
  <c r="L84" i="17"/>
  <c r="L224" i="17"/>
  <c r="L34" i="18"/>
  <c r="G96" i="15"/>
  <c r="H105" i="16"/>
  <c r="L105" i="16" s="1"/>
  <c r="L147" i="16"/>
  <c r="L235" i="16"/>
  <c r="L276" i="16"/>
  <c r="H104" i="17"/>
  <c r="L104" i="17" s="1"/>
  <c r="L122" i="17"/>
  <c r="L199" i="17"/>
  <c r="L282" i="17"/>
  <c r="L373" i="17"/>
  <c r="L420" i="17"/>
  <c r="L266" i="19"/>
  <c r="L21" i="16"/>
  <c r="E93" i="16"/>
  <c r="H93" i="16" s="1"/>
  <c r="L93" i="16" s="1"/>
  <c r="L108" i="17"/>
  <c r="L84" i="16"/>
  <c r="F93" i="16"/>
  <c r="L97" i="16"/>
  <c r="L148" i="16"/>
  <c r="L173" i="16"/>
  <c r="L197" i="16"/>
  <c r="L230" i="16"/>
  <c r="L312" i="17"/>
  <c r="L25" i="18"/>
  <c r="L30" i="18"/>
  <c r="L18" i="16"/>
  <c r="L36" i="16"/>
  <c r="L47" i="16"/>
  <c r="E90" i="16"/>
  <c r="H90" i="16" s="1"/>
  <c r="L90" i="16" s="1"/>
  <c r="L139" i="16"/>
  <c r="H149" i="16"/>
  <c r="L149" i="16" s="1"/>
  <c r="L16" i="17"/>
  <c r="L95" i="17"/>
  <c r="L342" i="17"/>
  <c r="L410" i="17"/>
  <c r="H243" i="19"/>
  <c r="L243" i="19" s="1"/>
  <c r="H120" i="19"/>
  <c r="L120" i="19" s="1"/>
  <c r="L117" i="19"/>
  <c r="L177" i="17"/>
  <c r="D36" i="15"/>
  <c r="L194" i="16"/>
  <c r="L134" i="17"/>
  <c r="L73" i="19"/>
  <c r="H47" i="17"/>
  <c r="F109" i="17"/>
  <c r="H9" i="16"/>
  <c r="L14" i="16"/>
  <c r="L33" i="16"/>
  <c r="L106" i="16"/>
  <c r="L55" i="17"/>
  <c r="L91" i="17"/>
  <c r="L105" i="17"/>
  <c r="L396" i="17"/>
  <c r="L15" i="18"/>
  <c r="H36" i="19"/>
  <c r="L36" i="19" s="1"/>
  <c r="L63" i="17"/>
  <c r="E237" i="17"/>
  <c r="H237" i="17" s="1"/>
  <c r="L237" i="17" s="1"/>
  <c r="E211" i="17"/>
  <c r="H212" i="17"/>
  <c r="L212" i="17" s="1"/>
  <c r="L320" i="17"/>
  <c r="L341" i="17"/>
  <c r="L54" i="19"/>
  <c r="L381" i="17"/>
  <c r="H70" i="18"/>
  <c r="L70" i="18" s="1"/>
  <c r="E122" i="18"/>
  <c r="H122" i="18" s="1"/>
  <c r="L122" i="18" s="1"/>
  <c r="L102" i="18"/>
  <c r="L214" i="18"/>
  <c r="L282" i="18"/>
  <c r="H183" i="19"/>
  <c r="L87" i="17"/>
  <c r="L99" i="17"/>
  <c r="L137" i="17"/>
  <c r="L250" i="17"/>
  <c r="L317" i="17"/>
  <c r="L358" i="17"/>
  <c r="L29" i="18"/>
  <c r="L79" i="18"/>
  <c r="L97" i="18"/>
  <c r="L276" i="18"/>
  <c r="H82" i="19"/>
  <c r="L78" i="19"/>
  <c r="L81" i="19"/>
  <c r="H120" i="17"/>
  <c r="L120" i="17" s="1"/>
  <c r="L165" i="17"/>
  <c r="L201" i="17"/>
  <c r="L289" i="17"/>
  <c r="L295" i="17"/>
  <c r="L306" i="17"/>
  <c r="L349" i="17"/>
  <c r="L129" i="18"/>
  <c r="L159" i="18"/>
  <c r="L330" i="18"/>
  <c r="L14" i="19"/>
  <c r="L105" i="19"/>
  <c r="H20" i="17"/>
  <c r="L20" i="17" s="1"/>
  <c r="L47" i="17"/>
  <c r="H66" i="17"/>
  <c r="L74" i="17"/>
  <c r="H116" i="17"/>
  <c r="L116" i="17" s="1"/>
  <c r="L252" i="17"/>
  <c r="L268" i="17"/>
  <c r="L22" i="18"/>
  <c r="L40" i="18"/>
  <c r="L44" i="18"/>
  <c r="L185" i="18"/>
  <c r="L321" i="18"/>
  <c r="H76" i="19"/>
  <c r="L76" i="19" s="1"/>
  <c r="L75" i="19"/>
  <c r="H114" i="17"/>
  <c r="L114" i="17" s="1"/>
  <c r="L340" i="17"/>
  <c r="L344" i="17"/>
  <c r="L56" i="19"/>
  <c r="H44" i="17"/>
  <c r="L80" i="17"/>
  <c r="H112" i="17"/>
  <c r="L112" i="17" s="1"/>
  <c r="L216" i="17"/>
  <c r="L231" i="17"/>
  <c r="L248" i="17"/>
  <c r="L311" i="17"/>
  <c r="L325" i="17"/>
  <c r="L332" i="17"/>
  <c r="L368" i="18"/>
  <c r="D93" i="19"/>
  <c r="H93" i="19" s="1"/>
  <c r="L93" i="19" s="1"/>
  <c r="H54" i="19"/>
  <c r="L183" i="19"/>
  <c r="L13" i="18"/>
  <c r="L23" i="18"/>
  <c r="L41" i="18"/>
  <c r="H58" i="19"/>
  <c r="L60" i="19"/>
  <c r="L103" i="18"/>
  <c r="L385" i="18"/>
  <c r="L22" i="19"/>
  <c r="L59" i="19"/>
  <c r="L126" i="19"/>
  <c r="H200" i="19"/>
  <c r="L199" i="19"/>
  <c r="L217" i="19"/>
  <c r="L147" i="17"/>
  <c r="L261" i="17"/>
  <c r="L368" i="17"/>
  <c r="L17" i="18"/>
  <c r="L36" i="18"/>
  <c r="L149" i="18"/>
  <c r="L207" i="18"/>
  <c r="L212" i="18"/>
  <c r="L232" i="18"/>
  <c r="L285" i="18"/>
  <c r="L445" i="18"/>
  <c r="L212" i="19"/>
  <c r="H266" i="19"/>
  <c r="L264" i="19"/>
  <c r="H177" i="17"/>
  <c r="L359" i="17"/>
  <c r="L14" i="18"/>
  <c r="L33" i="18"/>
  <c r="L80" i="18"/>
  <c r="H133" i="18"/>
  <c r="L133" i="18" s="1"/>
  <c r="L154" i="18"/>
  <c r="L203" i="18"/>
  <c r="L208" i="18"/>
  <c r="L281" i="18"/>
  <c r="L291" i="18"/>
  <c r="L13" i="19"/>
  <c r="L160" i="19"/>
  <c r="L179" i="19"/>
  <c r="E253" i="19"/>
  <c r="H253" i="19" s="1"/>
  <c r="L218" i="17"/>
  <c r="L418" i="17"/>
  <c r="L422" i="17"/>
  <c r="L48" i="18"/>
  <c r="L101" i="18"/>
  <c r="H137" i="18"/>
  <c r="L137" i="18" s="1"/>
  <c r="E248" i="18"/>
  <c r="H248" i="18" s="1"/>
  <c r="E222" i="18"/>
  <c r="H222" i="18" s="1"/>
  <c r="L155" i="18"/>
  <c r="L219" i="18"/>
  <c r="L310" i="18"/>
  <c r="H87" i="19"/>
  <c r="H144" i="19"/>
  <c r="L144" i="19" s="1"/>
  <c r="L156" i="19"/>
  <c r="H190" i="19"/>
  <c r="L202" i="19"/>
  <c r="L253" i="19"/>
  <c r="L214" i="17"/>
  <c r="H20" i="18"/>
  <c r="L20" i="18" s="1"/>
  <c r="L27" i="18"/>
  <c r="L110" i="18"/>
  <c r="L127" i="18"/>
  <c r="L134" i="18"/>
  <c r="H143" i="18"/>
  <c r="L143" i="18" s="1"/>
  <c r="L225" i="18"/>
  <c r="L272" i="18"/>
  <c r="D94" i="19"/>
  <c r="H94" i="19" s="1"/>
  <c r="L94" i="19" s="1"/>
  <c r="H55" i="19"/>
  <c r="L55" i="19" s="1"/>
  <c r="L58" i="19"/>
  <c r="L82" i="19"/>
  <c r="L106" i="19"/>
  <c r="L112" i="19"/>
  <c r="H211" i="17"/>
  <c r="L211" i="17" s="1"/>
  <c r="H327" i="17"/>
  <c r="L327" i="17" s="1"/>
  <c r="L329" i="17"/>
  <c r="H123" i="18"/>
  <c r="L337" i="18"/>
  <c r="L61" i="19"/>
  <c r="L139" i="19"/>
  <c r="L227" i="19"/>
  <c r="L286" i="19"/>
  <c r="L311" i="18"/>
  <c r="L357" i="18"/>
  <c r="H62" i="19"/>
  <c r="L62" i="19" s="1"/>
  <c r="H145" i="19"/>
  <c r="H65" i="19"/>
  <c r="L283" i="19"/>
  <c r="H60" i="19"/>
  <c r="L392" i="18"/>
  <c r="L423" i="18"/>
  <c r="L449" i="18"/>
  <c r="L10" i="19"/>
  <c r="L15" i="19"/>
  <c r="L136" i="19"/>
  <c r="L176" i="19"/>
  <c r="L181" i="19"/>
  <c r="L280" i="19"/>
  <c r="L248" i="18"/>
  <c r="L358" i="18"/>
  <c r="L407" i="18"/>
  <c r="L65" i="19"/>
  <c r="E103" i="19"/>
  <c r="L150" i="19"/>
  <c r="L258" i="19"/>
  <c r="L289" i="19" s="1"/>
  <c r="C11" i="14" s="1"/>
  <c r="L276" i="19"/>
  <c r="L157" i="18"/>
  <c r="L166" i="18"/>
  <c r="L454" i="18"/>
  <c r="H66" i="19"/>
  <c r="L66" i="19" s="1"/>
  <c r="H109" i="19"/>
  <c r="L109" i="19" s="1"/>
  <c r="G143" i="19"/>
  <c r="H143" i="19" s="1"/>
  <c r="H242" i="19" s="1"/>
  <c r="L242" i="19" s="1"/>
  <c r="L145" i="19"/>
  <c r="L104" i="18"/>
  <c r="L123" i="18"/>
  <c r="G245" i="18"/>
  <c r="H245" i="18" s="1"/>
  <c r="L245" i="18" s="1"/>
  <c r="L63" i="19"/>
  <c r="L182" i="19"/>
  <c r="L200" i="19"/>
  <c r="L81" i="18"/>
  <c r="L96" i="18"/>
  <c r="H128" i="18"/>
  <c r="L128" i="18" s="1"/>
  <c r="E191" i="18"/>
  <c r="E235" i="18" s="1"/>
  <c r="E245" i="18" s="1"/>
  <c r="H179" i="18"/>
  <c r="L179" i="18" s="1"/>
  <c r="L265" i="18"/>
  <c r="L30" i="19"/>
  <c r="H52" i="19"/>
  <c r="L52" i="19" s="1"/>
  <c r="H56" i="19"/>
  <c r="H64" i="19"/>
  <c r="L64" i="19" s="1"/>
  <c r="H70" i="19"/>
  <c r="H73" i="19" s="1"/>
  <c r="L145" i="10"/>
  <c r="L44" i="10"/>
  <c r="H91" i="10"/>
  <c r="L191" i="10"/>
  <c r="L24" i="10"/>
  <c r="L93" i="10"/>
  <c r="L108" i="10"/>
  <c r="E120" i="9"/>
  <c r="H120" i="9" s="1"/>
  <c r="H102" i="9"/>
  <c r="E61" i="10"/>
  <c r="L43" i="10"/>
  <c r="L58" i="10"/>
  <c r="L136" i="10"/>
  <c r="L194" i="10"/>
  <c r="L103" i="11"/>
  <c r="L29" i="10"/>
  <c r="L160" i="11"/>
  <c r="H252" i="11"/>
  <c r="L78" i="10"/>
  <c r="L118" i="10"/>
  <c r="L45" i="11"/>
  <c r="H99" i="11"/>
  <c r="L99" i="11" s="1"/>
  <c r="H118" i="11"/>
  <c r="L118" i="11" s="1"/>
  <c r="L330" i="11"/>
  <c r="L108" i="9"/>
  <c r="H22" i="10"/>
  <c r="L22" i="10" s="1"/>
  <c r="L40" i="10"/>
  <c r="H48" i="10"/>
  <c r="L48" i="10" s="1"/>
  <c r="L132" i="10"/>
  <c r="L12" i="11"/>
  <c r="L37" i="10"/>
  <c r="L41" i="10"/>
  <c r="H89" i="10"/>
  <c r="L149" i="10"/>
  <c r="L273" i="10"/>
  <c r="E267" i="10"/>
  <c r="H97" i="12"/>
  <c r="H105" i="12" s="1"/>
  <c r="L105" i="12" s="1"/>
  <c r="L17" i="10"/>
  <c r="L32" i="10"/>
  <c r="H51" i="10"/>
  <c r="L51" i="10" s="1"/>
  <c r="L71" i="10"/>
  <c r="L94" i="10"/>
  <c r="H101" i="11"/>
  <c r="L101" i="11" s="1"/>
  <c r="L89" i="10"/>
  <c r="L314" i="11"/>
  <c r="H318" i="11"/>
  <c r="L318" i="11" s="1"/>
  <c r="L28" i="11"/>
  <c r="L148" i="10"/>
  <c r="H13" i="10"/>
  <c r="L13" i="10" s="1"/>
  <c r="E98" i="10"/>
  <c r="H98" i="10" s="1"/>
  <c r="L98" i="10" s="1"/>
  <c r="L91" i="10"/>
  <c r="L33" i="10"/>
  <c r="L19" i="10"/>
  <c r="L135" i="11"/>
  <c r="H50" i="9"/>
  <c r="G124" i="9"/>
  <c r="H124" i="9" s="1"/>
  <c r="H27" i="10"/>
  <c r="L27" i="10" s="1"/>
  <c r="H108" i="10"/>
  <c r="H109" i="10" s="1"/>
  <c r="L109" i="10" s="1"/>
  <c r="L146" i="10"/>
  <c r="L156" i="10"/>
  <c r="H156" i="10"/>
  <c r="L165" i="10"/>
  <c r="L42" i="11"/>
  <c r="H97" i="11"/>
  <c r="L124" i="11"/>
  <c r="L232" i="11"/>
  <c r="E160" i="10"/>
  <c r="H160" i="10" s="1"/>
  <c r="L160" i="10" s="1"/>
  <c r="E101" i="10"/>
  <c r="H101" i="10" s="1"/>
  <c r="L101" i="10" s="1"/>
  <c r="L199" i="10"/>
  <c r="L241" i="10"/>
  <c r="L20" i="10"/>
  <c r="H35" i="10"/>
  <c r="L35" i="10" s="1"/>
  <c r="L46" i="10"/>
  <c r="L220" i="10"/>
  <c r="L34" i="11"/>
  <c r="L228" i="11"/>
  <c r="L31" i="12"/>
  <c r="L252" i="10"/>
  <c r="L92" i="10"/>
  <c r="L114" i="10"/>
  <c r="E64" i="11"/>
  <c r="E113" i="11" s="1"/>
  <c r="H113" i="11" s="1"/>
  <c r="L113" i="11" s="1"/>
  <c r="L21" i="11"/>
  <c r="H152" i="11"/>
  <c r="L152" i="11" s="1"/>
  <c r="H162" i="11"/>
  <c r="L162" i="11" s="1"/>
  <c r="L220" i="11"/>
  <c r="L243" i="11"/>
  <c r="L299" i="11"/>
  <c r="L306" i="11"/>
  <c r="H351" i="11"/>
  <c r="L351" i="11" s="1"/>
  <c r="H34" i="12"/>
  <c r="L34" i="12" s="1"/>
  <c r="H38" i="12"/>
  <c r="L38" i="12" s="1"/>
  <c r="L53" i="12"/>
  <c r="L85" i="11"/>
  <c r="L263" i="11"/>
  <c r="L137" i="12"/>
  <c r="L196" i="12"/>
  <c r="G126" i="9"/>
  <c r="H126" i="9" s="1"/>
  <c r="L27" i="11"/>
  <c r="L93" i="11"/>
  <c r="H107" i="11"/>
  <c r="L107" i="11" s="1"/>
  <c r="L149" i="11"/>
  <c r="L247" i="11"/>
  <c r="L22" i="11"/>
  <c r="H103" i="11"/>
  <c r="H110" i="11"/>
  <c r="L216" i="11"/>
  <c r="L227" i="11"/>
  <c r="L240" i="11"/>
  <c r="L244" i="11"/>
  <c r="L365" i="11"/>
  <c r="L97" i="10"/>
  <c r="L259" i="11"/>
  <c r="H57" i="10"/>
  <c r="L57" i="10" s="1"/>
  <c r="L204" i="10"/>
  <c r="L31" i="11"/>
  <c r="L125" i="11"/>
  <c r="L192" i="11"/>
  <c r="L195" i="11"/>
  <c r="L245" i="11"/>
  <c r="L21" i="12"/>
  <c r="L25" i="12"/>
  <c r="H40" i="12"/>
  <c r="L40" i="12" s="1"/>
  <c r="L44" i="12"/>
  <c r="H147" i="12"/>
  <c r="L147" i="12" s="1"/>
  <c r="H51" i="9"/>
  <c r="H94" i="10"/>
  <c r="H146" i="10"/>
  <c r="L59" i="11"/>
  <c r="H104" i="11"/>
  <c r="L104" i="11" s="1"/>
  <c r="H111" i="11"/>
  <c r="L111" i="11" s="1"/>
  <c r="L183" i="11"/>
  <c r="L321" i="11"/>
  <c r="L374" i="11"/>
  <c r="H29" i="12"/>
  <c r="L29" i="12" s="1"/>
  <c r="E119" i="12"/>
  <c r="E100" i="12"/>
  <c r="H100" i="12" s="1"/>
  <c r="L100" i="12" s="1"/>
  <c r="L68" i="13"/>
  <c r="L140" i="10"/>
  <c r="L97" i="11"/>
  <c r="H184" i="11"/>
  <c r="L184" i="11" s="1"/>
  <c r="L273" i="11"/>
  <c r="H307" i="11"/>
  <c r="L307" i="11" s="1"/>
  <c r="L150" i="11"/>
  <c r="L97" i="12"/>
  <c r="L270" i="10"/>
  <c r="L32" i="11"/>
  <c r="L53" i="11"/>
  <c r="L163" i="11"/>
  <c r="H71" i="10"/>
  <c r="H132" i="9"/>
  <c r="H133" i="9" s="1"/>
  <c r="L95" i="11"/>
  <c r="L108" i="11"/>
  <c r="H157" i="11"/>
  <c r="L157" i="11" s="1"/>
  <c r="L190" i="11"/>
  <c r="L204" i="11"/>
  <c r="L214" i="11"/>
  <c r="L219" i="11"/>
  <c r="L225" i="11"/>
  <c r="L317" i="11"/>
  <c r="L26" i="12"/>
  <c r="H76" i="12"/>
  <c r="E120" i="12"/>
  <c r="H120" i="12" s="1"/>
  <c r="E55" i="13"/>
  <c r="H55" i="13" s="1"/>
  <c r="L55" i="13" s="1"/>
  <c r="H8" i="13"/>
  <c r="E119" i="11"/>
  <c r="H119" i="11" s="1"/>
  <c r="L119" i="11" s="1"/>
  <c r="E102" i="11"/>
  <c r="H102" i="11" s="1"/>
  <c r="L102" i="11" s="1"/>
  <c r="L144" i="11"/>
  <c r="H342" i="11"/>
  <c r="L342" i="11" s="1"/>
  <c r="L337" i="11"/>
  <c r="L49" i="10"/>
  <c r="L170" i="10"/>
  <c r="H177" i="10"/>
  <c r="L177" i="10" s="1"/>
  <c r="L48" i="11"/>
  <c r="H54" i="11"/>
  <c r="L54" i="11" s="1"/>
  <c r="H98" i="11"/>
  <c r="L98" i="11" s="1"/>
  <c r="H109" i="11"/>
  <c r="L109" i="11" s="1"/>
  <c r="L154" i="11"/>
  <c r="L187" i="11"/>
  <c r="E200" i="11"/>
  <c r="E254" i="11" s="1"/>
  <c r="L287" i="11"/>
  <c r="L15" i="12"/>
  <c r="L30" i="12"/>
  <c r="L76" i="12"/>
  <c r="L307" i="12"/>
  <c r="L110" i="11"/>
  <c r="L117" i="11"/>
  <c r="L415" i="11"/>
  <c r="L120" i="12"/>
  <c r="E202" i="12"/>
  <c r="E257" i="12" s="1"/>
  <c r="H31" i="12"/>
  <c r="L50" i="12"/>
  <c r="L57" i="12"/>
  <c r="L75" i="12"/>
  <c r="H166" i="12"/>
  <c r="L172" i="12"/>
  <c r="H187" i="12"/>
  <c r="L187" i="12" s="1"/>
  <c r="L313" i="12"/>
  <c r="L130" i="11"/>
  <c r="L198" i="11"/>
  <c r="L236" i="11"/>
  <c r="L278" i="11"/>
  <c r="L361" i="11"/>
  <c r="L413" i="11"/>
  <c r="L72" i="12"/>
  <c r="F115" i="12"/>
  <c r="H119" i="12"/>
  <c r="L119" i="12" s="1"/>
  <c r="L51" i="12"/>
  <c r="E121" i="12"/>
  <c r="H121" i="12" s="1"/>
  <c r="L121" i="12" s="1"/>
  <c r="E102" i="12"/>
  <c r="H102" i="12" s="1"/>
  <c r="L35" i="13"/>
  <c r="L222" i="12"/>
  <c r="H161" i="11"/>
  <c r="L161" i="11" s="1"/>
  <c r="L346" i="11"/>
  <c r="H49" i="12"/>
  <c r="L49" i="12" s="1"/>
  <c r="L68" i="12"/>
  <c r="L102" i="12"/>
  <c r="H94" i="11"/>
  <c r="L94" i="11" s="1"/>
  <c r="H100" i="11"/>
  <c r="L100" i="11" s="1"/>
  <c r="L127" i="11"/>
  <c r="L248" i="11"/>
  <c r="L252" i="11"/>
  <c r="L265" i="11"/>
  <c r="L323" i="11"/>
  <c r="L43" i="12"/>
  <c r="E122" i="12"/>
  <c r="H122" i="12" s="1"/>
  <c r="L122" i="12" s="1"/>
  <c r="H78" i="12"/>
  <c r="L78" i="12" s="1"/>
  <c r="L98" i="12"/>
  <c r="E51" i="13"/>
  <c r="L145" i="11"/>
  <c r="H148" i="11"/>
  <c r="L148" i="11" s="1"/>
  <c r="H191" i="11"/>
  <c r="L191" i="11" s="1"/>
  <c r="L193" i="11"/>
  <c r="L255" i="11"/>
  <c r="L12" i="12"/>
  <c r="L46" i="12"/>
  <c r="L132" i="12"/>
  <c r="L143" i="12"/>
  <c r="H146" i="12"/>
  <c r="L146" i="12" s="1"/>
  <c r="L165" i="12"/>
  <c r="L229" i="12"/>
  <c r="L54" i="13"/>
  <c r="L50" i="13"/>
  <c r="L20" i="13"/>
  <c r="H71" i="13"/>
  <c r="L71" i="13" s="1"/>
  <c r="E72" i="13"/>
  <c r="E102" i="13" s="1"/>
  <c r="L352" i="12"/>
  <c r="L69" i="12"/>
  <c r="L77" i="12"/>
  <c r="E167" i="12"/>
  <c r="E243" i="12" s="1"/>
  <c r="H243" i="12" s="1"/>
  <c r="L243" i="12" s="1"/>
  <c r="H275" i="12"/>
  <c r="L275" i="12" s="1"/>
  <c r="L296" i="12"/>
  <c r="L358" i="12"/>
  <c r="L32" i="13"/>
  <c r="L320" i="11"/>
  <c r="L414" i="11"/>
  <c r="E64" i="12"/>
  <c r="E115" i="12" s="1"/>
  <c r="H115" i="12" s="1"/>
  <c r="L115" i="12" s="1"/>
  <c r="E65" i="12"/>
  <c r="E116" i="12" s="1"/>
  <c r="H116" i="12" s="1"/>
  <c r="L116" i="12" s="1"/>
  <c r="H60" i="12"/>
  <c r="L60" i="12" s="1"/>
  <c r="L95" i="12"/>
  <c r="E160" i="12"/>
  <c r="L142" i="12"/>
  <c r="L184" i="12"/>
  <c r="H201" i="12"/>
  <c r="L112" i="13"/>
  <c r="L166" i="12"/>
  <c r="L340" i="12"/>
  <c r="L351" i="12"/>
  <c r="H353" i="12"/>
  <c r="L353" i="12" s="1"/>
  <c r="H250" i="12"/>
  <c r="L250" i="12" s="1"/>
  <c r="L132" i="13"/>
  <c r="L153" i="12"/>
  <c r="H165" i="12"/>
  <c r="L251" i="12"/>
  <c r="L258" i="12"/>
  <c r="L348" i="12"/>
  <c r="L380" i="12"/>
  <c r="L92" i="13"/>
  <c r="L122" i="13"/>
  <c r="L129" i="13"/>
  <c r="H130" i="13"/>
  <c r="L130" i="13" s="1"/>
  <c r="L54" i="12"/>
  <c r="H107" i="12"/>
  <c r="L107" i="12" s="1"/>
  <c r="H151" i="12"/>
  <c r="L151" i="12" s="1"/>
  <c r="L388" i="12"/>
  <c r="L33" i="13"/>
  <c r="H41" i="13"/>
  <c r="L41" i="13" s="1"/>
  <c r="L61" i="13"/>
  <c r="L376" i="11"/>
  <c r="E402" i="11"/>
  <c r="H125" i="12"/>
  <c r="L125" i="12" s="1"/>
  <c r="L154" i="12"/>
  <c r="L201" i="12"/>
  <c r="L231" i="12"/>
  <c r="L235" i="12"/>
  <c r="L252" i="12"/>
  <c r="E43" i="7"/>
  <c r="L429" i="17" l="1"/>
  <c r="C8" i="14" s="1"/>
  <c r="C9" i="14" s="1"/>
  <c r="L222" i="18"/>
  <c r="H233" i="18"/>
  <c r="L233" i="18" s="1"/>
  <c r="H43" i="15"/>
  <c r="D44" i="15"/>
  <c r="D85" i="15"/>
  <c r="H85" i="15" s="1"/>
  <c r="L85" i="15" s="1"/>
  <c r="L190" i="19"/>
  <c r="H244" i="19"/>
  <c r="L244" i="19" s="1"/>
  <c r="E134" i="19"/>
  <c r="H134" i="19" s="1"/>
  <c r="E142" i="19"/>
  <c r="H142" i="19" s="1"/>
  <c r="E39" i="19"/>
  <c r="H40" i="19" s="1"/>
  <c r="L40" i="19" s="1"/>
  <c r="D83" i="15"/>
  <c r="H83" i="15" s="1"/>
  <c r="L83" i="15" s="1"/>
  <c r="D42" i="15"/>
  <c r="H41" i="15"/>
  <c r="D45" i="15"/>
  <c r="H36" i="15"/>
  <c r="D50" i="15"/>
  <c r="D52" i="15" s="1"/>
  <c r="H68" i="19"/>
  <c r="L68" i="19" s="1"/>
  <c r="H161" i="16"/>
  <c r="L161" i="16" s="1"/>
  <c r="L286" i="16" s="1"/>
  <c r="C7" i="14" s="1"/>
  <c r="H113" i="19"/>
  <c r="L113" i="19" s="1"/>
  <c r="L87" i="19"/>
  <c r="H235" i="18"/>
  <c r="L143" i="19"/>
  <c r="L70" i="19"/>
  <c r="H49" i="15"/>
  <c r="D95" i="15"/>
  <c r="H95" i="15" s="1"/>
  <c r="L95" i="15" s="1"/>
  <c r="E269" i="11"/>
  <c r="H269" i="11" s="1"/>
  <c r="L269" i="11" s="1"/>
  <c r="H254" i="11"/>
  <c r="E274" i="12"/>
  <c r="H274" i="12" s="1"/>
  <c r="L274" i="12" s="1"/>
  <c r="E242" i="12"/>
  <c r="H242" i="12" s="1"/>
  <c r="L242" i="12" s="1"/>
  <c r="E271" i="12"/>
  <c r="H271" i="12" s="1"/>
  <c r="L271" i="12" s="1"/>
  <c r="H257" i="12"/>
  <c r="L257" i="12" s="1"/>
  <c r="C9" i="8" s="1"/>
  <c r="C10" i="8" s="1"/>
  <c r="H25" i="9"/>
  <c r="L133" i="9"/>
  <c r="L134" i="9" s="1"/>
  <c r="C6" i="8" s="1"/>
  <c r="H75" i="13"/>
  <c r="L75" i="13" s="1"/>
  <c r="E164" i="10"/>
  <c r="H164" i="10" s="1"/>
  <c r="E151" i="10"/>
  <c r="H151" i="10" s="1"/>
  <c r="E100" i="10"/>
  <c r="H100" i="10" s="1"/>
  <c r="L100" i="10" s="1"/>
  <c r="H102" i="13"/>
  <c r="L102" i="13" s="1"/>
  <c r="L165" i="13" s="1"/>
  <c r="C11" i="8" s="1"/>
  <c r="E103" i="13"/>
  <c r="H103" i="13" s="1"/>
  <c r="L103" i="13" s="1"/>
  <c r="H158" i="11"/>
  <c r="L158" i="11" s="1"/>
  <c r="H165" i="11"/>
  <c r="L165" i="11" s="1"/>
  <c r="C6" i="7"/>
  <c r="C5" i="7"/>
  <c r="C4" i="7"/>
  <c r="C3" i="7"/>
  <c r="A2" i="7"/>
  <c r="A1" i="7"/>
  <c r="D86" i="15" l="1"/>
  <c r="H86" i="15" s="1"/>
  <c r="L86" i="15" s="1"/>
  <c r="H44" i="15"/>
  <c r="H140" i="19"/>
  <c r="L134" i="19"/>
  <c r="H42" i="15"/>
  <c r="D84" i="15"/>
  <c r="H84" i="15" s="1"/>
  <c r="L84" i="15" s="1"/>
  <c r="H242" i="18"/>
  <c r="L242" i="18" s="1"/>
  <c r="L456" i="18" s="1"/>
  <c r="C10" i="14" s="1"/>
  <c r="L235" i="18"/>
  <c r="D96" i="15"/>
  <c r="H96" i="15" s="1"/>
  <c r="L96" i="15" s="1"/>
  <c r="H50" i="15"/>
  <c r="D46" i="15"/>
  <c r="D87" i="15"/>
  <c r="H87" i="15" s="1"/>
  <c r="L87" i="15" s="1"/>
  <c r="H45" i="15"/>
  <c r="H146" i="19"/>
  <c r="L142" i="19"/>
  <c r="H266" i="11"/>
  <c r="L266" i="11" s="1"/>
  <c r="L254" i="11"/>
  <c r="L417" i="11" s="1"/>
  <c r="C8" i="8" s="1"/>
  <c r="H157" i="10"/>
  <c r="L157" i="10" s="1"/>
  <c r="L151" i="10"/>
  <c r="H256" i="10"/>
  <c r="L256" i="10" s="1"/>
  <c r="L274" i="10" s="1"/>
  <c r="C7" i="8" s="1"/>
  <c r="C13" i="8" s="1"/>
  <c r="L164" i="10"/>
  <c r="C7" i="5"/>
  <c r="C6" i="5"/>
  <c r="C5" i="5"/>
  <c r="C4" i="5"/>
  <c r="C15" i="6"/>
  <c r="F43" i="6"/>
  <c r="F42" i="6"/>
  <c r="B43" i="6"/>
  <c r="B42" i="6"/>
  <c r="H250" i="19" l="1"/>
  <c r="L250" i="19" s="1"/>
  <c r="L146" i="19"/>
  <c r="H241" i="19"/>
  <c r="H245" i="19" s="1"/>
  <c r="L140" i="19"/>
  <c r="H46" i="15"/>
  <c r="D88" i="15"/>
  <c r="H88" i="15" s="1"/>
  <c r="L88" i="15" s="1"/>
  <c r="L105" i="15" s="1"/>
  <c r="C6" i="14" s="1"/>
  <c r="C13" i="14" s="1"/>
  <c r="E34" i="7"/>
  <c r="A1" i="6"/>
  <c r="F40" i="6"/>
  <c r="B17" i="6"/>
  <c r="A13" i="6"/>
  <c r="A12" i="6"/>
  <c r="A11" i="6"/>
  <c r="A10" i="6"/>
  <c r="A9" i="6"/>
  <c r="A8" i="6"/>
  <c r="G20" i="5"/>
  <c r="G19" i="5"/>
  <c r="B20" i="5"/>
  <c r="B19" i="5"/>
  <c r="E36" i="7" l="1"/>
  <c r="H247" i="19"/>
  <c r="L247" i="19" s="1"/>
  <c r="L245" i="19"/>
  <c r="A2" i="5"/>
  <c r="A1" i="5"/>
  <c r="A2" i="3"/>
  <c r="A1" i="3"/>
  <c r="A2" i="2"/>
  <c r="A1" i="2"/>
  <c r="E37" i="7" l="1"/>
  <c r="H15" i="5" s="1"/>
  <c r="H14" i="5"/>
  <c r="H16" i="5" l="1"/>
  <c r="E3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57" authorId="0" shapeId="0" xr:uid="{944F8ED1-3445-4B4F-BC7F-AF4E061AA09B}">
      <text>
        <r>
          <rPr>
            <b/>
            <sz val="9"/>
            <color indexed="81"/>
            <rFont val="Tahoma"/>
            <family val="2"/>
          </rPr>
          <t xml:space="preserve">Author: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52" authorId="0" shapeId="0" xr:uid="{918EF007-9EC9-4BE2-B7E3-EF3F2D25324C}">
      <text>
        <r>
          <rPr>
            <b/>
            <sz val="9"/>
            <color indexed="81"/>
            <rFont val="Tahoma"/>
            <family val="2"/>
          </rPr>
          <t xml:space="preserve">Author: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55" authorId="0" shapeId="0" xr:uid="{ACDFA3C7-A8A0-4157-9F28-91782CF2A9DD}">
      <text>
        <r>
          <rPr>
            <b/>
            <sz val="9"/>
            <color indexed="81"/>
            <rFont val="Tahoma"/>
            <family val="2"/>
          </rPr>
          <t xml:space="preserve">Author: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61" authorId="0" shapeId="0" xr:uid="{A5B6F994-300E-450B-B006-1529E951DD08}">
      <text>
        <r>
          <rPr>
            <b/>
            <sz val="9"/>
            <color indexed="81"/>
            <rFont val="Tahoma"/>
            <family val="2"/>
          </rPr>
          <t xml:space="preserve">Author: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22" authorId="0" shapeId="0" xr:uid="{257F535C-E68F-4AD8-9F49-7B04D9BC4BB5}">
      <text>
        <r>
          <rPr>
            <b/>
            <sz val="9"/>
            <color indexed="81"/>
            <rFont val="Tahoma"/>
            <family val="2"/>
          </rPr>
          <t xml:space="preserve">Author: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33" authorId="0" shapeId="0" xr:uid="{BBC3D369-4973-423B-8CD1-FBA97E4501C8}">
      <text>
        <r>
          <rPr>
            <b/>
            <sz val="9"/>
            <color indexed="81"/>
            <rFont val="Tahoma"/>
            <family val="2"/>
          </rPr>
          <t xml:space="preserve">Author:
</t>
        </r>
      </text>
    </comment>
  </commentList>
</comments>
</file>

<file path=xl/sharedStrings.xml><?xml version="1.0" encoding="utf-8"?>
<sst xmlns="http://schemas.openxmlformats.org/spreadsheetml/2006/main" count="5141" uniqueCount="1438">
  <si>
    <t>Name of the Package</t>
  </si>
  <si>
    <t>General Guidelines for filling up the Price Schedule and other attachments.</t>
  </si>
  <si>
    <t>All the cells in Summary will be auto filled, therefore no cell is required to be filled in that sheet.</t>
  </si>
  <si>
    <t>Instructions ,if any will be displayed automatically after selecting the cell.</t>
  </si>
  <si>
    <t>Click here to proceed.</t>
  </si>
  <si>
    <t>Fill only Green shaded cells in Details and Schedule-I.</t>
  </si>
  <si>
    <t>पावर ग्रिड कारपोरेशन ऑफ इण्डिया लिमिटेड</t>
  </si>
  <si>
    <t>(भारत सरकार का उद्यम)</t>
  </si>
  <si>
    <t>Power Grid Corporation of India Limited</t>
  </si>
  <si>
    <t>(A Government of India Enterprises)</t>
  </si>
  <si>
    <t>Enter the following details of the bidder</t>
  </si>
  <si>
    <t>Name of the bidder</t>
  </si>
  <si>
    <t>Address</t>
  </si>
  <si>
    <t>Contact No.</t>
  </si>
  <si>
    <t xml:space="preserve">E-mail </t>
  </si>
  <si>
    <t>Alternative E-mail</t>
  </si>
  <si>
    <t>Printed Name</t>
  </si>
  <si>
    <t xml:space="preserve">Designation </t>
  </si>
  <si>
    <t>Place</t>
  </si>
  <si>
    <t>Date</t>
  </si>
  <si>
    <t>To,</t>
  </si>
  <si>
    <t>Contracts and Materials Department</t>
  </si>
  <si>
    <t>POWER GRID CORPORATION OF INDIA LIMITED</t>
  </si>
  <si>
    <t>VIDYUT BOARD COLONY, SHASTRINAGAR, PATNA-23</t>
  </si>
  <si>
    <t>Designation</t>
  </si>
  <si>
    <t>We declare that following are our Total Bid Prices in Rupees for the expenditure incurred for the entire scope of work as specified in the specifications and documents. We have indicated Total Estimated  Cost as indicated in the "Bill of Quantity(BOQ) &amp; Prices" covering entire scope of works enclosed herewith as Schedule-I.</t>
  </si>
  <si>
    <t>I</t>
  </si>
  <si>
    <t>II</t>
  </si>
  <si>
    <t>Total GST on services/Installation as per Schedule-I</t>
  </si>
  <si>
    <t>III</t>
  </si>
  <si>
    <t>Toal BID Price including all taxes</t>
  </si>
  <si>
    <t>Bid Form 2nd Envelope</t>
  </si>
  <si>
    <t>BID FORM (Second Envelope)</t>
  </si>
  <si>
    <t>Bid Proposal Ref. No.</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</si>
  <si>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</si>
  <si>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</si>
  <si>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</si>
  <si>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</si>
  <si>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</si>
  <si>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</si>
  <si>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</si>
  <si>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</si>
  <si>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</si>
  <si>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</si>
  <si>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</si>
  <si>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</si>
  <si>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Printed Name :</t>
  </si>
  <si>
    <t>Place :</t>
  </si>
  <si>
    <t>Designation :</t>
  </si>
  <si>
    <t>Please provide additional information of the Bidder</t>
  </si>
  <si>
    <t>Business Address                       :</t>
  </si>
  <si>
    <t>Country of Incorporation         :</t>
  </si>
  <si>
    <t>State/Province to be indicated :</t>
  </si>
  <si>
    <t>Name of Principal Officer         :</t>
  </si>
  <si>
    <t>Address of  Principal Officer    :</t>
  </si>
  <si>
    <t>Schedule-I</t>
  </si>
  <si>
    <t>Service/Installation charges</t>
  </si>
  <si>
    <t>We are aware that the Price Schedules do not generally give a full description of the Work to be performed under each item and we shall be deemed to have read the Technical Specifications and other sections of the Bidding Documents  to ascertain the full scope of Work included in each item while filling-in the rates and prices. We agree that the entered rates and prices shall be deemed to include for the full scope as aforesaid, including overheads and profit.</t>
  </si>
  <si>
    <t>We confirm that we shall also get registered with the concerned Goods and Service  Tax Authorities, in all the states where the project is located.</t>
  </si>
  <si>
    <t>Schedule-I of Price Bid</t>
  </si>
  <si>
    <t>Sl. No.</t>
  </si>
  <si>
    <t>Above and below (in %): To be quoted by bidder</t>
  </si>
  <si>
    <t>Quoted Price</t>
  </si>
  <si>
    <t>GST (in percentage )@</t>
  </si>
  <si>
    <t>Total for Installation/Services as per Schedule-I</t>
  </si>
  <si>
    <t>Note: If any part of price which required to be filled by bidder kept blank, the bid price shall be considered as inclusive and evaluation shall be done accordingly</t>
  </si>
  <si>
    <t>Description</t>
  </si>
  <si>
    <t>Amount 
(Ex. GST)</t>
  </si>
  <si>
    <t>Foundation and Plinth</t>
  </si>
  <si>
    <t>Ground Floor</t>
  </si>
  <si>
    <t>First Floor</t>
  </si>
  <si>
    <t>Terrace,Parapet and Mumty</t>
  </si>
  <si>
    <t>Second Floor</t>
  </si>
  <si>
    <t>Third Floor</t>
  </si>
  <si>
    <t>LIFT(PAR23 CODE 3.1.1)</t>
  </si>
  <si>
    <t>TOWER-1</t>
  </si>
  <si>
    <t>TOWER-2</t>
  </si>
  <si>
    <t>Peripheral Drain</t>
  </si>
  <si>
    <t>Peripheral road, Paver Block etc.</t>
  </si>
  <si>
    <t>Dismantling of old qtrs</t>
  </si>
  <si>
    <t>Main Power Supply System</t>
  </si>
  <si>
    <t xml:space="preserve">PHE, Septic Tank, Rain water Harvesting etc. </t>
  </si>
  <si>
    <t>Modular Kitchen(Supply and Installation)</t>
  </si>
  <si>
    <t>Wardrobes(Supply and Installation)</t>
  </si>
  <si>
    <t>Landscaping</t>
  </si>
  <si>
    <t>ELECTRICAL</t>
  </si>
  <si>
    <t>Reference</t>
  </si>
  <si>
    <t>Construction of Residential Quarters at Jamshedpur and demolition of Old Quarters( Brick Masonry</t>
  </si>
  <si>
    <t>RFX. No. 5002003246 NIT-435</t>
  </si>
  <si>
    <t>BOQ(DSR Items)</t>
  </si>
  <si>
    <t xml:space="preserve">Abstract of cost for the proposed construction of Residential Dwelling Unit at -Jamshedpur (Jharkhand)  </t>
  </si>
  <si>
    <t xml:space="preserve"> </t>
  </si>
  <si>
    <t>Tower-1</t>
  </si>
  <si>
    <t>Serial</t>
  </si>
  <si>
    <t>Particular</t>
  </si>
  <si>
    <t>Amount</t>
  </si>
  <si>
    <t>Total Cost (GST Extra as applicable)</t>
  </si>
  <si>
    <t xml:space="preserve">         Proposed Construction of Residential Dwelling unit at - Jamshedpur (Jharkhand)  </t>
  </si>
  <si>
    <t xml:space="preserve">Calculation of Quantity of Materials - Upto Plinth Level </t>
  </si>
  <si>
    <t>SN</t>
  </si>
  <si>
    <t>DSR 2023</t>
  </si>
  <si>
    <t>Particulars</t>
  </si>
  <si>
    <t>No.</t>
  </si>
  <si>
    <t>Length</t>
  </si>
  <si>
    <t>Width</t>
  </si>
  <si>
    <t>Height</t>
  </si>
  <si>
    <t>Quantity</t>
  </si>
  <si>
    <t>Unit</t>
  </si>
  <si>
    <t>Rate</t>
  </si>
  <si>
    <t>Rate*100/118</t>
  </si>
  <si>
    <t>Earth work in excavation by mechanical means ( Hydraulic excavator)/ manual means  in foundation trenches or drains (not exceding 1.5 m in width or 10 sqm on plan) including dressing of sides and ramming of bottoms,  including getting out the excavated soil and disposal of surplus excavated soil as directed, with all lead &amp; lifts.</t>
  </si>
  <si>
    <t>2.8.1</t>
  </si>
  <si>
    <t>All Kinds of soil</t>
  </si>
  <si>
    <t>F1</t>
  </si>
  <si>
    <t>F2</t>
  </si>
  <si>
    <t>F3</t>
  </si>
  <si>
    <t>Tie beam  ( 250 th.)</t>
  </si>
  <si>
    <t>Total</t>
  </si>
  <si>
    <t>Cu m</t>
  </si>
  <si>
    <t xml:space="preserve"> Filling available excavated earth(excluding rock)  in trenches ,  plinth, sides of foundations etc. in layers not exceeding 20cm in depth: consolidating each deposited layer by ramming and watering, lead up to 50 m and lift upto 1.5 m.</t>
  </si>
  <si>
    <t xml:space="preserve"> Total Excavation =1165.20 , Refilling @ 60 % of total excavation = 1165.20 x 0.60 =699.12 or say =700 m3</t>
  </si>
  <si>
    <t>Supplying and filling in plinth with local sand under floors including, watering, ramming consolidating and dressing complete.</t>
  </si>
  <si>
    <t xml:space="preserve">Under plinth ( Total site should be raised yp to 0.45 m ) Total site area  = 414 m2 and av. Depth of filling = 0.45 m </t>
  </si>
  <si>
    <t>Deduction ( available excavated earth form foundation = total excavation -  filling available earth = 552.96 - 331.78= 221.18 or say = 221 cum)</t>
  </si>
  <si>
    <t xml:space="preserve">Brick work up to plinth  </t>
  </si>
  <si>
    <t>DSR ANALYSIS 11.1</t>
  </si>
  <si>
    <t>Providing brick of class designation 75 in one brick flat soling joints filled with local sand including cost of watering taxes royalty all complete as per  specification and direction of Engineer-in-charge.</t>
  </si>
  <si>
    <t>Plinth  ( area = 414 m2 )</t>
  </si>
  <si>
    <t>Sq m</t>
  </si>
  <si>
    <t>Providing and laying in position cement concrete of specified grade excluding the cost of centring and shuttering-all work upto plinth level.</t>
  </si>
  <si>
    <t>4.1.3</t>
  </si>
  <si>
    <t>1:2:4 ( 1 Cement:2 coarse sand: 4 graded stone aggregate 20 mm nominal size)</t>
  </si>
  <si>
    <t>Foundation</t>
  </si>
  <si>
    <t xml:space="preserve">Plinth </t>
  </si>
  <si>
    <t>Providing and laying  in position specified grade of reinforced cement concrete excluding the cost of centring, shuttering, finishing and reinforcement-all work upto plinth level.</t>
  </si>
  <si>
    <t>5.1.2</t>
  </si>
  <si>
    <t>1:1:5:3 (1 cement: 1.5 coarse sand: 3 graded stone aggregate 20 mm nominal size)</t>
  </si>
  <si>
    <t>Pedestal</t>
  </si>
  <si>
    <t>Column below FGL</t>
  </si>
  <si>
    <t>C1</t>
  </si>
  <si>
    <t>C2</t>
  </si>
  <si>
    <t xml:space="preserve">Lift wall </t>
  </si>
  <si>
    <t>Tie Beam</t>
  </si>
  <si>
    <t>Size ( 250 x 500 )</t>
  </si>
  <si>
    <t>Along grid A (7-13)</t>
  </si>
  <si>
    <t>Along Grid B (7-11)</t>
  </si>
  <si>
    <t>Along grid C (11-13)</t>
  </si>
  <si>
    <t>Along grid D (7-8)</t>
  </si>
  <si>
    <t>Along grid E &amp; F (8-13)</t>
  </si>
  <si>
    <t>Along grid F (15-18)</t>
  </si>
  <si>
    <t>Along grid G (1-17)</t>
  </si>
  <si>
    <t>Along grid H (5-7)</t>
  </si>
  <si>
    <t>Along Grid H (17-18)</t>
  </si>
  <si>
    <t>Along grid J (14-18)</t>
  </si>
  <si>
    <t>Along grid K (7-13)</t>
  </si>
  <si>
    <t>Along grid K (1-7)</t>
  </si>
  <si>
    <t>Along grid L (1-2)</t>
  </si>
  <si>
    <t>Along grid L (13-14)</t>
  </si>
  <si>
    <t>Along grid M (2-18)</t>
  </si>
  <si>
    <t>Along grid N (1-4)</t>
  </si>
  <si>
    <t>Along grid N (6-12)</t>
  </si>
  <si>
    <t>Along grid P (7-12)</t>
  </si>
  <si>
    <t>Along grid Q (12-13)</t>
  </si>
  <si>
    <t>Along grid R &amp; S (7-13)</t>
  </si>
  <si>
    <t>Along grid 1  (G-N)</t>
  </si>
  <si>
    <t>Along grid 2  (K-N)</t>
  </si>
  <si>
    <t>Along grid 3  (G-K)</t>
  </si>
  <si>
    <t>Along grid 4 &amp; 6  (M-N)</t>
  </si>
  <si>
    <t>Along grid 5  (G-M)</t>
  </si>
  <si>
    <t>Along grid 7  (A-E)</t>
  </si>
  <si>
    <t>Along grid 7  (G-S)</t>
  </si>
  <si>
    <t>Along grid 8  (B-G)</t>
  </si>
  <si>
    <t>Along grid 9  (G-N)</t>
  </si>
  <si>
    <t>Along grid 10  (A-B)</t>
  </si>
  <si>
    <t>Along grid 10  (P-S)</t>
  </si>
  <si>
    <t>Along grid 11  (A-E)</t>
  </si>
  <si>
    <t>Along grid 11  (R-S)</t>
  </si>
  <si>
    <t>Along grid 12  (M-R)</t>
  </si>
  <si>
    <t>Along grid 13  (A-M)</t>
  </si>
  <si>
    <t>Along grid 13  (Q-S)</t>
  </si>
  <si>
    <t>Along grid 14  (G-M)</t>
  </si>
  <si>
    <t>Along grid 15  (F-G)</t>
  </si>
  <si>
    <t>Along grid 16  (J-M)</t>
  </si>
  <si>
    <t>Along grid 17  (F-J)</t>
  </si>
  <si>
    <t>Along grid 18  (F-M)</t>
  </si>
  <si>
    <t xml:space="preserve">Toilet Beam </t>
  </si>
  <si>
    <t xml:space="preserve">Total length of 250 x 500  tie beam </t>
  </si>
  <si>
    <t xml:space="preserve">Total Length of 125 x 400 tie beam </t>
  </si>
  <si>
    <t xml:space="preserve">R.C.C. band at plinth </t>
  </si>
  <si>
    <t xml:space="preserve">250 thick </t>
  </si>
  <si>
    <r>
      <t>Reinforcement</t>
    </r>
    <r>
      <rPr>
        <sz val="10"/>
        <rFont val="Arial"/>
        <family val="2"/>
      </rPr>
      <t xml:space="preserve"> for RCC work including straightening, cutting, bending, placing in position and binding all complete upto plinth level</t>
    </r>
  </si>
  <si>
    <t>Total RCC</t>
  </si>
  <si>
    <t>Steel in kg/ cum</t>
  </si>
  <si>
    <t>5.22.6</t>
  </si>
  <si>
    <t>Thermo-Mechanically Treated bars of grade Fe-500D or more</t>
  </si>
  <si>
    <t>Kg</t>
  </si>
  <si>
    <r>
      <t>Centring and shuttering</t>
    </r>
    <r>
      <rPr>
        <sz val="10"/>
        <rFont val="Arial"/>
        <family val="2"/>
      </rPr>
      <t xml:space="preserve"> including strutting, propping etc. and removal of form</t>
    </r>
  </si>
  <si>
    <t>5.9.1</t>
  </si>
  <si>
    <t>Footing</t>
  </si>
  <si>
    <t>5.9.5</t>
  </si>
  <si>
    <t>Tie beam</t>
  </si>
  <si>
    <t xml:space="preserve">250 x 500 size </t>
  </si>
  <si>
    <t xml:space="preserve">125 x 400 size </t>
  </si>
  <si>
    <t>5.9.6</t>
  </si>
  <si>
    <t>Column</t>
  </si>
  <si>
    <t>5.9.15</t>
  </si>
  <si>
    <t>Bands</t>
  </si>
  <si>
    <t xml:space="preserve">Total </t>
  </si>
  <si>
    <t>S qm</t>
  </si>
  <si>
    <t>Brick work with common burnt clay F.P.S. ( Non modular) bricks of class designation 7.5 in foundation and plinth</t>
  </si>
  <si>
    <t>6.1.2</t>
  </si>
  <si>
    <t>Cement mortar 1:6( 1 cement:6 coarse sans)</t>
  </si>
  <si>
    <t>cum</t>
  </si>
  <si>
    <t>Grand Total (GST Extra as applicable)=</t>
  </si>
  <si>
    <t xml:space="preserve">         Proposed Construction of Residential Dwelling unit at-Jamshedpur (Jharkhand)  </t>
  </si>
  <si>
    <t xml:space="preserve">Calculation of Quantity of Materials - Ground Floor  (  DSR 2023  )         </t>
  </si>
  <si>
    <t>DSR-2023</t>
  </si>
  <si>
    <t>5.2.2</t>
  </si>
  <si>
    <r>
      <t xml:space="preserve">providing </t>
    </r>
    <r>
      <rPr>
        <b/>
        <sz val="10"/>
        <rFont val="Arial"/>
        <family val="2"/>
      </rPr>
      <t>RCC (1:1.5:3)</t>
    </r>
    <r>
      <rPr>
        <sz val="10"/>
        <rFont val="Arial"/>
        <family val="2"/>
      </rPr>
      <t xml:space="preserve"> with graded stone chips of 20 mm nominal size in Column, Stiffener, Plinth band excluding the cost of centring, shuttering and reinforcement all complete</t>
    </r>
  </si>
  <si>
    <t>2 (a)</t>
  </si>
  <si>
    <r>
      <t xml:space="preserve">Providing </t>
    </r>
    <r>
      <rPr>
        <b/>
        <sz val="10"/>
        <rFont val="Arial"/>
        <family val="2"/>
      </rPr>
      <t>RCC (1:1.5:3) in Band at Lintel, Beam at Lintel, Roof Beam</t>
    </r>
    <r>
      <rPr>
        <sz val="10"/>
        <rFont val="Arial"/>
        <family val="2"/>
      </rPr>
      <t xml:space="preserve"> excluding the cost of centring, shuttering and reinforcement</t>
    </r>
  </si>
  <si>
    <t xml:space="preserve">Lintel over Door </t>
  </si>
  <si>
    <t>D2</t>
  </si>
  <si>
    <t>D3</t>
  </si>
  <si>
    <t>Roof beam</t>
  </si>
  <si>
    <t>Beam size 250 x 600</t>
  </si>
  <si>
    <t>Balcony</t>
  </si>
  <si>
    <t>Total Length of 250 x 600 beam</t>
  </si>
  <si>
    <t>Total Length of 125 x 600 beam</t>
  </si>
  <si>
    <t>2(b)</t>
  </si>
  <si>
    <r>
      <t xml:space="preserve">Providing </t>
    </r>
    <r>
      <rPr>
        <b/>
        <sz val="10"/>
        <rFont val="Arial"/>
        <family val="2"/>
      </rPr>
      <t>RCC (1:1.5:3)  in Roof slab, Landing e</t>
    </r>
    <r>
      <rPr>
        <sz val="10"/>
        <rFont val="Arial"/>
        <family val="2"/>
      </rPr>
      <t>xcluding the cost of centring, shuttering and reinforcement</t>
    </r>
  </si>
  <si>
    <t>Roof slab</t>
  </si>
  <si>
    <t>Lobby Area</t>
  </si>
  <si>
    <t xml:space="preserve">Slab Beam Bottom  </t>
  </si>
  <si>
    <t xml:space="preserve">Slab beam top  </t>
  </si>
  <si>
    <t>Balcony projection</t>
  </si>
  <si>
    <t>Chajja W3</t>
  </si>
  <si>
    <t>Deductions for openings (stair)</t>
  </si>
  <si>
    <t xml:space="preserve">Lift </t>
  </si>
  <si>
    <t>2©</t>
  </si>
  <si>
    <r>
      <t xml:space="preserve">Providing </t>
    </r>
    <r>
      <rPr>
        <b/>
        <sz val="10"/>
        <rFont val="Arial"/>
        <family val="2"/>
      </rPr>
      <t>RCC (1:1.5:3) in Staircase</t>
    </r>
    <r>
      <rPr>
        <sz val="10"/>
        <rFont val="Arial"/>
        <family val="2"/>
      </rPr>
      <t xml:space="preserve"> excluding the cost of centring, shuttering and reinforcement</t>
    </r>
  </si>
  <si>
    <t>Waist slab</t>
  </si>
  <si>
    <t>Landing</t>
  </si>
  <si>
    <t>Steps</t>
  </si>
  <si>
    <r>
      <rPr>
        <b/>
        <sz val="10"/>
        <rFont val="Arial"/>
        <family val="2"/>
      </rPr>
      <t>Reinforcement for RCC</t>
    </r>
    <r>
      <rPr>
        <sz val="10"/>
        <rFont val="Arial"/>
        <family val="2"/>
      </rPr>
      <t xml:space="preserve"> work including straightening, cutting, bending, placing in position and binding all complete</t>
    </r>
  </si>
  <si>
    <t xml:space="preserve">Thermo-Mechanically Treated bars of grade Fe-500D of more </t>
  </si>
  <si>
    <t>Steel in kg</t>
  </si>
  <si>
    <r>
      <t>Centring and shuttering</t>
    </r>
    <r>
      <rPr>
        <sz val="10"/>
        <rFont val="Arial"/>
        <family val="2"/>
      </rPr>
      <t xml:space="preserve"> including strutting, propping etc. and Removal of form for:</t>
    </r>
  </si>
  <si>
    <t>a</t>
  </si>
  <si>
    <t>5.9.3</t>
  </si>
  <si>
    <t>Suspended floors, roofs, landings, balconies and access platform</t>
  </si>
  <si>
    <t xml:space="preserve">Lift anf duct </t>
  </si>
  <si>
    <t>b</t>
  </si>
  <si>
    <t>Lintel, Beam</t>
  </si>
  <si>
    <t>Roof Beam</t>
  </si>
  <si>
    <t>beam size 250 x 600</t>
  </si>
  <si>
    <t>Beam size 125 x 600</t>
  </si>
  <si>
    <t>c</t>
  </si>
  <si>
    <t>5.9.19</t>
  </si>
  <si>
    <t>Chajja</t>
  </si>
  <si>
    <t>W3</t>
  </si>
  <si>
    <t>d</t>
  </si>
  <si>
    <t>Column and Stiffener</t>
  </si>
  <si>
    <t>e</t>
  </si>
  <si>
    <t>5.9.7</t>
  </si>
  <si>
    <t>Stair</t>
  </si>
  <si>
    <t>Side</t>
  </si>
  <si>
    <r>
      <t xml:space="preserve">Brick work with common burnt clay </t>
    </r>
    <r>
      <rPr>
        <b/>
        <sz val="10"/>
        <rFont val="Arial"/>
        <family val="2"/>
      </rPr>
      <t>F.P.S</t>
    </r>
    <r>
      <rPr>
        <sz val="10"/>
        <rFont val="Arial"/>
        <family val="2"/>
      </rPr>
      <t xml:space="preserve"> (Non modular) brick of class designation 7.5 in superstructure above plinth level up to V level in all shapes and size in</t>
    </r>
  </si>
  <si>
    <t>6.4.2</t>
  </si>
  <si>
    <t>F.P.S  Brick work with Cement Mortar (1:6) in superstructure</t>
  </si>
  <si>
    <t xml:space="preserve"> wall 250mm thk. </t>
  </si>
  <si>
    <t>Deduction for openings</t>
  </si>
  <si>
    <t>Lift door</t>
  </si>
  <si>
    <t>V</t>
  </si>
  <si>
    <r>
      <rPr>
        <b/>
        <sz val="10"/>
        <rFont val="Arial"/>
        <family val="2"/>
      </rPr>
      <t>Half Brick</t>
    </r>
    <r>
      <rPr>
        <sz val="10"/>
        <rFont val="Arial"/>
        <family val="2"/>
      </rPr>
      <t xml:space="preserve"> Masonry with common burnt clay</t>
    </r>
    <r>
      <rPr>
        <b/>
        <sz val="10"/>
        <rFont val="Arial"/>
        <family val="2"/>
      </rPr>
      <t xml:space="preserve"> F.P.S</t>
    </r>
    <r>
      <rPr>
        <sz val="10"/>
        <rFont val="Arial"/>
        <family val="2"/>
      </rPr>
      <t xml:space="preserve"> (Non modular) brick of class designation 7.5 in superstructure above plinth level up to floor V level</t>
    </r>
  </si>
  <si>
    <t>6.13.2</t>
  </si>
  <si>
    <r>
      <t xml:space="preserve">F.P.S  Brick work with Cement Mortar </t>
    </r>
    <r>
      <rPr>
        <b/>
        <sz val="10"/>
        <rFont val="Arial"/>
        <family val="2"/>
      </rPr>
      <t>(1:4) in superstructure</t>
    </r>
  </si>
  <si>
    <t>Inner wall (125 mm thk.)</t>
  </si>
  <si>
    <t>sqm</t>
  </si>
  <si>
    <t>6 MM CEMENT PLASTER</t>
  </si>
  <si>
    <t>13.16.1</t>
  </si>
  <si>
    <r>
      <t xml:space="preserve">6 mm (1:3) </t>
    </r>
    <r>
      <rPr>
        <b/>
        <sz val="10"/>
        <rFont val="Arial"/>
        <family val="2"/>
      </rPr>
      <t>Ceiling plaster</t>
    </r>
  </si>
  <si>
    <t>Chajja V</t>
  </si>
  <si>
    <t>13.4.2</t>
  </si>
  <si>
    <r>
      <t xml:space="preserve">12 mm (1:6) </t>
    </r>
    <r>
      <rPr>
        <b/>
        <sz val="10"/>
        <rFont val="Arial"/>
        <family val="2"/>
      </rPr>
      <t>cement Plaster</t>
    </r>
    <r>
      <rPr>
        <sz val="10"/>
        <rFont val="Arial"/>
        <family val="2"/>
      </rPr>
      <t xml:space="preserve">  </t>
    </r>
  </si>
  <si>
    <t xml:space="preserve">internal plaster </t>
  </si>
  <si>
    <t xml:space="preserve">Guard room </t>
  </si>
  <si>
    <t>Toil</t>
  </si>
  <si>
    <t>Lift and duct</t>
  </si>
  <si>
    <t xml:space="preserve">stair </t>
  </si>
  <si>
    <t>Col. (0.3x 0.6)</t>
  </si>
  <si>
    <t>Col.(0.5x0.5)</t>
  </si>
  <si>
    <t>Length of 250 x 600 beam</t>
  </si>
  <si>
    <t>D1</t>
  </si>
  <si>
    <t xml:space="preserve">Col. 20 mm plaster </t>
  </si>
  <si>
    <t xml:space="preserve">Total 12 mm plaster </t>
  </si>
  <si>
    <t>13.5.2</t>
  </si>
  <si>
    <t>15 mm Cement plaster of rough side of single or half brick wall of mix 1:6 ( 1 cement:6 coarse sand)</t>
  </si>
  <si>
    <t xml:space="preserve">Length of 125 the. Wall ( one side)  </t>
  </si>
  <si>
    <t>13.6.2</t>
  </si>
  <si>
    <t>20 mm Cement plaster of mix 1:6 ( 1 cement : 6 coarse sand)</t>
  </si>
  <si>
    <t xml:space="preserve">Outer wall  </t>
  </si>
  <si>
    <t xml:space="preserve">Beam 250 x 600 </t>
  </si>
  <si>
    <t xml:space="preserve">Col. </t>
  </si>
  <si>
    <t>Forming groove of uniform size   in plaster  as per approved pattern using wooden battens, nailed to the under layer including removal of wooden battens, repairs to the ecges of plaster panel and finishing the groove complete as per specifications and direction of the Engineer-in-charge.</t>
  </si>
  <si>
    <t>13.73.2</t>
  </si>
  <si>
    <t>20 mm wide and 15 mm deep grove</t>
  </si>
  <si>
    <t>meter</t>
  </si>
  <si>
    <t>11.26.1</t>
  </si>
  <si>
    <t>Kota stone slab flooring over 20 mm (average) thick base laid over and jointed with grey cement slurry mixed with pigment to match the shade of the slab, including rubbing and polishing complete with base of cement
mortar 1 : 4 (1 cement : 4 coarse sand) :25 mm thick</t>
  </si>
  <si>
    <t>Stair Tread ) Flooring</t>
  </si>
  <si>
    <t>( Stair Landing)</t>
  </si>
  <si>
    <t xml:space="preserve">Stair room </t>
  </si>
  <si>
    <t>Chequerred precast cement concrete tiles 22 mm thick in footpath&amp; courtyard, jointed with neatcement slurry mixed with pifment to match the shade of tiles, including rubbing and cleaning etc. complete on 20 mm thick bed of cement mortar 1:4( 1 cement : 4  coarse sand)</t>
  </si>
  <si>
    <t>11.20.2</t>
  </si>
  <si>
    <t>Medium shade pigment using 50 % white cement 50 % Grey cement</t>
  </si>
  <si>
    <t xml:space="preserve">Q = Total plot area - other flooring </t>
  </si>
  <si>
    <r>
      <t xml:space="preserve">Providing and laying </t>
    </r>
    <r>
      <rPr>
        <b/>
        <sz val="11"/>
        <rFont val="Arial"/>
        <family val="2"/>
      </rPr>
      <t>vitrified floor tiles</t>
    </r>
    <r>
      <rPr>
        <sz val="11"/>
        <rFont val="Arial"/>
        <family val="2"/>
      </rPr>
      <t xml:space="preserve"> in different sizes (thickness to be specified by the manufacturer) with water absorption less than 0.08% and conforming to IS : 15622, of approved make, in all colours and shades, laid on 20mm thick cement mortar 1:4 (1 cement : 4 coarse
sand), including grouting the joints with white cement and matching pigments etc., complete.</t>
    </r>
  </si>
  <si>
    <t>11.41.2</t>
  </si>
  <si>
    <r>
      <t xml:space="preserve">Providing and laying 60x60 cm </t>
    </r>
    <r>
      <rPr>
        <b/>
        <sz val="10"/>
        <rFont val="Arial"/>
        <family val="2"/>
      </rPr>
      <t>Vitrified floor tiles</t>
    </r>
    <r>
      <rPr>
        <sz val="10"/>
        <rFont val="Arial"/>
        <family val="2"/>
      </rPr>
      <t xml:space="preserve"> over 20 mm thick cement mortar (1:4) all complete</t>
    </r>
  </si>
  <si>
    <t>Guard rm.</t>
  </si>
  <si>
    <r>
      <t xml:space="preserve">Providing and laying </t>
    </r>
    <r>
      <rPr>
        <b/>
        <sz val="10"/>
        <rFont val="Arial"/>
        <family val="2"/>
      </rPr>
      <t>Ceramic Glazed Floor tiles</t>
    </r>
    <r>
      <rPr>
        <sz val="10"/>
        <rFont val="Arial"/>
        <family val="2"/>
      </rPr>
      <t xml:space="preserve"> 300x300 in skirting of approved shade over 20 mm thick (1:4) cement mortar</t>
    </r>
  </si>
  <si>
    <t>Toil.</t>
  </si>
  <si>
    <r>
      <rPr>
        <b/>
        <sz val="11"/>
        <rFont val="Arial"/>
        <family val="2"/>
      </rPr>
      <t>Marble stone flooring with 18 mm thick marble stone as per</t>
    </r>
    <r>
      <rPr>
        <sz val="11"/>
        <rFont val="Arial"/>
        <family val="2"/>
      </rPr>
      <t xml:space="preserve"> sample of  marble approved by engineer in charge, over 20 mm ( average) thick   base of cement mortar1:4(1 cement:4 coarse sand) laid and jointed with   grey cement slurry, including rubbing and polishing completewith:  </t>
    </r>
  </si>
  <si>
    <t xml:space="preserve">Lobby </t>
  </si>
  <si>
    <t>Stone tile  (polished) work for wall lining over 12 mm thick bed of cement mortar1:3 ( 1 cement : 3 coarse sand) and cement slurry @ 3.3 kg/ sqm including pointing in white cement.</t>
  </si>
  <si>
    <t>8.9.1</t>
  </si>
  <si>
    <t>8 mm thick</t>
  </si>
  <si>
    <t>8.9.1.1</t>
  </si>
  <si>
    <t>Rajnagar Plain white marble</t>
  </si>
  <si>
    <t xml:space="preserve">Lobby Skirting </t>
  </si>
  <si>
    <t>Col.(0.3x0.6)</t>
  </si>
  <si>
    <t>Col (0.3x 0.5)</t>
  </si>
  <si>
    <t>Two side col.</t>
  </si>
  <si>
    <t>Sqm</t>
  </si>
  <si>
    <t>8.9.1.2</t>
  </si>
  <si>
    <t xml:space="preserve">Granite of any colour and shade </t>
  </si>
  <si>
    <t>Lift wall</t>
  </si>
  <si>
    <t>Kota stone slabs 20 mm thick in risers of steps, skirting, dado and pillars laid on 12 mm (average) thick cement mortar 1:3 (1 cement: 3 coarse sand) and jointed with grey cement slurry mixed with pigment to match the shade of the slabs, including rubbing and polishing complete.</t>
  </si>
  <si>
    <t>Stair Riser</t>
  </si>
  <si>
    <t>landing</t>
  </si>
  <si>
    <t xml:space="preserve">side </t>
  </si>
  <si>
    <t>Stair room</t>
  </si>
  <si>
    <t>11.46.2</t>
  </si>
  <si>
    <r>
      <t xml:space="preserve">Providing and laying </t>
    </r>
    <r>
      <rPr>
        <b/>
        <sz val="10"/>
        <rFont val="Arial"/>
        <family val="2"/>
      </rPr>
      <t>Vitrified tiles in Skirting</t>
    </r>
    <r>
      <rPr>
        <sz val="10"/>
        <rFont val="Arial"/>
        <family val="2"/>
      </rPr>
      <t>, Riser of steps over 12 mm cement mortar (1:3) all complete</t>
    </r>
  </si>
  <si>
    <r>
      <t xml:space="preserve">Providing and fixing 1st quality </t>
    </r>
    <r>
      <rPr>
        <b/>
        <sz val="10"/>
        <rFont val="Arial"/>
        <family val="2"/>
      </rPr>
      <t>Ceramic glazed wall tiles</t>
    </r>
    <r>
      <rPr>
        <sz val="10"/>
        <rFont val="Arial"/>
        <family val="2"/>
      </rPr>
      <t xml:space="preserve"> all complete</t>
    </r>
  </si>
  <si>
    <t>Providing wood work in frames of doors, windows, clerestory windows and other frames, wrought framed and fixed in position with hold fast lugs or with dash fasteners of required dia &amp; length ( hold fast lugs or</t>
  </si>
  <si>
    <t xml:space="preserve">dash fastener shall be paid for separately). </t>
  </si>
  <si>
    <t>9.1.2</t>
  </si>
  <si>
    <r>
      <t xml:space="preserve">Providing </t>
    </r>
    <r>
      <rPr>
        <b/>
        <sz val="10"/>
        <rFont val="Arial"/>
        <family val="2"/>
      </rPr>
      <t>Sal wood work</t>
    </r>
    <r>
      <rPr>
        <sz val="10"/>
        <rFont val="Arial"/>
        <family val="2"/>
      </rPr>
      <t xml:space="preserve"> in Frames of Door, Windows etc. and fixed in position all complete </t>
    </r>
  </si>
  <si>
    <t xml:space="preserve">D3 </t>
  </si>
  <si>
    <t>Providing and fixing factory made shutters of Pre-laminated particle board flat pressed three layer or graded wood particle board with one side decorative finish and other side balancing lamination conforming to IS: 12823 Grade l Type ll, of approved design, and edges sealed with water resistant paint and lipped with aluminium 'U' type edge beading all- round the shutter, including fixing with angle cleat, grip strip, cadmiumplated steel screws, including fixing of aluminium hinges 100x63x4 mm etc. complete as per architectural drawing and direction of Engineer-in-Charge (Cost of 'U' beadingand hinges will be paid for separately).</t>
  </si>
  <si>
    <t>9.131.1</t>
  </si>
  <si>
    <t>25 mm thick</t>
  </si>
  <si>
    <t>Providing and fixing aluminum U beading of required size to             Pre-laminated/flush  door shutter, including fixing etc. complete as per direction of Engineer-in-charge (@ 0.50 Kg Per Meter )</t>
  </si>
  <si>
    <t>KG</t>
  </si>
  <si>
    <t>`</t>
  </si>
  <si>
    <t xml:space="preserve">Providing and fixing ISI marked flush door shutters confirming   to IS:2202(PartI) non decorative type, core of block                     board construction with frame of 1st class hard wood and well matched commercial 3 ply veneering with vertical grains or  cross bands and face veneer on both faces of shutters. </t>
  </si>
  <si>
    <t>9.21.1</t>
  </si>
  <si>
    <t>35 mm thick including ISI marked stainless  steel butt hinges with necessary screws.</t>
  </si>
  <si>
    <t>9.147A</t>
  </si>
  <si>
    <t xml:space="preserve">Providing and fixing factory made uPVC glazed/wire mesh windows/ doors comprising of lead free uPVC multi-chambered frame, sash and mullion/coupler (where ever required) extruded profiles having minimum wall thickness of 1.70 mm for Series R1 and R2 profiles and 2.10 mm for Series R3 and R4 profiles conforming to EN: 12608 in any shape, colour and design duly reinforced with galvanized mild steel section made of required shape &amp; size as per CPWD Specification, uPVC extruded glazing beads, interlocks and Inline sash adaptor (where ever required) of appropriate dimension, EPDM gasket, hardware, SS 304 grade fasteners of minimum 8 mm dia with countersunk head, comprising of matching polyamide PA6 grade sleeve for fixing frame to finished wall as per IS 1367: Part 1 to 14, plastic packers, plastic caps and necessary stainless steel screws etc. Profile of frame, sash &amp; mullion (if required) shall be mitred cut and fusion welded/mechanically jointed duly sealed at all corners, including drilling of holes for fixing hardware and drainage of water etc. After fixing frame the gap between frame and adjacent finished wall shall be filled with weather proof silicon sealant over backer rod of approved size and quality, </t>
  </si>
  <si>
    <t xml:space="preserve">all complete as per approved drawing conforming to CPWD specification &amp; direction of Engineer-in-Charge. Section of steel reinforcement and cross sections of uPVC profiles to be as per design approved by Engineer-in-Charge. 
Wire mesh / Glazing of plain/ toughened/ laminated/ double glass unit with/without high performance coatings as per design requirements and conforming to IS: 3548 &amp; IS: 16231 shall be paid separately. Note:- Structural design proof checked from a Government Engineering Institute, to be provided by the manufacturer for : (i) Sites with basic wind speed &gt; 45 m/sec as per IS 875- Part 3 (ii) Sites with structure height more than 20m for all wind speeds 
</t>
  </si>
  <si>
    <t>9.147A1.3</t>
  </si>
  <si>
    <t xml:space="preserve">Casement window Using R4 series with frame (64mm&amp;above)x(45mm&amp; above) &amp; sash (44mm&amp;above)x(55mm&amp; above) with zinc alloy (zamak) powder coated handle on every panel along with-point locking system (Height above 1.8 m) </t>
  </si>
  <si>
    <t>W4</t>
  </si>
  <si>
    <t>Providing and fixing aluminium sliding door bolts, ISI marked anodised (anodic coating not less than grade AC 10 as per IS : 1868), transparent or dyed to required colour or shade, with nuts and screws etc. complete :</t>
  </si>
  <si>
    <t>9.96.1</t>
  </si>
  <si>
    <t>300x16 mm</t>
  </si>
  <si>
    <t>no.</t>
  </si>
  <si>
    <t>9.96.2</t>
  </si>
  <si>
    <t xml:space="preserve">250 x 16 mm </t>
  </si>
  <si>
    <t>Providing and fixing aluminium tower bolts, ISI marked, anodised (anodiccoating not less than grade AC 10 as per IS : 1868 ) transparent or dyed to required colour or shade, with necessary screws etc. complete :</t>
  </si>
  <si>
    <t>9.97.1</t>
  </si>
  <si>
    <t xml:space="preserve">300 x 10 mm </t>
  </si>
  <si>
    <t>9.97.2</t>
  </si>
  <si>
    <t xml:space="preserve">250 x 10 mm </t>
  </si>
  <si>
    <t>Providing and fixing aluminium pull bolt lock,ISI marked, anodised ( anodic coating not less than grade AC 10 as per IS; 1868) transparent or dyed to rewuired colour and shade with necessary screws bolts, nut and washers etc. complete</t>
  </si>
  <si>
    <t>each</t>
  </si>
  <si>
    <t>Providing and fixing aluminium handles ISI marked anodised (anodic coating not less than grade AC 10 as per IS:1868) transparent or dyed to required colour or shade with necessary screws etc. complete.</t>
  </si>
  <si>
    <t>9.100.1</t>
  </si>
  <si>
    <t>125 mm</t>
  </si>
  <si>
    <t>no</t>
  </si>
  <si>
    <t>9.100.2</t>
  </si>
  <si>
    <t>100 mm</t>
  </si>
  <si>
    <t>Providing and fixing aluminium hanging floor door stopper ISI marked anodised (anodic coating not less than grade AC 10 as per IS:1868) transparent or dyed to required colour and shade with necessary screws etc. complete.</t>
  </si>
  <si>
    <t>9.101.2</t>
  </si>
  <si>
    <t>Twin rubber stopper</t>
  </si>
  <si>
    <t>Providing &amp; Fixing Stainless steel (grade 304) railing made of hollow tubes all complete</t>
  </si>
  <si>
    <t>@ 5 Kg per metre ( stair railing)</t>
  </si>
  <si>
    <r>
      <t xml:space="preserve">Providing and applying </t>
    </r>
    <r>
      <rPr>
        <b/>
        <sz val="10"/>
        <rFont val="Arial"/>
        <family val="2"/>
      </rPr>
      <t>POP Putty</t>
    </r>
    <r>
      <rPr>
        <sz val="10"/>
        <rFont val="Arial"/>
        <family val="2"/>
      </rPr>
      <t xml:space="preserve"> of average thickness 2 mm of approved brand and manufacture</t>
    </r>
  </si>
  <si>
    <t xml:space="preserve">As per 12 mm inner plaster </t>
  </si>
  <si>
    <t>As per 15 mm plaster</t>
  </si>
  <si>
    <t>As per 6 mm   plaster</t>
  </si>
  <si>
    <t xml:space="preserve">Deduction ( wall tiles area ) </t>
  </si>
  <si>
    <t>13.83.2</t>
  </si>
  <si>
    <t xml:space="preserve"> Prium Acrylic emulsion paint of approved brand and manufacture</t>
  </si>
  <si>
    <t>Quantity same as wall putty area</t>
  </si>
  <si>
    <r>
      <t xml:space="preserve">Finishing walls with  </t>
    </r>
    <r>
      <rPr>
        <b/>
        <sz val="10"/>
        <rFont val="Arial"/>
        <family val="2"/>
      </rPr>
      <t>premium  Acrylic  smooth exterior pain</t>
    </r>
    <r>
      <rPr>
        <sz val="10"/>
        <rFont val="Arial"/>
        <family val="2"/>
      </rPr>
      <t>t   with silicone additives of required shade</t>
    </r>
  </si>
  <si>
    <t>13.47.1</t>
  </si>
  <si>
    <r>
      <rPr>
        <b/>
        <sz val="10"/>
        <rFont val="Arial"/>
        <family val="2"/>
      </rPr>
      <t>New work (Two or more coats applied @ 1.43kg/10sqm)</t>
    </r>
    <r>
      <rPr>
        <sz val="10"/>
        <rFont val="Arial"/>
        <family val="2"/>
      </rPr>
      <t xml:space="preserve"> over and including base coat of water proffing cement paint Snowcem Plus or equivalent applied @ 2.20 kg/10 sqm</t>
    </r>
  </si>
  <si>
    <t>Quantity same as 20mm  plaster area</t>
  </si>
  <si>
    <r>
      <t xml:space="preserve">Painting with </t>
    </r>
    <r>
      <rPr>
        <b/>
        <sz val="10"/>
        <rFont val="Arial"/>
        <family val="2"/>
      </rPr>
      <t>synthetic enamel paint</t>
    </r>
    <r>
      <rPr>
        <sz val="10"/>
        <rFont val="Arial"/>
        <family val="2"/>
      </rPr>
      <t xml:space="preserve"> of approved brand and manufacture  to give an even shade:</t>
    </r>
  </si>
  <si>
    <t>13.61.1</t>
  </si>
  <si>
    <t xml:space="preserve">Two or more coats on new work  </t>
  </si>
  <si>
    <r>
      <t xml:space="preserve">Providing and fixing circular </t>
    </r>
    <r>
      <rPr>
        <b/>
        <sz val="10"/>
        <rFont val="Arial"/>
        <family val="2"/>
      </rPr>
      <t>cast iron box</t>
    </r>
    <r>
      <rPr>
        <sz val="10"/>
        <rFont val="Arial"/>
        <family val="2"/>
      </rPr>
      <t xml:space="preserve"> for ceiling fan all complete</t>
    </r>
  </si>
  <si>
    <t>No</t>
  </si>
  <si>
    <t>Providing and fixing nickel plated M.S pipe curtain rods with nickel plated brackets</t>
  </si>
  <si>
    <t>9.47.1</t>
  </si>
  <si>
    <t>20 mm dia( Heavy type)</t>
  </si>
  <si>
    <t>Providing and fixing M.S. grills of required pattern in frames of windows etc. with flats, square or round bars etc. including priming cost with approved steel primer all complete.</t>
  </si>
  <si>
    <t>9.48.2</t>
  </si>
  <si>
    <t>Fixed to openings/ wooden frames with rawl plugs screws etc. ( @ 24 kg Per sqm)</t>
  </si>
  <si>
    <t>kg</t>
  </si>
  <si>
    <r>
      <rPr>
        <b/>
        <sz val="11"/>
        <rFont val="Arial"/>
        <family val="2"/>
      </rPr>
      <t>providing and fixing in position collapsible steel shutters</t>
    </r>
    <r>
      <rPr>
        <sz val="11"/>
        <rFont val="Arial"/>
        <family val="2"/>
      </rPr>
      <t xml:space="preserve"> with vertical  chanels 20 x 10 x 2 mm and braced with flat  iron        diagonals 20 x 5 mm size, with top and bottom rail of T iron 40x40x6  mm, with 40 mm dia stee pulleys, complete with bolts, nuts, locking   arrangement, stoppers,handles,including applying a priming cost of approved steel primer </t>
    </r>
  </si>
  <si>
    <t xml:space="preserve">Grand Total </t>
  </si>
  <si>
    <t xml:space="preserve">         Proposed Construction of Residential Dwelling unit at -Jamshedpur (Jharkhand)  </t>
  </si>
  <si>
    <t xml:space="preserve">Calculation of Quantity of Materials - First  Floor  (  DSR 2023  )         </t>
  </si>
  <si>
    <t>D0</t>
  </si>
  <si>
    <t>D4</t>
  </si>
  <si>
    <t xml:space="preserve">box window </t>
  </si>
  <si>
    <t>Chajja W1</t>
  </si>
  <si>
    <t>Chajja W2</t>
  </si>
  <si>
    <t xml:space="preserve">Beam size 125 x 450 </t>
  </si>
  <si>
    <t xml:space="preserve">Outer wall 250mm thk. </t>
  </si>
  <si>
    <t xml:space="preserve"> Along Grid-A</t>
  </si>
  <si>
    <t xml:space="preserve"> Along grid D</t>
  </si>
  <si>
    <t>Along grid F</t>
  </si>
  <si>
    <t>Along grid G (1-5)</t>
  </si>
  <si>
    <t>Stair Landing</t>
  </si>
  <si>
    <t>Along grid G (13-15)</t>
  </si>
  <si>
    <t>Along grid M (4-7)</t>
  </si>
  <si>
    <t>Along grid M (12-13)</t>
  </si>
  <si>
    <t>Along grid M (14-18)</t>
  </si>
  <si>
    <t>Along grid N (2-4)</t>
  </si>
  <si>
    <t>Along grid N (6-7)</t>
  </si>
  <si>
    <t>Along grid P (12-13)</t>
  </si>
  <si>
    <t xml:space="preserve">Along grid S </t>
  </si>
  <si>
    <t xml:space="preserve">Along grid 1 </t>
  </si>
  <si>
    <t>Along grid 2 (B-E)</t>
  </si>
  <si>
    <t>Along grid 7 (P-S)</t>
  </si>
  <si>
    <t>Along grid 8 (D-G)</t>
  </si>
  <si>
    <t>Along grid 12 (M-Q)</t>
  </si>
  <si>
    <t>Along grid 13 (A-E)</t>
  </si>
  <si>
    <t>Along grid13 (Q-R)</t>
  </si>
  <si>
    <t>Along grid13 (F-G)</t>
  </si>
  <si>
    <t>Along grid15 (F-G)</t>
  </si>
  <si>
    <t xml:space="preserve"> Along Grid-18</t>
  </si>
  <si>
    <t xml:space="preserve">Total length of 250 the. Outer wall </t>
  </si>
  <si>
    <t xml:space="preserve">Inner wall 250 mm thk. </t>
  </si>
  <si>
    <t>Along grid F (8-13)</t>
  </si>
  <si>
    <t>Along grid N (7-12)</t>
  </si>
  <si>
    <t>Along grid 7 (G-N)</t>
  </si>
  <si>
    <t>Along grid 9 (G-K)</t>
  </si>
  <si>
    <t>Along grid 13 (F-M)</t>
  </si>
  <si>
    <t xml:space="preserve">Total length of 250 the. Inner wall </t>
  </si>
  <si>
    <t>SDW</t>
  </si>
  <si>
    <t>W1</t>
  </si>
  <si>
    <t>W2</t>
  </si>
  <si>
    <t>Along grid B (7-10)</t>
  </si>
  <si>
    <t>Toilet</t>
  </si>
  <si>
    <t>Along grid C &amp; E (11-13)</t>
  </si>
  <si>
    <t>Along grid H (17-18)</t>
  </si>
  <si>
    <t>Along grid K (1-5)</t>
  </si>
  <si>
    <t>Along grid M (2-4)</t>
  </si>
  <si>
    <t>Along grid P &amp; R (7-10)</t>
  </si>
  <si>
    <t>Along grid R (11-13)</t>
  </si>
  <si>
    <t>Along grid 10 (A-B)</t>
  </si>
  <si>
    <t>Along grid 11 (A-B)</t>
  </si>
  <si>
    <t>Along grid 2 (L-N)</t>
  </si>
  <si>
    <t>Along grid 3 &amp; 5 (G-K)</t>
  </si>
  <si>
    <t>Along grid 9 (P-S)</t>
  </si>
  <si>
    <t>Along grid 11 (R-S)</t>
  </si>
  <si>
    <t>Along grid 12 (Q-R)</t>
  </si>
  <si>
    <t>Along grid 14 &amp;16 (J-M)</t>
  </si>
  <si>
    <t>Along grid 17 (F-H)</t>
  </si>
  <si>
    <t>Total length of 125 the.inner. wall</t>
  </si>
  <si>
    <t xml:space="preserve">Outer wall 125 mm thk. </t>
  </si>
  <si>
    <t>Along grid F (17-18)</t>
  </si>
  <si>
    <t>Along grid N (1-12)</t>
  </si>
  <si>
    <t>Along grid 7 (A-B)</t>
  </si>
  <si>
    <t>Along grid 13 (R-S)</t>
  </si>
  <si>
    <t>Balcony .60m b/w</t>
  </si>
  <si>
    <t>Total length of 125 the.outer . wall</t>
  </si>
  <si>
    <t>W0</t>
  </si>
  <si>
    <t>Length of 250 the outer wall ( inner face ) as per 250 the. Brick work</t>
  </si>
  <si>
    <t>Length of 250 the. Inner wall ( both face ) as per 250 the. Brick work</t>
  </si>
  <si>
    <t>Length of 125 the. Wall ( one side plaster ) as per 125 the. Brick work</t>
  </si>
  <si>
    <t>Length of 125 the. Wall ( one side) as per 125 the. Brick work</t>
  </si>
  <si>
    <t>Outer wall 250 mm thk</t>
  </si>
  <si>
    <t xml:space="preserve">Outer Wall 125mm thk  </t>
  </si>
  <si>
    <t>Living Rm.</t>
  </si>
  <si>
    <t>Dining</t>
  </si>
  <si>
    <t>Bed Room</t>
  </si>
  <si>
    <t>Toilet Front Lobby</t>
  </si>
  <si>
    <t>wardroble</t>
  </si>
  <si>
    <t>Bal.</t>
  </si>
  <si>
    <t>Living Bal.</t>
  </si>
  <si>
    <t>11.23.2</t>
  </si>
  <si>
    <t xml:space="preserve">Rajnagar Plain                   </t>
  </si>
  <si>
    <t xml:space="preserve">Kitchen </t>
  </si>
  <si>
    <t xml:space="preserve">Entrance Lobby </t>
  </si>
  <si>
    <t xml:space="preserve">Kit Skirting </t>
  </si>
  <si>
    <t>Stair riser</t>
  </si>
  <si>
    <t xml:space="preserve">D2 </t>
  </si>
  <si>
    <t xml:space="preserve">D4  </t>
  </si>
  <si>
    <t xml:space="preserve">Providing and fixing ISI marked flush door shutters confirming   to IS:2202(PartI) non decorative type, core of block    board construction with frame of 1st class hard wood and well matched commercial 3 ply veneering with vertical grains or  cross bands and face veneer on both faces of shutters. </t>
  </si>
  <si>
    <t>9.147. B4</t>
  </si>
  <si>
    <t>Three track three panels sliding door with Aluminium channel for roller track, wool pile zinc alloy (zamak) powder coated handle on two panels along with multi-point locking system, adjustable nylon rollers with ss 304 body.</t>
  </si>
  <si>
    <t>9.147. B4.1</t>
  </si>
  <si>
    <t xml:space="preserve">Using R3 series with frame (98mm&amp;above)x(40mm&amp; above) &amp; sash (30mm&amp;above)x(74mm&amp; above) .                      (Height above 2.5 m) </t>
  </si>
  <si>
    <t>SWD</t>
  </si>
  <si>
    <t xml:space="preserve">Balcony railing </t>
  </si>
  <si>
    <t>Quantity same as outer plaster area</t>
  </si>
  <si>
    <t>Providing and laying water proofing treatment in sunken portion   of WCs, bathroom etc., by applying cement slurry mixed with water proofing cement compound consisting of applying :</t>
  </si>
  <si>
    <t>(a) First layer of slurry of cement @ 0.488 kg/sqm mixed with water proofing cement compound @ 0.253 kg/ sqm. This layer will be allowed to air cure for 4 hours.</t>
  </si>
  <si>
    <t xml:space="preserve">(b) Second layer of slurry of cement @ 0.242 kg/sqm mixed with water proofing cement compound @ 0.126 kg/sqm. This layer will be allowed to air cure for 4 hours followed with water curing for   48 hours. </t>
  </si>
  <si>
    <t>The rate includes preparation of surface, treatment and sealing    of all joints, corners, junctions of pipes and masonry with polymer mixed slurry.</t>
  </si>
  <si>
    <t xml:space="preserve">Face area </t>
  </si>
  <si>
    <t xml:space="preserve">Grand Total (GST Extra as applicable)= </t>
  </si>
  <si>
    <t xml:space="preserve">Calculation of Quantity of Materials - 2nd &amp; 3rd   Floor  (  DSR 2023  )         </t>
  </si>
  <si>
    <t xml:space="preserve">Grand Total(GST Extra as applicable) = </t>
  </si>
  <si>
    <t>Calculation of Quantity of Materials - Parapet and Mumty  (  DSR 2023  )</t>
  </si>
  <si>
    <t>St.</t>
  </si>
  <si>
    <t>Water tank</t>
  </si>
  <si>
    <t>Stiffener ( parapet wall )</t>
  </si>
  <si>
    <t>Lintel over Door &amp; Window</t>
  </si>
  <si>
    <t>Along grid G,K,M&amp;N (7-10)</t>
  </si>
  <si>
    <t>Along grid 7 &amp; 10 (G-N)</t>
  </si>
  <si>
    <t>Lift Beam</t>
  </si>
  <si>
    <t>Lift Slab</t>
  </si>
  <si>
    <t>Machin Rm.</t>
  </si>
  <si>
    <t>Chajja D1</t>
  </si>
  <si>
    <t>Band at parapet</t>
  </si>
  <si>
    <t>B1</t>
  </si>
  <si>
    <t>B2</t>
  </si>
  <si>
    <t>B3</t>
  </si>
  <si>
    <t>B4</t>
  </si>
  <si>
    <r>
      <rPr>
        <b/>
        <sz val="11"/>
        <rFont val="Arial"/>
        <family val="2"/>
      </rPr>
      <t>Small lintels</t>
    </r>
    <r>
      <rPr>
        <sz val="11"/>
        <rFont val="Arial"/>
        <family val="2"/>
      </rPr>
      <t xml:space="preserve"> not exceeding 1.5 m clear span, moulding as in cornices, window sills, string courses, bands, copings, bed plates, anchor blocks and the like</t>
    </r>
  </si>
  <si>
    <t xml:space="preserve">Stair </t>
  </si>
  <si>
    <t>Machine room</t>
  </si>
  <si>
    <t xml:space="preserve">Total length of 250 outer wall </t>
  </si>
  <si>
    <t xml:space="preserve">250 the. Inner wall </t>
  </si>
  <si>
    <t xml:space="preserve">lift </t>
  </si>
  <si>
    <t xml:space="preserve">Total Length of 250 the. Wall </t>
  </si>
  <si>
    <t xml:space="preserve">Parapat wall 250mm thk </t>
  </si>
  <si>
    <t xml:space="preserve">Total length of  parapet wall </t>
  </si>
  <si>
    <t>outer wall (125 mm thk.)</t>
  </si>
  <si>
    <t>Stair wall</t>
  </si>
  <si>
    <t>Length of 125 the. Outer wall</t>
  </si>
  <si>
    <r>
      <t xml:space="preserve">6 mm (1:4) </t>
    </r>
    <r>
      <rPr>
        <b/>
        <sz val="10"/>
        <rFont val="Arial"/>
        <family val="2"/>
      </rPr>
      <t>Ceiling plaster</t>
    </r>
  </si>
  <si>
    <r>
      <t>12 mm (1:6) C</t>
    </r>
    <r>
      <rPr>
        <b/>
        <sz val="10"/>
        <rFont val="Arial"/>
        <family val="2"/>
      </rPr>
      <t>ement Plaster</t>
    </r>
    <r>
      <rPr>
        <sz val="10"/>
        <rFont val="Arial"/>
        <family val="2"/>
      </rPr>
      <t xml:space="preserve"> Over Inner plaster</t>
    </r>
  </si>
  <si>
    <t>250 outer wall one face</t>
  </si>
  <si>
    <t>250 the. Inner wall both face</t>
  </si>
  <si>
    <t xml:space="preserve">125 wall one face </t>
  </si>
  <si>
    <t xml:space="preserve">125 th. Outer wall </t>
  </si>
  <si>
    <t xml:space="preserve">Parapet wall Plaster Both Side </t>
  </si>
  <si>
    <t xml:space="preserve">Parapet top </t>
  </si>
  <si>
    <t xml:space="preserve">Machine room </t>
  </si>
  <si>
    <t xml:space="preserve">Top Landing </t>
  </si>
  <si>
    <t xml:space="preserve">Landing </t>
  </si>
  <si>
    <t xml:space="preserve">D1 </t>
  </si>
  <si>
    <t>Providing and fixing factory made shutters of Pre-laminated particle board flat pressed three layer or graded wood particle board with one side decorative finish and other side balancing lamination conforming to IS: 12823 Grade l Type ll, of approved design, and edges sealed with water resistant paint and lipped with aluminium 'U' type edge beading all- round the shutter, including fixing with angle cleat, grip strip, cadmium
plated steel screws, including fixing of aluminium hinges 100x63x4 mm etc. complete as per architectural drawing and direction of Engineer-in-Charge (Cost of 'U' beading
and hinges will be paid for separately).</t>
  </si>
  <si>
    <t>Providing and fixing aluminum U beading of required size to             Pre-laminated/flush  door shutter, including fixing etc. complete as per direction of Engineer-in-charge (@ 0.5 Kg Per Meter )</t>
  </si>
  <si>
    <t>Providing and fixing aluminium sliding door bolts, ISI marked anodised (anodic coating not less than grade AC 10 as per IS : 1868), transparent or dyed to required
colour or shade, with nuts and screws etc. complete :</t>
  </si>
  <si>
    <r>
      <t xml:space="preserve">Providing and applying </t>
    </r>
    <r>
      <rPr>
        <b/>
        <sz val="10"/>
        <rFont val="Arial"/>
        <family val="2"/>
      </rPr>
      <t>White cement based Putty</t>
    </r>
    <r>
      <rPr>
        <sz val="10"/>
        <rFont val="Arial"/>
        <family val="2"/>
      </rPr>
      <t xml:space="preserve"> of average thickness 2 mm of approved brand and manufacture</t>
    </r>
  </si>
  <si>
    <t>Quantity same as plaster area  ( 6mm and 12 mm inner)</t>
  </si>
  <si>
    <t xml:space="preserve">  Prium Acrylic emulsion paint of approved brand and manufacture</t>
  </si>
  <si>
    <t>Quantity same as putty area</t>
  </si>
  <si>
    <r>
      <t xml:space="preserve">Painting with </t>
    </r>
    <r>
      <rPr>
        <b/>
        <sz val="10"/>
        <rFont val="Arial"/>
        <family val="2"/>
      </rPr>
      <t>synthetic enamel paint</t>
    </r>
    <r>
      <rPr>
        <sz val="10"/>
        <rFont val="Arial"/>
        <family val="2"/>
      </rPr>
      <t xml:space="preserve"> of approved brand and manufacture of required  colour to give an even shade:</t>
    </r>
  </si>
  <si>
    <t>13.62.1</t>
  </si>
  <si>
    <t>Two or more coats on new work over an under coat of suitable shade with ordinary paint of approved band and manufacure</t>
  </si>
  <si>
    <t xml:space="preserve">Quantity  </t>
  </si>
  <si>
    <t>Rate Analysis</t>
  </si>
  <si>
    <t>Providing and laying water proofing grading 1:2:4 as per POWERGRID TS Cl ref 10.11.2 as per below procedure:</t>
  </si>
  <si>
    <t>(a) water proofing membrane (APP modified polymeric membrane 2 mm thk) shall be laid on the RCC slab Roof with any break / providing 300mm overlapping.</t>
  </si>
  <si>
    <t xml:space="preserve">(b) Laying  of 1:2:4 grading concrete of avg thickness of 50 mm with water proofing compound as per manufacture specification  </t>
  </si>
  <si>
    <t>(c )cement concrete floooring of 40mm thick (1:2:4) finished with cement slurry shall be laid over grading concrete and making pattern of 300 x 300 mm square 3 mm deep.</t>
  </si>
  <si>
    <t xml:space="preserve">Terrace area </t>
  </si>
  <si>
    <t>Providing and fixing 1 mm thick M.S. sheet door with frame of 40 x 40x 6 mm angle iron and 3 mm MS gusset plates at the junctions and corners, all necessary fittings complete, including applying a priming coat of approved steel primer</t>
  </si>
  <si>
    <t>10.5.2</t>
  </si>
  <si>
    <t>Using flats 30 x 6 mm for diagonal braces and central cross piece.</t>
  </si>
  <si>
    <t>Steel work welded in built-up sections/framed work,including cutting,hoisting,fixing in position and applying a priming coat of approved steel primer using structural steel etc. as required</t>
  </si>
  <si>
    <t>10.25.2</t>
  </si>
  <si>
    <t>In gratings, frames,guard bar, ladder, railing, brackets, gates and similar works.</t>
  </si>
  <si>
    <t>Ladder @ 20 Kg per m2</t>
  </si>
  <si>
    <t>Making khurras 45x45 cm with average minimum thickness of 5 cm cement concrete 1:2:4 (1 cement : 2 coarse sand : 4 graded stone aggregate of 20 mm nominal size) over P.V.C. sheet 1 m x1 m x 400 micron, finished with 12 mm cement plaster 1:3 (1 cement : 3 coarse sand) and a coat of neat cement, rounding the
edges and making and finishing the outlet complete.</t>
  </si>
  <si>
    <t>Providing and fixing on terrace Polyethelene Water Tank IS 12701 Marked with cover and suitable locking arrangements making necessary holes for inlet, outlet and other necessary pipes.</t>
  </si>
  <si>
    <t xml:space="preserve">Grand Total=  </t>
  </si>
  <si>
    <t>Abstract of cost for the proposed construction of Residential Dwelling Unit at - Jamshedpur (Jharkhand)</t>
  </si>
  <si>
    <t>Tower-2</t>
  </si>
  <si>
    <t>LIFT(PAR17.24LACS)</t>
  </si>
  <si>
    <t xml:space="preserve">         Proposed Construction of Residential Dwelling unit at-Jamshedpur (Jharkhand)</t>
  </si>
  <si>
    <t xml:space="preserve">   @ 60 % of total excavation  </t>
  </si>
  <si>
    <t xml:space="preserve">Under plinth ( Total site should be raised by to 0.30 m ) Total site area  = 1008  m2 and av. Depth of filling = 0.30 m </t>
  </si>
  <si>
    <t>11.1ANALYSIS</t>
  </si>
  <si>
    <t>Plinth  ( area = 1008 m2 )</t>
  </si>
  <si>
    <t>C3</t>
  </si>
  <si>
    <t>Along grid A , B &amp; N</t>
  </si>
  <si>
    <t xml:space="preserve">Along Grid C </t>
  </si>
  <si>
    <t>Along Grid D</t>
  </si>
  <si>
    <t>Along grid E + F</t>
  </si>
  <si>
    <t xml:space="preserve">Along Grid G </t>
  </si>
  <si>
    <t xml:space="preserve">Along Grid H  </t>
  </si>
  <si>
    <t xml:space="preserve">Along Grid J + K </t>
  </si>
  <si>
    <t>Along Grid L + M</t>
  </si>
  <si>
    <t xml:space="preserve">Along Grid 1 </t>
  </si>
  <si>
    <t xml:space="preserve">Along Grid 2  </t>
  </si>
  <si>
    <t>Along Grid 3</t>
  </si>
  <si>
    <t>Along Grid 4+5</t>
  </si>
  <si>
    <t xml:space="preserve">Along Grid 6  </t>
  </si>
  <si>
    <t>Along Grid 7 + 8</t>
  </si>
  <si>
    <t>Along Grid 9+10+11</t>
  </si>
  <si>
    <t xml:space="preserve">Along Grid  12 + 13 </t>
  </si>
  <si>
    <t>Along Grid  14</t>
  </si>
  <si>
    <t>Pile Cap</t>
  </si>
  <si>
    <t>Grand Total</t>
  </si>
  <si>
    <t>D5</t>
  </si>
  <si>
    <t>Along grid A , B, M &amp; N</t>
  </si>
  <si>
    <t xml:space="preserve">Balcony </t>
  </si>
  <si>
    <t xml:space="preserve">Along grid C </t>
  </si>
  <si>
    <t>Along grid  D</t>
  </si>
  <si>
    <t>Along grid  E +F +G</t>
  </si>
  <si>
    <t xml:space="preserve">Along grid H </t>
  </si>
  <si>
    <t>Along grid J</t>
  </si>
  <si>
    <t>Along grid  K</t>
  </si>
  <si>
    <t xml:space="preserve">Along grid  L+M </t>
  </si>
  <si>
    <t>Along grid  N</t>
  </si>
  <si>
    <t>Along grid  1</t>
  </si>
  <si>
    <t>Along grid  2</t>
  </si>
  <si>
    <t xml:space="preserve">Along grid 3 + 4 </t>
  </si>
  <si>
    <t xml:space="preserve">Along grid 5 + 6 </t>
  </si>
  <si>
    <t>Along grid  7+8</t>
  </si>
  <si>
    <t>Along grid  9 + 10 + 11</t>
  </si>
  <si>
    <t>Along grid 12+13</t>
  </si>
  <si>
    <t>Along grid  14</t>
  </si>
  <si>
    <t xml:space="preserve">Fins </t>
  </si>
  <si>
    <t>B Toil.</t>
  </si>
  <si>
    <t>Chajja (W1and W1')</t>
  </si>
  <si>
    <t xml:space="preserve">Near Stair </t>
  </si>
  <si>
    <t xml:space="preserve">D5 </t>
  </si>
  <si>
    <t>Riser</t>
  </si>
  <si>
    <t>Sides</t>
  </si>
  <si>
    <t>Length of 125 x 600   beam</t>
  </si>
  <si>
    <t>W1'</t>
  </si>
  <si>
    <t>Marble stone flooring with 18 mm thick marble stone as per sample of marble approved by engineer in charge, over 20 mm ( average) thick base of cement mortar1:4(1 cement:4 coarse sand) laid and jointed with grey cement slurry, including rubbing and polishing completewith:</t>
  </si>
  <si>
    <t>Col ( 0.3x 0.6)</t>
  </si>
  <si>
    <t>Col (0.3x 0.6)</t>
  </si>
  <si>
    <t>Duct door</t>
  </si>
  <si>
    <t>Providing and fixing ISI marked flush door shutters confirming to IS:2202(PartI) non decorative type, core of block board construction with frame of 1st class hard wood and well matched commercial 3 ply veneering with vertical grains or cross bands and face veneer on both faces of shutters.</t>
  </si>
  <si>
    <t>9.147B</t>
  </si>
  <si>
    <t>Providing and fixing factory made uPVC white colour fixed glazed windows/ventilators comprising of uPVC multi-chambered frame and mullion (where ever required)extruded profiles duly reinforced with 1.60 ± 0.2 mm thick galvanized mild steel section made from roll forming process of required length (shape &amp; size accordingto uPVC profile), uPVC extruded glazing beads of appropriate dimension, EPDM gasket, G.I fasteners 100 x 8 mm size for fixing frame to finished wall, plastic packers, plastic caps and necessary stainless steel screws etc. Profile of frame shall be mitred cut and fusion welded at all corners, mullion (if required) shall be also fusion welded  including drilling of holes for fixing hardware's and drainage of water etc. After fixing frame the gap between frame and adjacent finished wall shall be filled with weather proof silicon sealant over backer rod of required size and of approved quality, all complete as per approved drawing &amp; direction of Engineer-in-Charge. (Single / double glass panes and silicon sealant shall be paid separately). Note: For uPVC frame, sash and mullion extruded profiles minus 5% tolerance in dimension i.e. in depth &amp; width of profile shall be acceptable. Variation in profile dimension in higher side shall be accepted but no extra payment on this account shall be made.</t>
  </si>
  <si>
    <t>9.147B.1</t>
  </si>
  <si>
    <r>
      <t xml:space="preserve">Fixed window / </t>
    </r>
    <r>
      <rPr>
        <b/>
        <sz val="11"/>
        <rFont val="Arial"/>
        <family val="2"/>
      </rPr>
      <t>ventilator</t>
    </r>
    <r>
      <rPr>
        <sz val="11"/>
        <rFont val="Arial"/>
        <family val="2"/>
      </rPr>
      <t xml:space="preserve"> made of (small series) frame 47 x 50 mm &amp; mullion 47 x 68 mm both having wall thickness of 1.9 ± 0.2 mm and single glazing bead
of appropriate dimension. (Area upto 0.75 sqm.)</t>
    </r>
  </si>
  <si>
    <t>9.147A.3</t>
  </si>
  <si>
    <t>Casement window double panels with top fixed with S.S. friction hinges (350 x 19 x 1.9 mm) made of (small series) frame 47 x 50 mm, sash 47 x 68 mm &amp; mullion 47
x 68 mm all having wall thickness of 1.9 ± 0.2 mm and single glazing bead of appropriate dimension. ( Area of window upto 2.50 sqm).</t>
  </si>
  <si>
    <t>Providing and fixing casement handle made of zinc alloyed (white powder coated) for uPVC casement window with necessary screws etc. complete</t>
  </si>
  <si>
    <t xml:space="preserve"> 5.5mm Glass pane in door / window shutter</t>
  </si>
  <si>
    <t>providing and fixing in position collapsible steel shutters with vertical chanels 20 x 10 x 2 mm and braced with flat iron diagonals 20 x 5 mm size, with top and bottom rail of T iron 40x40x6 mm, with 40 mm dia steel pulleys, complete with bolts, nuts,locking arrangement, stoppers, handles,including applying a priming coat of approved steel primer.</t>
  </si>
  <si>
    <t xml:space="preserve">Calculation of Quantity of Materials - First &amp;Second  Floor  (  DSR 2023  )         </t>
  </si>
  <si>
    <t>Rtae*100/118</t>
  </si>
  <si>
    <t>Along grid A &amp;B</t>
  </si>
  <si>
    <t>Along grid C</t>
  </si>
  <si>
    <t>Along grid  D &amp; J</t>
  </si>
  <si>
    <t>Along grid  E</t>
  </si>
  <si>
    <t>Along grid G</t>
  </si>
  <si>
    <t>Along grid H</t>
  </si>
  <si>
    <t>Along grid J (1-4)</t>
  </si>
  <si>
    <t>Along grid K</t>
  </si>
  <si>
    <t>Along grid  L</t>
  </si>
  <si>
    <t>Along grid M&amp;N</t>
  </si>
  <si>
    <t>Along grid 1</t>
  </si>
  <si>
    <t>Along grid  3</t>
  </si>
  <si>
    <t>Along grid  4</t>
  </si>
  <si>
    <t>Along grid  5</t>
  </si>
  <si>
    <t>Along grid  6</t>
  </si>
  <si>
    <t>Along grid  7</t>
  </si>
  <si>
    <t>Along grid  8</t>
  </si>
  <si>
    <t>Along grid  9</t>
  </si>
  <si>
    <t>Along grid  10&amp;12</t>
  </si>
  <si>
    <t>Along grid  13</t>
  </si>
  <si>
    <t>Bal Beam</t>
  </si>
  <si>
    <t xml:space="preserve">Beam size 125 x 600 </t>
  </si>
  <si>
    <t xml:space="preserve"> Along Grid-A </t>
  </si>
  <si>
    <t xml:space="preserve"> Along grid C</t>
  </si>
  <si>
    <t>Along grid G&amp;H</t>
  </si>
  <si>
    <t xml:space="preserve"> Along grid N</t>
  </si>
  <si>
    <t xml:space="preserve"> Along grid 1 </t>
  </si>
  <si>
    <t xml:space="preserve">Along grid 4 </t>
  </si>
  <si>
    <t>Along grid 6</t>
  </si>
  <si>
    <t>Along grid 13</t>
  </si>
  <si>
    <t>Along grid 14</t>
  </si>
  <si>
    <t>Along grid B</t>
  </si>
  <si>
    <t>LIFT</t>
  </si>
  <si>
    <t>STAIR</t>
  </si>
  <si>
    <t>Along grid 5</t>
  </si>
  <si>
    <t>W</t>
  </si>
  <si>
    <t>Along grid D</t>
  </si>
  <si>
    <t>Along grid E</t>
  </si>
  <si>
    <t xml:space="preserve">Toil. </t>
  </si>
  <si>
    <t>Along grid J (1-2)</t>
  </si>
  <si>
    <t>Along grid J (10-13)</t>
  </si>
  <si>
    <t>Along grid L&amp;M</t>
  </si>
  <si>
    <t>Along grid 2</t>
  </si>
  <si>
    <t>Along grid 3</t>
  </si>
  <si>
    <t>Along grid 6&amp;7</t>
  </si>
  <si>
    <t>Along grid 9</t>
  </si>
  <si>
    <t>Along grid 10 &amp;12</t>
  </si>
  <si>
    <t>Along grid 11</t>
  </si>
  <si>
    <t>Bal,</t>
  </si>
  <si>
    <t>Deduction D0</t>
  </si>
  <si>
    <t>C - Type</t>
  </si>
  <si>
    <t>Living Room</t>
  </si>
  <si>
    <t>Bed room</t>
  </si>
  <si>
    <t xml:space="preserve">Wardrobe </t>
  </si>
  <si>
    <t>Toilet Lobby</t>
  </si>
  <si>
    <t>B3 - Type</t>
  </si>
  <si>
    <t>Entrance Lobby</t>
  </si>
  <si>
    <t>Bal</t>
  </si>
  <si>
    <t>Service Bal</t>
  </si>
  <si>
    <t xml:space="preserve">(C- Type)  Kitchen </t>
  </si>
  <si>
    <t>(B- Type)  Kitchen</t>
  </si>
  <si>
    <t>D</t>
  </si>
  <si>
    <t xml:space="preserve">Grand Total = </t>
  </si>
  <si>
    <t xml:space="preserve">Calculation of Quantity of Materials - Third  Floor  (  DSR 2023  )         </t>
  </si>
  <si>
    <t>Servent Rm.</t>
  </si>
  <si>
    <t>S. Toil.</t>
  </si>
  <si>
    <t>Waist slab duplex stair</t>
  </si>
  <si>
    <t>Sarvent Rm.</t>
  </si>
  <si>
    <t>D - Type</t>
  </si>
  <si>
    <t>Servent Rm</t>
  </si>
  <si>
    <t xml:space="preserve">(D- Type)  Kitchen </t>
  </si>
  <si>
    <t>Landing duplex stair</t>
  </si>
  <si>
    <t>Trade</t>
  </si>
  <si>
    <t>11.23.6</t>
  </si>
  <si>
    <t xml:space="preserve">Extra for pre Finish nosing to treads of steps of marble stone </t>
  </si>
  <si>
    <t>Along grid  E&amp; H (2-5)</t>
  </si>
  <si>
    <t>Along grid  G&amp;H (9-13)</t>
  </si>
  <si>
    <t>Along grid  H&amp;K (6-7)</t>
  </si>
  <si>
    <t>Along grid  L (2-4)</t>
  </si>
  <si>
    <t xml:space="preserve">Along grid - 2 </t>
  </si>
  <si>
    <t>Along grid -4</t>
  </si>
  <si>
    <t>Along grid -5</t>
  </si>
  <si>
    <t>Along grid -6&amp;7</t>
  </si>
  <si>
    <t>Along grid -9&amp; 13</t>
  </si>
  <si>
    <t>Roof Slab</t>
  </si>
  <si>
    <t>Duplex</t>
  </si>
  <si>
    <t>Rate analysis</t>
  </si>
  <si>
    <t>ERTS - I, 400/220 KV JAMSHEDPUR SUB-STATION</t>
  </si>
  <si>
    <t>BILL OF QUANTITY</t>
  </si>
  <si>
    <r>
      <t xml:space="preserve">Name of Work  : </t>
    </r>
    <r>
      <rPr>
        <b/>
        <sz val="11"/>
        <color theme="5" tint="-0.249977111117893"/>
        <rFont val="Arial"/>
        <family val="2"/>
      </rPr>
      <t xml:space="preserve">BOQ for construction of New Drain(SEC AA) for drainage of Colony drain water and Rain water </t>
    </r>
  </si>
  <si>
    <t>DSR21 Item No.</t>
  </si>
  <si>
    <t>Item  Description</t>
  </si>
  <si>
    <t>Unit Price, DSR'23 Rate (Rs.)</t>
  </si>
  <si>
    <t>Pre GST on DSR' 2023 Rate (Rs.)</t>
  </si>
  <si>
    <t>BOQ Quantity</t>
  </si>
  <si>
    <t>BOQ Amount</t>
  </si>
  <si>
    <t>6 =                           (100/118)x 5</t>
  </si>
  <si>
    <t>8 = (6x7)</t>
  </si>
  <si>
    <t>CONSTRUCTION OF NEW DRAIN INCOLONY AREA :</t>
  </si>
  <si>
    <t>1.1.2</t>
  </si>
  <si>
    <t>Carriage of Earth by Mechanical Transport including loading, unloading and stacking at site for lead upto 5 km for all lifts, complete as per directions of Engineer-in-Charge.</t>
  </si>
  <si>
    <t>2.6.1</t>
  </si>
  <si>
    <t>Earth work in excavation by mechanical means (Hydraulic excavator)/manual means over areas (exceeding 30 cm in depth, 1.5 m in width as well as 10 sqm on plan) including getting out and disposal of excavated earth lead upto 50 m and lift upto 1.5 m, as directed by Engineer-in-charge. All kinds of soil</t>
  </si>
  <si>
    <t>Filling available excavated earth (excluding rock) in trenches, plinth, sides of foundations etc. in layers not exceeding 20cm in depth, consolidating each deposited layer by ramming and watering, lead up to 50 m and lift upto 1.5 m.</t>
  </si>
  <si>
    <t>Providing and laying in position cement concrete of specified grade excluding the cost of centering and shuttering - All work up to plinth level :                                                                                                                                                          1:2:4 (1 cement : 2 coarse sand (zone-III) : 4 graded stone
aggregate 20 mm nominal size).</t>
  </si>
  <si>
    <t>4.1.8</t>
  </si>
  <si>
    <t>Providing and laying in position cement concrete of specified grade excluding the cost of centering and shuttering - All work up to plinth level :                                                                                                                                                          1:4:8 (1 Cement : 4 coarse sand (zone-III) : 8 graded stone aggregate 40 mm nominal size)</t>
  </si>
  <si>
    <t>Centering and shuttering including strutting, propping etc. and removal of form for all heights :                                                   Foundations, footings, bases of columns, etc. for mass concrete</t>
  </si>
  <si>
    <t>Brick work with common burnt clay F.P.S. (non modular) bricks of class designation 7.5 in foundation and plinth in :                                                                                         Cement mortar 1:6 (1 cement : 6 coarse sand)</t>
  </si>
  <si>
    <t>13.7.2</t>
  </si>
  <si>
    <t>12 mm cement plaster finished with a floating coat of neat cement of mix : 1:4 (1 cement: 4 fine sand)</t>
  </si>
  <si>
    <t>19.35.1</t>
  </si>
  <si>
    <t>Providing and laying Non Pressure NP-3 class (Medium duty) R.C.C.
pipes including collars/spigot jointed with stiff mixture of cement
mortar in the proportion of 1:2 (1 cement : 2 fine sand) including
testing of joints etc. complete.  450 mm dia RCC pipes.</t>
  </si>
  <si>
    <t>metre</t>
  </si>
  <si>
    <t xml:space="preserve"> Total BOQ Amount (Rs.)</t>
  </si>
  <si>
    <t>Say                          (Rs.)</t>
  </si>
  <si>
    <t>Extra as per Applicable GST</t>
  </si>
  <si>
    <r>
      <t xml:space="preserve">Name of Work  : </t>
    </r>
    <r>
      <rPr>
        <b/>
        <sz val="12"/>
        <color theme="5" tint="-0.249977111117893"/>
        <rFont val="Arial"/>
        <family val="2"/>
      </rPr>
      <t>BOQ for construction of Paver Block and kerb Stone along both side of Road  at Jamshedpur sub-station.</t>
    </r>
  </si>
  <si>
    <t>DSR'21 Item No.</t>
  </si>
  <si>
    <t>Post GST, DSR'23 Rate  (100/118)  (Rs.)</t>
  </si>
  <si>
    <t>Providing and laying 60mm thick faciory made cement concrete interlocking paver block of M -30 grade made by block making machine with strong vibratory compaction, of approved size, design &amp; shape, laid in required colour and pattern over and including 50mm thick compacted bed of coarse sand, filling the joints with line sand
etc. all complete as per the direction of Engineer-in-charge.</t>
  </si>
  <si>
    <t>Providing and laying in position specified grade of  cement concrete, excluding the cost of centering, shuttering, finishing and reinforcement - All work up to plinth level for making Cast In situ  kerb stone  in position to the required line, level and curvature    including
making drainage opening wherever required complete etc. as per direction of Engineer-in-charge                                                                    1:1.5:3 (1 cement : 1.5 coarse sand (zone-III): 3 graded stone aggregate 20 mm nominal size).</t>
  </si>
  <si>
    <t>Providing and laying in position cement concrete of specified grade excluding the cost of centering and shuttering - All work up to plinth
level :1:4:8 (1 Cement : 4 coarse sand (zone-III) : 8 graded stone aggregate 40 mm nominal size)</t>
  </si>
  <si>
    <t>13.43.1</t>
  </si>
  <si>
    <t>Applying one coat of water thinnable cement primer of approved brand
and manufacture on wall surface :
13.43.1 Water thinnable cement primer</t>
  </si>
  <si>
    <t>Considered from DSR21</t>
  </si>
  <si>
    <t>Painting with synthetic enamel paint of approved brand and manufacture of required colour to give an even shade :
13.62.1 Two or more coats on new work over an under coat of suitable shade with ordinary paint of approved brand and manufacture</t>
  </si>
  <si>
    <r>
      <t xml:space="preserve">Name of Work  : </t>
    </r>
    <r>
      <rPr>
        <b/>
        <sz val="12"/>
        <color rgb="FF002060"/>
        <rFont val="Arial"/>
        <family val="2"/>
      </rPr>
      <t>Construction of RCC Road(600 mtr) after dismantaling  of Bituminous layer in Colony  area at POWERGRID, Jamshedpur sub-station.</t>
    </r>
  </si>
  <si>
    <t>Without GST, DSR'23 Rate  (100/118)  (Rs.)</t>
  </si>
  <si>
    <t>BOQ Amount (Rs.)</t>
  </si>
  <si>
    <t>6 = (100/118)x5</t>
  </si>
  <si>
    <t>1.1.1</t>
  </si>
  <si>
    <t>Carriage of materials by Mechanical Transport including loading, unloading and stacking at site for lead upto 1 km for all lifts, complete as per directions of Engineer-in-Charge.</t>
  </si>
  <si>
    <t>Ref item  2.2.1</t>
  </si>
  <si>
    <t xml:space="preserve">Dismantalling of existining top layer of Bitumen and disposal , dressing , watering   and rolling of the existining WBM layer with  Road roller  filling up ground depressions,( WBM material required paid separately)  </t>
  </si>
  <si>
    <t>Providing and laying in position cement concrete of specified grade excluding the cost of centering and shuttering - All work up to plinth level :                                                                                                           1:4:8 (1 Cement : 4 coarse sand (zone-III) derived from natural sources : 8 graded stone aggregate 40 mm nominal size derived from natural sources)</t>
  </si>
  <si>
    <t>Providing and laying in position specified grade of reinforced cement concrete, excluding the cost of centering, shuttering, finishing and reinforcement - All work up to plinth level :                                                                   1:1.5:3 (1 cement : 1.5 coarse sand (zone-III) derived from natural sources : 3 graded stone aggregate 20 mm nominal size de rived from natural sources)</t>
  </si>
  <si>
    <t>Centering and shuttering including strutting, propping etc. and removal of form for                                                                                                Foundations, footings, bases of columns, etc. for mass concrete</t>
  </si>
  <si>
    <t>0323</t>
  </si>
  <si>
    <t>Providing and laying in position Separation Membrane of impermeable plastic sheeting 125 micron thick in between PCC and RCC.</t>
  </si>
  <si>
    <t>15% CPOH and 10% Installation</t>
  </si>
  <si>
    <t>Steel reinforcement for R.C.C. work including straightening, cutting, bending, placing in position and binding all complete upto plinth level.                                     Thermo-Mechanically Treated bars of grade Fe-500D or more.</t>
  </si>
  <si>
    <t>16.46.1</t>
  </si>
  <si>
    <t>Providing and filling in position rubberized bitumen hot sealing compound for sealing of expansion joints in roads / pavements all complete as per direction of the Engineer-in-Charge.  Using grade 'A' sealing compound conforming to IS: 1834.</t>
  </si>
  <si>
    <t>per cm
depth per
cm width
per metre
length</t>
  </si>
  <si>
    <t>supply and services of 40 mm aggreagte reuired to patches repair and undulation filling</t>
  </si>
  <si>
    <t>supply and services of 12.5 mm aggreagte reuired to patches repair and undulation filling</t>
  </si>
  <si>
    <t>16.3.10</t>
  </si>
  <si>
    <t>Supplying and stacking at site Moorum</t>
  </si>
  <si>
    <t>COST ESTIMATE</t>
  </si>
  <si>
    <t>Name of Work  : BOQ for Dismantling of old B, C, and D Type Quarters at POWERGRID, Jamshedpur Substation.</t>
  </si>
  <si>
    <t>Qty.</t>
  </si>
  <si>
    <t>Rate (Rs.)</t>
  </si>
  <si>
    <t>Amount (Rs.)</t>
  </si>
  <si>
    <t>Remarks</t>
  </si>
  <si>
    <t>Dismantling of Residential Quarters of Various Type at POWERGRID, Jamshedpur substataion. The serviceable dismantled materials are to be stacked within substation permises and unserviceable materials are to be carried and disposed at a suitable location within 5 Km lead as per direction of EIC (Deatails as per Annexure-A)</t>
  </si>
  <si>
    <t>B-Type Quarter</t>
  </si>
  <si>
    <t>C-Type Quarter</t>
  </si>
  <si>
    <t>D-Type Quarter including Garage</t>
  </si>
  <si>
    <t>TOTAL</t>
  </si>
  <si>
    <t xml:space="preserve"> Electrification (Main Power supply system of  Township at  400/220 kV Jamshedpur SS</t>
  </si>
  <si>
    <t>Sl No</t>
  </si>
  <si>
    <t>Ref Rate Taken from Banka PO</t>
  </si>
  <si>
    <t>Unit Ex Works Price (Banka PO)</t>
  </si>
  <si>
    <t>Req. Quantity</t>
  </si>
  <si>
    <t>Qty</t>
  </si>
  <si>
    <t>Item 60 (Po-6900006912)+ Item 60 ( po- 6900007878) + 20% escalation</t>
  </si>
  <si>
    <r>
      <t xml:space="preserve">Supplying, installing, testing and commissioning Feeder Piller
Supply  of LT kiosk outdoor type, IP 55 stand/floor/plinth  mounted powder coated  made out of 16SWG CRCA Steel Sheet for body and 14 SWG CRCA Steel Sheet  for door, sectionalised copper bus bar with bus coupler cum Breaker,  &amp; two incomer , earthing bus bar consisting of </t>
    </r>
    <r>
      <rPr>
        <b/>
        <sz val="11"/>
        <color theme="1"/>
        <rFont val="Calibri"/>
        <family val="2"/>
        <scheme val="minor"/>
      </rPr>
      <t>following components</t>
    </r>
  </si>
  <si>
    <t xml:space="preserve">Set </t>
  </si>
  <si>
    <t>Incomer - (2 nos incomer circuit breaker and 1 no bus coupler circuit breaker)</t>
  </si>
  <si>
    <t xml:space="preserve">400 A 4P MCCB 50 kA </t>
  </si>
  <si>
    <t>3 No</t>
  </si>
  <si>
    <t>Outgoing  (7 no in one section of bus bar and 6 no in another section of bus bar)</t>
  </si>
  <si>
    <t>100 A TPN MCCB</t>
  </si>
  <si>
    <t>13 No</t>
  </si>
  <si>
    <t>Voltmeter 0-500V Analog with selector switch, Phase Indicating LED Lamp, Ameter with CT, HRC Backup fuse etc complete  as per attached Drawing</t>
  </si>
  <si>
    <t xml:space="preserve">2 Set </t>
  </si>
  <si>
    <t>Item 80 (Po-6900006912)+ Item 80 ( po- 6900007878)          + 20% escalation</t>
  </si>
  <si>
    <r>
      <t xml:space="preserve">Supplying, installing, testing and commissioning Meter DB For D Type Quarter
Supply  of LT kiosk indoor type,stand/floor/plinth mounted powder coated  made out of 16SWG CRCA Steel Sheet for body and 14 SWG CRCA Steel Sheet  for door,100 A copper Busbar  consisting of </t>
    </r>
    <r>
      <rPr>
        <b/>
        <sz val="11"/>
        <color theme="1"/>
        <rFont val="Calibri"/>
        <family val="2"/>
        <scheme val="minor"/>
      </rPr>
      <t>following components</t>
    </r>
  </si>
  <si>
    <t>Set</t>
  </si>
  <si>
    <t>Incomer</t>
  </si>
  <si>
    <t xml:space="preserve">100 A TPN MCCB 50 kA </t>
  </si>
  <si>
    <t>1 No</t>
  </si>
  <si>
    <t>Outgoing</t>
  </si>
  <si>
    <t>63 A DP MCB</t>
  </si>
  <si>
    <t>2 No</t>
  </si>
  <si>
    <t>Voltmeter 0-500V Analog with selector switch, Phase Indicating LED Lamp, Ameter with CT, HRC Backup fuse as per attached Drawing</t>
  </si>
  <si>
    <t>1 Set</t>
  </si>
  <si>
    <t>Three Phase Energy Meter</t>
  </si>
  <si>
    <t>Item 90 (Po-6900006912)+ Item 90 ( po- 6900007878)           + 20% escalation</t>
  </si>
  <si>
    <r>
      <t>Supplying, installing, testing and commissioning Meter DB For B2,B3 and C Type Quarter
Supply  of LT kiosk indoor type, stand/floor/plinth mounted powder coated  made out of 16SWG CRCA Steel Sheet for body and 14 SWG CRCA Steel Sheet  for door,100 A copper Busbar  consisting of</t>
    </r>
    <r>
      <rPr>
        <b/>
        <sz val="11"/>
        <color theme="1"/>
        <rFont val="Calibri"/>
        <family val="2"/>
        <scheme val="minor"/>
      </rPr>
      <t xml:space="preserve"> following components</t>
    </r>
  </si>
  <si>
    <t>40 A DP MCB</t>
  </si>
  <si>
    <t>8 No</t>
  </si>
  <si>
    <t>Voltmeter 0-500V Analog with selector switch, Phase Indicating LED Lamp, Ameter with CT, HRC Backup fuse and as per attached Drawing</t>
  </si>
  <si>
    <t>3 Set</t>
  </si>
  <si>
    <t xml:space="preserve">Single Phase Phase Energy Meter </t>
  </si>
  <si>
    <t>Supplying, installing, testing and commissioning 1.1 kV Grade XLPE Cable alon with clamps, gland lugs and straight joints</t>
  </si>
  <si>
    <t>ii</t>
  </si>
  <si>
    <t>Item 120 (Po-6900006912)+ Item 120             ( po- 6900007878)                                  + 20% escalation</t>
  </si>
  <si>
    <t>3.5C 35 sqmm</t>
  </si>
  <si>
    <t>m</t>
  </si>
  <si>
    <t>iii</t>
  </si>
  <si>
    <t>Item 130 (Po-6900006912)+ Item 120             ( po- 6900007878)                                    + 20% escalation</t>
  </si>
  <si>
    <t>3.5C  70 sqmm</t>
  </si>
  <si>
    <t>GST AS EXTRA</t>
  </si>
  <si>
    <t>ESTIMATE OF PHE</t>
  </si>
  <si>
    <t>S.N.</t>
  </si>
  <si>
    <t>DSR23</t>
  </si>
  <si>
    <t>QUANTITY JSR</t>
  </si>
  <si>
    <t>Rate*(100/118)</t>
  </si>
  <si>
    <t>A</t>
  </si>
  <si>
    <t>WATER SUPPLY</t>
  </si>
  <si>
    <t>C.P.V.C PIPES</t>
  </si>
  <si>
    <t>DSR           18.7</t>
  </si>
  <si>
    <t>Providing    and   fixing Chlorinated polyvinyl Chloride(CPVC) pipes,having thermal stability for hot &amp; cold water supply,including all CPVC plain &amp; brass threaded fittings,including fixing the pipe with clamp at 1.00 m spacing.This includes jointing of pipes &amp; fittings with one step CPVC solvent cement and testing of joints  complete as per direction of engineer in charge.</t>
  </si>
  <si>
    <t>(A)</t>
  </si>
  <si>
    <t>DSR           18.7.2</t>
  </si>
  <si>
    <t>20 mm dia. Nominal outer dia pipes</t>
  </si>
  <si>
    <t>Metre</t>
  </si>
  <si>
    <t>(B)</t>
  </si>
  <si>
    <t>DSR           18.7.3</t>
  </si>
  <si>
    <t>25 mm dia. Nominal outer dia pipes</t>
  </si>
  <si>
    <t>(C)</t>
  </si>
  <si>
    <t>DSR           18.7.4</t>
  </si>
  <si>
    <t>32 mm dia. Nominal outer dia pipes</t>
  </si>
  <si>
    <t>(D)</t>
  </si>
  <si>
    <t>DSR           18.7.5</t>
  </si>
  <si>
    <t>40 mm dia. Nominal outer dia pipes</t>
  </si>
  <si>
    <t>(E)</t>
  </si>
  <si>
    <t>DSR           18.7.6</t>
  </si>
  <si>
    <t>50 mm dia. Nominal outer dia pipes</t>
  </si>
  <si>
    <t>DSR             18.8</t>
  </si>
  <si>
    <t>Providing    and   fixing Chlorinated polyvinyl Chloride(CPVC) pipes,having thermal stability for hot &amp; cold water supply,including all CPVC plain &amp; brass threaded fittings,i/c fixing the pipe with clamps at 1.00 m spacing.This includes jointing of pipes &amp; fittings with one step CPVC solvent cement and the cost of cutting chases and making good the same including testing of joints  complete as per direction of engineer in charge.</t>
  </si>
  <si>
    <t>Concealed work, including cutting chases and making good the walls etc.</t>
  </si>
  <si>
    <t>DSR     18.8.1</t>
  </si>
  <si>
    <t>15 mm dia. Nominal outer dia pipes</t>
  </si>
  <si>
    <t>DSR     18.8.2</t>
  </si>
  <si>
    <t>DSR            18.9</t>
  </si>
  <si>
    <t>Providing    and   fixing Chlorinated polyvinyl Chloride(CPVC) pipes,having thermal stability for hot &amp; cold water supply,including all CPVC plain &amp; brass threaded fittings, This includes jointing of pipes &amp; fittings with one step CPVC solvent cement trenching,refilling and testing of joints  complete as per direction of engineer in charge.</t>
  </si>
  <si>
    <t>DSR     18.9.4</t>
  </si>
  <si>
    <t>DSR     18.9.5</t>
  </si>
  <si>
    <t>DSR     18.13</t>
  </si>
  <si>
    <t>Making connection of G.I. distribution branch  with G.I.  Main of following sizes by providing and fixing tee, including cutting and  threading the pipe etc. complete.</t>
  </si>
  <si>
    <t>DSR     18.13.1</t>
  </si>
  <si>
    <t>25 to 40 mm  Nominal bore</t>
  </si>
  <si>
    <t>DSR    18.17</t>
  </si>
  <si>
    <t>Providing and fixing brass gate valve  with C.I. wheel of approved quality.</t>
  </si>
  <si>
    <t>DSR     18.17.1A</t>
  </si>
  <si>
    <t>20 mm  Nominal bore</t>
  </si>
  <si>
    <t>Each.</t>
  </si>
  <si>
    <t>DSR     18.17.1</t>
  </si>
  <si>
    <t>25 mm  Nominal bore</t>
  </si>
  <si>
    <t>DSR     18.17.2</t>
  </si>
  <si>
    <t>32 mm  Nominal bore</t>
  </si>
  <si>
    <t>DSR     18.17.3</t>
  </si>
  <si>
    <t>40 mm  Nominal bore</t>
  </si>
  <si>
    <t>DSR     18.17.4</t>
  </si>
  <si>
    <t>50 mm  Nominal bore</t>
  </si>
  <si>
    <t>DSR     18.19</t>
  </si>
  <si>
    <t xml:space="preserve">Providing and fixing  metal non-return valve of approved quality. </t>
  </si>
  <si>
    <t>DSR     18.19.2</t>
  </si>
  <si>
    <t>32 mm nominal bore</t>
  </si>
  <si>
    <t>DSR     18.19.2.1</t>
  </si>
  <si>
    <t>Horizontal</t>
  </si>
  <si>
    <t>DSR     18.19.2.2</t>
  </si>
  <si>
    <t>Vertical</t>
  </si>
  <si>
    <t>DSR     18.19.3</t>
  </si>
  <si>
    <t>40 mm nominal bore</t>
  </si>
  <si>
    <t>DSR     18.19.3.1</t>
  </si>
  <si>
    <t>DSR     18.19.3.2</t>
  </si>
  <si>
    <t>DSR     18.46</t>
  </si>
  <si>
    <t>Providing and fixing G.I. union in G.I.pipe including cutting and threading the pipe and making long screws etc.complete</t>
  </si>
  <si>
    <t>DSR     18.46.2</t>
  </si>
  <si>
    <t>20 mm dia. Nominal bore</t>
  </si>
  <si>
    <t>DSR     18.46.3</t>
  </si>
  <si>
    <t>25mm dia. Nominal bore</t>
  </si>
  <si>
    <t>DSR     18.46.4</t>
  </si>
  <si>
    <t>32mm dia. Nominal bore</t>
  </si>
  <si>
    <t>DSR     18.46.5</t>
  </si>
  <si>
    <t>40mm dia. Nominal bore</t>
  </si>
  <si>
    <t>DSR     18.46.6</t>
  </si>
  <si>
    <t>50mm dia. Nominal bore</t>
  </si>
  <si>
    <t>C.P. BRASS FITTINGS</t>
  </si>
  <si>
    <t>DSR     18.49</t>
  </si>
  <si>
    <t>Providing and fixing C.P brass bib cock of approved quality confirming to IS:8931</t>
  </si>
  <si>
    <t>DSR     18.49.1</t>
  </si>
  <si>
    <t>15mm nominal bore</t>
  </si>
  <si>
    <t>Each</t>
  </si>
  <si>
    <t>DSR   18.50</t>
  </si>
  <si>
    <t>Providing and fixing C.P. brass long bib cock of approved quality conforming to IS standards and weighing not less than810 gms.</t>
  </si>
  <si>
    <t>DSR 18.50.1</t>
  </si>
  <si>
    <t>15 mm Nominal bore</t>
  </si>
  <si>
    <t>DSR   18.52</t>
  </si>
  <si>
    <t>Providing and fixing C.P. brass stop cock(concealed) of standard design and of approved make confirming to8931</t>
  </si>
  <si>
    <t>DSR 18.52.1</t>
  </si>
  <si>
    <t>DSR       18.53</t>
  </si>
  <si>
    <t>Providing and fixing C.P. brass angle valve for basin mixer and geyser pointsof approved quality confirming to8931</t>
  </si>
  <si>
    <t>DSR 18.53.1</t>
  </si>
  <si>
    <t>DSR         18.22</t>
  </si>
  <si>
    <t>Providing and fixing CP brass shower rose with 15 or 20 mm inlet</t>
  </si>
  <si>
    <t>DSR 18.22.2.</t>
  </si>
  <si>
    <t>150 mm  diameter</t>
  </si>
  <si>
    <t>DSR    18.58</t>
  </si>
  <si>
    <t xml:space="preserve">Providing and fixing P.T.M.T. grating of approved quality &amp; colour </t>
  </si>
  <si>
    <t>DSR     18.58.1</t>
  </si>
  <si>
    <t>circular type</t>
  </si>
  <si>
    <t>DSR     18.58.1.1</t>
  </si>
  <si>
    <t>100 mm nominal dia,</t>
  </si>
  <si>
    <t>B</t>
  </si>
  <si>
    <t>SANITARY INSTALLATION</t>
  </si>
  <si>
    <t>DSR     17.1</t>
  </si>
  <si>
    <t>Providing    and   fixing  water closet squatting pan(indian type WC pan)with 100mm sand cast iron P or S trap, 10 litre low fixture complete ,   including ctting and making good the walls and level white PVC flushing cistern,including flush pipe with manuall controlled device(handle leer) cofirming to IS 7231, with all fittings and floors wherever required</t>
  </si>
  <si>
    <t>DSR     17.1.1</t>
  </si>
  <si>
    <t xml:space="preserve">white vitreous china Orissa pattern WC pan of size 580X440mm with integral type foot rests </t>
  </si>
  <si>
    <t xml:space="preserve">Each </t>
  </si>
  <si>
    <t>DSR     17.78</t>
  </si>
  <si>
    <t>Providing and fixing  White vitreous china extended wall mounting water closet of size 780 x 370 x 690 mm of approved shape including providing &amp; fixing white vitreous china cistern with dual flush fittings of flushing capacity 3 liters/6 liters(adjustable to 4 lit./8 litres),including seat cover,and cistern fittings,nuts,bolts,and gasket etc. complete</t>
  </si>
  <si>
    <t>DSR     17.4</t>
  </si>
  <si>
    <t xml:space="preserve">Providing and fixing .white vitreous china flat back or wall corner type lipped front urinal basin of size  450 x 260 x 350mm  and 340 x 410 x 265 mm sizes respectively with  automatic flushing cistern with standard  flush pipe and CP brass spreaders with brass unions and  GI clamps complete    including  painting of fittings and brackets, cutting  and making  good the walls and floors wherever required. </t>
  </si>
  <si>
    <t>DSR     17.4.1</t>
  </si>
  <si>
    <t>One urinal basin with 5 litres white P.V.C. automatic flushing cistern.</t>
  </si>
  <si>
    <t>DSR     17.7</t>
  </si>
  <si>
    <t xml:space="preserve">Provding and fixing  wash basin  with C.I. brackets, 15 mm C.P. brass pillar taps, , 32 mm C.P. brass waste  of standard pattern, including paintings of fittings and brackets, cutting and making good the .wall wherever required. </t>
  </si>
  <si>
    <t>DSR     17.7.4</t>
  </si>
  <si>
    <t>White vitreous china flat back wash basin  size 550X400mm with a single15mm CP brass pillar tap</t>
  </si>
  <si>
    <t>DSR     17.10</t>
  </si>
  <si>
    <t>Provding and fixing  Stainless Steel A ISI 304 (18/8) Kitchen sink as per I.S. 13983 with C.I. brackets and stainless steel plug 40mm inculding painting of fitting and brackets, cutting and making good the walls wherever required.</t>
  </si>
  <si>
    <t>DSR     17.10.1</t>
  </si>
  <si>
    <t>Kitchen sink with drain board.</t>
  </si>
  <si>
    <t>DSR     17.10.1.1</t>
  </si>
  <si>
    <t>510X1040mm bowl depth 250mm</t>
  </si>
  <si>
    <t>DSR     17.28</t>
  </si>
  <si>
    <t>Provding and fixing  PVC waste pipe for sink or wash basin including PVC waste fittings complete</t>
  </si>
  <si>
    <t>DSR     17.28.2</t>
  </si>
  <si>
    <t>Flexiable pipe</t>
  </si>
  <si>
    <t>DSR     17.28.2.2</t>
  </si>
  <si>
    <t>40 mm dia</t>
  </si>
  <si>
    <t>DSR     17.31</t>
  </si>
  <si>
    <t>Provding  and  fixing   600X450mm bevelled edge mirror of superior glass (of approved quality) complete with 6mm thick hard board ground fixed to wooden cleats with CP brass screws &amp; washers complete.</t>
  </si>
  <si>
    <t>DSR     17.33</t>
  </si>
  <si>
    <t>Provding and fixing  600X120X5 mm glass shelf with edges rounded off supported on anodised aluminium angle frame  with CP brass brackets and guard rail complete fixed with 40 mm long screws ,rawl plug etc, complete.</t>
  </si>
  <si>
    <t>DSR     17.34</t>
  </si>
  <si>
    <t>Provding and fixing  toilet paper holder</t>
  </si>
  <si>
    <t>DSR     17.34.1</t>
  </si>
  <si>
    <t>C.P. brass</t>
  </si>
  <si>
    <t>DSR     17.70</t>
  </si>
  <si>
    <t>Provding and fixing  PTMT  bottle traps  for wash basin &amp; sink</t>
  </si>
  <si>
    <t>DSR     17.70.2</t>
  </si>
  <si>
    <t>Bottle trap 38 mm single piece moulded with height of 270mm , effective length of tail pipe 260mm from the centre of waste coupling 77mm breadth with 25mm minimum water seal ,weighing not less than 263 gms.</t>
  </si>
  <si>
    <t>DSR     17.71</t>
  </si>
  <si>
    <t>Provding and fixing  PTMT  liquid soap container 109 mm wide,125mm high and 112mm distance from wall of standard shape with bracket of same materials with snap fittings of approved quality and colour, weighing not less than 105 gms.</t>
  </si>
  <si>
    <t>DSR     17.73</t>
  </si>
  <si>
    <t>Provding and fixing PTMT towel rail complete with brackets fixed to wooden cleats with CP brass screws with concealed fittings arrangement of approved quality and colour.</t>
  </si>
  <si>
    <t>DSR     17.73.2</t>
  </si>
  <si>
    <t>600 mm long towel rail with total length of 645mm width78mm and effective height of 88mm,weighing not less than 190 gms.</t>
  </si>
  <si>
    <t>RAIN WATER  PIPE &amp; BALCONY DRAINAGE</t>
  </si>
  <si>
    <t>DSR     12.41</t>
  </si>
  <si>
    <t xml:space="preserve">Providing and fixing on wall face unplasticised-Rigid PVC  rain water pipes conforming to IS:13592 Type-A including jointing with seal ring conforming to IS:5382 leaving 10mm gap for thermal expansion  </t>
  </si>
  <si>
    <t>DSR     12.41.1</t>
  </si>
  <si>
    <t>75 mm diameter</t>
  </si>
  <si>
    <t>DSR     12.41.2</t>
  </si>
  <si>
    <t>110 mm diameter</t>
  </si>
  <si>
    <t>DSR     12.42</t>
  </si>
  <si>
    <t>Providing and fixing on wall face unplasticised -PVC  moulded fittings/ accessories for unplasticised Rigid PVC rainwater pipes  conforming to IS: 13592 Type-A including jointing with seal ring conforming to IS:5382 leaving 10mm gap for thermal expansion.</t>
  </si>
  <si>
    <t>DSR     12.42.1</t>
  </si>
  <si>
    <t>Coupler</t>
  </si>
  <si>
    <t>DSR     12.42.1.1</t>
  </si>
  <si>
    <t>75 mm</t>
  </si>
  <si>
    <t>DSR     12.42.1.2</t>
  </si>
  <si>
    <t>110 mm</t>
  </si>
  <si>
    <t>DSR     12.42.4</t>
  </si>
  <si>
    <t>single tee without door</t>
  </si>
  <si>
    <t>DSR     12.42.4.1</t>
  </si>
  <si>
    <t>75 x 75 x 75 mm</t>
  </si>
  <si>
    <t>DSR     12.42.4.2</t>
  </si>
  <si>
    <t>110 x 110 x 110 mm</t>
  </si>
  <si>
    <t>DSR     12.42.5</t>
  </si>
  <si>
    <r>
      <t>Bend 87.5</t>
    </r>
    <r>
      <rPr>
        <vertAlign val="superscript"/>
        <sz val="12"/>
        <rFont val="Times New Roman"/>
        <family val="1"/>
      </rPr>
      <t>0</t>
    </r>
  </si>
  <si>
    <t>DSR     12.42.5.1</t>
  </si>
  <si>
    <t>75 mm bend</t>
  </si>
  <si>
    <t>DSR     12.42.5.2</t>
  </si>
  <si>
    <t>110 mm bend</t>
  </si>
  <si>
    <t>DSR     12.42.6</t>
  </si>
  <si>
    <t>Shoe (Plain)</t>
  </si>
  <si>
    <t>DSR     12.42.6.1</t>
  </si>
  <si>
    <t>75 mm Shoe</t>
  </si>
  <si>
    <t>DSR     12.42.6.2</t>
  </si>
  <si>
    <t>110 mm Shoe</t>
  </si>
  <si>
    <t>DSR     12.43</t>
  </si>
  <si>
    <t>Providing and fixing unplasticised -PVC pipe clips of approved design to unplasticised-PVC rain water pipes by means of 50x50x50mm hard wood plugs, screwed with M.S screws of required length including cutting brick work and fixing in cement mortar 1:4( 1 cement: 4 coarse sand) and making good the wall etc. complete.</t>
  </si>
  <si>
    <t>DSR     12.43.1</t>
  </si>
  <si>
    <t>DSR     12.43.2</t>
  </si>
  <si>
    <t>110mm</t>
  </si>
  <si>
    <t>DSR     12.44</t>
  </si>
  <si>
    <t>Providing and fixing to the inlet mouth of rain water pipe cast iron grating 15 cm diameter and weighing not less than 440 grams.</t>
  </si>
  <si>
    <t>C</t>
  </si>
  <si>
    <t>DRAINAGE</t>
  </si>
  <si>
    <t>DSR     2.10</t>
  </si>
  <si>
    <t>Excavating trenches of required width for pipes, cables etc including excavation for sockets and dressing of sides, ramming of bottoms depth upto 1.5m ,including getting out the excavated soil , and then returning the soil as required,in the layers not exceeding 20 cm in depth including consolidating each deposited layers by ramming watering and desposing of surplus excavated soil as dirceted within a lead of 50m</t>
  </si>
  <si>
    <t>DSR    2.10.1.2</t>
  </si>
  <si>
    <t>pipes cables etc exceeding 80mm dia but not exceeding 300 mm dia</t>
  </si>
  <si>
    <t>Metr.</t>
  </si>
  <si>
    <t>DSR     19.6</t>
  </si>
  <si>
    <t>Providing and laying non -pressure NP2 class(light duty) R.C.C. pipes with collars jointed with stiff mixture of cement mortar in the proportion of 1:2 including testing of joints etc. complete</t>
  </si>
  <si>
    <t>DSR     19.6.2</t>
  </si>
  <si>
    <t>150 mm dia R.C.C. pipe</t>
  </si>
  <si>
    <t>DSR     19.6.3</t>
  </si>
  <si>
    <t>250 mm dia R.C.C. pipe</t>
  </si>
  <si>
    <t>DSR     19.7</t>
  </si>
  <si>
    <t xml:space="preserve">Constructing brick masonary manhole in cement  mortar 1:4 (1 cement, 4 coarse sand.) with R.C.C. top slab with1:1.5:3 mix(1 cement, 1.5 coarse sand, 3 graded stone aggregate 20 mm nominal size) foundation concrete 1:4:8 mix (1cement, 4 coarse sand, 8 graded stone aggregate 40 mm nominal size.) inside plastering 12 mm thick with cement mortar 1:3 (1 cement, 3 coarse sand.) finished with floating coat of neat cement and making channels in cement concrete 1:2:4. finished with floating coat of neat cement complete as per standard design. </t>
  </si>
  <si>
    <t>(a)</t>
  </si>
  <si>
    <t>DSR     19.7.1</t>
  </si>
  <si>
    <t>Inside size 90x80cm and 45 cm deep including C.I. cover with frame ( light duty) 455x610 mm internal diamension tatal weight of cover and fram to be not less than 38 kg (weight of cover23 kg and weight of frame 15 kg )</t>
  </si>
  <si>
    <t>DSR     19.7.1.1</t>
  </si>
  <si>
    <t>With cmmon burnt clay F.P.S. (non modular)bricks with class designation 7.5</t>
  </si>
  <si>
    <t>(b)</t>
  </si>
  <si>
    <t>DSR    19.7.2</t>
  </si>
  <si>
    <t>Inside size 120x90cm and 90 cm deep including C.I. cover with frame (medium duty) 500mm internal diameter total weight of cover and fram to be not less than 116 kg (weight of cover 58kg and weight of frame 58 kg )</t>
  </si>
  <si>
    <t>DSR    19.7.2.1</t>
  </si>
  <si>
    <t>DSR     19.28</t>
  </si>
  <si>
    <t>Constructing brick masonry road gully chamber  45x45x77.5cms with bricks in cement mortar 1:4(1cement: 4 c coarse sand)with pre-cast R.C.C. vertical grating   complete as per standard design:</t>
  </si>
  <si>
    <t>DSR     19.28.1</t>
  </si>
  <si>
    <t>DSR     19.32</t>
  </si>
  <si>
    <t>Making soak pit 2.5 m diameter 3.0 meter deep with 45x45 cm dry brick honey comb shaft with brick  and S.W. drain pipe 100 mm diameter, 1.8 m long complete as per standard design.</t>
  </si>
  <si>
    <t>DSR 19.32.1</t>
  </si>
  <si>
    <t>SEPTIC TANK</t>
  </si>
  <si>
    <t>Liquid Dimension 4500X1500X1500 cu-m(02 Nos)</t>
  </si>
  <si>
    <t>DSR            2.8</t>
  </si>
  <si>
    <t>Earthwork in excavation by mechanical means (Hydraulic excavtor)/ manual means in foundation trenches or drains (not exceeding 1.5 m in width or 10 sq m on plan ) including dressing of sides and ramming of bottoms,lift upto 1.5m,including getting out the excavated soil and disposal of surplus excavated as directed within a lead of 50m</t>
  </si>
  <si>
    <t>DSR            2.8.1</t>
  </si>
  <si>
    <t>All kind of soil</t>
  </si>
  <si>
    <t>Cum</t>
  </si>
  <si>
    <t>DSR            2.27</t>
  </si>
  <si>
    <t>Supplying and filling in plinth with  sand and under floors including watering,ramming consolidating and dressing complete</t>
  </si>
  <si>
    <t>DSR          4.1</t>
  </si>
  <si>
    <t>Providing and laying in position  cement concrete of specified grade excluding the cost of centring and shuttering  -All work upto plinth level</t>
  </si>
  <si>
    <t>DSR    4.1.3</t>
  </si>
  <si>
    <t>1:2:4(1cement:2 corse sand:4 graded stone aggregate 20mm nominal size</t>
  </si>
  <si>
    <t>DSR       6.1</t>
  </si>
  <si>
    <t>Brick work with common burnt clay FPS bricks of class designation  7.5 in foundations and plinth in</t>
  </si>
  <si>
    <t>DSR       6.1.2</t>
  </si>
  <si>
    <t>Cement morter 1:6(1 cement : 6 corse sand)</t>
  </si>
  <si>
    <t>DSR      13.7</t>
  </si>
  <si>
    <t>12 mm cement plaster finished with a floting coat of neat cement of mix</t>
  </si>
  <si>
    <t>DSR      13.7.2</t>
  </si>
  <si>
    <t xml:space="preserve"> 1:4(1 cement : 4 fine sand)</t>
  </si>
  <si>
    <t>Sqm.</t>
  </si>
  <si>
    <t>DAR 11.2</t>
  </si>
  <si>
    <t>Providing designation 100 A one brick flat soling joints filled with local sand including cost of watering, taxes, royalty all complete as per building specification and direction of E/l,</t>
  </si>
  <si>
    <t>DSR          5.3.</t>
  </si>
  <si>
    <t>Reinforced cement concrete work in beams,suspended floors roofs,having slope upto 15, landing,balconies, shelves,chajjas,lintal,bends,plain window sills stair case,and spiral staircases up to floor five level excluding the cost of centering,shuttering,finishing and reinforcement with 1:1.5:3</t>
  </si>
  <si>
    <t>DSR      5.9</t>
  </si>
  <si>
    <t>Centring and shuttering including strutting propping etc. and removal of form for</t>
  </si>
  <si>
    <t>DSR        5.9.3</t>
  </si>
  <si>
    <t>Suspended floors ,roofs,landings,balconies and access platform</t>
  </si>
  <si>
    <t>DSR    5.9.5</t>
  </si>
  <si>
    <t>Lintels,beams,   plinth beams, griders, bressumers and cantilivers</t>
  </si>
  <si>
    <t>DSR     5.9.6</t>
  </si>
  <si>
    <t>Columns,pillars,piers,abutments,posts and struts</t>
  </si>
  <si>
    <t>DSR     5.22</t>
  </si>
  <si>
    <t>Steel reinforcement for R.C.C. work including straightening, cutting, bending, placing in position and binding all complete upto plinth level</t>
  </si>
  <si>
    <t>DSR     5.22.6</t>
  </si>
  <si>
    <t>DSR      19.18</t>
  </si>
  <si>
    <t>Supplying and fixing C.I cover without frame for manholes:</t>
  </si>
  <si>
    <t>DSR      19.18.2</t>
  </si>
  <si>
    <t>500 mm diameter C.I cover (medium duty) the weiht of he cover to be not less than 58 kg.</t>
  </si>
  <si>
    <t>DSR      19.15</t>
  </si>
  <si>
    <t>Providing M.S foot rests including fixing in septic tank with 20 x 20 x 10 cm cement concrete blocks 1:3:6 ( 1 cement: 3 coarse sand: 6 graded stone aggregate 20mm nominal size) as per standard design:</t>
  </si>
  <si>
    <t>DSR      19.15.1</t>
  </si>
  <si>
    <t>With 20 x 20 mm square bar</t>
  </si>
  <si>
    <t>E</t>
  </si>
  <si>
    <t>TUBE WELL</t>
  </si>
  <si>
    <t>150 DIAX100DIAX120 METRE DEPTH TUBEWELL</t>
  </si>
  <si>
    <t>DSR        23.1</t>
  </si>
  <si>
    <t>Boring/drilling bore well of required dia for casing/strainer pipe, by suitable method prescribed in IS: 2800 (part I), including collecting samples from different strata, preparing and submitting strata chart/bore log, including hire &amp; running charges of all equipments, tools, plants &amp; machineries required for the job, all complete as per direction of Engineer -in-charge, upto 90 metre depth below ground level.</t>
  </si>
  <si>
    <t>DSR        23.1.1</t>
  </si>
  <si>
    <t>All types of soil</t>
  </si>
  <si>
    <t>DSR        23.1.1.1</t>
  </si>
  <si>
    <t>300 mm dia</t>
  </si>
  <si>
    <t>Mtrs.</t>
  </si>
  <si>
    <t>DSR       23.2</t>
  </si>
  <si>
    <t>DSR       23.2.1</t>
  </si>
  <si>
    <t>DSR       23.2.1.1</t>
  </si>
  <si>
    <t>DSR        23.3</t>
  </si>
  <si>
    <t>Supplying, assembling, lowering and fixing in vertical position in bore well, unplasticized PVC medium well casing (CM) pipe of required dia, conforming to IS:12818, including required hire and labour charges, fittings &amp; accessories etc. all complete, for all depths, as per direction of Engineer -in-charge.</t>
  </si>
  <si>
    <t>DSR        23.3.1</t>
  </si>
  <si>
    <t>100 mm nominal size dia</t>
  </si>
  <si>
    <t>DSR        23.3.2</t>
  </si>
  <si>
    <t>150 mm nominal size dia</t>
  </si>
  <si>
    <t>DSR        23.4</t>
  </si>
  <si>
    <t>Supplying, assembling, lowering and fixing in vertical position in bore well unplasticized PVC medium well screen (RMS) pipes with ribs, conforming to IS: 12818, including hire &amp; labour charges, fittings &amp; accessories etc. all complete, for all depths, as per direction of Engineer-in-charge.</t>
  </si>
  <si>
    <t>DSR        23.4.1</t>
  </si>
  <si>
    <t>DSR        23.8</t>
  </si>
  <si>
    <t>Gravels packing in tubewell construction in accordance with IS 4097 including  providing graval fine/medium/coarse,in required grading &amp; sizes as per actual requirement,all complete as per direction of Engineer-in charge.</t>
  </si>
  <si>
    <t>cu_m</t>
  </si>
  <si>
    <t>DSR       23.12</t>
  </si>
  <si>
    <t>Development of tube well in accordance with IS : 2800 (part I) and IS: 11189, to establish maximum rate of usable water yield without sand content (beyond permissible limit), with required capacity air compressor, running the compressor for required time till well is fully develo ped, measuring yield of well by V notch method or any other approved method, measuring static level &amp; draw down etc. by step draw down method, collecting water samples &amp; getting tested in approved laboratory, i/c disinfection of tubewell, all complete,including hire &amp; labour charges of air compressor, tools &amp; accessories etc., all as per requirement and direction of Engineer-in-charge.</t>
  </si>
  <si>
    <t>Hrs</t>
  </si>
  <si>
    <t>DSR       23.13</t>
  </si>
  <si>
    <t xml:space="preserve">Providing &amp; fixing  suitable size threaded mild steel cap or spot welded plate to the top of borewell housing/ casing pipe ,removable as per requirement,all complete for borewell of, </t>
  </si>
  <si>
    <t>DSR       23.13.2</t>
  </si>
  <si>
    <t>150 mm  dia</t>
  </si>
  <si>
    <t>DSR       23.14</t>
  </si>
  <si>
    <t xml:space="preserve">Providing &amp; fixing MS clamp of required dia to the top of  housing/casing pipe of,removable as pe tubewell as per IS;2800(part-I), including necessary bolts &amp; nuts of required size   complete </t>
  </si>
  <si>
    <t>DSR       23.14.2</t>
  </si>
  <si>
    <t>DSR       23.15</t>
  </si>
  <si>
    <t xml:space="preserve">Providing &amp; fixing Bail plug/ bottom plug of required dia to the bottom of  pipe assembly  as per IS;2800(part-I), </t>
  </si>
  <si>
    <t>DSR       23.15.1</t>
  </si>
  <si>
    <t>100 mm  dia</t>
  </si>
  <si>
    <t>F.</t>
  </si>
  <si>
    <t>RAIN WATER HARVESTING</t>
  </si>
  <si>
    <t>FILTER PIT &amp; RECHARGE WELL(2 NOS.)</t>
  </si>
  <si>
    <t>11.2 DAR</t>
  </si>
  <si>
    <t>DSR        23.5</t>
  </si>
  <si>
    <t>Supplying , filling, spreading &amp; leveling stone boulders of size range 5 cm to 20 cm, in Recharge Pit,in the required thickness ,for all leads &amp; lifts,  . all complete as per direction of Engineer-in-charge</t>
  </si>
  <si>
    <t>cu-m</t>
  </si>
  <si>
    <t>DSR        23.6</t>
  </si>
  <si>
    <t>Supplying , filling, spreading &amp; leveling gravels of size range 5 mm to 10 mm, in the Recharge Pit,over the existing layer boulders in the required thickness ,for all leads &amp; lifts,  . all complete as per direction of Engineer-in-charge</t>
  </si>
  <si>
    <t>DSR         23.7</t>
  </si>
  <si>
    <t>Supplying , filling, spreading &amp; leveling coarse sand of size range 1.5 mm to  2 mm, in the Recharge Pit, in the required thickness over gravel layer ,for all leads &amp; lifts,  . all complete as per direction of Engineer-in-charge</t>
  </si>
  <si>
    <t>DSR             23.13</t>
  </si>
  <si>
    <t>Providing &amp; fixing suitable size threaded mild steel cap or spot welded plate to top of borewell housing/casing pipe,removable as per requirement all complete for borewell of</t>
  </si>
  <si>
    <t>DSR 23.13.1</t>
  </si>
  <si>
    <t>100 mm dia</t>
  </si>
  <si>
    <t>SOR      23.14</t>
  </si>
  <si>
    <t>DSR 23.14.1</t>
  </si>
  <si>
    <t>100 mm clamp</t>
  </si>
  <si>
    <t>DSR 23.15.1</t>
  </si>
  <si>
    <t>UNDER GROUND WATER TANK</t>
  </si>
  <si>
    <t xml:space="preserve">ANALYSIS   </t>
  </si>
  <si>
    <t>Constructing Under Ground Water Tank of capacity 2.5 X 1.5X 1.5 m3 Liquid dimension all complete as per direction of engineer in charge (detail attchhed)</t>
  </si>
  <si>
    <t>G</t>
  </si>
  <si>
    <t>NON SCHEDULED ITEMS(MARKET RATE)</t>
  </si>
  <si>
    <t>PUMP</t>
  </si>
  <si>
    <t>DJB SCHEDULED RATE2.1.1</t>
  </si>
  <si>
    <r>
      <t>Establishment of 2</t>
    </r>
    <r>
      <rPr>
        <b/>
        <sz val="12"/>
        <color indexed="8"/>
        <rFont val="Times New Roman"/>
        <family val="1"/>
      </rPr>
      <t>.0</t>
    </r>
    <r>
      <rPr>
        <sz val="12"/>
        <color indexed="8"/>
        <rFont val="Times New Roman"/>
        <family val="1"/>
      </rPr>
      <t xml:space="preserve"> HP of submersible pump set (detail attchhed)</t>
    </r>
  </si>
  <si>
    <t>DJB SCHEDULED RATE2.1.3</t>
  </si>
  <si>
    <r>
      <t>Establishment of 1</t>
    </r>
    <r>
      <rPr>
        <b/>
        <sz val="12"/>
        <color indexed="8"/>
        <rFont val="Times New Roman"/>
        <family val="1"/>
      </rPr>
      <t xml:space="preserve">.5 </t>
    </r>
    <r>
      <rPr>
        <sz val="12"/>
        <color indexed="8"/>
        <rFont val="Times New Roman"/>
        <family val="1"/>
      </rPr>
      <t>HP of submersible pump set (detail attchhed)</t>
    </r>
  </si>
  <si>
    <t>P.V.C. PIPE</t>
  </si>
  <si>
    <t>ANALYSIS</t>
  </si>
  <si>
    <t xml:space="preserve">Provding and fixing soil,waste and vent pipes </t>
  </si>
  <si>
    <t>ANALYSIS   1(a)</t>
  </si>
  <si>
    <t>110 mm dia</t>
  </si>
  <si>
    <t>P.V.C. FITTINGS</t>
  </si>
  <si>
    <t>(i)</t>
  </si>
  <si>
    <t>DOOR TEE</t>
  </si>
  <si>
    <t>(ii)</t>
  </si>
  <si>
    <t>DOOR BEND</t>
  </si>
  <si>
    <t>(iii)</t>
  </si>
  <si>
    <t>BEND 45</t>
  </si>
  <si>
    <t>(iv)</t>
  </si>
  <si>
    <t>VENT COWEL</t>
  </si>
  <si>
    <t>DSR1640</t>
  </si>
  <si>
    <t>15%Contractors Profit and 10 percent Installation considered</t>
  </si>
  <si>
    <t>(v)</t>
  </si>
  <si>
    <t>PIPE CLIP</t>
  </si>
  <si>
    <t xml:space="preserve">DSR </t>
  </si>
  <si>
    <t>(vi)</t>
  </si>
  <si>
    <t>FLOOR TRAP</t>
  </si>
  <si>
    <t>110X110 mm dia</t>
  </si>
  <si>
    <t xml:space="preserve"> TOTAL =</t>
  </si>
  <si>
    <t>GST@18%</t>
  </si>
  <si>
    <t>FINAL TOTAL</t>
  </si>
  <si>
    <t>NAME OF WORK  : BOQ  &amp;  ESTIMATE  FOR  ELECTRICAL &amp; TELEPHONE WIRING FOR BIHARSHARIF SUBSTATION</t>
  </si>
  <si>
    <t xml:space="preserve">                      Item of work </t>
  </si>
  <si>
    <t xml:space="preserve">Unit </t>
  </si>
  <si>
    <t>QTYfor two towers</t>
  </si>
  <si>
    <r>
      <t xml:space="preserve">Rate </t>
    </r>
    <r>
      <rPr>
        <sz val="11"/>
        <color indexed="8"/>
        <rFont val="Times New Roman"/>
        <family val="1"/>
      </rPr>
      <t>₹</t>
    </r>
    <r>
      <rPr>
        <sz val="11"/>
        <color indexed="8"/>
        <rFont val="Arial"/>
        <family val="2"/>
      </rPr>
      <t xml:space="preserve"> </t>
    </r>
  </si>
  <si>
    <t>Rate*(100/112) ₹</t>
  </si>
  <si>
    <t>Amount ₹</t>
  </si>
  <si>
    <t xml:space="preserve"> WIRING</t>
  </si>
  <si>
    <t>DSR22</t>
  </si>
  <si>
    <t xml:space="preserve">Wiring for Light plug &amp; circuit wiring   with 2x2.5 sq.mm  FRLS PVC insulated copper conductor single core cable in recessed PVC conduit along with 1 No.2.5 sq mm  FRLS PVC insulated copper conductor single core cable for loop  earthing as required  </t>
  </si>
  <si>
    <t xml:space="preserve">Meter </t>
  </si>
  <si>
    <t>1.14.2</t>
  </si>
  <si>
    <t xml:space="preserve">Wiring for power plug with 2x4 sq.mm FRLS PVC insulated copper conductor single core cable in surface / recessed medium class PVC conduit along with 1 No.4 sq mm FRLS PVC insulated copper conductor single core cable for loop earthing as required  </t>
  </si>
  <si>
    <t>Meter</t>
  </si>
  <si>
    <t>Wiring for submain with 2x10 sq.mm +1X6 sq mm earth wire FRLS  PVC insulated copper conductor single core cable in surface / recessed medium class  PVC conduit etc. as required.(Main to DB)</t>
  </si>
  <si>
    <t>1.14.5</t>
  </si>
  <si>
    <t>Wiring for submain with 4x6 sq.mm +2X6 sq mm earth wire FRLS  PVC insulated copper conductor single core cable in surface / recessed medium class  PVC conduit etc. as required.(Main to Common centre  DB &amp; Lift Room)</t>
  </si>
  <si>
    <t>1.14.9</t>
  </si>
  <si>
    <t>Wiring for submain with 4x10sq.mm +2X6 sq mm earth wire FRLS  PVC insulated copper conductor single core cable in surface / recessed medium class  PVC conduit etc. as required.(Main to D type )</t>
  </si>
  <si>
    <t>1.14.10</t>
  </si>
  <si>
    <t>Supplying and fixing metal box of  following size (nominal size)    in surface/ recess with suitable size of phenolic laminated sheet cover in the front including painting etc. as required.</t>
  </si>
  <si>
    <t>(a)100mmX100mmX60mm deep</t>
  </si>
  <si>
    <t>1.22.2</t>
  </si>
  <si>
    <t>(b)200mmX125mmX60mm deep</t>
  </si>
  <si>
    <t>1.22.6</t>
  </si>
  <si>
    <t xml:space="preserve">Supplying &amp; fixing of following size  medium class PVC conduit along with accessories in surface/ recess including cutting of wall and making good the same in case of recessed conduit as required. </t>
  </si>
  <si>
    <t>(a) 20 mm dia</t>
  </si>
  <si>
    <t>1.21.1</t>
  </si>
  <si>
    <t>(b) 25 mm dia</t>
  </si>
  <si>
    <t>1.21.2</t>
  </si>
  <si>
    <t>Supplying and fixing following size / modules, GI box along with modular base &amp; cover plate for modular switches/ socket/TV / Telephone outlet    in surface/ recess  etc. as required.</t>
  </si>
  <si>
    <t>(a)75mmX75mmX50mm</t>
  </si>
  <si>
    <t>1.27.1</t>
  </si>
  <si>
    <t xml:space="preserve"> Wiring for light point/ fan point/ exhaust fan point / call bell point  with 1.5 Sq.mm  FRLS PVC insulated copper conductor  single core cable in surface / recessed  medium class PVC conduit with modular switch, modular plate, suitable GI box and earthing the point with  1.5 sq mm FRLS PVC insulated copper conductor single core cable  etc as required.   (Group B)</t>
  </si>
  <si>
    <t xml:space="preserve">Point </t>
  </si>
  <si>
    <t>1.10.2</t>
  </si>
  <si>
    <t xml:space="preserve">Supplying and fixing suitable size GI  box with modular plate and  cover in front on  surface or in recess including providing  and fixing   3 pin 5/6 amps moduler socket outlet &amp; 6A modular  type switch connection  etc. as required. </t>
  </si>
  <si>
    <t xml:space="preserve">Supplying and fixing suitable size GI  box with modular plate and  cover in front on  surface or in recess including providing  and fixing   6 pin 5/6  &amp; 15/ 16 amps moduler socket outlet &amp; 15/16A modular  type switch connection  etc. as required. </t>
  </si>
  <si>
    <t xml:space="preserve">Supplying and fixing 20 amps 240 volt, SPN industrial type, socket outlet, with 2 pole and earth metal enclosed plug top along ,with 20 amp 'C' series, SP, MCB in sheet steel enclosure on surface or in  recess,with chained metal cover for socket out let and complete with   connections  testing and commissioning  etc. as required. </t>
  </si>
  <si>
    <t>Supplying and fixing 30 amps 415 volt, TPN industrial type, socket outlet, with 4 pole and earth metal enclosed plug top along ,with 30 amp 'C' series, TP, MCB in sheet steel enclosure on surface or in  recess,with chained metal cover for socket out let and complete with   connections  testing and commissioning  etc. as required. ( Lift Room)</t>
  </si>
  <si>
    <t xml:space="preserve">Supplying and drawing 2 pair 0.5 sq mm. FR  PVC insulated copper conductor  telephone cable  through existing PVC concuit/ raceway including connection, testing etc. as required.   </t>
  </si>
  <si>
    <t>1.18.2</t>
  </si>
  <si>
    <t xml:space="preserve">Supplying and fixing moduler type  2 pin telephone socket on the  existing  box  including making connection etc. as required. </t>
  </si>
  <si>
    <t>1.24.6</t>
  </si>
  <si>
    <t>Supplying Installing Testing and commissioning of 20 Pair  distribution tag box all complete as per specification and direction of E/I</t>
  </si>
  <si>
    <t>M/R</t>
  </si>
  <si>
    <t xml:space="preserve">Supplying and installation of 10 pair 0.5 sq mm.ATC unarmoured  PVC insulated copper conductor  telephone cable  through existing PVC conduit  including connection, testing etc. as required.   </t>
  </si>
  <si>
    <t xml:space="preserve">Supplying and drawing low resistance co-axial T.V cable RJ-6 grade 0.7mm solid copper conductor PE insulated shielded with fine tinned copper braid and protected with PVC sheath in the existing PVC concuit  etc. as required.   </t>
  </si>
  <si>
    <t xml:space="preserve">Supplying and fixing modular type  TV antenna socket  outlet on the  existing  box  including making connection etc. as required. </t>
  </si>
  <si>
    <t>1.24.7</t>
  </si>
  <si>
    <t xml:space="preserve">Supplying and fixing modular blanking plate on the  existing modular plate &amp; box excluding moduler plate etc. as required. </t>
  </si>
  <si>
    <t xml:space="preserve">Supplying and fixing stepped type  electronic fan regulator  on the  existing  switch box  including  connections excluding modular plate  etc. as required. </t>
  </si>
  <si>
    <t xml:space="preserve">Supplying and fixing call bell/ buzzer suitable for DC/AC single phase 230 volt  complete etc. as required. </t>
  </si>
  <si>
    <t xml:space="preserve"> D.B.s</t>
  </si>
  <si>
    <t>Supplying and fixing 8 way, Double Door, single pole and neutral, sheet steel, MCB distribution board, 240 V, on surface/ recess, complete with tinned copper bus bar, neutral bus bar, earth bar, din bar, interconnections, powder painted including earthing etc. as required. (But without MCB/RCCB/Isolator)</t>
  </si>
  <si>
    <t>2.3.2</t>
  </si>
  <si>
    <t>Supplying and fixing 16 way, Double Door, single pole and neutral, sheet steel, MCB distribution board, 240 V, on surface/ recess, complete with tinned copper bus bar, neutral bus bar, earth bar, din bar, interconnections, powder painted including earthing etc. as required. (But without MCB/RCCB/Isolator)</t>
  </si>
  <si>
    <t>2.3.4</t>
  </si>
  <si>
    <t>Supplying and fixing 3x4 way double door horizontal type three pole and Neutral sheet steel M.C.B. D.B,  415 Volts on surface/ recess, complete with tinned copper  busbar, neutral bus bar, earth bar, din bar , detachable gland plate, interconnection including painting, earthing etc. as required</t>
  </si>
  <si>
    <t>2.4.1</t>
  </si>
  <si>
    <t>Supplying and fixing 3x6 way double door horizontal type three pole and Neutral sheet steel M.C.B. D.B,  415 Volts on surface/ recess, complete with tinned copper  busbar, neutral bus bar, earth bar, din bar , detachable gland plate, interconnection including painting, earthing etc. as required</t>
  </si>
  <si>
    <t>2.4.2</t>
  </si>
  <si>
    <t xml:space="preserve">Supplying and fixing cable end box ( Loose wire box , IP 43) suitable for following three pole and Neutral sheet steel M.C.B. Distribution board, 415 volt on surface/ recess, complete with testing commissioning etc. as required </t>
  </si>
  <si>
    <t>(i) For 4 way Double door TPN MCB DB</t>
  </si>
  <si>
    <t xml:space="preserve">2.24.1 </t>
  </si>
  <si>
    <t>(ii) For 6 way Double door TPN MCB DB</t>
  </si>
  <si>
    <t>2.24.2</t>
  </si>
  <si>
    <t>Supplying and fixing Cable End Box (Loose Wire Box) suitable for following single pole and neutral, sheet steel, MCB distribution board, 240 Volts, on surface/ recess, complete with testing and
commissioning etc. as required</t>
  </si>
  <si>
    <t>(i) For 8 way, Double door SPN MCBDB</t>
  </si>
  <si>
    <t xml:space="preserve">2.23.1 </t>
  </si>
  <si>
    <t>(ii) For 16 way, Double door SPN MCBDB</t>
  </si>
  <si>
    <t>2.23.4</t>
  </si>
  <si>
    <t xml:space="preserve"> Supplying and fixing of following rating  C series MCB/ Isolator suitable for lighting and other loads of following poles in the existing MCB DB complete  witth connections ,testing and commissioning etc. as required .</t>
  </si>
  <si>
    <t>6 Amp. To 32 Amp. SP MCB 240 Volt</t>
  </si>
  <si>
    <t>2.10.1</t>
  </si>
  <si>
    <t>32 Amp. SPN MCB 240V</t>
  </si>
  <si>
    <t>2.10.2</t>
  </si>
  <si>
    <t>32 Amp. TPN MCB 415V</t>
  </si>
  <si>
    <t>2.10.5</t>
  </si>
  <si>
    <t xml:space="preserve"> Supplying and fixing of following rating four pole  415V Isolator  in the existing MCB DB &amp; MCB VTPN  DB complete  witth connections ,testing and commissioning etc. as required .</t>
  </si>
  <si>
    <t>40 Amp  DP 240 volts  Isolator</t>
  </si>
  <si>
    <t>2.12.1</t>
  </si>
  <si>
    <t>40 Amp  FP 415 volts  Isolator</t>
  </si>
  <si>
    <t>2.13.1</t>
  </si>
  <si>
    <t>Providing and fixing MV  danger notice plate of 200mmX150mm made of mild steel at least 2mm thick, and vitreous enamelled white on both sides, and with inscription in single red colour on front side etc  as required.</t>
  </si>
  <si>
    <t xml:space="preserve"> EARTHING </t>
  </si>
  <si>
    <t xml:space="preserve">Earthing with G.I earth pipe 4.5 mt. long 40mm dia including accessories and providing masonary enclosure with cover plate having locking arrangement and watering pipe etc. with Charcoal/coke and salt as required.  </t>
  </si>
  <si>
    <t xml:space="preserve">Earthing with GI earth plate 600mm X600 mm X6mm thick including accessories and providing masonary enclosure with cover plate having locking arrangement and watering pipe 2.7 metre long etc. with salt and charcoal/ coke and salt as required.  </t>
  </si>
  <si>
    <t>Providing and laying earth connections from earth electode with 6 SWG dia G.I. wire in 15 mm. Dia G.I.pipe from earth electrode including connection with G.I. thimble excavation and refilling etc.  as required.</t>
  </si>
  <si>
    <t>Providing and fixing 6 SWG dia G.I. wire on surface or in recess for loop earthing etc  as required.</t>
  </si>
  <si>
    <t xml:space="preserve">  LAYING OF UNDER GROUND CABLE</t>
  </si>
  <si>
    <t>Laying of one number PVC insulated and PVC sheathed/ XLE power cable of 1.1 KV grade of following size direct in ground including excavation, sand cushionig, protective covering and refilling the trench etc. as required.</t>
  </si>
  <si>
    <t>(a) Above 95 sq. mm. and upto 185 sq.mm</t>
  </si>
  <si>
    <t>7.1.3</t>
  </si>
  <si>
    <t>Laying and fixing of one number PVC insulated and PVC sheathed aluminium conductor cable of1.1 KV grade of following size on surface etc. as required.</t>
  </si>
  <si>
    <t>(a)Above 95 sq. mm and upto 185 sq. mm (clamped with 25/40x3mm MS flat clamp)</t>
  </si>
  <si>
    <t>7.7.3</t>
  </si>
  <si>
    <t xml:space="preserve"> Excavating for cable trenches of depth upto 1.2M  in soft soil  including getting out the excavated soil and disposal of surplus excavated soil  directed within lead of 50 metres.</t>
  </si>
  <si>
    <t>DSR Civil</t>
  </si>
  <si>
    <t>Filling available excavated earth (excluding rock) in tenches, sides of foundations etc. in layers not exceeding 20 cm in depth, consolidating each deposited layer by ramming and watering, lead upto 50 metres.</t>
  </si>
  <si>
    <t>Providing and laying following size NP2 (Non pressure) RCC pipe complete with RCC collar etc. as required .</t>
  </si>
  <si>
    <t xml:space="preserve"> (a) Dia 300 mm.</t>
  </si>
  <si>
    <t>14.14.4</t>
  </si>
  <si>
    <t>Laying  of one number PVC insulated and PVC sheathed aluminium conductor cable of1.1 KV grade of following size   in the existing RCC/ HUME/METAL pipe etc. as required.</t>
  </si>
  <si>
    <t>(a) Above 95 sq. mm and upto 185 sq. mm</t>
  </si>
  <si>
    <t>M</t>
  </si>
  <si>
    <t>7.5.3</t>
  </si>
  <si>
    <t>Supplying and making end termination with brass compression gland and aluminium lugs for  following size of PVC insulated and PVC sheathed/XLPE aluminium conductor cable of 1.1 KV grade as reguired.</t>
  </si>
  <si>
    <t>(a) 3.5 Core 150 sq mm</t>
  </si>
  <si>
    <t>9.1.26</t>
  </si>
  <si>
    <t>MAIN PANEL</t>
  </si>
  <si>
    <t xml:space="preserve">Supplying  and fixing of  wall/floor  mounted  cubicle  panel board fabricated  with  16 guage iron sheet suitable for panel mounted switch disconnector, including busbar chamber, insulator, nut-bolt  painting  etc as required. (But without busbar copper strip) </t>
  </si>
  <si>
    <t>Sft</t>
  </si>
  <si>
    <t>BSR 2018 8.10.2</t>
  </si>
  <si>
    <t xml:space="preserve">Supplying and fixing of following rating electrical items in the existing  cubical panel board including drilling holes in cubicle panel making connections etc. as required . </t>
  </si>
  <si>
    <t xml:space="preserve"> Incomings:-</t>
  </si>
  <si>
    <t xml:space="preserve">(i) 200 Amp 35 KA FP  415 volt  MCCB. </t>
  </si>
  <si>
    <t>2.4.5</t>
  </si>
  <si>
    <t xml:space="preserve">(ii) 200 Amp, 4 pole  changeover switch . </t>
  </si>
  <si>
    <t>2.7.6</t>
  </si>
  <si>
    <t>(b) Out going</t>
  </si>
  <si>
    <t>(iii) 6/32 Amp SPN MCB 240 Volt</t>
  </si>
  <si>
    <t>2.12.2</t>
  </si>
  <si>
    <t>(iv) 40 Amp SPN MCB 240 Volt</t>
  </si>
  <si>
    <t>2.12.3</t>
  </si>
  <si>
    <t>(v) 32 Amp TPN MCB 415 Volt</t>
  </si>
  <si>
    <t>2.12.5</t>
  </si>
  <si>
    <t>(vi) 40 Amp TPN MCB 415 Volt</t>
  </si>
  <si>
    <t>2.12.6</t>
  </si>
  <si>
    <t>(vii) Copper strip of all sizes.</t>
  </si>
  <si>
    <t>1830+Ana</t>
  </si>
  <si>
    <t xml:space="preserve">(viii) Digital  ammeter three phase </t>
  </si>
  <si>
    <t>8.10.6</t>
  </si>
  <si>
    <t>(ix)Digital Voltmeter three phase</t>
  </si>
  <si>
    <t>8.10.4</t>
  </si>
  <si>
    <t>(x)Pilot lamp for indicator</t>
  </si>
  <si>
    <t>2318+Ana</t>
  </si>
  <si>
    <t>SUPPLY &amp; INSTALLATION OF FIXTURES</t>
  </si>
  <si>
    <t xml:space="preserve">Supply and Installation of  regular / standard model  A.C. ceiling fan of 1200 mm sweep  including wiring the down rod of standard length (upto 30cm) with 1.5 sq.mm FR PVC insulated copper conductor, single core cable etc. as required. </t>
  </si>
  <si>
    <t xml:space="preserve"> 8.11.2</t>
  </si>
  <si>
    <t xml:space="preserve">Supply and Installation of  300mm sweep 230  A.C. exhaust  fan in the existing opening  including  making good the damage connection testing commissioning etc. as required. </t>
  </si>
  <si>
    <t>8.11.4</t>
  </si>
  <si>
    <t xml:space="preserve">Supplying and fixing single wall mounted 20/22watt LED type batten  fitting  complete with electronic driver and   LED  tube etc. directly on ceiling / wall including connections with 1.5 sq.mm FR PVC insulated, copper conductor single core cable and earthing the body etc. as required. </t>
  </si>
  <si>
    <t xml:space="preserve">Supplying and fixing surface mounted 10/12 watt LED type bulkhead fitting  comprising  of pressure die cast housing with acrylic diffuser (IP65) and complete with integrated electronic driver etc directly on wall/ ceiling  including connections with 1.5 sq.mm FR PVC insulated, copper conductor single core cable and earting the body  etc. as required. </t>
  </si>
  <si>
    <t>Supplying and fixing 4'*40 watt suspended type LED luminaire provides soft-light and glare free symmetrical illumination complete with all accessories etc including complete with all accessories etc. including ball and socket arrangement, 2 no. down rods of 20mm dia*1.6mm thick GI pipe upto 30 cm length, painting and wiring the down rods and connection with 1.5 sqmm FR PVC insulated copper conductor, single core cable and earthing etc. as required.</t>
  </si>
  <si>
    <t xml:space="preserve">Supplying and fixing surface mounted 15/18 watt LED downlighter with integrated electronic driver  directly on ceiling including  all accessories and connection with 1.5 sq mm FR PVC  insulated copper conductor single core cable and earthing the body etc as required. </t>
  </si>
  <si>
    <t>5.11.7</t>
  </si>
  <si>
    <t>Supplying  and fixing  2 pin 5 Amp ceiling rose on the existing  junction box/ PVC box including connection  etc as required.</t>
  </si>
  <si>
    <t xml:space="preserve">Supplying and fixing  batten / angle holder  including connections with 1.5 sq.mm FR PVC insulated, copper conductor single core cable etc. as required. </t>
  </si>
  <si>
    <t>Supplying  and fixing  following types  lamp  in existing electrical fitting/ fixture  etc as required.</t>
  </si>
  <si>
    <t>(i) 10/12 watt LED lamp</t>
  </si>
  <si>
    <t>6.1.33</t>
  </si>
  <si>
    <t xml:space="preserve"> SUPPLY OF UNDER GROUND CABLE</t>
  </si>
  <si>
    <t>Supply of PVC insulated PVC sheathed aluminium conductor armoured under ground cable of graded 1.1 KV for working voltage upto 1100 volts conforming to ISI 1554  (Part-I) of 1964 with upto date amendment as detailed below.</t>
  </si>
  <si>
    <t>(a) 3.5 Core 150 sq. mm</t>
  </si>
  <si>
    <t>AR-1</t>
  </si>
  <si>
    <t xml:space="preserve">Item no - </t>
  </si>
  <si>
    <t xml:space="preserve">Basic cost of 20 Pair  distribution telephone tag box   </t>
  </si>
  <si>
    <t>GST.  @18%</t>
  </si>
  <si>
    <t>Transportation  charge.  @2%</t>
  </si>
  <si>
    <t>Labour charge  @10%</t>
  </si>
  <si>
    <t>O.H. Profit @15%</t>
  </si>
  <si>
    <t>Labour Cess @1%</t>
  </si>
  <si>
    <t>Say Rs.</t>
  </si>
  <si>
    <t xml:space="preserve"> Basic price of  10 Pair copper conductor (0.5 mm dia)   Telephone  cable (For 50 metre) Polycab make. 51 Mtrs</t>
  </si>
  <si>
    <t xml:space="preserve">Discount @35%                                                                           </t>
  </si>
  <si>
    <t>GST @18%</t>
  </si>
  <si>
    <t>Per Meter Cost Rs</t>
  </si>
  <si>
    <r>
      <t xml:space="preserve">Name of Work  : SUPPLY and </t>
    </r>
    <r>
      <rPr>
        <b/>
        <sz val="12"/>
        <color rgb="FF002060"/>
        <rFont val="Arial"/>
        <family val="2"/>
      </rPr>
      <t>Insatallation of modular kitchen at kitchen in Colony  POWERGRID, Jamshedpur sub-station.</t>
    </r>
  </si>
  <si>
    <t xml:space="preserve">Market Rate as on date + 20% escalltion </t>
  </si>
  <si>
    <t xml:space="preserve">Modular Kitchen B1 type, Godrej make as per enclosed design provided by M/s Godrej </t>
  </si>
  <si>
    <t xml:space="preserve">Modular Kitchen B2 type, Godrej make as per enclosed design provided by M/s Godrej </t>
  </si>
  <si>
    <t xml:space="preserve">Modular Kitchen B3 type, Godrej make as per enclosed design provided by M/s Godrej </t>
  </si>
  <si>
    <t xml:space="preserve">Modular Kitchen C type, Godrej make as per enclosed design provided by M/s Godrej </t>
  </si>
  <si>
    <t xml:space="preserve">Modular Kitchen D type, Godrej make as per enclosed design provided by M/s Godrej </t>
  </si>
  <si>
    <t>CONTRACTORS PROFIT AND OVERHEAD@15%</t>
  </si>
  <si>
    <r>
      <t xml:space="preserve">Name of Work  : </t>
    </r>
    <r>
      <rPr>
        <b/>
        <sz val="12"/>
        <color rgb="FF002060"/>
        <rFont val="Arial"/>
        <family val="2"/>
      </rPr>
      <t>Insatallation of modular wardrobe in Colony  POWERGRID, Jamshedpur sub-station.</t>
    </r>
    <r>
      <rPr>
        <b/>
        <sz val="12"/>
        <color indexed="8"/>
        <rFont val="Arial"/>
        <family val="2"/>
      </rPr>
      <t>(Tower 1 &amp; Tower 2)</t>
    </r>
  </si>
  <si>
    <t>Rate Patna RHQ  incl 18% GST</t>
  </si>
  <si>
    <t>Rate without GST</t>
  </si>
  <si>
    <t xml:space="preserve">Rate excl GST after considering escalation 20% </t>
  </si>
  <si>
    <t>Godrej Interio make Modular wardrobe for D,C,B3 qtr as per attached speciofication. Product Name- Godrej Kreation X-2 steel modular wrd with locker (Q3)</t>
  </si>
  <si>
    <t>EA</t>
  </si>
  <si>
    <t>Godrej Interio make Modular wardrobe for B1,B2 qtr as per attached speciofication. Product Name- Godrej Kreation X-2 steel modular wrd with locker (Q3)</t>
  </si>
  <si>
    <t>Contractors Profit and OverHead Charges @15%</t>
  </si>
  <si>
    <t>TOTAL FINAL FOR MODULAR WARDROBE GST Extra</t>
  </si>
  <si>
    <r>
      <t xml:space="preserve">Name of Work  : </t>
    </r>
    <r>
      <rPr>
        <b/>
        <sz val="11"/>
        <rFont val="Arial"/>
        <family val="2"/>
      </rPr>
      <t>BOQ for the work of "Beautification of Landscapping Work JAMSHEDPUR SS</t>
    </r>
  </si>
  <si>
    <t>DSR'20 Horticulture Item No.</t>
  </si>
  <si>
    <t>Unit Price, DSR'18 Rate (Rs.)</t>
  </si>
  <si>
    <t>DSR Rate (Rs.)</t>
  </si>
  <si>
    <t>Escalation 15% on DSR 20 horticulture</t>
  </si>
  <si>
    <t>Earth work in excavation by mechanical means (Hydraulic excavator) / manual means over areas (exceeding 30 cm in depth, 1.5 m in width as well as 10 sqm on plan), including disposal of excavated earth, lead up to 50 m and lift up to 1.5 m,as per directions of Engineer in Incharge.</t>
  </si>
  <si>
    <t>Supplying and spreading of sand in lawn area, including
watering, and dressing complete.</t>
  </si>
  <si>
    <t>Supplying and stacking of good earth at site including royalty and carriage upto 5 km lead complete (earth measured in stacks will be reduced by 20% for payment).</t>
  </si>
  <si>
    <t xml:space="preserve">Supplying and stacking at site dump manure from approved source, including carriage upto 5 km lead complete (manure measured in stacks will be reduced by 8% for payment) :                                                                 2.4.1 Screened through sieve of I.S. designation 20 mm       </t>
  </si>
  <si>
    <t>Mixing earth and sludge or manure in the required proportion specified or directed by the Officer-in-charge</t>
  </si>
  <si>
    <t>Fine dressing of the ground.</t>
  </si>
  <si>
    <t>Flooding the ground with water including making kiaries and dismantling the same.</t>
  </si>
  <si>
    <t>Spreading of sludge, dump manure and/or good earth in required thickness as per direction of officer-in-charge (cost of sludge, dump manure and/ or good earth to be paid separately).</t>
  </si>
  <si>
    <t>Providing &amp; laying Selection no. 1 /doob grass turf with earth 50mm to 60mm thickness of existing ground prepared with proper level and ramming with required tools wooden and than rolling the surface with light roller make the surface smoothen and light watering the same maintenance for 30 days or more till the grass establish properly,as per direction of officer in charge</t>
  </si>
  <si>
    <t>Foxtail palm ht. 180-210 cm bottom girth 25-30 cm well developed in big size HDPE bag</t>
  </si>
  <si>
    <t>Bottle palm ht. 210-240 cm bottom girth 30-35 cm well developed in big HDPE bag</t>
  </si>
  <si>
    <t>Fishtail palm ht. 210-240 cm bottom girth 25-30 cm well developed in big size HDPE bag</t>
  </si>
  <si>
    <t xml:space="preserve"> Total LOAAmount (Rs.)</t>
  </si>
  <si>
    <t>SUPPLY, INSTALLATION , TESTING AND COMMISSIONING OF LIFT</t>
  </si>
  <si>
    <t>SL NO.</t>
  </si>
  <si>
    <t>Amount(GST Extra as applicable).</t>
  </si>
  <si>
    <t>REMARKS</t>
  </si>
  <si>
    <t>Supply, Installation, Testing and Commissioning of Lift for each tower.</t>
  </si>
  <si>
    <t xml:space="preserve">No. </t>
  </si>
  <si>
    <t xml:space="preserve">The lifts shall be with power operated centre opening/side opening doors and
AC variable voltage &amp; variable frequency controls, Car safety &amp; Governor, Guides,
guide rails, ropes, car platform, cabin finishes (stainless steel), car &amp; landing doors
(stainless steel), hoist motors, braking system, Automatic Rescue Device (ARD)etc.
complete as per the CPWD Specifications and related IS standards upto date.
(Liftscan be with Machine room or Machine room less depending upon site requirement)
Provision of lifts will be made as per National BuildingCode-2016 I relevant BIS amended
upto date) considering no of floors, height of the building and speed of elevators;
At least one lift in each block be made compliant to barrier free and accessibility
requirements as per CPWD specifications &amp; capacity to be minimum 8 passengers
for barrier free lift. Capacity/Person :8; Speed in M/sec:1; Travel Height=G+4
</t>
  </si>
  <si>
    <t>TOTAL FINAL(GST EXTRA AS APPLICABLE)</t>
  </si>
  <si>
    <t xml:space="preserve">Gross Total Amount Excluding GST Charge </t>
  </si>
  <si>
    <t>TOTAL  AMOUNT excl. taxes</t>
  </si>
  <si>
    <t>Total amount including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</si>
</sst>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 #,##0.00_ ;_ * \-#,##0.00_ ;_ * &quot;-&quot;??_ ;_ @_ "/>
    <numFmt numFmtId="165" formatCode="[$-409]d\-mmm\-yyyy;@"/>
    <numFmt numFmtId="166" formatCode="0.0"/>
    <numFmt numFmtId="167" formatCode="[$-409]dd\-mmm\-yy;@"/>
    <numFmt numFmtId="168" formatCode="_(* #,##0_);_(* \(#,##0\);_(* &quot;-&quot;??_);_(@_)"/>
    <numFmt numFmtId="169" formatCode="#,##0.0"/>
    <numFmt numFmtId="170" formatCode="#,##0.000"/>
    <numFmt numFmtId="171" formatCode="0.000"/>
    <numFmt numFmtId="172" formatCode="[$₹-4009]\ #,##0.00"/>
    <numFmt numFmtId="173" formatCode="_ &quot;₹&quot;\ * #,##0.00_ ;_ &quot;₹&quot;\ * \-#,##0.00_ ;_ &quot;₹&quot;\ * &quot;-&quot;??_ ;_ @_ "/>
  </numFmts>
  <fonts count="93" x14ac:knownFonts="1">
    <font>
      <sz val="11"/>
      <color theme="1"/>
      <name val="Calibri"/>
      <family val="2"/>
      <scheme val="minor"/>
    </font>
    <font>
      <u/>
      <sz val="11"/>
      <color theme="10"/>
      <name val="Calibri"/>
      <family val="2"/>
    </font>
    <font>
      <sz val="10"/>
      <name val="Arial"/>
      <family val="2"/>
    </font>
    <font>
      <b/>
      <sz val="16"/>
      <color indexed="12"/>
      <name val="Book Antiqua"/>
      <family val="1"/>
    </font>
    <font>
      <sz val="11"/>
      <color indexed="12"/>
      <name val="Book Antiqua"/>
      <family val="1"/>
    </font>
    <font>
      <sz val="11"/>
      <color theme="1"/>
      <name val="Times New Roman"/>
      <family val="1"/>
    </font>
    <font>
      <sz val="11"/>
      <name val="Times New Roman"/>
      <family val="1"/>
    </font>
    <font>
      <sz val="11"/>
      <color rgb="FF339933"/>
      <name val="Times New Roman"/>
      <family val="1"/>
    </font>
    <font>
      <b/>
      <sz val="11"/>
      <color theme="1"/>
      <name val="Times New Roman"/>
      <family val="1"/>
    </font>
    <font>
      <sz val="10"/>
      <name val="Book Antiqua"/>
      <family val="1"/>
    </font>
    <font>
      <b/>
      <sz val="11"/>
      <name val="Book Antiqua"/>
      <family val="1"/>
    </font>
    <font>
      <sz val="11"/>
      <name val="Book Antiqua"/>
      <family val="1"/>
    </font>
    <font>
      <sz val="12"/>
      <name val="Book Antiqua"/>
      <family val="1"/>
    </font>
    <font>
      <b/>
      <sz val="12"/>
      <name val="Book Antiqua"/>
      <family val="1"/>
    </font>
    <font>
      <sz val="11"/>
      <name val="Calibri"/>
      <family val="2"/>
      <scheme val="minor"/>
    </font>
    <font>
      <sz val="10"/>
      <name val="Arial"/>
      <family val="2"/>
    </font>
    <font>
      <u/>
      <sz val="10"/>
      <color theme="10"/>
      <name val="Arial"/>
      <family val="2"/>
    </font>
    <font>
      <b/>
      <u/>
      <sz val="12"/>
      <color rgb="FF0070C0"/>
      <name val="Times New Roman"/>
      <family val="1"/>
    </font>
    <font>
      <sz val="11"/>
      <color theme="1"/>
      <name val="Calibri"/>
      <family val="2"/>
      <scheme val="minor"/>
    </font>
    <font>
      <sz val="10"/>
      <name val="Arial"/>
      <family val="2"/>
    </font>
    <font>
      <sz val="12"/>
      <name val="Amasis MT Pro"/>
      <family val="1"/>
    </font>
    <font>
      <sz val="12"/>
      <color theme="1"/>
      <name val="Amasis MT Pro"/>
      <family val="1"/>
    </font>
    <font>
      <b/>
      <sz val="12"/>
      <name val="Amasis MT Pro"/>
      <family val="1"/>
    </font>
    <font>
      <sz val="12"/>
      <color rgb="FF000000"/>
      <name val="Amasis MT Pro"/>
      <family val="1"/>
    </font>
    <font>
      <b/>
      <sz val="12"/>
      <color theme="1"/>
      <name val="Amasis MT Pro"/>
      <family val="1"/>
    </font>
    <font>
      <b/>
      <sz val="14"/>
      <color theme="1"/>
      <name val="Amasis MT Pro"/>
      <family val="1"/>
    </font>
    <font>
      <sz val="12"/>
      <color rgb="FF333333"/>
      <name val="Times New Roman"/>
      <family val="1"/>
    </font>
    <font>
      <b/>
      <sz val="11"/>
      <color theme="1"/>
      <name val="Calibri"/>
      <family val="2"/>
      <scheme val="minor"/>
    </font>
    <font>
      <b/>
      <sz val="16"/>
      <color indexed="8"/>
      <name val="Arial"/>
      <family val="2"/>
    </font>
    <font>
      <b/>
      <sz val="20"/>
      <color indexed="10"/>
      <name val="Arial"/>
      <family val="2"/>
    </font>
    <font>
      <sz val="14"/>
      <name val="Arial"/>
      <family val="2"/>
    </font>
    <font>
      <sz val="16"/>
      <name val="Arial"/>
      <family val="2"/>
    </font>
    <font>
      <b/>
      <sz val="16"/>
      <name val="Arial"/>
      <family val="2"/>
    </font>
    <font>
      <b/>
      <sz val="16"/>
      <color indexed="23"/>
      <name val="Arial"/>
      <family val="2"/>
    </font>
    <font>
      <sz val="12"/>
      <name val="Arial"/>
      <family val="2"/>
    </font>
    <font>
      <b/>
      <sz val="12"/>
      <name val="Arial"/>
      <family val="2"/>
    </font>
    <font>
      <sz val="11"/>
      <name val="Arial"/>
      <family val="2"/>
    </font>
    <font>
      <b/>
      <sz val="10"/>
      <name val="Arial"/>
      <family val="2"/>
    </font>
    <font>
      <b/>
      <sz val="11"/>
      <name val="Arial"/>
      <family val="2"/>
    </font>
    <font>
      <b/>
      <sz val="9"/>
      <color indexed="81"/>
      <name val="Tahoma"/>
      <family val="2"/>
    </font>
    <font>
      <sz val="10"/>
      <color rgb="FFC00000"/>
      <name val="Arial"/>
      <family val="2"/>
    </font>
    <font>
      <b/>
      <sz val="16"/>
      <color rgb="FF0000FF"/>
      <name val="Arial"/>
      <family val="2"/>
    </font>
    <font>
      <b/>
      <sz val="12"/>
      <color rgb="FF0000FF"/>
      <name val="Arial"/>
      <family val="2"/>
    </font>
    <font>
      <b/>
      <u/>
      <sz val="16"/>
      <color rgb="FF0000FF"/>
      <name val="Cambria"/>
      <family val="1"/>
      <scheme val="major"/>
    </font>
    <font>
      <b/>
      <sz val="16"/>
      <color rgb="FF0000FF"/>
      <name val="Cambria"/>
      <family val="1"/>
      <scheme val="major"/>
    </font>
    <font>
      <b/>
      <sz val="12"/>
      <color rgb="FF000000"/>
      <name val="Arial"/>
      <family val="2"/>
    </font>
    <font>
      <b/>
      <sz val="11"/>
      <color theme="5" tint="-0.249977111117893"/>
      <name val="Arial"/>
      <family val="2"/>
    </font>
    <font>
      <b/>
      <sz val="10"/>
      <color theme="1"/>
      <name val="Calibri"/>
      <family val="2"/>
      <scheme val="minor"/>
    </font>
    <font>
      <b/>
      <sz val="10"/>
      <color rgb="FF0000CC"/>
      <name val="Calibri"/>
      <family val="2"/>
      <scheme val="minor"/>
    </font>
    <font>
      <b/>
      <sz val="11"/>
      <color rgb="FF003366"/>
      <name val="Calibri"/>
      <family val="2"/>
      <scheme val="minor"/>
    </font>
    <font>
      <sz val="10"/>
      <color rgb="FF003366"/>
      <name val="Arial"/>
      <family val="2"/>
    </font>
    <font>
      <b/>
      <sz val="10"/>
      <color rgb="FFFF0000"/>
      <name val="Cambria"/>
      <family val="1"/>
      <scheme val="major"/>
    </font>
    <font>
      <b/>
      <sz val="11"/>
      <color rgb="FF003366"/>
      <name val="Arial"/>
      <family val="2"/>
    </font>
    <font>
      <b/>
      <sz val="18"/>
      <color rgb="FF0000FF"/>
      <name val="Arial"/>
      <family val="2"/>
    </font>
    <font>
      <b/>
      <u/>
      <sz val="18"/>
      <color rgb="FF0000FF"/>
      <name val="Cambria"/>
      <family val="1"/>
      <scheme val="major"/>
    </font>
    <font>
      <b/>
      <sz val="18"/>
      <color rgb="FF0000FF"/>
      <name val="Cambria"/>
      <family val="1"/>
      <scheme val="major"/>
    </font>
    <font>
      <b/>
      <sz val="12"/>
      <color theme="5" tint="-0.249977111117893"/>
      <name val="Arial"/>
      <family val="2"/>
    </font>
    <font>
      <b/>
      <sz val="18"/>
      <color indexed="12"/>
      <name val="Arial"/>
      <family val="2"/>
    </font>
    <font>
      <b/>
      <sz val="12"/>
      <color indexed="12"/>
      <name val="Arial"/>
      <family val="2"/>
    </font>
    <font>
      <b/>
      <u/>
      <sz val="18"/>
      <color indexed="12"/>
      <name val="Cambria"/>
      <family val="1"/>
    </font>
    <font>
      <b/>
      <sz val="12"/>
      <color indexed="8"/>
      <name val="Arial"/>
      <family val="2"/>
    </font>
    <font>
      <b/>
      <sz val="12"/>
      <color rgb="FF002060"/>
      <name val="Arial"/>
      <family val="2"/>
    </font>
    <font>
      <b/>
      <sz val="9"/>
      <color indexed="8"/>
      <name val="Arial"/>
      <family val="2"/>
    </font>
    <font>
      <b/>
      <sz val="10"/>
      <color indexed="8"/>
      <name val="Arial"/>
      <family val="2"/>
    </font>
    <font>
      <b/>
      <sz val="11"/>
      <color indexed="56"/>
      <name val="Arial"/>
      <family val="2"/>
    </font>
    <font>
      <b/>
      <sz val="10"/>
      <color indexed="56"/>
      <name val="Arial"/>
      <family val="2"/>
    </font>
    <font>
      <b/>
      <sz val="10"/>
      <color theme="3" tint="-0.249977111117893"/>
      <name val="Arial"/>
      <family val="2"/>
    </font>
    <font>
      <b/>
      <sz val="16"/>
      <color indexed="30"/>
      <name val="Calibri"/>
      <family val="2"/>
    </font>
    <font>
      <b/>
      <sz val="14"/>
      <color theme="1"/>
      <name val="Calibri"/>
      <family val="2"/>
      <scheme val="minor"/>
    </font>
    <font>
      <sz val="12"/>
      <name val="Times New Roman"/>
      <family val="1"/>
    </font>
    <font>
      <b/>
      <sz val="12"/>
      <name val="Times New Roman"/>
      <family val="1"/>
    </font>
    <font>
      <sz val="12"/>
      <color indexed="8"/>
      <name val="Times New Roman"/>
      <family val="1"/>
    </font>
    <font>
      <vertAlign val="superscript"/>
      <sz val="12"/>
      <name val="Times New Roman"/>
      <family val="1"/>
    </font>
    <font>
      <b/>
      <sz val="12"/>
      <color indexed="8"/>
      <name val="Times New Roman"/>
      <family val="1"/>
    </font>
    <font>
      <sz val="12"/>
      <color theme="1"/>
      <name val="Times New Roman"/>
      <family val="1"/>
    </font>
    <font>
      <sz val="10"/>
      <color indexed="8"/>
      <name val="Times New Roman"/>
      <family val="1"/>
    </font>
    <font>
      <b/>
      <sz val="12"/>
      <color theme="1"/>
      <name val="Times New Roman"/>
      <family val="1"/>
    </font>
    <font>
      <sz val="10"/>
      <color theme="1"/>
      <name val="Times New Roman"/>
      <family val="1"/>
    </font>
    <font>
      <u/>
      <sz val="10"/>
      <color indexed="12"/>
      <name val="Arial"/>
      <family val="2"/>
    </font>
    <font>
      <b/>
      <u/>
      <sz val="10"/>
      <color indexed="12"/>
      <name val="Arial"/>
      <family val="2"/>
    </font>
    <font>
      <sz val="10"/>
      <name val="Times New Roman"/>
      <family val="1"/>
    </font>
    <font>
      <b/>
      <sz val="10"/>
      <color indexed="8"/>
      <name val="Times New Roman"/>
      <family val="1"/>
    </font>
    <font>
      <b/>
      <sz val="11"/>
      <name val="Times New Roman"/>
      <family val="1"/>
    </font>
    <font>
      <b/>
      <sz val="14"/>
      <name val="Times New Roman"/>
      <family val="1"/>
    </font>
    <font>
      <sz val="14"/>
      <name val="Times New Roman"/>
      <family val="1"/>
    </font>
    <font>
      <b/>
      <u/>
      <sz val="12"/>
      <name val="Times New Roman"/>
      <family val="1"/>
    </font>
    <font>
      <b/>
      <sz val="14"/>
      <name val="Arial"/>
      <family val="2"/>
    </font>
    <font>
      <sz val="11"/>
      <color indexed="8"/>
      <name val="Arial"/>
      <family val="2"/>
    </font>
    <font>
      <sz val="11"/>
      <color indexed="8"/>
      <name val="Times New Roman"/>
      <family val="1"/>
    </font>
    <font>
      <b/>
      <sz val="11"/>
      <color indexed="8"/>
      <name val="Arial"/>
      <family val="2"/>
    </font>
    <font>
      <sz val="10"/>
      <color indexed="8"/>
      <name val="Arial"/>
      <family val="2"/>
    </font>
    <font>
      <sz val="10"/>
      <color theme="1"/>
      <name val="Arial"/>
      <family val="2"/>
    </font>
    <font>
      <sz val="10"/>
      <color indexed="12"/>
      <name val="Times New Roman"/>
      <family val="1"/>
    </font>
  </fonts>
  <fills count="13">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6" tint="-0.249977111117893"/>
        <bgColor indexed="64"/>
      </patternFill>
    </fill>
    <fill>
      <patternFill patternType="solid">
        <fgColor theme="0"/>
        <bgColor indexed="64"/>
      </patternFill>
    </fill>
    <fill>
      <patternFill patternType="solid">
        <fgColor indexed="22"/>
        <bgColor indexed="64"/>
      </patternFill>
    </fill>
    <fill>
      <patternFill patternType="solid">
        <fgColor theme="6" tint="0.79998168889431442"/>
        <bgColor indexed="64"/>
      </patternFill>
    </fill>
    <fill>
      <patternFill patternType="solid">
        <fgColor rgb="FFFFFFFF"/>
        <bgColor indexed="64"/>
      </patternFill>
    </fill>
    <fill>
      <patternFill patternType="solid">
        <fgColor rgb="FFFCD5B4"/>
        <bgColor indexed="64"/>
      </patternFill>
    </fill>
    <fill>
      <patternFill patternType="solid">
        <fgColor indexed="9"/>
        <bgColor indexed="64"/>
      </patternFill>
    </fill>
  </fills>
  <borders count="5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indexed="64"/>
      </left>
      <right style="thin">
        <color rgb="FF000000"/>
      </right>
      <top/>
      <bottom/>
      <diagonal/>
    </border>
    <border>
      <left style="thin">
        <color rgb="FF000000"/>
      </left>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8">
    <xf numFmtId="0" fontId="0" fillId="0" borderId="0"/>
    <xf numFmtId="0" fontId="1" fillId="0" borderId="0" applyNumberFormat="0" applyFill="0" applyBorder="0" applyAlignment="0" applyProtection="0">
      <alignment vertical="top"/>
      <protection locked="0"/>
    </xf>
    <xf numFmtId="0" fontId="2" fillId="0" borderId="0"/>
    <xf numFmtId="0" fontId="9" fillId="0" borderId="0"/>
    <xf numFmtId="0" fontId="11" fillId="0" borderId="0"/>
    <xf numFmtId="0" fontId="11" fillId="0" borderId="0"/>
    <xf numFmtId="0" fontId="15" fillId="0" borderId="0"/>
    <xf numFmtId="164" fontId="2" fillId="0" borderId="0" applyFont="0" applyFill="0" applyBorder="0" applyAlignment="0" applyProtection="0"/>
    <xf numFmtId="0" fontId="16" fillId="0" borderId="0" applyNumberFormat="0" applyFill="0" applyBorder="0" applyAlignment="0" applyProtection="0"/>
    <xf numFmtId="1" fontId="18" fillId="0" borderId="10">
      <alignment horizontal="center" vertical="center"/>
    </xf>
    <xf numFmtId="0" fontId="19" fillId="0" borderId="0"/>
    <xf numFmtId="0" fontId="2" fillId="0" borderId="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8" fillId="0" borderId="0" applyNumberFormat="0" applyFill="0" applyBorder="0" applyAlignment="0" applyProtection="0">
      <alignment vertical="top"/>
      <protection locked="0"/>
    </xf>
    <xf numFmtId="0" fontId="2" fillId="0" borderId="0"/>
    <xf numFmtId="173" fontId="2" fillId="0" borderId="0" applyFont="0" applyFill="0" applyBorder="0" applyAlignment="0" applyProtection="0"/>
  </cellStyleXfs>
  <cellXfs count="1050">
    <xf numFmtId="0" fontId="0" fillId="0" borderId="0" xfId="0"/>
    <xf numFmtId="0" fontId="0" fillId="5" borderId="0" xfId="0" applyFill="1"/>
    <xf numFmtId="0" fontId="0" fillId="5" borderId="2" xfId="0" applyFill="1" applyBorder="1"/>
    <xf numFmtId="0" fontId="0" fillId="5" borderId="3" xfId="0" applyFill="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5" xfId="0" applyBorder="1" applyAlignment="1">
      <alignment horizontal="center" vertical="center"/>
    </xf>
    <xf numFmtId="0" fontId="0" fillId="0" borderId="7" xfId="0" applyBorder="1"/>
    <xf numFmtId="0" fontId="0" fillId="0" borderId="8" xfId="0" applyBorder="1"/>
    <xf numFmtId="0" fontId="0" fillId="0" borderId="9" xfId="0" applyBorder="1"/>
    <xf numFmtId="0" fontId="10" fillId="0" borderId="1" xfId="3" applyFont="1" applyBorder="1" applyAlignment="1" applyProtection="1">
      <alignment vertical="center"/>
      <protection hidden="1"/>
    </xf>
    <xf numFmtId="0" fontId="11" fillId="0" borderId="1" xfId="3" applyFont="1" applyBorder="1" applyAlignment="1" applyProtection="1">
      <alignment vertical="center"/>
      <protection hidden="1"/>
    </xf>
    <xf numFmtId="0" fontId="10" fillId="0" borderId="1" xfId="3" applyFont="1" applyBorder="1" applyAlignment="1" applyProtection="1">
      <alignment horizontal="right" vertical="center"/>
      <protection hidden="1"/>
    </xf>
    <xf numFmtId="0" fontId="11" fillId="0" borderId="0" xfId="3" applyFont="1" applyAlignment="1" applyProtection="1">
      <alignment vertical="center"/>
      <protection hidden="1"/>
    </xf>
    <xf numFmtId="0" fontId="10" fillId="0" borderId="0" xfId="3" applyFont="1" applyAlignment="1" applyProtection="1">
      <alignment horizontal="center" vertical="center"/>
      <protection hidden="1"/>
    </xf>
    <xf numFmtId="0" fontId="11" fillId="0" borderId="0" xfId="3" applyFont="1" applyAlignment="1" applyProtection="1">
      <alignment horizontal="left" vertical="center"/>
      <protection hidden="1"/>
    </xf>
    <xf numFmtId="167" fontId="11" fillId="0" borderId="0" xfId="3" applyNumberFormat="1" applyFont="1" applyAlignment="1" applyProtection="1">
      <alignment horizontal="left" vertical="center"/>
      <protection hidden="1"/>
    </xf>
    <xf numFmtId="0" fontId="11" fillId="0" borderId="0" xfId="4" applyAlignment="1" applyProtection="1">
      <alignment horizontal="left" vertical="center"/>
      <protection hidden="1"/>
    </xf>
    <xf numFmtId="0" fontId="10" fillId="0" borderId="0" xfId="5" applyFont="1" applyAlignment="1" applyProtection="1">
      <alignment horizontal="left" vertical="center"/>
      <protection hidden="1"/>
    </xf>
    <xf numFmtId="0" fontId="11" fillId="0" borderId="0" xfId="3" applyFont="1" applyAlignment="1" applyProtection="1">
      <alignment horizontal="justify" vertical="center"/>
      <protection hidden="1"/>
    </xf>
    <xf numFmtId="0" fontId="11" fillId="0" borderId="0" xfId="3" applyFont="1" applyAlignment="1" applyProtection="1">
      <alignment vertical="top"/>
      <protection hidden="1"/>
    </xf>
    <xf numFmtId="166" fontId="12" fillId="0" borderId="0" xfId="3" applyNumberFormat="1" applyFont="1" applyAlignment="1" applyProtection="1">
      <alignment horizontal="center" vertical="top"/>
      <protection hidden="1"/>
    </xf>
    <xf numFmtId="0" fontId="12" fillId="0" borderId="0" xfId="3" applyFont="1" applyAlignment="1" applyProtection="1">
      <alignment vertical="top"/>
      <protection hidden="1"/>
    </xf>
    <xf numFmtId="0" fontId="0" fillId="0" borderId="0" xfId="3" applyFont="1" applyAlignment="1" applyProtection="1">
      <alignment vertical="top"/>
      <protection hidden="1"/>
    </xf>
    <xf numFmtId="0" fontId="9" fillId="0" borderId="0" xfId="3" applyAlignment="1" applyProtection="1">
      <alignment vertical="top"/>
      <protection hidden="1"/>
    </xf>
    <xf numFmtId="0" fontId="12" fillId="0" borderId="0" xfId="3" applyFont="1" applyAlignment="1" applyProtection="1">
      <alignment horizontal="center" vertical="top"/>
      <protection hidden="1"/>
    </xf>
    <xf numFmtId="0" fontId="11" fillId="0" borderId="0" xfId="0" applyFont="1" applyAlignment="1" applyProtection="1">
      <alignment vertical="center"/>
      <protection hidden="1"/>
    </xf>
    <xf numFmtId="0" fontId="11" fillId="0" borderId="0" xfId="0" applyFont="1" applyAlignment="1" applyProtection="1">
      <alignment horizontal="center" vertical="center" wrapText="1"/>
      <protection hidden="1"/>
    </xf>
    <xf numFmtId="0" fontId="0" fillId="0" borderId="0" xfId="0" applyProtection="1">
      <protection hidden="1"/>
    </xf>
    <xf numFmtId="0" fontId="11" fillId="0" borderId="0" xfId="0" applyFont="1" applyAlignment="1" applyProtection="1">
      <alignment horizontal="justify" vertical="center"/>
      <protection hidden="1"/>
    </xf>
    <xf numFmtId="166" fontId="11" fillId="0" borderId="0" xfId="0" applyNumberFormat="1" applyFont="1" applyAlignment="1" applyProtection="1">
      <alignment horizontal="center" vertical="center"/>
      <protection hidden="1"/>
    </xf>
    <xf numFmtId="0" fontId="11" fillId="0" borderId="0" xfId="0" applyFont="1" applyAlignment="1" applyProtection="1">
      <alignment horizontal="right" vertical="center"/>
      <protection hidden="1"/>
    </xf>
    <xf numFmtId="0" fontId="9" fillId="0" borderId="0" xfId="3" applyProtection="1">
      <protection hidden="1"/>
    </xf>
    <xf numFmtId="167" fontId="10" fillId="0" borderId="0" xfId="3" applyNumberFormat="1" applyFont="1" applyAlignment="1" applyProtection="1">
      <alignment vertical="center"/>
      <protection hidden="1"/>
    </xf>
    <xf numFmtId="0" fontId="10" fillId="0" borderId="0" xfId="3" applyFont="1" applyAlignment="1" applyProtection="1">
      <alignment horizontal="right" vertical="center"/>
      <protection hidden="1"/>
    </xf>
    <xf numFmtId="0" fontId="10" fillId="0" borderId="0" xfId="3" applyFont="1" applyAlignment="1" applyProtection="1">
      <alignment horizontal="left" vertical="center" indent="2"/>
      <protection hidden="1"/>
    </xf>
    <xf numFmtId="0" fontId="11" fillId="0" borderId="0" xfId="0" applyFont="1" applyAlignment="1" applyProtection="1">
      <alignment horizontal="left" vertical="center" indent="2"/>
      <protection hidden="1"/>
    </xf>
    <xf numFmtId="0" fontId="10" fillId="0" borderId="0" xfId="0" applyFont="1" applyAlignment="1" applyProtection="1">
      <alignment horizontal="left" vertical="center"/>
      <protection hidden="1"/>
    </xf>
    <xf numFmtId="167" fontId="10" fillId="0" borderId="0" xfId="0" applyNumberFormat="1" applyFont="1" applyAlignment="1" applyProtection="1">
      <alignment horizontal="left" vertical="center" indent="1"/>
      <protection hidden="1"/>
    </xf>
    <xf numFmtId="0" fontId="11" fillId="0" borderId="14" xfId="0" applyFont="1" applyBorder="1" applyAlignment="1" applyProtection="1">
      <alignment horizontal="left" vertical="center"/>
      <protection hidden="1"/>
    </xf>
    <xf numFmtId="0" fontId="12" fillId="0" borderId="0" xfId="3" applyFont="1" applyAlignment="1" applyProtection="1">
      <alignment horizontal="left" vertical="center"/>
      <protection hidden="1"/>
    </xf>
    <xf numFmtId="0" fontId="9" fillId="0" borderId="0" xfId="3" applyAlignment="1" applyProtection="1">
      <alignment vertical="center"/>
      <protection hidden="1"/>
    </xf>
    <xf numFmtId="0" fontId="11" fillId="0" borderId="0" xfId="3" applyFont="1" applyAlignment="1" applyProtection="1">
      <alignment horizontal="center" vertical="top"/>
      <protection hidden="1"/>
    </xf>
    <xf numFmtId="0" fontId="10" fillId="6" borderId="10" xfId="3" applyFont="1" applyFill="1" applyBorder="1" applyAlignment="1" applyProtection="1">
      <alignment horizontal="left" vertical="center" indent="1"/>
      <protection hidden="1"/>
    </xf>
    <xf numFmtId="2" fontId="8" fillId="0" borderId="10" xfId="0" applyNumberFormat="1" applyFont="1" applyBorder="1" applyAlignment="1" applyProtection="1">
      <alignment horizontal="center"/>
      <protection hidden="1"/>
    </xf>
    <xf numFmtId="0" fontId="5" fillId="5" borderId="0" xfId="0" applyFont="1" applyFill="1" applyProtection="1">
      <protection hidden="1"/>
    </xf>
    <xf numFmtId="0" fontId="5" fillId="0" borderId="0" xfId="0" applyFont="1" applyProtection="1">
      <protection hidden="1"/>
    </xf>
    <xf numFmtId="0" fontId="7" fillId="0" borderId="0" xfId="0" applyFont="1" applyProtection="1">
      <protection hidden="1"/>
    </xf>
    <xf numFmtId="0" fontId="6" fillId="0" borderId="0" xfId="0" applyFont="1" applyProtection="1">
      <protection hidden="1"/>
    </xf>
    <xf numFmtId="0" fontId="5" fillId="0" borderId="0" xfId="0" applyFont="1" applyAlignment="1" applyProtection="1">
      <alignment horizontal="right"/>
      <protection hidden="1"/>
    </xf>
    <xf numFmtId="0" fontId="11" fillId="6" borderId="15" xfId="0" applyFont="1" applyFill="1" applyBorder="1" applyAlignment="1" applyProtection="1">
      <alignment vertical="center"/>
      <protection locked="0" hidden="1"/>
    </xf>
    <xf numFmtId="0" fontId="14" fillId="0" borderId="0" xfId="0" applyFont="1"/>
    <xf numFmtId="0" fontId="14" fillId="6" borderId="10" xfId="0" applyFont="1" applyFill="1" applyBorder="1" applyProtection="1">
      <protection locked="0" hidden="1"/>
    </xf>
    <xf numFmtId="0" fontId="21" fillId="5" borderId="0" xfId="0" applyFont="1" applyFill="1" applyProtection="1">
      <protection hidden="1"/>
    </xf>
    <xf numFmtId="0" fontId="21" fillId="0" borderId="0" xfId="0" applyFont="1" applyAlignment="1" applyProtection="1">
      <alignment horizontal="center" vertical="center"/>
      <protection hidden="1"/>
    </xf>
    <xf numFmtId="0" fontId="21" fillId="0" borderId="0" xfId="0" applyFont="1" applyProtection="1">
      <protection hidden="1"/>
    </xf>
    <xf numFmtId="0" fontId="20" fillId="6" borderId="11" xfId="0" applyFont="1" applyFill="1" applyBorder="1" applyAlignment="1" applyProtection="1">
      <alignment horizontal="center"/>
      <protection hidden="1"/>
    </xf>
    <xf numFmtId="0" fontId="20" fillId="0" borderId="0" xfId="0" applyFont="1" applyAlignment="1" applyProtection="1">
      <alignment horizontal="center" vertical="center"/>
      <protection hidden="1"/>
    </xf>
    <xf numFmtId="0" fontId="20" fillId="0" borderId="0" xfId="0" applyFont="1" applyProtection="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wrapText="1"/>
      <protection hidden="1"/>
    </xf>
    <xf numFmtId="0" fontId="22" fillId="0" borderId="10" xfId="0" applyFont="1" applyBorder="1" applyAlignment="1" applyProtection="1">
      <alignment horizontal="center" vertical="top" wrapText="1"/>
      <protection hidden="1"/>
    </xf>
    <xf numFmtId="49" fontId="22" fillId="0" borderId="10" xfId="0" applyNumberFormat="1" applyFont="1" applyBorder="1" applyAlignment="1" applyProtection="1">
      <alignment horizontal="center" vertical="top" wrapText="1"/>
      <protection hidden="1"/>
    </xf>
    <xf numFmtId="0" fontId="22" fillId="0" borderId="10" xfId="0" applyFont="1" applyBorder="1" applyAlignment="1" applyProtection="1">
      <alignment horizontal="center" vertical="center" wrapText="1"/>
      <protection hidden="1"/>
    </xf>
    <xf numFmtId="0" fontId="20" fillId="0" borderId="10" xfId="0" applyFont="1" applyBorder="1" applyAlignment="1" applyProtection="1">
      <alignment horizontal="center" vertical="center" wrapText="1"/>
      <protection hidden="1"/>
    </xf>
    <xf numFmtId="3" fontId="23" fillId="0" borderId="10" xfId="0" applyNumberFormat="1" applyFont="1" applyBorder="1" applyAlignment="1">
      <alignment horizontal="center"/>
    </xf>
    <xf numFmtId="168" fontId="22" fillId="0" borderId="10" xfId="0" applyNumberFormat="1" applyFont="1" applyBorder="1" applyAlignment="1" applyProtection="1">
      <alignment horizontal="center" vertical="center" wrapText="1"/>
      <protection hidden="1"/>
    </xf>
    <xf numFmtId="4" fontId="22" fillId="0" borderId="10" xfId="6" applyNumberFormat="1" applyFont="1" applyBorder="1" applyAlignment="1" applyProtection="1">
      <alignment horizontal="center" vertical="center"/>
      <protection hidden="1"/>
    </xf>
    <xf numFmtId="10" fontId="22" fillId="6" borderId="10" xfId="6" applyNumberFormat="1" applyFont="1" applyFill="1" applyBorder="1" applyAlignment="1" applyProtection="1">
      <alignment horizontal="center" vertical="center"/>
      <protection locked="0"/>
    </xf>
    <xf numFmtId="3" fontId="22" fillId="0" borderId="10" xfId="6" applyNumberFormat="1" applyFont="1" applyBorder="1" applyAlignment="1" applyProtection="1">
      <alignment horizontal="center" vertical="center"/>
      <protection hidden="1"/>
    </xf>
    <xf numFmtId="2" fontId="24" fillId="7" borderId="0" xfId="0" applyNumberFormat="1" applyFont="1" applyFill="1" applyAlignment="1" applyProtection="1">
      <alignment horizontal="center" vertical="center"/>
      <protection hidden="1"/>
    </xf>
    <xf numFmtId="0" fontId="21" fillId="5" borderId="0" xfId="0" applyFont="1" applyFill="1" applyAlignment="1" applyProtection="1">
      <alignment horizontal="center" vertical="center"/>
      <protection hidden="1"/>
    </xf>
    <xf numFmtId="0" fontId="21" fillId="6" borderId="0" xfId="0" applyFont="1" applyFill="1" applyAlignment="1" applyProtection="1">
      <alignment horizontal="center" vertical="center"/>
      <protection hidden="1"/>
    </xf>
    <xf numFmtId="168" fontId="21" fillId="0" borderId="0" xfId="0" applyNumberFormat="1" applyFont="1" applyProtection="1">
      <protection hidden="1"/>
    </xf>
    <xf numFmtId="0" fontId="21" fillId="0" borderId="11" xfId="0" applyFont="1" applyBorder="1" applyProtection="1">
      <protection hidden="1"/>
    </xf>
    <xf numFmtId="0" fontId="21" fillId="0" borderId="17" xfId="0" applyFont="1" applyBorder="1" applyProtection="1">
      <protection hidden="1"/>
    </xf>
    <xf numFmtId="0" fontId="21" fillId="5" borderId="0" xfId="0" applyFont="1" applyFill="1" applyAlignment="1" applyProtection="1">
      <alignment wrapText="1"/>
      <protection hidden="1"/>
    </xf>
    <xf numFmtId="0" fontId="20" fillId="0" borderId="0" xfId="0" applyFont="1" applyAlignment="1" applyProtection="1">
      <alignment horizontal="center" wrapText="1"/>
      <protection hidden="1"/>
    </xf>
    <xf numFmtId="0" fontId="21" fillId="0" borderId="17" xfId="0" applyFont="1" applyBorder="1" applyAlignment="1" applyProtection="1">
      <alignment wrapText="1"/>
      <protection hidden="1"/>
    </xf>
    <xf numFmtId="0" fontId="21" fillId="0" borderId="0" xfId="0" applyFont="1" applyAlignment="1" applyProtection="1">
      <alignment wrapText="1"/>
      <protection hidden="1"/>
    </xf>
    <xf numFmtId="4" fontId="24" fillId="0" borderId="10" xfId="0" applyNumberFormat="1" applyFont="1" applyBorder="1" applyAlignment="1" applyProtection="1">
      <alignment horizontal="center" vertical="center"/>
      <protection hidden="1"/>
    </xf>
    <xf numFmtId="2" fontId="24" fillId="7" borderId="10" xfId="0" applyNumberFormat="1" applyFont="1" applyFill="1" applyBorder="1" applyAlignment="1" applyProtection="1">
      <alignment horizontal="center" vertical="center"/>
      <protection hidden="1"/>
    </xf>
    <xf numFmtId="0" fontId="21" fillId="0" borderId="0" xfId="0" applyFont="1" applyAlignment="1" applyProtection="1">
      <alignment horizontal="center" wrapText="1"/>
      <protection hidden="1"/>
    </xf>
    <xf numFmtId="0" fontId="21" fillId="6" borderId="0" xfId="0" applyFont="1" applyFill="1" applyProtection="1">
      <protection hidden="1"/>
    </xf>
    <xf numFmtId="3" fontId="21" fillId="0" borderId="0" xfId="0" applyNumberFormat="1" applyFont="1" applyProtection="1">
      <protection hidden="1"/>
    </xf>
    <xf numFmtId="164" fontId="21" fillId="0" borderId="0" xfId="0" applyNumberFormat="1" applyFont="1" applyProtection="1">
      <protection hidden="1"/>
    </xf>
    <xf numFmtId="3" fontId="26" fillId="0" borderId="0" xfId="0" applyNumberFormat="1" applyFont="1"/>
    <xf numFmtId="0" fontId="29" fillId="0" borderId="0" xfId="11" applyFont="1"/>
    <xf numFmtId="0" fontId="2" fillId="0" borderId="0" xfId="11"/>
    <xf numFmtId="0" fontId="28" fillId="0" borderId="0" xfId="11" applyFont="1" applyAlignment="1">
      <alignment horizontal="center" vertical="top" wrapText="1"/>
    </xf>
    <xf numFmtId="0" fontId="28" fillId="0" borderId="0" xfId="11" applyFont="1" applyAlignment="1">
      <alignment horizontal="left"/>
    </xf>
    <xf numFmtId="0" fontId="30" fillId="0" borderId="0" xfId="11" applyFont="1" applyAlignment="1">
      <alignment horizontal="center" vertical="center"/>
    </xf>
    <xf numFmtId="0" fontId="29" fillId="0" borderId="0" xfId="11" applyFont="1" applyAlignment="1">
      <alignment horizontal="center"/>
    </xf>
    <xf numFmtId="0" fontId="31" fillId="0" borderId="0" xfId="11" applyFont="1" applyAlignment="1">
      <alignment horizontal="center"/>
    </xf>
    <xf numFmtId="0" fontId="31" fillId="0" borderId="0" xfId="11" applyFont="1"/>
    <xf numFmtId="3" fontId="31" fillId="0" borderId="0" xfId="11" applyNumberFormat="1" applyFont="1" applyAlignment="1">
      <alignment horizontal="center"/>
    </xf>
    <xf numFmtId="0" fontId="31" fillId="0" borderId="0" xfId="11" applyFont="1" applyAlignment="1">
      <alignment horizontal="left"/>
    </xf>
    <xf numFmtId="0" fontId="32" fillId="0" borderId="0" xfId="11" applyFont="1" applyAlignment="1">
      <alignment horizontal="right"/>
    </xf>
    <xf numFmtId="3" fontId="32" fillId="0" borderId="0" xfId="11" applyNumberFormat="1" applyFont="1" applyAlignment="1">
      <alignment horizontal="center"/>
    </xf>
    <xf numFmtId="3" fontId="33" fillId="0" borderId="0" xfId="11" applyNumberFormat="1" applyFont="1" applyAlignment="1">
      <alignment horizontal="center"/>
    </xf>
    <xf numFmtId="3" fontId="2" fillId="0" borderId="0" xfId="11" applyNumberFormat="1"/>
    <xf numFmtId="0" fontId="2" fillId="0" borderId="0" xfId="11" applyAlignment="1">
      <alignment horizontal="center"/>
    </xf>
    <xf numFmtId="1" fontId="2" fillId="0" borderId="0" xfId="11" applyNumberFormat="1" applyAlignment="1">
      <alignment horizontal="center" vertical="center"/>
    </xf>
    <xf numFmtId="0" fontId="2" fillId="0" borderId="0" xfId="11" applyAlignment="1">
      <alignment horizontal="center" vertical="center" wrapText="1"/>
    </xf>
    <xf numFmtId="0" fontId="34" fillId="0" borderId="0" xfId="11" applyFont="1"/>
    <xf numFmtId="4" fontId="2" fillId="0" borderId="0" xfId="11" applyNumberFormat="1" applyAlignment="1">
      <alignment horizontal="center" vertical="top"/>
    </xf>
    <xf numFmtId="2" fontId="2" fillId="0" borderId="0" xfId="11" applyNumberFormat="1" applyAlignment="1">
      <alignment horizontal="center" vertical="top"/>
    </xf>
    <xf numFmtId="49" fontId="2" fillId="0" borderId="0" xfId="11" applyNumberFormat="1" applyAlignment="1">
      <alignment horizontal="center" vertical="top"/>
    </xf>
    <xf numFmtId="3" fontId="2" fillId="0" borderId="0" xfId="11" applyNumberFormat="1" applyAlignment="1">
      <alignment horizontal="center" vertical="top"/>
    </xf>
    <xf numFmtId="0" fontId="2" fillId="0" borderId="0" xfId="11" applyAlignment="1">
      <alignment horizontal="center" vertical="top"/>
    </xf>
    <xf numFmtId="1" fontId="35" fillId="0" borderId="0" xfId="11" applyNumberFormat="1" applyFont="1" applyAlignment="1">
      <alignment horizontal="center" vertical="top"/>
    </xf>
    <xf numFmtId="49" fontId="2" fillId="0" borderId="0" xfId="11" applyNumberFormat="1" applyAlignment="1">
      <alignment vertical="top"/>
    </xf>
    <xf numFmtId="1" fontId="2" fillId="0" borderId="0" xfId="11" applyNumberFormat="1" applyAlignment="1">
      <alignment horizontal="center" vertical="top"/>
    </xf>
    <xf numFmtId="2" fontId="2" fillId="0" borderId="0" xfId="11" applyNumberFormat="1" applyAlignment="1">
      <alignment horizontal="center" vertical="top" wrapText="1"/>
    </xf>
    <xf numFmtId="1" fontId="2" fillId="0" borderId="12" xfId="11" applyNumberFormat="1" applyBorder="1" applyAlignment="1">
      <alignment horizontal="center" vertical="center"/>
    </xf>
    <xf numFmtId="0" fontId="2" fillId="0" borderId="12" xfId="11" applyBorder="1" applyAlignment="1">
      <alignment horizontal="center" vertical="center" wrapText="1"/>
    </xf>
    <xf numFmtId="0" fontId="36" fillId="0" borderId="12" xfId="11" applyFont="1" applyBorder="1" applyAlignment="1">
      <alignment horizontal="justify" vertical="top" wrapText="1"/>
    </xf>
    <xf numFmtId="1" fontId="2" fillId="0" borderId="12" xfId="11" applyNumberFormat="1" applyBorder="1" applyAlignment="1">
      <alignment horizontal="center" vertical="top"/>
    </xf>
    <xf numFmtId="4" fontId="2" fillId="0" borderId="12" xfId="11" applyNumberFormat="1" applyBorder="1" applyAlignment="1">
      <alignment horizontal="center" vertical="top"/>
    </xf>
    <xf numFmtId="2" fontId="2" fillId="0" borderId="12" xfId="11" applyNumberFormat="1" applyBorder="1" applyAlignment="1">
      <alignment horizontal="center" vertical="top"/>
    </xf>
    <xf numFmtId="49" fontId="2" fillId="0" borderId="12" xfId="11" applyNumberFormat="1" applyBorder="1" applyAlignment="1">
      <alignment horizontal="center" vertical="top"/>
    </xf>
    <xf numFmtId="3" fontId="2" fillId="0" borderId="12" xfId="11" applyNumberFormat="1" applyBorder="1" applyAlignment="1">
      <alignment horizontal="center" vertical="top"/>
    </xf>
    <xf numFmtId="1" fontId="2" fillId="0" borderId="20" xfId="11" applyNumberFormat="1" applyBorder="1" applyAlignment="1">
      <alignment horizontal="center" vertical="center"/>
    </xf>
    <xf numFmtId="0" fontId="2" fillId="0" borderId="20" xfId="11" applyBorder="1" applyAlignment="1">
      <alignment horizontal="center" vertical="center" wrapText="1"/>
    </xf>
    <xf numFmtId="0" fontId="36" fillId="0" borderId="20" xfId="11" applyFont="1" applyBorder="1" applyAlignment="1">
      <alignment horizontal="justify" vertical="top" wrapText="1"/>
    </xf>
    <xf numFmtId="1" fontId="2" fillId="0" borderId="20" xfId="11" applyNumberFormat="1" applyBorder="1" applyAlignment="1">
      <alignment horizontal="center" vertical="top"/>
    </xf>
    <xf numFmtId="4" fontId="2" fillId="0" borderId="20" xfId="11" applyNumberFormat="1" applyBorder="1" applyAlignment="1">
      <alignment horizontal="center" vertical="top"/>
    </xf>
    <xf numFmtId="2" fontId="2" fillId="0" borderId="20" xfId="11" applyNumberFormat="1" applyBorder="1" applyAlignment="1">
      <alignment horizontal="center" vertical="top"/>
    </xf>
    <xf numFmtId="49" fontId="2" fillId="0" borderId="20" xfId="11" applyNumberFormat="1" applyBorder="1" applyAlignment="1">
      <alignment horizontal="center" vertical="top"/>
    </xf>
    <xf numFmtId="3" fontId="2" fillId="0" borderId="20" xfId="11" applyNumberFormat="1" applyBorder="1" applyAlignment="1">
      <alignment horizontal="center" vertical="top"/>
    </xf>
    <xf numFmtId="49" fontId="2" fillId="0" borderId="10" xfId="11" applyNumberFormat="1" applyBorder="1" applyAlignment="1">
      <alignment horizontal="left" vertical="top"/>
    </xf>
    <xf numFmtId="1" fontId="2" fillId="0" borderId="10" xfId="11" applyNumberFormat="1" applyBorder="1" applyAlignment="1">
      <alignment horizontal="center" vertical="top"/>
    </xf>
    <xf numFmtId="4" fontId="2" fillId="0" borderId="10" xfId="11" applyNumberFormat="1" applyBorder="1" applyAlignment="1">
      <alignment horizontal="center" vertical="top"/>
    </xf>
    <xf numFmtId="2" fontId="2" fillId="0" borderId="10" xfId="11" applyNumberFormat="1" applyBorder="1" applyAlignment="1">
      <alignment horizontal="center" vertical="top"/>
    </xf>
    <xf numFmtId="49" fontId="2" fillId="0" borderId="10" xfId="11" applyNumberFormat="1" applyBorder="1" applyAlignment="1">
      <alignment horizontal="center" vertical="top"/>
    </xf>
    <xf numFmtId="3" fontId="2" fillId="0" borderId="10" xfId="11" applyNumberFormat="1" applyBorder="1" applyAlignment="1">
      <alignment horizontal="center" vertical="top"/>
    </xf>
    <xf numFmtId="2" fontId="37" fillId="0" borderId="20" xfId="11" applyNumberFormat="1" applyFont="1" applyBorder="1" applyAlignment="1">
      <alignment horizontal="center" vertical="top"/>
    </xf>
    <xf numFmtId="1" fontId="2" fillId="0" borderId="21" xfId="11" applyNumberFormat="1" applyBorder="1" applyAlignment="1">
      <alignment horizontal="center" vertical="center"/>
    </xf>
    <xf numFmtId="0" fontId="2" fillId="0" borderId="21" xfId="11" applyBorder="1" applyAlignment="1">
      <alignment horizontal="center" vertical="center" wrapText="1"/>
    </xf>
    <xf numFmtId="49" fontId="2" fillId="0" borderId="21" xfId="11" applyNumberFormat="1" applyBorder="1" applyAlignment="1">
      <alignment horizontal="center" vertical="top"/>
    </xf>
    <xf numFmtId="1" fontId="2" fillId="0" borderId="21" xfId="11" applyNumberFormat="1" applyBorder="1" applyAlignment="1">
      <alignment horizontal="center" vertical="top"/>
    </xf>
    <xf numFmtId="4" fontId="2" fillId="0" borderId="21" xfId="11" applyNumberFormat="1" applyBorder="1" applyAlignment="1">
      <alignment horizontal="center" vertical="top"/>
    </xf>
    <xf numFmtId="2" fontId="37" fillId="0" borderId="21" xfId="11" applyNumberFormat="1" applyFont="1" applyBorder="1" applyAlignment="1">
      <alignment horizontal="center" vertical="top"/>
    </xf>
    <xf numFmtId="2" fontId="2" fillId="0" borderId="21" xfId="11" applyNumberFormat="1" applyBorder="1" applyAlignment="1">
      <alignment horizontal="center" vertical="top"/>
    </xf>
    <xf numFmtId="0" fontId="36" fillId="5" borderId="12" xfId="11" applyFont="1" applyFill="1" applyBorder="1" applyAlignment="1">
      <alignment horizontal="left"/>
    </xf>
    <xf numFmtId="0" fontId="36" fillId="5" borderId="10" xfId="11" applyFont="1" applyFill="1" applyBorder="1" applyAlignment="1">
      <alignment horizontal="justify" vertical="top" wrapText="1"/>
    </xf>
    <xf numFmtId="1" fontId="2" fillId="5" borderId="10" xfId="11" applyNumberFormat="1" applyFill="1" applyBorder="1" applyAlignment="1">
      <alignment horizontal="center" vertical="top"/>
    </xf>
    <xf numFmtId="4" fontId="2" fillId="5" borderId="10" xfId="11" applyNumberFormat="1" applyFill="1" applyBorder="1" applyAlignment="1">
      <alignment horizontal="center" vertical="top"/>
    </xf>
    <xf numFmtId="2" fontId="37" fillId="5" borderId="10" xfId="11" applyNumberFormat="1" applyFont="1" applyFill="1" applyBorder="1" applyAlignment="1">
      <alignment horizontal="center" vertical="top"/>
    </xf>
    <xf numFmtId="49" fontId="2" fillId="5" borderId="10" xfId="11" applyNumberFormat="1" applyFill="1" applyBorder="1" applyAlignment="1">
      <alignment horizontal="center" vertical="top"/>
    </xf>
    <xf numFmtId="2" fontId="2" fillId="5" borderId="10" xfId="11" applyNumberFormat="1" applyFill="1" applyBorder="1" applyAlignment="1">
      <alignment horizontal="center" vertical="top"/>
    </xf>
    <xf numFmtId="0" fontId="2" fillId="5" borderId="20" xfId="11" applyFill="1" applyBorder="1" applyAlignment="1">
      <alignment horizontal="center" vertical="center" wrapText="1"/>
    </xf>
    <xf numFmtId="0" fontId="2" fillId="5" borderId="10" xfId="11" applyFill="1" applyBorder="1" applyAlignment="1">
      <alignment vertical="top" wrapText="1"/>
    </xf>
    <xf numFmtId="49" fontId="2" fillId="5" borderId="20" xfId="11" applyNumberFormat="1" applyFill="1" applyBorder="1" applyAlignment="1">
      <alignment horizontal="center" vertical="top"/>
    </xf>
    <xf numFmtId="1" fontId="2" fillId="5" borderId="20" xfId="11" applyNumberFormat="1" applyFill="1" applyBorder="1" applyAlignment="1">
      <alignment horizontal="center" vertical="top"/>
    </xf>
    <xf numFmtId="4" fontId="2" fillId="5" borderId="20" xfId="11" applyNumberFormat="1" applyFill="1" applyBorder="1" applyAlignment="1">
      <alignment horizontal="center" vertical="top"/>
    </xf>
    <xf numFmtId="2" fontId="37" fillId="5" borderId="20" xfId="11" applyNumberFormat="1" applyFont="1" applyFill="1" applyBorder="1" applyAlignment="1">
      <alignment horizontal="center" vertical="top"/>
    </xf>
    <xf numFmtId="2" fontId="2" fillId="5" borderId="20" xfId="11" applyNumberFormat="1" applyFill="1" applyBorder="1" applyAlignment="1">
      <alignment horizontal="center" vertical="top"/>
    </xf>
    <xf numFmtId="0" fontId="2" fillId="5" borderId="21" xfId="11" applyFill="1" applyBorder="1" applyAlignment="1">
      <alignment horizontal="center" vertical="center" wrapText="1"/>
    </xf>
    <xf numFmtId="49" fontId="2" fillId="5" borderId="21" xfId="11" applyNumberFormat="1" applyFill="1" applyBorder="1" applyAlignment="1">
      <alignment vertical="top"/>
    </xf>
    <xf numFmtId="1" fontId="2" fillId="5" borderId="21" xfId="11" applyNumberFormat="1" applyFill="1" applyBorder="1" applyAlignment="1">
      <alignment horizontal="center" vertical="top"/>
    </xf>
    <xf numFmtId="4" fontId="2" fillId="5" borderId="21" xfId="11" applyNumberFormat="1" applyFill="1" applyBorder="1" applyAlignment="1">
      <alignment horizontal="center" vertical="top"/>
    </xf>
    <xf numFmtId="2" fontId="2" fillId="5" borderId="21" xfId="11" applyNumberFormat="1" applyFill="1" applyBorder="1" applyAlignment="1">
      <alignment horizontal="center" vertical="top"/>
    </xf>
    <xf numFmtId="49" fontId="2" fillId="5" borderId="21" xfId="11" applyNumberFormat="1" applyFill="1" applyBorder="1" applyAlignment="1">
      <alignment horizontal="center" vertical="top"/>
    </xf>
    <xf numFmtId="0" fontId="36" fillId="5" borderId="12" xfId="11" applyFont="1" applyFill="1" applyBorder="1" applyAlignment="1">
      <alignment horizontal="left" vertical="justify"/>
    </xf>
    <xf numFmtId="0" fontId="36" fillId="5" borderId="12" xfId="11" applyFont="1" applyFill="1" applyBorder="1" applyAlignment="1">
      <alignment horizontal="justify" vertical="top" wrapText="1"/>
    </xf>
    <xf numFmtId="1" fontId="2" fillId="5" borderId="12" xfId="11" applyNumberFormat="1" applyFill="1" applyBorder="1" applyAlignment="1">
      <alignment horizontal="center" vertical="top"/>
    </xf>
    <xf numFmtId="4" fontId="2" fillId="5" borderId="12" xfId="11" applyNumberFormat="1" applyFill="1" applyBorder="1" applyAlignment="1">
      <alignment horizontal="center" vertical="top"/>
    </xf>
    <xf numFmtId="2" fontId="2" fillId="5" borderId="12" xfId="11" applyNumberFormat="1" applyFill="1" applyBorder="1" applyAlignment="1">
      <alignment horizontal="center" vertical="top"/>
    </xf>
    <xf numFmtId="49" fontId="2" fillId="5" borderId="12" xfId="11" applyNumberFormat="1" applyFill="1" applyBorder="1" applyAlignment="1">
      <alignment horizontal="center" vertical="top"/>
    </xf>
    <xf numFmtId="49" fontId="2" fillId="5" borderId="10" xfId="11" applyNumberFormat="1" applyFill="1" applyBorder="1" applyAlignment="1">
      <alignment horizontal="left" vertical="top"/>
    </xf>
    <xf numFmtId="49" fontId="2" fillId="5" borderId="10" xfId="11" applyNumberFormat="1" applyFill="1" applyBorder="1" applyAlignment="1">
      <alignment horizontal="justify" vertical="top"/>
    </xf>
    <xf numFmtId="2" fontId="37" fillId="0" borderId="12" xfId="11" applyNumberFormat="1" applyFont="1" applyBorder="1" applyAlignment="1">
      <alignment horizontal="center" vertical="top"/>
    </xf>
    <xf numFmtId="0" fontId="36" fillId="0" borderId="12" xfId="11" applyFont="1" applyBorder="1" applyAlignment="1">
      <alignment horizontal="left"/>
    </xf>
    <xf numFmtId="0" fontId="36" fillId="0" borderId="20" xfId="11" applyFont="1" applyBorder="1" applyAlignment="1">
      <alignment horizontal="left"/>
    </xf>
    <xf numFmtId="0" fontId="36" fillId="0" borderId="10" xfId="11" applyFont="1" applyBorder="1" applyAlignment="1">
      <alignment horizontal="justify" vertical="top" wrapText="1"/>
    </xf>
    <xf numFmtId="49" fontId="37" fillId="0" borderId="10" xfId="11" applyNumberFormat="1" applyFont="1" applyBorder="1" applyAlignment="1">
      <alignment horizontal="left" vertical="top"/>
    </xf>
    <xf numFmtId="169" fontId="2" fillId="0" borderId="0" xfId="11" applyNumberFormat="1" applyAlignment="1">
      <alignment horizontal="center" vertical="top"/>
    </xf>
    <xf numFmtId="0" fontId="2" fillId="0" borderId="10" xfId="11" applyBorder="1" applyAlignment="1">
      <alignment horizontal="center" vertical="top"/>
    </xf>
    <xf numFmtId="49" fontId="2" fillId="0" borderId="10" xfId="11" applyNumberFormat="1" applyBorder="1" applyAlignment="1">
      <alignment horizontal="right" vertical="top"/>
    </xf>
    <xf numFmtId="49" fontId="37" fillId="0" borderId="12" xfId="11" applyNumberFormat="1" applyFont="1" applyBorder="1" applyAlignment="1">
      <alignment vertical="top" wrapText="1"/>
    </xf>
    <xf numFmtId="49" fontId="2" fillId="0" borderId="10" xfId="11" applyNumberFormat="1" applyBorder="1" applyAlignment="1">
      <alignment vertical="top"/>
    </xf>
    <xf numFmtId="49" fontId="2" fillId="0" borderId="21" xfId="11" applyNumberFormat="1" applyBorder="1" applyAlignment="1">
      <alignment vertical="top"/>
    </xf>
    <xf numFmtId="9" fontId="2" fillId="0" borderId="21" xfId="11" applyNumberFormat="1" applyBorder="1" applyAlignment="1">
      <alignment horizontal="center" vertical="top"/>
    </xf>
    <xf numFmtId="0" fontId="2" fillId="0" borderId="10" xfId="11" applyBorder="1" applyAlignment="1">
      <alignment horizontal="center" vertical="center" wrapText="1"/>
    </xf>
    <xf numFmtId="49" fontId="37" fillId="0" borderId="10" xfId="11" applyNumberFormat="1" applyFont="1" applyBorder="1" applyAlignment="1">
      <alignment vertical="top" wrapText="1"/>
    </xf>
    <xf numFmtId="0" fontId="2" fillId="0" borderId="10" xfId="11" applyBorder="1" applyAlignment="1">
      <alignment horizontal="center" vertical="center"/>
    </xf>
    <xf numFmtId="49" fontId="2" fillId="0" borderId="0" xfId="11" applyNumberFormat="1" applyAlignment="1">
      <alignment horizontal="left" vertical="top"/>
    </xf>
    <xf numFmtId="2" fontId="37" fillId="0" borderId="10" xfId="11" applyNumberFormat="1" applyFont="1" applyBorder="1" applyAlignment="1">
      <alignment horizontal="center" vertical="top"/>
    </xf>
    <xf numFmtId="49" fontId="37" fillId="0" borderId="10" xfId="11" applyNumberFormat="1" applyFont="1" applyBorder="1" applyAlignment="1">
      <alignment vertical="top"/>
    </xf>
    <xf numFmtId="49" fontId="2" fillId="0" borderId="12" xfId="11" applyNumberFormat="1" applyBorder="1" applyAlignment="1">
      <alignment horizontal="justify" vertical="top"/>
    </xf>
    <xf numFmtId="9" fontId="2" fillId="0" borderId="12" xfId="11" applyNumberFormat="1" applyBorder="1" applyAlignment="1">
      <alignment horizontal="center" vertical="top"/>
    </xf>
    <xf numFmtId="49" fontId="38" fillId="0" borderId="21" xfId="11" applyNumberFormat="1" applyFont="1" applyBorder="1" applyAlignment="1">
      <alignment horizontal="right" vertical="top"/>
    </xf>
    <xf numFmtId="1" fontId="36" fillId="0" borderId="21" xfId="11" applyNumberFormat="1" applyFont="1" applyBorder="1" applyAlignment="1">
      <alignment horizontal="center" vertical="top"/>
    </xf>
    <xf numFmtId="4" fontId="36" fillId="0" borderId="21" xfId="11" applyNumberFormat="1" applyFont="1" applyBorder="1" applyAlignment="1">
      <alignment horizontal="center" vertical="top"/>
    </xf>
    <xf numFmtId="2" fontId="38" fillId="0" borderId="21" xfId="11" applyNumberFormat="1" applyFont="1" applyBorder="1" applyAlignment="1">
      <alignment horizontal="center" vertical="top"/>
    </xf>
    <xf numFmtId="49" fontId="36" fillId="0" borderId="21" xfId="11" applyNumberFormat="1" applyFont="1" applyBorder="1" applyAlignment="1">
      <alignment horizontal="center" vertical="top"/>
    </xf>
    <xf numFmtId="3" fontId="38" fillId="0" borderId="21" xfId="11" applyNumberFormat="1" applyFont="1" applyBorder="1" applyAlignment="1">
      <alignment horizontal="center" vertical="top"/>
    </xf>
    <xf numFmtId="2" fontId="37" fillId="0" borderId="0" xfId="11" applyNumberFormat="1" applyFont="1" applyAlignment="1">
      <alignment horizontal="center" vertical="top"/>
    </xf>
    <xf numFmtId="0" fontId="2" fillId="0" borderId="0" xfId="11" applyAlignment="1">
      <alignment horizontal="center" vertical="center"/>
    </xf>
    <xf numFmtId="4" fontId="2" fillId="0" borderId="0" xfId="11" applyNumberFormat="1" applyAlignment="1">
      <alignment horizontal="center"/>
    </xf>
    <xf numFmtId="3" fontId="37" fillId="0" borderId="0" xfId="11" applyNumberFormat="1" applyFont="1" applyAlignment="1">
      <alignment horizontal="center" vertical="center"/>
    </xf>
    <xf numFmtId="1" fontId="35" fillId="0" borderId="0" xfId="11" applyNumberFormat="1" applyFont="1" applyAlignment="1">
      <alignment horizontal="center" vertical="center"/>
    </xf>
    <xf numFmtId="4" fontId="2" fillId="0" borderId="0" xfId="11" applyNumberFormat="1" applyAlignment="1">
      <alignment horizontal="center" vertical="top" wrapText="1"/>
    </xf>
    <xf numFmtId="0" fontId="2" fillId="0" borderId="12" xfId="11" applyBorder="1" applyAlignment="1">
      <alignment horizontal="center" vertical="center"/>
    </xf>
    <xf numFmtId="0" fontId="2" fillId="0" borderId="12" xfId="11" applyBorder="1" applyAlignment="1">
      <alignment vertical="top" wrapText="1"/>
    </xf>
    <xf numFmtId="169" fontId="2" fillId="0" borderId="12" xfId="11" applyNumberFormat="1" applyBorder="1" applyAlignment="1">
      <alignment horizontal="center" vertical="top"/>
    </xf>
    <xf numFmtId="4" fontId="2" fillId="0" borderId="12" xfId="11" applyNumberFormat="1" applyBorder="1" applyAlignment="1">
      <alignment horizontal="center"/>
    </xf>
    <xf numFmtId="3" fontId="37" fillId="0" borderId="12" xfId="11" applyNumberFormat="1" applyFont="1" applyBorder="1" applyAlignment="1">
      <alignment horizontal="center" vertical="center"/>
    </xf>
    <xf numFmtId="0" fontId="2" fillId="0" borderId="20" xfId="11" applyBorder="1" applyAlignment="1">
      <alignment horizontal="center" vertical="center"/>
    </xf>
    <xf numFmtId="169" fontId="2" fillId="0" borderId="10" xfId="11" applyNumberFormat="1" applyBorder="1" applyAlignment="1">
      <alignment horizontal="center" vertical="top"/>
    </xf>
    <xf numFmtId="4" fontId="2" fillId="0" borderId="10" xfId="11" applyNumberFormat="1" applyBorder="1" applyAlignment="1">
      <alignment horizontal="center"/>
    </xf>
    <xf numFmtId="3" fontId="37" fillId="0" borderId="10" xfId="11" applyNumberFormat="1" applyFont="1" applyBorder="1" applyAlignment="1">
      <alignment horizontal="center" vertical="center"/>
    </xf>
    <xf numFmtId="0" fontId="2" fillId="0" borderId="21" xfId="11" applyBorder="1" applyAlignment="1">
      <alignment horizontal="center" vertical="center"/>
    </xf>
    <xf numFmtId="169" fontId="37" fillId="0" borderId="21" xfId="11" applyNumberFormat="1" applyFont="1" applyBorder="1" applyAlignment="1">
      <alignment horizontal="center" vertical="top"/>
    </xf>
    <xf numFmtId="4" fontId="2" fillId="0" borderId="21" xfId="11" applyNumberFormat="1" applyBorder="1" applyAlignment="1">
      <alignment horizontal="center"/>
    </xf>
    <xf numFmtId="3" fontId="37" fillId="0" borderId="21" xfId="11" applyNumberFormat="1" applyFont="1" applyBorder="1" applyAlignment="1">
      <alignment horizontal="center" vertical="center"/>
    </xf>
    <xf numFmtId="49" fontId="2" fillId="0" borderId="12" xfId="11" applyNumberFormat="1" applyBorder="1" applyAlignment="1">
      <alignment vertical="top" wrapText="1"/>
    </xf>
    <xf numFmtId="49" fontId="2" fillId="0" borderId="10" xfId="11" applyNumberFormat="1" applyBorder="1" applyAlignment="1">
      <alignment vertical="top" wrapText="1"/>
    </xf>
    <xf numFmtId="49" fontId="2" fillId="0" borderId="21" xfId="11" applyNumberFormat="1" applyBorder="1" applyAlignment="1">
      <alignment horizontal="center" vertical="top" wrapText="1"/>
    </xf>
    <xf numFmtId="4" fontId="37" fillId="0" borderId="21" xfId="11" applyNumberFormat="1" applyFont="1" applyBorder="1" applyAlignment="1">
      <alignment horizontal="center" vertical="top"/>
    </xf>
    <xf numFmtId="49" fontId="2" fillId="0" borderId="10" xfId="11" applyNumberFormat="1" applyBorder="1" applyAlignment="1">
      <alignment horizontal="center" vertical="top" wrapText="1"/>
    </xf>
    <xf numFmtId="4" fontId="37" fillId="0" borderId="10" xfId="11" applyNumberFormat="1" applyFont="1" applyBorder="1" applyAlignment="1">
      <alignment horizontal="center" vertical="top"/>
    </xf>
    <xf numFmtId="0" fontId="2" fillId="0" borderId="10" xfId="11" applyBorder="1" applyAlignment="1">
      <alignment horizontal="left" vertical="top"/>
    </xf>
    <xf numFmtId="1" fontId="2" fillId="0" borderId="10" xfId="11" applyNumberFormat="1" applyBorder="1" applyAlignment="1">
      <alignment horizontal="center"/>
    </xf>
    <xf numFmtId="2" fontId="2" fillId="0" borderId="10" xfId="11" applyNumberFormat="1" applyBorder="1" applyAlignment="1">
      <alignment horizontal="center"/>
    </xf>
    <xf numFmtId="2" fontId="2" fillId="0" borderId="11" xfId="11" applyNumberFormat="1" applyBorder="1" applyAlignment="1">
      <alignment horizontal="center"/>
    </xf>
    <xf numFmtId="2" fontId="2" fillId="0" borderId="13" xfId="11" applyNumberFormat="1" applyBorder="1" applyAlignment="1">
      <alignment horizontal="center"/>
    </xf>
    <xf numFmtId="0" fontId="2" fillId="0" borderId="21" xfId="11" applyBorder="1" applyAlignment="1">
      <alignment horizontal="left" vertical="top"/>
    </xf>
    <xf numFmtId="1" fontId="2" fillId="0" borderId="21" xfId="11" applyNumberFormat="1" applyBorder="1" applyAlignment="1">
      <alignment horizontal="center"/>
    </xf>
    <xf numFmtId="2" fontId="2" fillId="0" borderId="21" xfId="11" applyNumberFormat="1" applyBorder="1" applyAlignment="1">
      <alignment horizontal="center"/>
    </xf>
    <xf numFmtId="0" fontId="2" fillId="0" borderId="21" xfId="11" applyBorder="1" applyAlignment="1">
      <alignment horizontal="center" vertical="top"/>
    </xf>
    <xf numFmtId="0" fontId="2" fillId="0" borderId="12" xfId="11" applyBorder="1"/>
    <xf numFmtId="49" fontId="2" fillId="0" borderId="21" xfId="11" applyNumberFormat="1" applyBorder="1" applyAlignment="1">
      <alignment horizontal="left" vertical="top" wrapText="1"/>
    </xf>
    <xf numFmtId="0" fontId="2" fillId="0" borderId="10" xfId="11" applyBorder="1"/>
    <xf numFmtId="49" fontId="2" fillId="0" borderId="10" xfId="11" applyNumberFormat="1" applyBorder="1" applyAlignment="1">
      <alignment horizontal="left" vertical="top" wrapText="1"/>
    </xf>
    <xf numFmtId="49" fontId="2" fillId="0" borderId="20" xfId="11" applyNumberFormat="1" applyBorder="1" applyAlignment="1">
      <alignment vertical="top" wrapText="1"/>
    </xf>
    <xf numFmtId="169" fontId="2" fillId="0" borderId="20" xfId="11" applyNumberFormat="1" applyBorder="1" applyAlignment="1">
      <alignment horizontal="center" vertical="top"/>
    </xf>
    <xf numFmtId="4" fontId="2" fillId="0" borderId="20" xfId="11" applyNumberFormat="1" applyBorder="1" applyAlignment="1">
      <alignment horizontal="center"/>
    </xf>
    <xf numFmtId="1" fontId="37" fillId="0" borderId="10" xfId="11" applyNumberFormat="1" applyFont="1" applyBorder="1" applyAlignment="1">
      <alignment horizontal="center" vertical="top"/>
    </xf>
    <xf numFmtId="169" fontId="37" fillId="0" borderId="10" xfId="11" applyNumberFormat="1" applyFont="1" applyBorder="1" applyAlignment="1">
      <alignment horizontal="center" vertical="top"/>
    </xf>
    <xf numFmtId="1" fontId="2" fillId="0" borderId="10" xfId="11" applyNumberFormat="1" applyBorder="1" applyAlignment="1">
      <alignment horizontal="center" vertical="center"/>
    </xf>
    <xf numFmtId="49" fontId="36" fillId="0" borderId="20" xfId="11" applyNumberFormat="1" applyFont="1" applyBorder="1" applyAlignment="1">
      <alignment vertical="top" wrapText="1"/>
    </xf>
    <xf numFmtId="49" fontId="37" fillId="0" borderId="20" xfId="11" applyNumberFormat="1" applyFont="1" applyBorder="1" applyAlignment="1">
      <alignment vertical="top"/>
    </xf>
    <xf numFmtId="0" fontId="37" fillId="0" borderId="20" xfId="11" applyFont="1" applyBorder="1" applyAlignment="1">
      <alignment horizontal="left" vertical="top"/>
    </xf>
    <xf numFmtId="1" fontId="2" fillId="0" borderId="20" xfId="11" applyNumberFormat="1" applyBorder="1" applyAlignment="1">
      <alignment horizontal="center"/>
    </xf>
    <xf numFmtId="2" fontId="2" fillId="0" borderId="20" xfId="11" applyNumberFormat="1" applyBorder="1" applyAlignment="1">
      <alignment horizontal="center"/>
    </xf>
    <xf numFmtId="0" fontId="2" fillId="0" borderId="20" xfId="11" applyBorder="1" applyAlignment="1">
      <alignment horizontal="center" vertical="top"/>
    </xf>
    <xf numFmtId="49" fontId="37" fillId="0" borderId="20" xfId="11" applyNumberFormat="1" applyFont="1" applyBorder="1" applyAlignment="1">
      <alignment vertical="top" wrapText="1"/>
    </xf>
    <xf numFmtId="0" fontId="2" fillId="0" borderId="12" xfId="11" applyBorder="1" applyAlignment="1">
      <alignment vertical="center" wrapText="1"/>
    </xf>
    <xf numFmtId="2" fontId="2" fillId="0" borderId="12" xfId="11" applyNumberFormat="1" applyBorder="1" applyAlignment="1">
      <alignment horizontal="center" vertical="center"/>
    </xf>
    <xf numFmtId="169" fontId="2" fillId="0" borderId="12" xfId="11" applyNumberFormat="1" applyBorder="1" applyAlignment="1">
      <alignment horizontal="center" vertical="center"/>
    </xf>
    <xf numFmtId="49" fontId="2" fillId="0" borderId="12" xfId="11" applyNumberFormat="1" applyBorder="1" applyAlignment="1">
      <alignment horizontal="center" vertical="center"/>
    </xf>
    <xf numFmtId="4" fontId="2" fillId="0" borderId="12" xfId="11" applyNumberFormat="1" applyBorder="1" applyAlignment="1">
      <alignment horizontal="center" vertical="center"/>
    </xf>
    <xf numFmtId="0" fontId="2" fillId="0" borderId="0" xfId="11" applyAlignment="1">
      <alignment vertical="center"/>
    </xf>
    <xf numFmtId="0" fontId="2" fillId="0" borderId="20" xfId="11" applyBorder="1" applyAlignment="1">
      <alignment vertical="center" wrapText="1"/>
    </xf>
    <xf numFmtId="2" fontId="2" fillId="0" borderId="20" xfId="11" applyNumberFormat="1" applyBorder="1" applyAlignment="1">
      <alignment horizontal="center" vertical="center"/>
    </xf>
    <xf numFmtId="169" fontId="2" fillId="0" borderId="20" xfId="11" applyNumberFormat="1" applyBorder="1" applyAlignment="1">
      <alignment horizontal="center" vertical="center"/>
    </xf>
    <xf numFmtId="49" fontId="2" fillId="0" borderId="20" xfId="11" applyNumberFormat="1" applyBorder="1" applyAlignment="1">
      <alignment horizontal="center" vertical="center"/>
    </xf>
    <xf numFmtId="4" fontId="2" fillId="0" borderId="20" xfId="11" applyNumberFormat="1" applyBorder="1" applyAlignment="1">
      <alignment horizontal="center" vertical="center"/>
    </xf>
    <xf numFmtId="0" fontId="37" fillId="0" borderId="10" xfId="11" applyFont="1" applyBorder="1" applyAlignment="1">
      <alignment horizontal="left" vertical="top"/>
    </xf>
    <xf numFmtId="169" fontId="37" fillId="0" borderId="12" xfId="11" applyNumberFormat="1" applyFont="1" applyBorder="1" applyAlignment="1">
      <alignment horizontal="center" vertical="top"/>
    </xf>
    <xf numFmtId="169" fontId="37" fillId="0" borderId="20" xfId="11" applyNumberFormat="1" applyFont="1" applyBorder="1" applyAlignment="1">
      <alignment horizontal="center" vertical="top"/>
    </xf>
    <xf numFmtId="49" fontId="37" fillId="0" borderId="12" xfId="11" applyNumberFormat="1" applyFont="1" applyBorder="1" applyAlignment="1">
      <alignment vertical="top"/>
    </xf>
    <xf numFmtId="49" fontId="2" fillId="0" borderId="20" xfId="11" applyNumberFormat="1" applyBorder="1" applyAlignment="1">
      <alignment vertical="top"/>
    </xf>
    <xf numFmtId="4" fontId="37" fillId="0" borderId="21" xfId="11" applyNumberFormat="1" applyFont="1" applyBorder="1" applyAlignment="1">
      <alignment horizontal="center" vertical="center"/>
    </xf>
    <xf numFmtId="49" fontId="2" fillId="0" borderId="21" xfId="11" applyNumberFormat="1" applyBorder="1" applyAlignment="1">
      <alignment horizontal="center" vertical="center"/>
    </xf>
    <xf numFmtId="4" fontId="2" fillId="0" borderId="21" xfId="11" applyNumberFormat="1" applyBorder="1" applyAlignment="1">
      <alignment horizontal="center" vertical="center"/>
    </xf>
    <xf numFmtId="49" fontId="2" fillId="0" borderId="12" xfId="11" applyNumberFormat="1" applyBorder="1" applyAlignment="1">
      <alignment horizontal="center" vertical="top" wrapText="1"/>
    </xf>
    <xf numFmtId="0" fontId="2" fillId="0" borderId="12" xfId="11" applyBorder="1" applyAlignment="1">
      <alignment horizontal="center" vertical="top"/>
    </xf>
    <xf numFmtId="169" fontId="37" fillId="0" borderId="12" xfId="11" applyNumberFormat="1" applyFont="1" applyBorder="1" applyAlignment="1">
      <alignment horizontal="center" vertical="center"/>
    </xf>
    <xf numFmtId="49" fontId="2" fillId="0" borderId="10" xfId="11" applyNumberFormat="1" applyBorder="1" applyAlignment="1">
      <alignment horizontal="center" vertical="center"/>
    </xf>
    <xf numFmtId="4" fontId="2" fillId="0" borderId="10" xfId="11" applyNumberFormat="1" applyBorder="1" applyAlignment="1">
      <alignment horizontal="center" vertical="center"/>
    </xf>
    <xf numFmtId="4" fontId="2" fillId="5" borderId="10" xfId="11" applyNumberFormat="1" applyFill="1" applyBorder="1" applyAlignment="1">
      <alignment horizontal="center"/>
    </xf>
    <xf numFmtId="49" fontId="2" fillId="0" borderId="20" xfId="11" applyNumberFormat="1" applyBorder="1" applyAlignment="1">
      <alignment horizontal="left" vertical="top" wrapText="1"/>
    </xf>
    <xf numFmtId="0" fontId="36" fillId="0" borderId="12" xfId="11" applyFont="1" applyBorder="1" applyAlignment="1">
      <alignment horizontal="left" vertical="center"/>
    </xf>
    <xf numFmtId="49" fontId="36" fillId="0" borderId="10" xfId="11" applyNumberFormat="1" applyFont="1" applyBorder="1" applyAlignment="1">
      <alignment horizontal="left" vertical="top" wrapText="1"/>
    </xf>
    <xf numFmtId="49" fontId="36" fillId="0" borderId="21" xfId="11" applyNumberFormat="1" applyFont="1" applyBorder="1" applyAlignment="1">
      <alignment horizontal="left" vertical="top" wrapText="1"/>
    </xf>
    <xf numFmtId="0" fontId="36" fillId="0" borderId="21" xfId="11" applyFont="1" applyBorder="1" applyAlignment="1">
      <alignment horizontal="left"/>
    </xf>
    <xf numFmtId="0" fontId="36" fillId="0" borderId="21" xfId="11" applyFont="1" applyBorder="1" applyAlignment="1">
      <alignment horizontal="center" vertical="top" wrapText="1"/>
    </xf>
    <xf numFmtId="169" fontId="37" fillId="0" borderId="21" xfId="11" applyNumberFormat="1" applyFont="1" applyBorder="1" applyAlignment="1">
      <alignment horizontal="center" vertical="center"/>
    </xf>
    <xf numFmtId="2" fontId="36" fillId="0" borderId="10" xfId="11" applyNumberFormat="1" applyFont="1" applyBorder="1" applyAlignment="1">
      <alignment horizontal="left"/>
    </xf>
    <xf numFmtId="0" fontId="36" fillId="0" borderId="10" xfId="11" applyFont="1" applyBorder="1" applyAlignment="1">
      <alignment horizontal="left" vertical="top" wrapText="1"/>
    </xf>
    <xf numFmtId="169" fontId="37" fillId="0" borderId="10" xfId="11" applyNumberFormat="1" applyFont="1" applyBorder="1" applyAlignment="1">
      <alignment horizontal="center" vertical="center"/>
    </xf>
    <xf numFmtId="0" fontId="36" fillId="0" borderId="10" xfId="11" applyFont="1" applyBorder="1" applyAlignment="1">
      <alignment horizontal="left"/>
    </xf>
    <xf numFmtId="0" fontId="36" fillId="0" borderId="10" xfId="11" applyFont="1" applyBorder="1" applyAlignment="1">
      <alignment horizontal="center" vertical="top" wrapText="1"/>
    </xf>
    <xf numFmtId="0" fontId="36" fillId="0" borderId="12" xfId="11" applyFont="1" applyBorder="1" applyAlignment="1">
      <alignment vertical="top" wrapText="1"/>
    </xf>
    <xf numFmtId="0" fontId="2" fillId="0" borderId="20" xfId="11" applyBorder="1" applyAlignment="1">
      <alignment vertical="top" wrapText="1"/>
    </xf>
    <xf numFmtId="0" fontId="36" fillId="0" borderId="12" xfId="11" applyFont="1" applyBorder="1" applyAlignment="1">
      <alignment horizontal="left" vertical="top" wrapText="1"/>
    </xf>
    <xf numFmtId="0" fontId="36" fillId="0" borderId="12" xfId="11" applyFont="1" applyBorder="1" applyAlignment="1">
      <alignment horizontal="center" vertical="center"/>
    </xf>
    <xf numFmtId="49" fontId="36" fillId="0" borderId="12" xfId="11" applyNumberFormat="1" applyFont="1" applyBorder="1" applyAlignment="1">
      <alignment vertical="top" wrapText="1"/>
    </xf>
    <xf numFmtId="0" fontId="36" fillId="0" borderId="20" xfId="11" applyFont="1" applyBorder="1" applyAlignment="1">
      <alignment horizontal="center" vertical="center"/>
    </xf>
    <xf numFmtId="49" fontId="36" fillId="0" borderId="20" xfId="11" applyNumberFormat="1" applyFont="1" applyBorder="1" applyAlignment="1">
      <alignment horizontal="left" vertical="top" wrapText="1"/>
    </xf>
    <xf numFmtId="0" fontId="36" fillId="0" borderId="21" xfId="11" applyFont="1" applyBorder="1" applyAlignment="1">
      <alignment horizontal="center" vertical="center"/>
    </xf>
    <xf numFmtId="49" fontId="36" fillId="0" borderId="21" xfId="11" applyNumberFormat="1" applyFont="1" applyBorder="1" applyAlignment="1">
      <alignment horizontal="center" vertical="center" wrapText="1"/>
    </xf>
    <xf numFmtId="0" fontId="36" fillId="0" borderId="21" xfId="11" applyFont="1" applyBorder="1" applyAlignment="1">
      <alignment horizontal="justify" vertical="top" wrapText="1"/>
    </xf>
    <xf numFmtId="169" fontId="37" fillId="0" borderId="20" xfId="11" applyNumberFormat="1" applyFont="1" applyBorder="1" applyAlignment="1">
      <alignment horizontal="center" vertical="center"/>
    </xf>
    <xf numFmtId="49" fontId="2" fillId="0" borderId="21" xfId="11" applyNumberFormat="1" applyBorder="1" applyAlignment="1">
      <alignment horizontal="center" vertical="center" wrapText="1"/>
    </xf>
    <xf numFmtId="0" fontId="36" fillId="0" borderId="20" xfId="11" applyFont="1" applyBorder="1" applyAlignment="1">
      <alignment horizontal="center" vertical="top" wrapText="1"/>
    </xf>
    <xf numFmtId="2" fontId="2" fillId="0" borderId="10" xfId="11" applyNumberFormat="1" applyBorder="1" applyAlignment="1">
      <alignment horizontal="center" vertical="center"/>
    </xf>
    <xf numFmtId="169" fontId="2" fillId="0" borderId="10" xfId="11" applyNumberFormat="1" applyBorder="1" applyAlignment="1">
      <alignment horizontal="center" vertical="center"/>
    </xf>
    <xf numFmtId="170" fontId="2" fillId="0" borderId="10" xfId="11" applyNumberFormat="1" applyBorder="1" applyAlignment="1">
      <alignment horizontal="center" vertical="top"/>
    </xf>
    <xf numFmtId="0" fontId="2" fillId="0" borderId="12" xfId="11" applyBorder="1" applyAlignment="1">
      <alignment horizontal="left" vertical="top" wrapText="1"/>
    </xf>
    <xf numFmtId="49" fontId="2" fillId="0" borderId="10" xfId="11" applyNumberFormat="1" applyBorder="1" applyAlignment="1">
      <alignment horizontal="justify" vertical="top"/>
    </xf>
    <xf numFmtId="1" fontId="2" fillId="0" borderId="22" xfId="11" applyNumberFormat="1" applyBorder="1" applyAlignment="1">
      <alignment horizontal="center" vertical="center"/>
    </xf>
    <xf numFmtId="0" fontId="36" fillId="0" borderId="20" xfId="11" applyFont="1" applyBorder="1" applyAlignment="1">
      <alignment vertical="top" wrapText="1"/>
    </xf>
    <xf numFmtId="49" fontId="36" fillId="0" borderId="12" xfId="11" applyNumberFormat="1" applyFont="1" applyBorder="1" applyAlignment="1">
      <alignment horizontal="left" vertical="top" wrapText="1"/>
    </xf>
    <xf numFmtId="49" fontId="36" fillId="0" borderId="21" xfId="11" applyNumberFormat="1" applyFont="1" applyBorder="1" applyAlignment="1">
      <alignment horizontal="left" vertical="center" wrapText="1"/>
    </xf>
    <xf numFmtId="2" fontId="2" fillId="0" borderId="21" xfId="11" applyNumberFormat="1" applyBorder="1" applyAlignment="1">
      <alignment horizontal="center" vertical="center"/>
    </xf>
    <xf numFmtId="49" fontId="2" fillId="0" borderId="21" xfId="11" applyNumberFormat="1" applyBorder="1" applyAlignment="1">
      <alignment vertical="center"/>
    </xf>
    <xf numFmtId="49" fontId="2" fillId="0" borderId="20" xfId="11" applyNumberFormat="1" applyBorder="1" applyAlignment="1">
      <alignment horizontal="justify" vertical="top"/>
    </xf>
    <xf numFmtId="171" fontId="36" fillId="0" borderId="12" xfId="11" applyNumberFormat="1" applyFont="1" applyBorder="1" applyAlignment="1">
      <alignment horizontal="left"/>
    </xf>
    <xf numFmtId="0" fontId="2" fillId="0" borderId="21" xfId="11" applyBorder="1"/>
    <xf numFmtId="0" fontId="2" fillId="0" borderId="21" xfId="11" applyBorder="1" applyAlignment="1">
      <alignment horizontal="center"/>
    </xf>
    <xf numFmtId="49" fontId="2" fillId="0" borderId="21" xfId="11" applyNumberFormat="1" applyBorder="1" applyAlignment="1">
      <alignment vertical="top" wrapText="1"/>
    </xf>
    <xf numFmtId="49" fontId="37" fillId="0" borderId="20" xfId="11" applyNumberFormat="1" applyFont="1" applyBorder="1" applyAlignment="1">
      <alignment horizontal="center" vertical="top"/>
    </xf>
    <xf numFmtId="0" fontId="2" fillId="0" borderId="10" xfId="11" applyBorder="1" applyAlignment="1">
      <alignment horizontal="justify" vertical="top" wrapText="1"/>
    </xf>
    <xf numFmtId="0" fontId="38" fillId="0" borderId="10" xfId="11" applyFont="1" applyBorder="1" applyAlignment="1">
      <alignment horizontal="right"/>
    </xf>
    <xf numFmtId="0" fontId="36" fillId="0" borderId="10" xfId="11" applyFont="1" applyBorder="1"/>
    <xf numFmtId="4" fontId="38" fillId="0" borderId="10" xfId="11" applyNumberFormat="1" applyFont="1" applyBorder="1"/>
    <xf numFmtId="4" fontId="38" fillId="0" borderId="10" xfId="11" applyNumberFormat="1" applyFont="1" applyBorder="1" applyAlignment="1">
      <alignment horizontal="center"/>
    </xf>
    <xf numFmtId="2" fontId="38" fillId="0" borderId="10" xfId="11" applyNumberFormat="1" applyFont="1" applyBorder="1" applyAlignment="1">
      <alignment horizontal="center"/>
    </xf>
    <xf numFmtId="2" fontId="36" fillId="0" borderId="0" xfId="11" applyNumberFormat="1" applyFont="1" applyAlignment="1">
      <alignment horizontal="center"/>
    </xf>
    <xf numFmtId="0" fontId="2" fillId="0" borderId="10" xfId="11" applyBorder="1" applyAlignment="1">
      <alignment horizontal="left"/>
    </xf>
    <xf numFmtId="0" fontId="37" fillId="0" borderId="10" xfId="11" applyFont="1" applyBorder="1" applyAlignment="1">
      <alignment horizontal="left"/>
    </xf>
    <xf numFmtId="0" fontId="2" fillId="0" borderId="10" xfId="11" applyBorder="1" applyAlignment="1">
      <alignment horizontal="justify" vertical="top"/>
    </xf>
    <xf numFmtId="2" fontId="2" fillId="0" borderId="12" xfId="11" applyNumberFormat="1" applyBorder="1" applyAlignment="1">
      <alignment horizontal="center" vertical="center" wrapText="1"/>
    </xf>
    <xf numFmtId="0" fontId="37" fillId="0" borderId="12" xfId="11" applyFont="1" applyBorder="1" applyAlignment="1">
      <alignment horizontal="center" vertical="center" wrapText="1"/>
    </xf>
    <xf numFmtId="0" fontId="2" fillId="0" borderId="10" xfId="11" applyBorder="1" applyAlignment="1">
      <alignment vertical="top" wrapText="1"/>
    </xf>
    <xf numFmtId="1" fontId="2" fillId="5" borderId="20" xfId="11" applyNumberFormat="1" applyFill="1" applyBorder="1" applyAlignment="1">
      <alignment horizontal="center" vertical="center"/>
    </xf>
    <xf numFmtId="0" fontId="2" fillId="5" borderId="20" xfId="11" applyFill="1" applyBorder="1" applyAlignment="1">
      <alignment horizontal="center" vertical="center"/>
    </xf>
    <xf numFmtId="0" fontId="36" fillId="5" borderId="12" xfId="11" applyFont="1" applyFill="1" applyBorder="1" applyAlignment="1">
      <alignment horizontal="left" vertical="top" wrapText="1"/>
    </xf>
    <xf numFmtId="169" fontId="37" fillId="5" borderId="10" xfId="11" applyNumberFormat="1" applyFont="1" applyFill="1" applyBorder="1" applyAlignment="1">
      <alignment horizontal="center" vertical="top"/>
    </xf>
    <xf numFmtId="170" fontId="2" fillId="5" borderId="10" xfId="11" applyNumberFormat="1" applyFill="1" applyBorder="1" applyAlignment="1">
      <alignment horizontal="center" vertical="top"/>
    </xf>
    <xf numFmtId="4" fontId="2" fillId="5" borderId="21" xfId="11" applyNumberFormat="1" applyFill="1" applyBorder="1" applyAlignment="1">
      <alignment horizontal="center"/>
    </xf>
    <xf numFmtId="49" fontId="2" fillId="5" borderId="12" xfId="11" applyNumberFormat="1" applyFill="1" applyBorder="1" applyAlignment="1">
      <alignment horizontal="justify" vertical="top"/>
    </xf>
    <xf numFmtId="169" fontId="37" fillId="5" borderId="20" xfId="11" applyNumberFormat="1" applyFont="1" applyFill="1" applyBorder="1" applyAlignment="1">
      <alignment horizontal="center" vertical="top"/>
    </xf>
    <xf numFmtId="4" fontId="2" fillId="5" borderId="20" xfId="11" applyNumberFormat="1" applyFill="1" applyBorder="1" applyAlignment="1">
      <alignment horizontal="center"/>
    </xf>
    <xf numFmtId="49" fontId="36" fillId="0" borderId="10" xfId="11" applyNumberFormat="1" applyFont="1" applyBorder="1" applyAlignment="1">
      <alignment vertical="top" wrapText="1"/>
    </xf>
    <xf numFmtId="1" fontId="36" fillId="0" borderId="10" xfId="11" applyNumberFormat="1" applyFont="1" applyBorder="1" applyAlignment="1">
      <alignment horizontal="center" vertical="top"/>
    </xf>
    <xf numFmtId="2" fontId="36" fillId="0" borderId="10" xfId="11" applyNumberFormat="1" applyFont="1" applyBorder="1" applyAlignment="1">
      <alignment horizontal="center" vertical="top"/>
    </xf>
    <xf numFmtId="169" fontId="36" fillId="0" borderId="10" xfId="11" applyNumberFormat="1" applyFont="1" applyBorder="1" applyAlignment="1">
      <alignment horizontal="center" vertical="top"/>
    </xf>
    <xf numFmtId="49" fontId="36" fillId="0" borderId="10" xfId="11" applyNumberFormat="1" applyFont="1" applyBorder="1" applyAlignment="1">
      <alignment horizontal="center" vertical="top"/>
    </xf>
    <xf numFmtId="4" fontId="36" fillId="0" borderId="10" xfId="11" applyNumberFormat="1" applyFont="1" applyBorder="1" applyAlignment="1">
      <alignment horizontal="center"/>
    </xf>
    <xf numFmtId="0" fontId="36" fillId="0" borderId="10" xfId="11" applyFont="1" applyBorder="1" applyAlignment="1">
      <alignment vertical="top" wrapText="1"/>
    </xf>
    <xf numFmtId="49" fontId="37" fillId="0" borderId="21" xfId="11" applyNumberFormat="1" applyFont="1" applyBorder="1" applyAlignment="1">
      <alignment horizontal="center" vertical="top"/>
    </xf>
    <xf numFmtId="0" fontId="2" fillId="0" borderId="20" xfId="11" applyBorder="1"/>
    <xf numFmtId="49" fontId="2" fillId="0" borderId="12" xfId="11" applyNumberFormat="1" applyBorder="1" applyAlignment="1">
      <alignment horizontal="left" vertical="top" wrapText="1"/>
    </xf>
    <xf numFmtId="49" fontId="2" fillId="0" borderId="20" xfId="11" applyNumberFormat="1" applyBorder="1" applyAlignment="1">
      <alignment horizontal="left" vertical="center" wrapText="1"/>
    </xf>
    <xf numFmtId="0" fontId="37" fillId="0" borderId="10" xfId="11" applyFont="1" applyBorder="1" applyAlignment="1">
      <alignment horizontal="right"/>
    </xf>
    <xf numFmtId="4" fontId="37" fillId="0" borderId="10" xfId="11" applyNumberFormat="1" applyFont="1" applyBorder="1"/>
    <xf numFmtId="4" fontId="37" fillId="0" borderId="10" xfId="11" applyNumberFormat="1" applyFont="1" applyBorder="1" applyAlignment="1">
      <alignment horizontal="center"/>
    </xf>
    <xf numFmtId="4" fontId="37" fillId="0" borderId="12" xfId="11" applyNumberFormat="1" applyFont="1" applyBorder="1" applyAlignment="1">
      <alignment horizontal="center" vertical="top"/>
    </xf>
    <xf numFmtId="49" fontId="2" fillId="0" borderId="20" xfId="11" applyNumberFormat="1" applyBorder="1" applyAlignment="1">
      <alignment horizontal="center" vertical="top" wrapText="1"/>
    </xf>
    <xf numFmtId="0" fontId="37" fillId="0" borderId="21" xfId="11" applyFont="1" applyBorder="1" applyAlignment="1">
      <alignment horizontal="left" vertical="top"/>
    </xf>
    <xf numFmtId="170" fontId="37" fillId="0" borderId="21" xfId="11" applyNumberFormat="1" applyFont="1" applyBorder="1" applyAlignment="1">
      <alignment horizontal="center" vertical="top"/>
    </xf>
    <xf numFmtId="0" fontId="36" fillId="0" borderId="21" xfId="11" applyFont="1" applyBorder="1" applyAlignment="1">
      <alignment vertical="top" wrapText="1"/>
    </xf>
    <xf numFmtId="2" fontId="36" fillId="0" borderId="21" xfId="11" applyNumberFormat="1" applyFont="1" applyBorder="1" applyAlignment="1">
      <alignment horizontal="center"/>
    </xf>
    <xf numFmtId="49" fontId="2" fillId="0" borderId="21" xfId="11" applyNumberFormat="1" applyBorder="1" applyAlignment="1">
      <alignment horizontal="left" vertical="top"/>
    </xf>
    <xf numFmtId="0" fontId="36" fillId="7" borderId="12" xfId="11" applyFont="1" applyFill="1" applyBorder="1" applyAlignment="1">
      <alignment horizontal="justify" vertical="top" wrapText="1"/>
    </xf>
    <xf numFmtId="0" fontId="36" fillId="7" borderId="20" xfId="11" applyFont="1" applyFill="1" applyBorder="1" applyAlignment="1">
      <alignment horizontal="justify" vertical="top" wrapText="1"/>
    </xf>
    <xf numFmtId="169" fontId="2" fillId="0" borderId="21" xfId="11" applyNumberFormat="1" applyBorder="1" applyAlignment="1">
      <alignment horizontal="center" vertical="center"/>
    </xf>
    <xf numFmtId="0" fontId="38" fillId="0" borderId="21" xfId="11" applyFont="1" applyBorder="1" applyAlignment="1">
      <alignment horizontal="right"/>
    </xf>
    <xf numFmtId="0" fontId="38" fillId="0" borderId="21" xfId="11" applyFont="1" applyBorder="1"/>
    <xf numFmtId="4" fontId="38" fillId="0" borderId="21" xfId="11" applyNumberFormat="1" applyFont="1" applyBorder="1"/>
    <xf numFmtId="4" fontId="38" fillId="0" borderId="21" xfId="11" applyNumberFormat="1" applyFont="1" applyBorder="1" applyAlignment="1">
      <alignment horizontal="center"/>
    </xf>
    <xf numFmtId="3" fontId="38" fillId="0" borderId="21" xfId="11" applyNumberFormat="1" applyFont="1" applyBorder="1" applyAlignment="1">
      <alignment horizontal="center" vertical="center"/>
    </xf>
    <xf numFmtId="0" fontId="2" fillId="0" borderId="0" xfId="11" applyAlignment="1">
      <alignment wrapText="1"/>
    </xf>
    <xf numFmtId="0" fontId="32" fillId="0" borderId="0" xfId="11" applyFont="1" applyAlignment="1">
      <alignment horizontal="center"/>
    </xf>
    <xf numFmtId="3" fontId="2" fillId="0" borderId="0" xfId="11" applyNumberFormat="1" applyAlignment="1">
      <alignment horizontal="center"/>
    </xf>
    <xf numFmtId="1" fontId="37" fillId="0" borderId="0" xfId="11" applyNumberFormat="1" applyFont="1" applyAlignment="1">
      <alignment horizontal="center" vertical="center"/>
    </xf>
    <xf numFmtId="0" fontId="37" fillId="0" borderId="0" xfId="11" applyFont="1" applyAlignment="1">
      <alignment horizontal="center" vertical="center" wrapText="1"/>
    </xf>
    <xf numFmtId="49" fontId="37" fillId="0" borderId="0" xfId="11" applyNumberFormat="1" applyFont="1" applyAlignment="1">
      <alignment vertical="top"/>
    </xf>
    <xf numFmtId="1" fontId="37" fillId="0" borderId="0" xfId="11" applyNumberFormat="1" applyFont="1" applyAlignment="1">
      <alignment horizontal="center" vertical="top"/>
    </xf>
    <xf numFmtId="4" fontId="37" fillId="0" borderId="0" xfId="11" applyNumberFormat="1" applyFont="1" applyAlignment="1">
      <alignment horizontal="center" vertical="top"/>
    </xf>
    <xf numFmtId="49" fontId="37" fillId="0" borderId="0" xfId="11" applyNumberFormat="1" applyFont="1" applyAlignment="1">
      <alignment horizontal="center" vertical="top"/>
    </xf>
    <xf numFmtId="2" fontId="37" fillId="0" borderId="0" xfId="11" applyNumberFormat="1" applyFont="1" applyAlignment="1">
      <alignment horizontal="center" vertical="top" wrapText="1"/>
    </xf>
    <xf numFmtId="3" fontId="37" fillId="0" borderId="0" xfId="11" applyNumberFormat="1" applyFont="1" applyAlignment="1">
      <alignment horizontal="center" vertical="top"/>
    </xf>
    <xf numFmtId="0" fontId="36" fillId="0" borderId="12" xfId="11" applyFont="1" applyBorder="1" applyAlignment="1">
      <alignment horizontal="left" vertical="justify"/>
    </xf>
    <xf numFmtId="1" fontId="40" fillId="0" borderId="20" xfId="11" applyNumberFormat="1" applyFont="1" applyBorder="1" applyAlignment="1">
      <alignment horizontal="center" vertical="center"/>
    </xf>
    <xf numFmtId="0" fontId="40" fillId="0" borderId="20" xfId="11" applyFont="1" applyBorder="1" applyAlignment="1">
      <alignment horizontal="center" vertical="center" wrapText="1"/>
    </xf>
    <xf numFmtId="49" fontId="40" fillId="0" borderId="10" xfId="11" applyNumberFormat="1" applyFont="1" applyBorder="1" applyAlignment="1">
      <alignment horizontal="center" vertical="top"/>
    </xf>
    <xf numFmtId="2" fontId="40" fillId="0" borderId="10" xfId="11" applyNumberFormat="1" applyFont="1" applyBorder="1" applyAlignment="1">
      <alignment horizontal="center" vertical="top"/>
    </xf>
    <xf numFmtId="0" fontId="40" fillId="0" borderId="0" xfId="11" applyFont="1" applyAlignment="1">
      <alignment horizontal="center" vertical="top"/>
    </xf>
    <xf numFmtId="2" fontId="35" fillId="0" borderId="21" xfId="11" applyNumberFormat="1" applyFont="1" applyBorder="1" applyAlignment="1">
      <alignment horizontal="center" vertical="top"/>
    </xf>
    <xf numFmtId="2" fontId="35" fillId="0" borderId="10" xfId="11" applyNumberFormat="1" applyFont="1" applyBorder="1" applyAlignment="1">
      <alignment horizontal="center" vertical="top"/>
    </xf>
    <xf numFmtId="3" fontId="35" fillId="0" borderId="10" xfId="11" applyNumberFormat="1" applyFont="1" applyBorder="1" applyAlignment="1">
      <alignment horizontal="center" vertical="top"/>
    </xf>
    <xf numFmtId="169" fontId="38" fillId="0" borderId="10" xfId="11" applyNumberFormat="1" applyFont="1" applyBorder="1" applyAlignment="1">
      <alignment horizontal="center" vertical="center"/>
    </xf>
    <xf numFmtId="49" fontId="36" fillId="0" borderId="10" xfId="11" applyNumberFormat="1" applyFont="1" applyBorder="1" applyAlignment="1">
      <alignment horizontal="center" vertical="center"/>
    </xf>
    <xf numFmtId="4" fontId="36" fillId="0" borderId="10" xfId="11" applyNumberFormat="1" applyFont="1" applyBorder="1" applyAlignment="1">
      <alignment horizontal="center" vertical="center"/>
    </xf>
    <xf numFmtId="49" fontId="36" fillId="0" borderId="21" xfId="11" applyNumberFormat="1" applyFont="1" applyBorder="1" applyAlignment="1">
      <alignment horizontal="center" vertical="top" wrapText="1"/>
    </xf>
    <xf numFmtId="2" fontId="36" fillId="0" borderId="21" xfId="11" applyNumberFormat="1" applyFont="1" applyBorder="1" applyAlignment="1">
      <alignment horizontal="center" vertical="top"/>
    </xf>
    <xf numFmtId="169" fontId="38" fillId="0" borderId="21" xfId="11" applyNumberFormat="1" applyFont="1" applyBorder="1" applyAlignment="1">
      <alignment horizontal="center" vertical="top"/>
    </xf>
    <xf numFmtId="4" fontId="36" fillId="0" borderId="21" xfId="11" applyNumberFormat="1" applyFont="1" applyBorder="1" applyAlignment="1">
      <alignment horizontal="center"/>
    </xf>
    <xf numFmtId="3" fontId="37" fillId="0" borderId="10" xfId="11" applyNumberFormat="1" applyFont="1" applyBorder="1" applyAlignment="1">
      <alignment horizontal="center" vertical="top"/>
    </xf>
    <xf numFmtId="3" fontId="37" fillId="0" borderId="21" xfId="11" applyNumberFormat="1" applyFont="1" applyBorder="1" applyAlignment="1">
      <alignment horizontal="center" vertical="top"/>
    </xf>
    <xf numFmtId="0" fontId="38" fillId="0" borderId="10" xfId="11" applyFont="1" applyBorder="1"/>
    <xf numFmtId="169" fontId="37" fillId="0" borderId="0" xfId="11" applyNumberFormat="1" applyFont="1" applyAlignment="1">
      <alignment horizontal="center" vertical="top"/>
    </xf>
    <xf numFmtId="169" fontId="2" fillId="0" borderId="21" xfId="11" applyNumberFormat="1" applyBorder="1" applyAlignment="1">
      <alignment horizontal="center" vertical="top"/>
    </xf>
    <xf numFmtId="0" fontId="37" fillId="0" borderId="20" xfId="11" applyFont="1" applyBorder="1" applyAlignment="1">
      <alignment vertical="top" wrapText="1"/>
    </xf>
    <xf numFmtId="0" fontId="37" fillId="0" borderId="10" xfId="11" applyFont="1" applyBorder="1" applyAlignment="1">
      <alignment vertical="top" wrapText="1"/>
    </xf>
    <xf numFmtId="2" fontId="2" fillId="0" borderId="22" xfId="11" applyNumberFormat="1" applyBorder="1" applyAlignment="1">
      <alignment horizontal="center" vertical="top"/>
    </xf>
    <xf numFmtId="169" fontId="2" fillId="0" borderId="23" xfId="11" applyNumberFormat="1" applyBorder="1" applyAlignment="1">
      <alignment horizontal="center" vertical="top"/>
    </xf>
    <xf numFmtId="49" fontId="36" fillId="0" borderId="10" xfId="11" applyNumberFormat="1" applyFont="1" applyBorder="1" applyAlignment="1">
      <alignment horizontal="left" vertical="center" wrapText="1"/>
    </xf>
    <xf numFmtId="0" fontId="2" fillId="0" borderId="12" xfId="11" applyBorder="1" applyAlignment="1">
      <alignment horizontal="center"/>
    </xf>
    <xf numFmtId="0" fontId="2" fillId="0" borderId="20" xfId="11" applyBorder="1" applyAlignment="1">
      <alignment horizontal="center"/>
    </xf>
    <xf numFmtId="0" fontId="2" fillId="0" borderId="10" xfId="11" applyBorder="1" applyAlignment="1">
      <alignment horizontal="center"/>
    </xf>
    <xf numFmtId="1" fontId="37" fillId="0" borderId="10" xfId="11" applyNumberFormat="1" applyFont="1" applyBorder="1" applyAlignment="1">
      <alignment horizontal="center" vertical="center"/>
    </xf>
    <xf numFmtId="0" fontId="37" fillId="0" borderId="10" xfId="11" applyFont="1" applyBorder="1" applyAlignment="1">
      <alignment horizontal="center" vertical="center" wrapText="1"/>
    </xf>
    <xf numFmtId="49" fontId="37" fillId="0" borderId="10" xfId="11" applyNumberFormat="1" applyFont="1" applyBorder="1" applyAlignment="1">
      <alignment horizontal="center" vertical="top"/>
    </xf>
    <xf numFmtId="0" fontId="2" fillId="0" borderId="20" xfId="11" applyBorder="1" applyAlignment="1">
      <alignment horizontal="left" vertical="top"/>
    </xf>
    <xf numFmtId="49" fontId="2" fillId="0" borderId="12" xfId="11" applyNumberFormat="1" applyBorder="1" applyAlignment="1">
      <alignment horizontal="center" vertical="center" wrapText="1"/>
    </xf>
    <xf numFmtId="49" fontId="34" fillId="0" borderId="10" xfId="11" applyNumberFormat="1" applyFont="1" applyBorder="1" applyAlignment="1">
      <alignment horizontal="left" vertical="top"/>
    </xf>
    <xf numFmtId="49" fontId="34" fillId="0" borderId="10" xfId="11" applyNumberFormat="1" applyFont="1" applyBorder="1" applyAlignment="1">
      <alignment horizontal="left" vertical="top" wrapText="1"/>
    </xf>
    <xf numFmtId="169" fontId="2" fillId="0" borderId="0" xfId="11" applyNumberFormat="1"/>
    <xf numFmtId="169" fontId="37" fillId="0" borderId="10" xfId="11" applyNumberFormat="1" applyFont="1" applyBorder="1" applyAlignment="1">
      <alignment horizontal="center"/>
    </xf>
    <xf numFmtId="49" fontId="2" fillId="0" borderId="10" xfId="11" applyNumberFormat="1" applyBorder="1" applyAlignment="1">
      <alignment horizontal="center"/>
    </xf>
    <xf numFmtId="0" fontId="2" fillId="0" borderId="21" xfId="11" applyBorder="1" applyAlignment="1">
      <alignment horizontal="right"/>
    </xf>
    <xf numFmtId="4" fontId="35" fillId="0" borderId="21" xfId="11" applyNumberFormat="1" applyFont="1" applyBorder="1"/>
    <xf numFmtId="4" fontId="35" fillId="0" borderId="21" xfId="11" applyNumberFormat="1" applyFont="1" applyBorder="1" applyAlignment="1">
      <alignment horizontal="center"/>
    </xf>
    <xf numFmtId="3" fontId="35" fillId="0" borderId="21" xfId="11" applyNumberFormat="1" applyFont="1" applyBorder="1" applyAlignment="1">
      <alignment horizontal="center" vertical="center"/>
    </xf>
    <xf numFmtId="0" fontId="47" fillId="3" borderId="24" xfId="11" applyFont="1" applyFill="1" applyBorder="1" applyAlignment="1">
      <alignment horizontal="center" vertical="top" wrapText="1"/>
    </xf>
    <xf numFmtId="0" fontId="47" fillId="3" borderId="25" xfId="11" applyFont="1" applyFill="1" applyBorder="1" applyAlignment="1">
      <alignment horizontal="center" vertical="top" wrapText="1"/>
    </xf>
    <xf numFmtId="0" fontId="48" fillId="9" borderId="25" xfId="11" applyFont="1" applyFill="1" applyBorder="1" applyAlignment="1">
      <alignment horizontal="center" vertical="top" wrapText="1"/>
    </xf>
    <xf numFmtId="0" fontId="47" fillId="3" borderId="13" xfId="11" applyFont="1" applyFill="1" applyBorder="1" applyAlignment="1">
      <alignment horizontal="center" vertical="top" wrapText="1"/>
    </xf>
    <xf numFmtId="0" fontId="49" fillId="10" borderId="26" xfId="11" applyFont="1" applyFill="1" applyBorder="1" applyAlignment="1">
      <alignment horizontal="center" vertical="center" wrapText="1"/>
    </xf>
    <xf numFmtId="0" fontId="49" fillId="10" borderId="27" xfId="11" applyFont="1" applyFill="1" applyBorder="1" applyAlignment="1">
      <alignment horizontal="center" vertical="center" wrapText="1"/>
    </xf>
    <xf numFmtId="0" fontId="50" fillId="10" borderId="26" xfId="11" applyFont="1" applyFill="1" applyBorder="1" applyAlignment="1">
      <alignment wrapText="1"/>
    </xf>
    <xf numFmtId="0" fontId="51" fillId="10" borderId="27" xfId="11" applyFont="1" applyFill="1" applyBorder="1" applyAlignment="1">
      <alignment vertical="center"/>
    </xf>
    <xf numFmtId="0" fontId="50" fillId="10" borderId="27" xfId="11" applyFont="1" applyFill="1" applyBorder="1" applyAlignment="1">
      <alignment wrapText="1"/>
    </xf>
    <xf numFmtId="0" fontId="52" fillId="10" borderId="26" xfId="11" applyFont="1" applyFill="1" applyBorder="1" applyAlignment="1">
      <alignment vertical="top" wrapText="1"/>
    </xf>
    <xf numFmtId="0" fontId="49" fillId="10" borderId="27" xfId="11" applyFont="1" applyFill="1" applyBorder="1" applyAlignment="1">
      <alignment horizontal="right" vertical="top" wrapText="1"/>
    </xf>
    <xf numFmtId="0" fontId="49" fillId="10" borderId="27" xfId="11" applyFont="1" applyFill="1" applyBorder="1" applyAlignment="1">
      <alignment vertical="top" wrapText="1"/>
    </xf>
    <xf numFmtId="0" fontId="49" fillId="10" borderId="27" xfId="11" applyFont="1" applyFill="1" applyBorder="1" applyAlignment="1">
      <alignment wrapText="1"/>
    </xf>
    <xf numFmtId="2" fontId="49" fillId="10" borderId="27" xfId="11" applyNumberFormat="1" applyFont="1" applyFill="1" applyBorder="1" applyAlignment="1">
      <alignment wrapText="1"/>
    </xf>
    <xf numFmtId="43" fontId="49" fillId="10" borderId="27" xfId="13" applyFont="1" applyFill="1" applyBorder="1" applyAlignment="1">
      <alignment wrapText="1"/>
    </xf>
    <xf numFmtId="0" fontId="52" fillId="10" borderId="28" xfId="11" applyFont="1" applyFill="1" applyBorder="1" applyAlignment="1">
      <alignment vertical="top" wrapText="1"/>
    </xf>
    <xf numFmtId="0" fontId="49" fillId="10" borderId="22" xfId="11" applyFont="1" applyFill="1" applyBorder="1" applyAlignment="1">
      <alignment horizontal="right" vertical="top" wrapText="1"/>
    </xf>
    <xf numFmtId="0" fontId="49" fillId="10" borderId="0" xfId="11" applyFont="1" applyFill="1" applyAlignment="1">
      <alignment vertical="top" wrapText="1"/>
    </xf>
    <xf numFmtId="0" fontId="49" fillId="10" borderId="0" xfId="11" applyFont="1" applyFill="1" applyAlignment="1">
      <alignment wrapText="1"/>
    </xf>
    <xf numFmtId="2" fontId="49" fillId="10" borderId="0" xfId="11" applyNumberFormat="1" applyFont="1" applyFill="1" applyAlignment="1">
      <alignment wrapText="1"/>
    </xf>
    <xf numFmtId="2" fontId="49" fillId="10" borderId="23" xfId="11" applyNumberFormat="1" applyFont="1" applyFill="1" applyBorder="1" applyAlignment="1">
      <alignment horizontal="right"/>
    </xf>
    <xf numFmtId="0" fontId="49" fillId="10" borderId="29" xfId="11" applyFont="1" applyFill="1" applyBorder="1" applyAlignment="1">
      <alignment horizontal="right" vertical="top" wrapText="1"/>
    </xf>
    <xf numFmtId="0" fontId="49" fillId="10" borderId="19" xfId="11" applyFont="1" applyFill="1" applyBorder="1" applyAlignment="1">
      <alignment vertical="top" wrapText="1"/>
    </xf>
    <xf numFmtId="0" fontId="49" fillId="10" borderId="19" xfId="11" applyFont="1" applyFill="1" applyBorder="1" applyAlignment="1">
      <alignment wrapText="1"/>
    </xf>
    <xf numFmtId="2" fontId="49" fillId="10" borderId="19" xfId="11" applyNumberFormat="1" applyFont="1" applyFill="1" applyBorder="1" applyAlignment="1">
      <alignment wrapText="1"/>
    </xf>
    <xf numFmtId="2" fontId="49" fillId="10" borderId="30" xfId="11" applyNumberFormat="1" applyFont="1" applyFill="1" applyBorder="1" applyAlignment="1">
      <alignment horizontal="right"/>
    </xf>
    <xf numFmtId="0" fontId="49" fillId="10" borderId="11" xfId="11" applyFont="1" applyFill="1" applyBorder="1" applyAlignment="1">
      <alignment horizontal="right" vertical="top" wrapText="1"/>
    </xf>
    <xf numFmtId="0" fontId="49" fillId="10" borderId="17" xfId="11" applyFont="1" applyFill="1" applyBorder="1" applyAlignment="1">
      <alignment vertical="top" wrapText="1"/>
    </xf>
    <xf numFmtId="0" fontId="49" fillId="10" borderId="17" xfId="11" applyFont="1" applyFill="1" applyBorder="1" applyAlignment="1">
      <alignment wrapText="1"/>
    </xf>
    <xf numFmtId="2" fontId="49" fillId="10" borderId="17" xfId="11" applyNumberFormat="1" applyFont="1" applyFill="1" applyBorder="1" applyAlignment="1">
      <alignment wrapText="1"/>
    </xf>
    <xf numFmtId="2" fontId="49" fillId="10" borderId="13" xfId="11" applyNumberFormat="1" applyFont="1" applyFill="1" applyBorder="1" applyAlignment="1">
      <alignment horizontal="right"/>
    </xf>
    <xf numFmtId="0" fontId="47" fillId="3" borderId="26" xfId="11" applyFont="1" applyFill="1" applyBorder="1" applyAlignment="1">
      <alignment horizontal="center" vertical="center" wrapText="1"/>
    </xf>
    <xf numFmtId="0" fontId="47" fillId="3" borderId="27" xfId="11" applyFont="1" applyFill="1" applyBorder="1" applyAlignment="1">
      <alignment horizontal="center" vertical="center" wrapText="1"/>
    </xf>
    <xf numFmtId="0" fontId="48" fillId="9" borderId="27" xfId="11" applyFont="1" applyFill="1" applyBorder="1" applyAlignment="1">
      <alignment horizontal="center" vertical="center" wrapText="1"/>
    </xf>
    <xf numFmtId="0" fontId="52" fillId="10" borderId="32" xfId="11" applyFont="1" applyFill="1" applyBorder="1" applyAlignment="1">
      <alignment vertical="top" wrapText="1"/>
    </xf>
    <xf numFmtId="0" fontId="49" fillId="10" borderId="33" xfId="11" applyFont="1" applyFill="1" applyBorder="1" applyAlignment="1">
      <alignment horizontal="right" vertical="top" wrapText="1"/>
    </xf>
    <xf numFmtId="0" fontId="49" fillId="10" borderId="33" xfId="11" applyFont="1" applyFill="1" applyBorder="1" applyAlignment="1">
      <alignment vertical="top" wrapText="1"/>
    </xf>
    <xf numFmtId="0" fontId="49" fillId="10" borderId="33" xfId="11" applyFont="1" applyFill="1" applyBorder="1" applyAlignment="1">
      <alignment wrapText="1"/>
    </xf>
    <xf numFmtId="2" fontId="49" fillId="10" borderId="33" xfId="11" applyNumberFormat="1" applyFont="1" applyFill="1" applyBorder="1" applyAlignment="1">
      <alignment wrapText="1"/>
    </xf>
    <xf numFmtId="0" fontId="52" fillId="10" borderId="10" xfId="11" applyFont="1" applyFill="1" applyBorder="1" applyAlignment="1">
      <alignment vertical="top" wrapText="1"/>
    </xf>
    <xf numFmtId="0" fontId="49" fillId="10" borderId="10" xfId="11" applyFont="1" applyFill="1" applyBorder="1" applyAlignment="1">
      <alignment horizontal="right" vertical="top" wrapText="1"/>
    </xf>
    <xf numFmtId="0" fontId="49" fillId="10" borderId="10" xfId="11" applyFont="1" applyFill="1" applyBorder="1" applyAlignment="1">
      <alignment vertical="top" wrapText="1"/>
    </xf>
    <xf numFmtId="0" fontId="49" fillId="10" borderId="10" xfId="11" applyFont="1" applyFill="1" applyBorder="1" applyAlignment="1">
      <alignment wrapText="1"/>
    </xf>
    <xf numFmtId="2" fontId="49" fillId="10" borderId="10" xfId="11" applyNumberFormat="1" applyFont="1" applyFill="1" applyBorder="1" applyAlignment="1">
      <alignment wrapText="1"/>
    </xf>
    <xf numFmtId="0" fontId="2" fillId="0" borderId="0" xfId="0" applyFont="1"/>
    <xf numFmtId="0" fontId="64" fillId="10" borderId="26" xfId="0" applyFont="1" applyFill="1" applyBorder="1" applyAlignment="1">
      <alignment horizontal="center" vertical="center" wrapText="1"/>
    </xf>
    <xf numFmtId="0" fontId="64" fillId="10" borderId="27" xfId="0" applyFont="1" applyFill="1" applyBorder="1" applyAlignment="1">
      <alignment horizontal="center" vertical="center" wrapText="1"/>
    </xf>
    <xf numFmtId="0" fontId="65" fillId="10" borderId="10" xfId="0" applyFont="1" applyFill="1" applyBorder="1" applyAlignment="1">
      <alignment vertical="top" wrapText="1"/>
    </xf>
    <xf numFmtId="0" fontId="65" fillId="10" borderId="10" xfId="0" applyFont="1" applyFill="1" applyBorder="1" applyAlignment="1">
      <alignment horizontal="right" vertical="top" wrapText="1"/>
    </xf>
    <xf numFmtId="0" fontId="66" fillId="10" borderId="10" xfId="0" applyFont="1" applyFill="1" applyBorder="1" applyAlignment="1">
      <alignment vertical="top" wrapText="1"/>
    </xf>
    <xf numFmtId="0" fontId="65" fillId="10" borderId="10" xfId="0" applyFont="1" applyFill="1" applyBorder="1" applyAlignment="1">
      <alignment wrapText="1"/>
    </xf>
    <xf numFmtId="2" fontId="65" fillId="10" borderId="10" xfId="0" applyNumberFormat="1" applyFont="1" applyFill="1" applyBorder="1" applyAlignment="1">
      <alignment wrapText="1"/>
    </xf>
    <xf numFmtId="0" fontId="65" fillId="10" borderId="10" xfId="0" quotePrefix="1" applyFont="1" applyFill="1" applyBorder="1" applyAlignment="1">
      <alignment horizontal="right" vertical="top" wrapText="1"/>
    </xf>
    <xf numFmtId="0" fontId="65" fillId="10" borderId="10" xfId="0" applyFont="1" applyFill="1" applyBorder="1" applyAlignment="1">
      <alignment horizontal="center" vertical="center" wrapText="1"/>
    </xf>
    <xf numFmtId="0" fontId="66" fillId="10" borderId="10" xfId="0" applyFont="1" applyFill="1" applyBorder="1" applyAlignment="1">
      <alignment horizontal="left" vertical="center" wrapText="1"/>
    </xf>
    <xf numFmtId="2" fontId="65" fillId="10" borderId="10" xfId="0" applyNumberFormat="1" applyFont="1" applyFill="1" applyBorder="1" applyAlignment="1">
      <alignment horizontal="center" vertical="center" wrapText="1"/>
    </xf>
    <xf numFmtId="0" fontId="0" fillId="0" borderId="1" xfId="0" applyBorder="1"/>
    <xf numFmtId="0" fontId="52" fillId="10" borderId="21" xfId="0" applyFont="1" applyFill="1" applyBorder="1" applyAlignment="1">
      <alignment vertical="top" wrapText="1"/>
    </xf>
    <xf numFmtId="0" fontId="49" fillId="10" borderId="0" xfId="0" applyFont="1" applyFill="1" applyAlignment="1">
      <alignment horizontal="right" vertical="top" wrapText="1"/>
    </xf>
    <xf numFmtId="0" fontId="49" fillId="10" borderId="0" xfId="0" applyFont="1" applyFill="1" applyAlignment="1">
      <alignment vertical="top" wrapText="1"/>
    </xf>
    <xf numFmtId="0" fontId="49" fillId="10" borderId="0" xfId="0" applyFont="1" applyFill="1" applyAlignment="1">
      <alignment wrapText="1"/>
    </xf>
    <xf numFmtId="2" fontId="49" fillId="10" borderId="0" xfId="0" applyNumberFormat="1" applyFont="1" applyFill="1" applyAlignment="1">
      <alignment wrapText="1"/>
    </xf>
    <xf numFmtId="2" fontId="49" fillId="10" borderId="0" xfId="0" applyNumberFormat="1" applyFont="1" applyFill="1" applyAlignment="1">
      <alignment horizontal="right"/>
    </xf>
    <xf numFmtId="43" fontId="49" fillId="10" borderId="21" xfId="14" applyFont="1" applyFill="1" applyBorder="1" applyAlignment="1">
      <alignment wrapText="1"/>
    </xf>
    <xf numFmtId="0" fontId="52" fillId="10" borderId="28" xfId="0" applyFont="1" applyFill="1" applyBorder="1" applyAlignment="1">
      <alignment vertical="top" wrapText="1"/>
    </xf>
    <xf numFmtId="0" fontId="49" fillId="10" borderId="29" xfId="0" applyFont="1" applyFill="1" applyBorder="1" applyAlignment="1">
      <alignment horizontal="right" vertical="top" wrapText="1"/>
    </xf>
    <xf numFmtId="0" fontId="49" fillId="10" borderId="19" xfId="0" applyFont="1" applyFill="1" applyBorder="1" applyAlignment="1">
      <alignment vertical="top" wrapText="1"/>
    </xf>
    <xf numFmtId="0" fontId="49" fillId="10" borderId="19" xfId="0" applyFont="1" applyFill="1" applyBorder="1" applyAlignment="1">
      <alignment wrapText="1"/>
    </xf>
    <xf numFmtId="2" fontId="49" fillId="10" borderId="19" xfId="0" applyNumberFormat="1" applyFont="1" applyFill="1" applyBorder="1" applyAlignment="1">
      <alignment wrapText="1"/>
    </xf>
    <xf numFmtId="2" fontId="49" fillId="10" borderId="30" xfId="0" applyNumberFormat="1" applyFont="1" applyFill="1" applyBorder="1" applyAlignment="1">
      <alignment horizontal="right"/>
    </xf>
    <xf numFmtId="43" fontId="49" fillId="10" borderId="27" xfId="14" applyFont="1" applyFill="1" applyBorder="1" applyAlignment="1">
      <alignment wrapText="1"/>
    </xf>
    <xf numFmtId="0" fontId="2" fillId="0" borderId="1" xfId="0" applyFont="1" applyBorder="1"/>
    <xf numFmtId="0" fontId="49" fillId="10" borderId="11" xfId="0" applyFont="1" applyFill="1" applyBorder="1" applyAlignment="1">
      <alignment horizontal="right" vertical="top" wrapText="1"/>
    </xf>
    <xf numFmtId="0" fontId="49" fillId="10" borderId="17" xfId="0" applyFont="1" applyFill="1" applyBorder="1" applyAlignment="1">
      <alignment vertical="top" wrapText="1"/>
    </xf>
    <xf numFmtId="0" fontId="49" fillId="10" borderId="17" xfId="0" applyFont="1" applyFill="1" applyBorder="1" applyAlignment="1">
      <alignment wrapText="1"/>
    </xf>
    <xf numFmtId="2" fontId="49" fillId="10" borderId="17" xfId="0" applyNumberFormat="1" applyFont="1" applyFill="1" applyBorder="1" applyAlignment="1">
      <alignment wrapText="1"/>
    </xf>
    <xf numFmtId="2" fontId="49" fillId="10" borderId="13" xfId="0" applyNumberFormat="1" applyFont="1" applyFill="1" applyBorder="1" applyAlignment="1">
      <alignment horizontal="right"/>
    </xf>
    <xf numFmtId="2" fontId="49" fillId="10" borderId="27" xfId="0" applyNumberFormat="1" applyFont="1" applyFill="1" applyBorder="1" applyAlignment="1">
      <alignment wrapText="1"/>
    </xf>
    <xf numFmtId="0" fontId="65" fillId="10" borderId="10" xfId="0" applyFont="1" applyFill="1" applyBorder="1" applyAlignment="1">
      <alignment horizontal="center" vertical="top" wrapText="1"/>
    </xf>
    <xf numFmtId="0" fontId="66" fillId="10" borderId="12" xfId="0" applyFont="1" applyFill="1" applyBorder="1" applyAlignment="1">
      <alignment horizontal="center" vertical="top" wrapText="1"/>
    </xf>
    <xf numFmtId="0" fontId="65" fillId="10" borderId="12" xfId="0" applyFont="1" applyFill="1" applyBorder="1" applyAlignment="1">
      <alignment wrapText="1"/>
    </xf>
    <xf numFmtId="2" fontId="65" fillId="10" borderId="12" xfId="0" applyNumberFormat="1" applyFont="1" applyFill="1" applyBorder="1" applyAlignment="1">
      <alignment wrapText="1"/>
    </xf>
    <xf numFmtId="0" fontId="27" fillId="3" borderId="12" xfId="0" applyFont="1" applyFill="1" applyBorder="1" applyAlignment="1">
      <alignment horizontal="center" vertical="center"/>
    </xf>
    <xf numFmtId="0" fontId="0" fillId="0" borderId="41" xfId="0" applyBorder="1" applyAlignment="1">
      <alignment vertical="top" wrapText="1"/>
    </xf>
    <xf numFmtId="0" fontId="0" fillId="0" borderId="41" xfId="0" applyBorder="1" applyAlignment="1">
      <alignment horizontal="center" vertical="top"/>
    </xf>
    <xf numFmtId="0" fontId="0" fillId="0" borderId="10" xfId="0" applyBorder="1" applyAlignment="1">
      <alignment wrapText="1"/>
    </xf>
    <xf numFmtId="0" fontId="0" fillId="0" borderId="10" xfId="0" applyBorder="1" applyAlignment="1">
      <alignment horizontal="center" vertical="top"/>
    </xf>
    <xf numFmtId="0" fontId="0" fillId="0" borderId="10" xfId="0" applyBorder="1" applyAlignment="1">
      <alignment vertical="top" wrapText="1"/>
    </xf>
    <xf numFmtId="0" fontId="0" fillId="0" borderId="20" xfId="0" applyBorder="1" applyAlignment="1">
      <alignment vertical="top" wrapText="1"/>
    </xf>
    <xf numFmtId="0" fontId="0" fillId="0" borderId="20" xfId="0" applyBorder="1" applyAlignment="1">
      <alignment horizontal="center" vertical="top"/>
    </xf>
    <xf numFmtId="0" fontId="27" fillId="0" borderId="47" xfId="0" applyFont="1" applyBorder="1" applyAlignment="1">
      <alignment horizontal="center" vertical="center"/>
    </xf>
    <xf numFmtId="0" fontId="27" fillId="0" borderId="21" xfId="0" applyFont="1" applyBorder="1" applyAlignment="1">
      <alignment vertical="top" wrapText="1"/>
    </xf>
    <xf numFmtId="0" fontId="0" fillId="0" borderId="21" xfId="0" applyBorder="1" applyAlignment="1">
      <alignment horizontal="center" vertical="top"/>
    </xf>
    <xf numFmtId="172" fontId="0" fillId="0" borderId="48" xfId="0" applyNumberFormat="1" applyBorder="1" applyAlignment="1">
      <alignment vertical="top"/>
    </xf>
    <xf numFmtId="0" fontId="0" fillId="0" borderId="48" xfId="0" applyBorder="1" applyAlignment="1">
      <alignment horizontal="center" vertical="top"/>
    </xf>
    <xf numFmtId="0" fontId="0" fillId="0" borderId="49" xfId="0" applyBorder="1" applyAlignment="1">
      <alignment vertical="top"/>
    </xf>
    <xf numFmtId="0" fontId="27" fillId="0" borderId="50" xfId="0" applyFont="1" applyBorder="1" applyAlignment="1">
      <alignment horizontal="center" vertical="top"/>
    </xf>
    <xf numFmtId="0" fontId="27" fillId="0" borderId="10" xfId="0" applyFont="1" applyBorder="1" applyAlignment="1">
      <alignment vertical="center" wrapText="1"/>
    </xf>
    <xf numFmtId="0" fontId="0" fillId="0" borderId="10" xfId="0" applyBorder="1" applyAlignment="1">
      <alignment vertical="center" wrapText="1"/>
    </xf>
    <xf numFmtId="172" fontId="0" fillId="0" borderId="10" xfId="0" applyNumberFormat="1" applyBorder="1" applyAlignment="1">
      <alignment vertical="top"/>
    </xf>
    <xf numFmtId="0" fontId="0" fillId="0" borderId="10" xfId="0" applyBorder="1" applyAlignment="1">
      <alignment vertical="top"/>
    </xf>
    <xf numFmtId="172" fontId="0" fillId="0" borderId="51" xfId="0" applyNumberFormat="1" applyBorder="1" applyAlignment="1">
      <alignment vertical="top"/>
    </xf>
    <xf numFmtId="172" fontId="0" fillId="0" borderId="0" xfId="0" applyNumberFormat="1" applyAlignment="1">
      <alignment vertical="top"/>
    </xf>
    <xf numFmtId="172" fontId="0" fillId="0" borderId="21" xfId="0" applyNumberFormat="1" applyBorder="1"/>
    <xf numFmtId="172" fontId="0" fillId="0" borderId="0" xfId="0" applyNumberFormat="1"/>
    <xf numFmtId="0" fontId="69" fillId="0" borderId="0" xfId="11" applyFont="1"/>
    <xf numFmtId="0" fontId="70" fillId="0" borderId="12" xfId="11" applyFont="1" applyBorder="1" applyAlignment="1" applyProtection="1">
      <alignment horizontal="center" vertical="top"/>
      <protection locked="0"/>
    </xf>
    <xf numFmtId="2" fontId="70" fillId="0" borderId="12" xfId="11" applyNumberFormat="1" applyFont="1" applyBorder="1" applyAlignment="1" applyProtection="1">
      <alignment horizontal="center" vertical="top"/>
      <protection locked="0"/>
    </xf>
    <xf numFmtId="0" fontId="70" fillId="0" borderId="10" xfId="11" applyFont="1" applyBorder="1" applyAlignment="1" applyProtection="1">
      <alignment horizontal="center" vertical="top"/>
      <protection locked="0"/>
    </xf>
    <xf numFmtId="0" fontId="70" fillId="0" borderId="10" xfId="11" applyFont="1" applyBorder="1" applyAlignment="1" applyProtection="1">
      <alignment horizontal="left"/>
      <protection locked="0"/>
    </xf>
    <xf numFmtId="0" fontId="69" fillId="0" borderId="10" xfId="11" applyFont="1" applyBorder="1" applyAlignment="1">
      <alignment horizontal="justify" vertical="top" wrapText="1"/>
    </xf>
    <xf numFmtId="0" fontId="69" fillId="0" borderId="10" xfId="11" applyFont="1" applyBorder="1"/>
    <xf numFmtId="0" fontId="69" fillId="0" borderId="10" xfId="11" applyFont="1" applyBorder="1" applyAlignment="1" applyProtection="1">
      <alignment horizontal="left"/>
      <protection locked="0"/>
    </xf>
    <xf numFmtId="2" fontId="69" fillId="0" borderId="10" xfId="11" applyNumberFormat="1" applyFont="1" applyBorder="1" applyAlignment="1">
      <alignment horizontal="center"/>
    </xf>
    <xf numFmtId="0" fontId="71" fillId="0" borderId="10" xfId="11" applyFont="1" applyBorder="1" applyAlignment="1" applyProtection="1">
      <alignment horizontal="center" vertical="top" wrapText="1"/>
      <protection locked="0"/>
    </xf>
    <xf numFmtId="2" fontId="71" fillId="0" borderId="10" xfId="11" applyNumberFormat="1" applyFont="1" applyBorder="1" applyAlignment="1" applyProtection="1">
      <alignment horizontal="center" vertical="top" wrapText="1"/>
      <protection locked="0"/>
    </xf>
    <xf numFmtId="0" fontId="69" fillId="0" borderId="10" xfId="11" applyFont="1" applyBorder="1" applyAlignment="1" applyProtection="1">
      <alignment horizontal="justify" vertical="top" wrapText="1"/>
      <protection locked="0"/>
    </xf>
    <xf numFmtId="0" fontId="69" fillId="0" borderId="10" xfId="11" applyFont="1" applyBorder="1" applyAlignment="1">
      <alignment horizontal="center"/>
    </xf>
    <xf numFmtId="0" fontId="70" fillId="0" borderId="10" xfId="11" applyFont="1" applyBorder="1" applyAlignment="1" applyProtection="1">
      <alignment horizontal="center"/>
      <protection locked="0"/>
    </xf>
    <xf numFmtId="0" fontId="69" fillId="0" borderId="10" xfId="11" applyFont="1" applyBorder="1" applyAlignment="1" applyProtection="1">
      <alignment horizontal="center" vertical="top" wrapText="1"/>
      <protection locked="0"/>
    </xf>
    <xf numFmtId="0" fontId="69" fillId="0" borderId="10" xfId="11" applyFont="1" applyBorder="1" applyAlignment="1" applyProtection="1">
      <alignment horizontal="justify" vertical="center" wrapText="1"/>
      <protection locked="0"/>
    </xf>
    <xf numFmtId="0" fontId="69" fillId="0" borderId="10" xfId="11" applyFont="1" applyBorder="1" applyAlignment="1">
      <alignment horizontal="center" vertical="center"/>
    </xf>
    <xf numFmtId="2" fontId="69" fillId="0" borderId="10" xfId="11" applyNumberFormat="1" applyFont="1" applyBorder="1" applyAlignment="1">
      <alignment horizontal="center" vertical="center"/>
    </xf>
    <xf numFmtId="2" fontId="71" fillId="0" borderId="10" xfId="11" applyNumberFormat="1" applyFont="1" applyBorder="1" applyAlignment="1" applyProtection="1">
      <alignment horizontal="center" vertical="center" wrapText="1"/>
      <protection locked="0"/>
    </xf>
    <xf numFmtId="0" fontId="69" fillId="0" borderId="10" xfId="11" applyFont="1" applyBorder="1" applyAlignment="1" applyProtection="1">
      <alignment vertical="top" wrapText="1"/>
      <protection locked="0"/>
    </xf>
    <xf numFmtId="0" fontId="69" fillId="0" borderId="10" xfId="11" applyFont="1" applyBorder="1" applyAlignment="1">
      <alignment vertical="center"/>
    </xf>
    <xf numFmtId="2" fontId="69" fillId="0" borderId="10" xfId="11" applyNumberFormat="1" applyFont="1" applyBorder="1" applyAlignment="1">
      <alignment vertical="center"/>
    </xf>
    <xf numFmtId="0" fontId="69" fillId="0" borderId="10" xfId="11" applyFont="1" applyBorder="1" applyAlignment="1" applyProtection="1">
      <alignment vertical="center" wrapText="1"/>
      <protection locked="0"/>
    </xf>
    <xf numFmtId="0" fontId="69" fillId="0" borderId="10" xfId="11" applyFont="1" applyBorder="1" applyAlignment="1" applyProtection="1">
      <alignment horizontal="left" vertical="center" wrapText="1"/>
      <protection locked="0"/>
    </xf>
    <xf numFmtId="0" fontId="70" fillId="0" borderId="10" xfId="11" applyFont="1" applyBorder="1" applyAlignment="1" applyProtection="1">
      <alignment horizontal="justify" vertical="top" wrapText="1"/>
      <protection locked="0"/>
    </xf>
    <xf numFmtId="0" fontId="69" fillId="0" borderId="10" xfId="11" applyFont="1" applyBorder="1" applyAlignment="1" applyProtection="1">
      <alignment horizontal="left" vertical="top"/>
      <protection locked="0"/>
    </xf>
    <xf numFmtId="0" fontId="69" fillId="0" borderId="10" xfId="11" applyFont="1" applyBorder="1" applyAlignment="1">
      <alignment horizontal="justify" vertical="center" wrapText="1"/>
    </xf>
    <xf numFmtId="2" fontId="69" fillId="0" borderId="10" xfId="11" applyNumberFormat="1" applyFont="1" applyBorder="1" applyAlignment="1">
      <alignment horizontal="center" vertical="center" wrapText="1"/>
    </xf>
    <xf numFmtId="2" fontId="69" fillId="0" borderId="10" xfId="11" applyNumberFormat="1" applyFont="1" applyBorder="1" applyAlignment="1" applyProtection="1">
      <alignment horizontal="center"/>
      <protection locked="0"/>
    </xf>
    <xf numFmtId="0" fontId="69" fillId="0" borderId="10" xfId="11" applyFont="1" applyBorder="1" applyAlignment="1" applyProtection="1">
      <alignment horizontal="left" vertical="center"/>
      <protection locked="0"/>
    </xf>
    <xf numFmtId="0" fontId="70" fillId="0" borderId="10" xfId="11" applyFont="1" applyBorder="1" applyAlignment="1" applyProtection="1">
      <alignment horizontal="center" vertical="center"/>
      <protection locked="0"/>
    </xf>
    <xf numFmtId="0" fontId="70" fillId="0" borderId="10" xfId="11" applyFont="1" applyBorder="1" applyAlignment="1" applyProtection="1">
      <alignment horizontal="left" vertical="center"/>
      <protection locked="0"/>
    </xf>
    <xf numFmtId="2" fontId="69" fillId="0" borderId="10" xfId="11" applyNumberFormat="1" applyFont="1" applyBorder="1" applyAlignment="1">
      <alignment horizontal="center" wrapText="1"/>
    </xf>
    <xf numFmtId="0" fontId="69" fillId="0" borderId="10" xfId="11" applyFont="1" applyBorder="1" applyAlignment="1" applyProtection="1">
      <alignment horizontal="right" vertical="top"/>
      <protection locked="0"/>
    </xf>
    <xf numFmtId="0" fontId="69" fillId="0" borderId="10" xfId="11" applyFont="1" applyBorder="1" applyAlignment="1" applyProtection="1">
      <alignment horizontal="center" vertical="center"/>
      <protection locked="0"/>
    </xf>
    <xf numFmtId="0" fontId="69" fillId="0" borderId="10" xfId="11" applyFont="1" applyBorder="1" applyAlignment="1" applyProtection="1">
      <alignment horizontal="left" vertical="top" wrapText="1"/>
      <protection locked="0"/>
    </xf>
    <xf numFmtId="0" fontId="70" fillId="0" borderId="10" xfId="11" applyFont="1" applyBorder="1" applyAlignment="1">
      <alignment horizontal="justify" vertical="top"/>
    </xf>
    <xf numFmtId="2" fontId="69" fillId="7" borderId="10" xfId="11" applyNumberFormat="1" applyFont="1" applyFill="1" applyBorder="1" applyAlignment="1">
      <alignment horizontal="center" wrapText="1"/>
    </xf>
    <xf numFmtId="0" fontId="36" fillId="0" borderId="0" xfId="11" applyFont="1"/>
    <xf numFmtId="0" fontId="69" fillId="0" borderId="10" xfId="11" applyFont="1" applyBorder="1" applyAlignment="1">
      <alignment horizontal="center" vertical="top"/>
    </xf>
    <xf numFmtId="0" fontId="69" fillId="0" borderId="10" xfId="11" applyFont="1" applyBorder="1" applyAlignment="1">
      <alignment horizontal="center" vertical="top" wrapText="1"/>
    </xf>
    <xf numFmtId="2" fontId="69" fillId="7" borderId="10" xfId="11" applyNumberFormat="1" applyFont="1" applyFill="1" applyBorder="1" applyAlignment="1">
      <alignment horizontal="center"/>
    </xf>
    <xf numFmtId="0" fontId="69" fillId="0" borderId="10" xfId="11" applyFont="1" applyBorder="1" applyAlignment="1">
      <alignment horizontal="left" vertical="top" wrapText="1"/>
    </xf>
    <xf numFmtId="0" fontId="70" fillId="0" borderId="10" xfId="11" applyFont="1" applyBorder="1" applyAlignment="1" applyProtection="1">
      <alignment horizontal="left" vertical="top"/>
      <protection locked="0"/>
    </xf>
    <xf numFmtId="0" fontId="73" fillId="0" borderId="10" xfId="11" applyFont="1" applyBorder="1" applyAlignment="1" applyProtection="1">
      <alignment vertical="top"/>
      <protection locked="0"/>
    </xf>
    <xf numFmtId="0" fontId="73" fillId="0" borderId="10" xfId="11" applyFont="1" applyBorder="1" applyAlignment="1" applyProtection="1">
      <alignment horizontal="justify" vertical="top" wrapText="1"/>
      <protection locked="0"/>
    </xf>
    <xf numFmtId="0" fontId="74" fillId="0" borderId="10" xfId="11" applyFont="1" applyBorder="1" applyAlignment="1">
      <alignment horizontal="center" vertical="top"/>
    </xf>
    <xf numFmtId="0" fontId="74" fillId="0" borderId="10" xfId="11" applyFont="1" applyBorder="1" applyAlignment="1" applyProtection="1">
      <alignment horizontal="center" vertical="top" wrapText="1"/>
      <protection locked="0"/>
    </xf>
    <xf numFmtId="0" fontId="74" fillId="0" borderId="10" xfId="11" applyFont="1" applyBorder="1" applyAlignment="1" applyProtection="1">
      <alignment horizontal="justify" vertical="top" wrapText="1"/>
      <protection locked="0"/>
    </xf>
    <xf numFmtId="0" fontId="74" fillId="0" borderId="10" xfId="11" applyFont="1" applyBorder="1" applyAlignment="1" applyProtection="1">
      <alignment horizontal="center" vertical="top"/>
      <protection locked="0"/>
    </xf>
    <xf numFmtId="2" fontId="74" fillId="0" borderId="10" xfId="11" applyNumberFormat="1" applyFont="1" applyBorder="1" applyAlignment="1" applyProtection="1">
      <alignment horizontal="center" vertical="top"/>
      <protection locked="0"/>
    </xf>
    <xf numFmtId="0" fontId="74" fillId="0" borderId="10" xfId="11" applyFont="1" applyBorder="1"/>
    <xf numFmtId="0" fontId="74" fillId="0" borderId="10" xfId="11" applyFont="1" applyBorder="1" applyAlignment="1" applyProtection="1">
      <alignment horizontal="justify" vertical="center" wrapText="1"/>
      <protection locked="0"/>
    </xf>
    <xf numFmtId="0" fontId="74" fillId="0" borderId="10" xfId="11" applyFont="1" applyBorder="1" applyAlignment="1" applyProtection="1">
      <alignment horizontal="center" vertical="center"/>
      <protection locked="0"/>
    </xf>
    <xf numFmtId="2" fontId="74" fillId="0" borderId="10" xfId="11" applyNumberFormat="1" applyFont="1" applyBorder="1" applyAlignment="1" applyProtection="1">
      <alignment horizontal="center" vertical="center"/>
      <protection locked="0"/>
    </xf>
    <xf numFmtId="0" fontId="74" fillId="0" borderId="10" xfId="11" applyFont="1" applyBorder="1" applyAlignment="1" applyProtection="1">
      <alignment horizontal="left" vertical="top" wrapText="1"/>
      <protection locked="0"/>
    </xf>
    <xf numFmtId="0" fontId="74" fillId="0" borderId="10" xfId="11" applyFont="1" applyBorder="1" applyAlignment="1" applyProtection="1">
      <alignment horizontal="center"/>
      <protection locked="0"/>
    </xf>
    <xf numFmtId="2" fontId="74" fillId="0" borderId="10" xfId="11" applyNumberFormat="1" applyFont="1" applyBorder="1" applyAlignment="1" applyProtection="1">
      <alignment horizontal="center"/>
      <protection locked="0"/>
    </xf>
    <xf numFmtId="0" fontId="74" fillId="0" borderId="10" xfId="11" applyFont="1" applyBorder="1" applyAlignment="1">
      <alignment horizontal="center"/>
    </xf>
    <xf numFmtId="2" fontId="74" fillId="0" borderId="10" xfId="11" applyNumberFormat="1" applyFont="1" applyBorder="1" applyAlignment="1">
      <alignment horizontal="center"/>
    </xf>
    <xf numFmtId="0" fontId="73" fillId="0" borderId="10" xfId="11" applyFont="1" applyBorder="1" applyAlignment="1" applyProtection="1">
      <alignment horizontal="center" vertical="top" wrapText="1"/>
      <protection locked="0"/>
    </xf>
    <xf numFmtId="0" fontId="69" fillId="0" borderId="10" xfId="11" applyFont="1" applyBorder="1" applyAlignment="1">
      <alignment horizontal="center" wrapText="1"/>
    </xf>
    <xf numFmtId="0" fontId="69" fillId="0" borderId="10" xfId="11" applyFont="1" applyBorder="1" applyAlignment="1" applyProtection="1">
      <alignment horizontal="center"/>
      <protection locked="0"/>
    </xf>
    <xf numFmtId="49" fontId="69" fillId="0" borderId="10" xfId="11" applyNumberFormat="1" applyFont="1" applyBorder="1" applyAlignment="1">
      <alignment horizontal="center" vertical="top" wrapText="1"/>
    </xf>
    <xf numFmtId="0" fontId="75" fillId="0" borderId="10" xfId="11" applyFont="1" applyBorder="1" applyAlignment="1" applyProtection="1">
      <alignment horizontal="left" vertical="top" wrapText="1"/>
      <protection locked="0"/>
    </xf>
    <xf numFmtId="0" fontId="71" fillId="0" borderId="10" xfId="11" applyFont="1" applyBorder="1" applyAlignment="1" applyProtection="1">
      <alignment horizontal="justify" vertical="center" wrapText="1"/>
      <protection locked="0"/>
    </xf>
    <xf numFmtId="2" fontId="76" fillId="0" borderId="10" xfId="11" applyNumberFormat="1" applyFont="1" applyBorder="1" applyAlignment="1" applyProtection="1">
      <alignment horizontal="center" vertical="top" wrapText="1"/>
      <protection locked="0"/>
    </xf>
    <xf numFmtId="0" fontId="76" fillId="0" borderId="10" xfId="11" applyFont="1" applyBorder="1" applyAlignment="1" applyProtection="1">
      <alignment horizontal="left" vertical="top"/>
      <protection locked="0"/>
    </xf>
    <xf numFmtId="0" fontId="74" fillId="0" borderId="10" xfId="11" applyFont="1" applyBorder="1" applyAlignment="1">
      <alignment horizontal="justify" vertical="top" wrapText="1"/>
    </xf>
    <xf numFmtId="0" fontId="76" fillId="0" borderId="10" xfId="11" applyFont="1" applyBorder="1" applyAlignment="1" applyProtection="1">
      <alignment horizontal="center" vertical="top" wrapText="1"/>
      <protection locked="0"/>
    </xf>
    <xf numFmtId="0" fontId="77" fillId="0" borderId="10" xfId="11" applyFont="1" applyBorder="1" applyAlignment="1" applyProtection="1">
      <alignment horizontal="center" vertical="center" wrapText="1"/>
      <protection locked="0"/>
    </xf>
    <xf numFmtId="0" fontId="70" fillId="0" borderId="10" xfId="11" applyFont="1" applyBorder="1" applyAlignment="1" applyProtection="1">
      <alignment horizontal="right" vertical="top" wrapText="1"/>
      <protection locked="0"/>
    </xf>
    <xf numFmtId="0" fontId="79" fillId="0" borderId="10" xfId="15" applyFont="1" applyBorder="1" applyAlignment="1" applyProtection="1">
      <alignment horizontal="right"/>
    </xf>
    <xf numFmtId="2" fontId="2" fillId="0" borderId="10" xfId="11" applyNumberFormat="1" applyBorder="1"/>
    <xf numFmtId="2" fontId="2" fillId="0" borderId="0" xfId="11" applyNumberFormat="1"/>
    <xf numFmtId="0" fontId="74" fillId="0" borderId="0" xfId="11" applyFont="1" applyAlignment="1" applyProtection="1">
      <alignment horizontal="center" vertical="top" wrapText="1"/>
      <protection locked="0"/>
    </xf>
    <xf numFmtId="0" fontId="74" fillId="0" borderId="0" xfId="11" applyFont="1" applyAlignment="1" applyProtection="1">
      <alignment horizontal="justify" vertical="top" wrapText="1"/>
      <protection locked="0"/>
    </xf>
    <xf numFmtId="0" fontId="74" fillId="0" borderId="0" xfId="11" applyFont="1" applyAlignment="1" applyProtection="1">
      <alignment horizontal="center" vertical="top"/>
      <protection locked="0"/>
    </xf>
    <xf numFmtId="2" fontId="74" fillId="0" borderId="0" xfId="11" applyNumberFormat="1" applyFont="1" applyAlignment="1" applyProtection="1">
      <alignment horizontal="center" vertical="top"/>
      <protection locked="0"/>
    </xf>
    <xf numFmtId="2" fontId="74" fillId="0" borderId="0" xfId="11" applyNumberFormat="1" applyFont="1" applyAlignment="1">
      <alignment horizontal="center"/>
    </xf>
    <xf numFmtId="0" fontId="74" fillId="0" borderId="0" xfId="11" applyFont="1" applyAlignment="1" applyProtection="1">
      <alignment horizontal="justify" vertical="center" wrapText="1"/>
      <protection locked="0"/>
    </xf>
    <xf numFmtId="0" fontId="74" fillId="0" borderId="0" xfId="11" applyFont="1" applyAlignment="1" applyProtection="1">
      <alignment horizontal="center" vertical="center"/>
      <protection locked="0"/>
    </xf>
    <xf numFmtId="2" fontId="74" fillId="0" borderId="0" xfId="11" applyNumberFormat="1" applyFont="1" applyAlignment="1" applyProtection="1">
      <alignment horizontal="center" vertical="center"/>
      <protection locked="0"/>
    </xf>
    <xf numFmtId="2" fontId="74" fillId="0" borderId="0" xfId="11" applyNumberFormat="1" applyFont="1" applyAlignment="1">
      <alignment horizontal="center" vertical="center"/>
    </xf>
    <xf numFmtId="0" fontId="74" fillId="0" borderId="0" xfId="11" applyFont="1" applyAlignment="1" applyProtection="1">
      <alignment horizontal="left" vertical="top" wrapText="1"/>
      <protection locked="0"/>
    </xf>
    <xf numFmtId="0" fontId="74" fillId="0" borderId="0" xfId="11" applyFont="1" applyAlignment="1" applyProtection="1">
      <alignment horizontal="center"/>
      <protection locked="0"/>
    </xf>
    <xf numFmtId="2" fontId="74" fillId="0" borderId="0" xfId="11" applyNumberFormat="1" applyFont="1" applyAlignment="1" applyProtection="1">
      <alignment horizontal="center"/>
      <protection locked="0"/>
    </xf>
    <xf numFmtId="0" fontId="74" fillId="0" borderId="0" xfId="11" applyFont="1"/>
    <xf numFmtId="0" fontId="74" fillId="0" borderId="0" xfId="11" applyFont="1" applyAlignment="1">
      <alignment horizontal="center"/>
    </xf>
    <xf numFmtId="0" fontId="70" fillId="0" borderId="0" xfId="11" applyFont="1" applyAlignment="1" applyProtection="1">
      <alignment horizontal="center" vertical="top"/>
      <protection locked="0"/>
    </xf>
    <xf numFmtId="0" fontId="70" fillId="0" borderId="0" xfId="11" applyFont="1" applyAlignment="1" applyProtection="1">
      <alignment horizontal="left" vertical="top"/>
      <protection locked="0"/>
    </xf>
    <xf numFmtId="0" fontId="69" fillId="0" borderId="0" xfId="11" applyFont="1" applyAlignment="1">
      <alignment horizontal="justify" vertical="top" wrapText="1"/>
    </xf>
    <xf numFmtId="0" fontId="73" fillId="0" borderId="0" xfId="11" applyFont="1" applyAlignment="1" applyProtection="1">
      <alignment horizontal="center" vertical="top" wrapText="1"/>
      <protection locked="0"/>
    </xf>
    <xf numFmtId="0" fontId="69" fillId="0" borderId="0" xfId="11" applyFont="1" applyAlignment="1" applyProtection="1">
      <alignment horizontal="left"/>
      <protection locked="0"/>
    </xf>
    <xf numFmtId="0" fontId="69" fillId="0" borderId="0" xfId="11" applyFont="1" applyAlignment="1">
      <alignment horizontal="center" wrapText="1"/>
    </xf>
    <xf numFmtId="2" fontId="69" fillId="0" borderId="0" xfId="11" applyNumberFormat="1" applyFont="1" applyAlignment="1">
      <alignment horizontal="center" wrapText="1"/>
    </xf>
    <xf numFmtId="0" fontId="69" fillId="0" borderId="0" xfId="11" applyFont="1" applyAlignment="1">
      <alignment horizontal="center" vertical="top"/>
    </xf>
    <xf numFmtId="0" fontId="69" fillId="0" borderId="0" xfId="11" applyFont="1" applyAlignment="1">
      <alignment horizontal="center" vertical="top" wrapText="1"/>
    </xf>
    <xf numFmtId="0" fontId="69" fillId="0" borderId="0" xfId="11" applyFont="1" applyAlignment="1">
      <alignment horizontal="center"/>
    </xf>
    <xf numFmtId="2" fontId="69" fillId="0" borderId="0" xfId="11" applyNumberFormat="1" applyFont="1" applyAlignment="1">
      <alignment horizontal="center"/>
    </xf>
    <xf numFmtId="0" fontId="69" fillId="0" borderId="0" xfId="11" applyFont="1" applyAlignment="1" applyProtection="1">
      <alignment horizontal="justify" vertical="center" wrapText="1"/>
      <protection locked="0"/>
    </xf>
    <xf numFmtId="0" fontId="69" fillId="0" borderId="0" xfId="11" applyFont="1" applyAlignment="1" applyProtection="1">
      <alignment horizontal="justify" vertical="top" wrapText="1"/>
      <protection locked="0"/>
    </xf>
    <xf numFmtId="0" fontId="69" fillId="0" borderId="0" xfId="11" applyFont="1" applyAlignment="1">
      <alignment horizontal="justify" vertical="center" wrapText="1"/>
    </xf>
    <xf numFmtId="0" fontId="69" fillId="0" borderId="0" xfId="11" applyFont="1" applyAlignment="1" applyProtection="1">
      <alignment horizontal="center"/>
      <protection locked="0"/>
    </xf>
    <xf numFmtId="49" fontId="69" fillId="0" borderId="0" xfId="11" applyNumberFormat="1" applyFont="1" applyAlignment="1">
      <alignment horizontal="center" vertical="top" wrapText="1"/>
    </xf>
    <xf numFmtId="0" fontId="69" fillId="0" borderId="0" xfId="11" applyFont="1" applyAlignment="1" applyProtection="1">
      <alignment horizontal="left" vertical="top" wrapText="1"/>
      <protection locked="0"/>
    </xf>
    <xf numFmtId="0" fontId="69" fillId="0" borderId="0" xfId="11" applyFont="1" applyAlignment="1" applyProtection="1">
      <alignment horizontal="left" vertical="center" wrapText="1"/>
      <protection locked="0"/>
    </xf>
    <xf numFmtId="0" fontId="69" fillId="0" borderId="0" xfId="11" applyFont="1" applyAlignment="1" applyProtection="1">
      <alignment horizontal="center" vertical="center"/>
      <protection locked="0"/>
    </xf>
    <xf numFmtId="2" fontId="69" fillId="0" borderId="0" xfId="11" applyNumberFormat="1" applyFont="1" applyAlignment="1">
      <alignment horizontal="center" vertical="center"/>
    </xf>
    <xf numFmtId="0" fontId="80" fillId="0" borderId="0" xfId="11" applyFont="1"/>
    <xf numFmtId="0" fontId="69" fillId="7" borderId="0" xfId="11" applyFont="1" applyFill="1" applyAlignment="1">
      <alignment horizontal="justify" vertical="top" wrapText="1"/>
    </xf>
    <xf numFmtId="0" fontId="69" fillId="0" borderId="0" xfId="11" applyFont="1" applyAlignment="1" applyProtection="1">
      <alignment horizontal="center" vertical="top" wrapText="1"/>
      <protection locked="0"/>
    </xf>
    <xf numFmtId="2" fontId="71" fillId="0" borderId="0" xfId="11" applyNumberFormat="1" applyFont="1" applyAlignment="1" applyProtection="1">
      <alignment horizontal="center" vertical="top" wrapText="1"/>
      <protection locked="0"/>
    </xf>
    <xf numFmtId="0" fontId="69" fillId="0" borderId="0" xfId="11" applyFont="1" applyAlignment="1" applyProtection="1">
      <alignment horizontal="center" vertical="top"/>
      <protection locked="0"/>
    </xf>
    <xf numFmtId="2" fontId="70" fillId="0" borderId="0" xfId="11" applyNumberFormat="1" applyFont="1" applyAlignment="1" applyProtection="1">
      <alignment horizontal="center" vertical="top"/>
      <protection locked="0"/>
    </xf>
    <xf numFmtId="43" fontId="70" fillId="0" borderId="0" xfId="14" applyFont="1" applyBorder="1" applyAlignment="1" applyProtection="1">
      <alignment horizontal="right" vertical="top"/>
      <protection locked="0"/>
    </xf>
    <xf numFmtId="0" fontId="69" fillId="0" borderId="0" xfId="11" applyFont="1" applyAlignment="1">
      <alignment horizontal="center" vertical="center"/>
    </xf>
    <xf numFmtId="0" fontId="2" fillId="0" borderId="0" xfId="11" applyAlignment="1">
      <alignment horizontal="right"/>
    </xf>
    <xf numFmtId="0" fontId="69" fillId="0" borderId="0" xfId="11" applyFont="1" applyAlignment="1" applyProtection="1">
      <alignment horizontal="left" vertical="top"/>
      <protection locked="0"/>
    </xf>
    <xf numFmtId="0" fontId="74" fillId="0" borderId="0" xfId="11" applyFont="1" applyAlignment="1">
      <alignment horizontal="center" vertical="top"/>
    </xf>
    <xf numFmtId="0" fontId="73" fillId="0" borderId="0" xfId="11" applyFont="1" applyAlignment="1" applyProtection="1">
      <alignment horizontal="left" vertical="top" wrapText="1"/>
      <protection locked="0"/>
    </xf>
    <xf numFmtId="0" fontId="70" fillId="0" borderId="0" xfId="11" applyFont="1" applyAlignment="1" applyProtection="1">
      <alignment vertical="top" wrapText="1"/>
      <protection locked="0"/>
    </xf>
    <xf numFmtId="0" fontId="75" fillId="0" borderId="0" xfId="11" applyFont="1" applyAlignment="1" applyProtection="1">
      <alignment horizontal="left" vertical="top" wrapText="1"/>
      <protection locked="0"/>
    </xf>
    <xf numFmtId="2" fontId="69" fillId="0" borderId="0" xfId="11" applyNumberFormat="1" applyFont="1" applyAlignment="1" applyProtection="1">
      <alignment horizontal="center"/>
      <protection locked="0"/>
    </xf>
    <xf numFmtId="0" fontId="69" fillId="0" borderId="0" xfId="11" applyFont="1" applyAlignment="1" applyProtection="1">
      <alignment horizontal="right" vertical="top"/>
      <protection locked="0"/>
    </xf>
    <xf numFmtId="0" fontId="71" fillId="0" borderId="0" xfId="11" applyFont="1" applyAlignment="1" applyProtection="1">
      <alignment horizontal="center" vertical="top" wrapText="1"/>
      <protection locked="0"/>
    </xf>
    <xf numFmtId="2" fontId="70" fillId="0" borderId="0" xfId="11" applyNumberFormat="1" applyFont="1" applyAlignment="1">
      <alignment horizontal="center"/>
    </xf>
    <xf numFmtId="0" fontId="81" fillId="0" borderId="0" xfId="11" applyFont="1" applyAlignment="1" applyProtection="1">
      <alignment horizontal="left" vertical="top" wrapText="1"/>
      <protection locked="0"/>
    </xf>
    <xf numFmtId="0" fontId="81" fillId="0" borderId="0" xfId="11" applyFont="1" applyAlignment="1" applyProtection="1">
      <alignment horizontal="center" vertical="top" wrapText="1"/>
      <protection locked="0"/>
    </xf>
    <xf numFmtId="0" fontId="80" fillId="0" borderId="0" xfId="11" applyFont="1" applyAlignment="1">
      <alignment horizontal="justify" vertical="top" wrapText="1"/>
    </xf>
    <xf numFmtId="0" fontId="71" fillId="0" borderId="0" xfId="11" applyFont="1" applyAlignment="1" applyProtection="1">
      <alignment horizontal="left" vertical="top" wrapText="1"/>
      <protection locked="0"/>
    </xf>
    <xf numFmtId="0" fontId="69" fillId="0" borderId="0" xfId="11" applyFont="1" applyAlignment="1" applyProtection="1">
      <alignment horizontal="justify" vertical="justify" wrapText="1"/>
      <protection locked="0"/>
    </xf>
    <xf numFmtId="0" fontId="70" fillId="0" borderId="0" xfId="11" applyFont="1" applyAlignment="1">
      <alignment horizontal="right"/>
    </xf>
    <xf numFmtId="2" fontId="69" fillId="0" borderId="0" xfId="11" applyNumberFormat="1" applyFont="1"/>
    <xf numFmtId="0" fontId="69" fillId="0" borderId="0" xfId="11" applyFont="1" applyAlignment="1">
      <alignment horizontal="right"/>
    </xf>
    <xf numFmtId="0" fontId="82" fillId="0" borderId="0" xfId="11" applyFont="1" applyAlignment="1">
      <alignment horizontal="center"/>
    </xf>
    <xf numFmtId="2" fontId="73" fillId="0" borderId="0" xfId="11" applyNumberFormat="1" applyFont="1" applyAlignment="1" applyProtection="1">
      <alignment horizontal="center" vertical="top" wrapText="1"/>
      <protection locked="0"/>
    </xf>
    <xf numFmtId="0" fontId="70" fillId="0" borderId="0" xfId="11" applyFont="1" applyAlignment="1">
      <alignment horizontal="left" vertical="top"/>
    </xf>
    <xf numFmtId="0" fontId="69" fillId="0" borderId="0" xfId="11" applyFont="1" applyAlignment="1">
      <alignment vertical="center"/>
    </xf>
    <xf numFmtId="0" fontId="37" fillId="0" borderId="0" xfId="11" applyFont="1" applyAlignment="1">
      <alignment horizontal="left" vertical="center" wrapText="1"/>
    </xf>
    <xf numFmtId="0" fontId="69" fillId="0" borderId="0" xfId="11" applyFont="1" applyAlignment="1">
      <alignment vertical="top" wrapText="1"/>
    </xf>
    <xf numFmtId="2" fontId="69" fillId="0" borderId="0" xfId="11" applyNumberFormat="1" applyFont="1" applyAlignment="1">
      <alignment horizontal="right" vertical="top"/>
    </xf>
    <xf numFmtId="2" fontId="69" fillId="0" borderId="0" xfId="11" applyNumberFormat="1" applyFont="1" applyAlignment="1" applyProtection="1">
      <alignment vertical="top"/>
      <protection locked="0"/>
    </xf>
    <xf numFmtId="0" fontId="69" fillId="0" borderId="0" xfId="11" applyFont="1" applyAlignment="1">
      <alignment horizontal="left" vertical="top" wrapText="1"/>
    </xf>
    <xf numFmtId="2" fontId="70" fillId="0" borderId="0" xfId="11" applyNumberFormat="1" applyFont="1"/>
    <xf numFmtId="0" fontId="69" fillId="0" borderId="0" xfId="11" applyFont="1" applyAlignment="1" applyProtection="1">
      <alignment horizontal="left" wrapText="1"/>
      <protection locked="0"/>
    </xf>
    <xf numFmtId="2" fontId="71" fillId="0" borderId="0" xfId="11" applyNumberFormat="1" applyFont="1" applyAlignment="1" applyProtection="1">
      <alignment horizontal="center" wrapText="1"/>
      <protection locked="0"/>
    </xf>
    <xf numFmtId="2" fontId="71" fillId="0" borderId="0" xfId="11" applyNumberFormat="1" applyFont="1" applyAlignment="1" applyProtection="1">
      <alignment horizontal="right" vertical="top" wrapText="1"/>
      <protection locked="0"/>
    </xf>
    <xf numFmtId="2" fontId="69" fillId="0" borderId="0" xfId="11" applyNumberFormat="1" applyFont="1" applyAlignment="1">
      <alignment horizontal="right"/>
    </xf>
    <xf numFmtId="0" fontId="70" fillId="0" borderId="0" xfId="11" applyFont="1" applyAlignment="1" applyProtection="1">
      <alignment horizontal="left" vertical="top" wrapText="1"/>
      <protection locked="0"/>
    </xf>
    <xf numFmtId="0" fontId="70" fillId="0" borderId="0" xfId="11" applyFont="1" applyAlignment="1">
      <alignment horizontal="right" vertical="top" wrapText="1"/>
    </xf>
    <xf numFmtId="2" fontId="69" fillId="0" borderId="0" xfId="11" applyNumberFormat="1" applyFont="1" applyAlignment="1" applyProtection="1">
      <alignment horizontal="center" vertical="top"/>
      <protection locked="0"/>
    </xf>
    <xf numFmtId="2" fontId="69" fillId="0" borderId="0" xfId="11" applyNumberFormat="1" applyFont="1" applyAlignment="1" applyProtection="1">
      <alignment horizontal="right" vertical="top"/>
      <protection locked="0"/>
    </xf>
    <xf numFmtId="0" fontId="70" fillId="0" borderId="0" xfId="11" applyFont="1" applyAlignment="1" applyProtection="1">
      <alignment horizontal="left"/>
      <protection locked="0"/>
    </xf>
    <xf numFmtId="0" fontId="69" fillId="0" borderId="0" xfId="11" applyFont="1" applyAlignment="1" applyProtection="1">
      <alignment horizontal="right" vertical="top" wrapText="1"/>
      <protection locked="0"/>
    </xf>
    <xf numFmtId="0" fontId="2" fillId="12" borderId="0" xfId="11" applyFill="1"/>
    <xf numFmtId="0" fontId="71" fillId="12" borderId="0" xfId="11" applyFont="1" applyFill="1" applyAlignment="1" applyProtection="1">
      <alignment horizontal="center" vertical="top" wrapText="1"/>
      <protection locked="0"/>
    </xf>
    <xf numFmtId="0" fontId="70" fillId="0" borderId="0" xfId="11" applyFont="1" applyAlignment="1">
      <alignment horizontal="center"/>
    </xf>
    <xf numFmtId="0" fontId="2" fillId="0" borderId="0" xfId="11" applyAlignment="1" applyProtection="1">
      <alignment horizontal="center" vertical="top"/>
      <protection locked="0"/>
    </xf>
    <xf numFmtId="2" fontId="2" fillId="0" borderId="0" xfId="11" applyNumberFormat="1" applyAlignment="1" applyProtection="1">
      <alignment horizontal="right" vertical="top"/>
      <protection locked="0"/>
    </xf>
    <xf numFmtId="0" fontId="37" fillId="0" borderId="0" xfId="11" applyFont="1" applyAlignment="1" applyProtection="1">
      <alignment horizontal="left"/>
      <protection locked="0"/>
    </xf>
    <xf numFmtId="2" fontId="70" fillId="0" borderId="0" xfId="11" applyNumberFormat="1" applyFont="1" applyAlignment="1" applyProtection="1">
      <alignment horizontal="right" vertical="top"/>
      <protection locked="0"/>
    </xf>
    <xf numFmtId="2" fontId="70" fillId="0" borderId="0" xfId="11" applyNumberFormat="1" applyFont="1" applyAlignment="1" applyProtection="1">
      <alignment vertical="top"/>
      <protection locked="0"/>
    </xf>
    <xf numFmtId="0" fontId="35" fillId="0" borderId="0" xfId="11" applyFont="1" applyAlignment="1" applyProtection="1">
      <alignment horizontal="left" vertical="top" wrapText="1"/>
      <protection locked="0"/>
    </xf>
    <xf numFmtId="166" fontId="69" fillId="0" borderId="0" xfId="11" applyNumberFormat="1" applyFont="1" applyAlignment="1" applyProtection="1">
      <alignment horizontal="center" vertical="top"/>
      <protection locked="0"/>
    </xf>
    <xf numFmtId="0" fontId="70" fillId="0" borderId="0" xfId="11" applyFont="1" applyAlignment="1" applyProtection="1">
      <alignment horizontal="right"/>
      <protection locked="0"/>
    </xf>
    <xf numFmtId="0" fontId="70" fillId="0" borderId="0" xfId="11" applyFont="1" applyAlignment="1">
      <alignment vertical="top" wrapText="1"/>
    </xf>
    <xf numFmtId="0" fontId="84" fillId="0" borderId="0" xfId="11" applyFont="1" applyAlignment="1">
      <alignment horizontal="center" vertical="center"/>
    </xf>
    <xf numFmtId="0" fontId="84" fillId="0" borderId="0" xfId="11" applyFont="1" applyAlignment="1">
      <alignment horizontal="center" vertical="center" wrapText="1"/>
    </xf>
    <xf numFmtId="4" fontId="84" fillId="0" borderId="0" xfId="11" applyNumberFormat="1" applyFont="1" applyAlignment="1">
      <alignment horizontal="center" vertical="center" wrapText="1"/>
    </xf>
    <xf numFmtId="0" fontId="69" fillId="0" borderId="0" xfId="11" applyFont="1" applyAlignment="1">
      <alignment horizontal="center" vertical="center" wrapText="1"/>
    </xf>
    <xf numFmtId="4" fontId="69" fillId="0" borderId="0" xfId="11" applyNumberFormat="1" applyFont="1" applyAlignment="1">
      <alignment horizontal="center" vertical="center" wrapText="1"/>
    </xf>
    <xf numFmtId="0" fontId="70" fillId="0" borderId="0" xfId="11" applyFont="1" applyAlignment="1">
      <alignment horizontal="justify" vertical="top" wrapText="1"/>
    </xf>
    <xf numFmtId="0" fontId="34" fillId="0" borderId="0" xfId="11" applyFont="1" applyAlignment="1">
      <alignment horizontal="center" wrapText="1"/>
    </xf>
    <xf numFmtId="0" fontId="83" fillId="0" borderId="0" xfId="11" applyFont="1" applyAlignment="1">
      <alignment horizontal="left" vertical="top"/>
    </xf>
    <xf numFmtId="0" fontId="70" fillId="0" borderId="0" xfId="11" applyFont="1" applyAlignment="1">
      <alignment horizontal="center" vertical="top" wrapText="1"/>
    </xf>
    <xf numFmtId="4" fontId="83" fillId="0" borderId="0" xfId="11" applyNumberFormat="1" applyFont="1"/>
    <xf numFmtId="0" fontId="70" fillId="0" borderId="0" xfId="11" applyFont="1" applyAlignment="1">
      <alignment horizontal="left" vertical="top" wrapText="1"/>
    </xf>
    <xf numFmtId="4" fontId="70" fillId="0" borderId="0" xfId="11" applyNumberFormat="1" applyFont="1" applyAlignment="1">
      <alignment horizontal="center" vertical="center" wrapText="1"/>
    </xf>
    <xf numFmtId="0" fontId="34" fillId="0" borderId="0" xfId="11" applyFont="1" applyAlignment="1">
      <alignment horizontal="center" vertical="top" wrapText="1"/>
    </xf>
    <xf numFmtId="0" fontId="34" fillId="0" borderId="0" xfId="11" applyFont="1" applyAlignment="1">
      <alignment horizontal="center" vertical="center" wrapText="1"/>
    </xf>
    <xf numFmtId="4" fontId="34" fillId="0" borderId="0" xfId="11" applyNumberFormat="1" applyFont="1" applyAlignment="1">
      <alignment horizontal="center" vertical="center" wrapText="1"/>
    </xf>
    <xf numFmtId="4" fontId="6" fillId="0" borderId="0" xfId="11" applyNumberFormat="1" applyFont="1" applyAlignment="1">
      <alignment horizontal="center" vertical="center" wrapText="1"/>
    </xf>
    <xf numFmtId="0" fontId="69" fillId="0" borderId="0" xfId="11" applyFont="1" applyAlignment="1">
      <alignment horizontal="justify" vertical="top"/>
    </xf>
    <xf numFmtId="43" fontId="69" fillId="0" borderId="0" xfId="14" applyFont="1" applyBorder="1" applyAlignment="1" applyProtection="1">
      <alignment horizontal="left" indent="1"/>
      <protection locked="0"/>
    </xf>
    <xf numFmtId="0" fontId="69" fillId="0" borderId="0" xfId="11" applyFont="1" applyAlignment="1">
      <alignment vertical="top"/>
    </xf>
    <xf numFmtId="0" fontId="85" fillId="0" borderId="0" xfId="11" applyFont="1" applyAlignment="1">
      <alignment horizontal="justify" vertical="top"/>
    </xf>
    <xf numFmtId="0" fontId="70" fillId="0" borderId="0" xfId="11" applyFont="1" applyAlignment="1">
      <alignment horizontal="justify" vertical="top"/>
    </xf>
    <xf numFmtId="0" fontId="70" fillId="0" borderId="0" xfId="11" applyFont="1" applyAlignment="1">
      <alignment horizontal="center" vertical="top"/>
    </xf>
    <xf numFmtId="0" fontId="69" fillId="0" borderId="0" xfId="16" applyFont="1" applyAlignment="1">
      <alignment horizontal="justify" vertical="top"/>
    </xf>
    <xf numFmtId="2" fontId="69" fillId="0" borderId="22" xfId="11" applyNumberFormat="1" applyFont="1" applyBorder="1" applyAlignment="1" applyProtection="1">
      <alignment horizontal="center" vertical="top"/>
      <protection locked="0"/>
    </xf>
    <xf numFmtId="0" fontId="70" fillId="0" borderId="0" xfId="11" applyFont="1" applyAlignment="1">
      <alignment vertical="top"/>
    </xf>
    <xf numFmtId="43" fontId="69" fillId="0" borderId="0" xfId="14" applyFont="1" applyAlignment="1" applyProtection="1">
      <alignment horizontal="left" indent="1"/>
      <protection locked="0"/>
    </xf>
    <xf numFmtId="43" fontId="70" fillId="0" borderId="0" xfId="11" applyNumberFormat="1" applyFont="1"/>
    <xf numFmtId="0" fontId="36" fillId="0" borderId="0" xfId="11" applyFont="1" applyAlignment="1">
      <alignment horizontal="right" vertical="center"/>
    </xf>
    <xf numFmtId="0" fontId="36" fillId="0" borderId="0" xfId="11" applyFont="1" applyAlignment="1">
      <alignment horizontal="center" vertical="center"/>
    </xf>
    <xf numFmtId="0" fontId="36" fillId="0" borderId="0" xfId="11" applyFont="1" applyAlignment="1">
      <alignment vertical="center"/>
    </xf>
    <xf numFmtId="0" fontId="36" fillId="0" borderId="10" xfId="11" applyFont="1" applyBorder="1" applyAlignment="1">
      <alignment vertical="center"/>
    </xf>
    <xf numFmtId="0" fontId="36" fillId="0" borderId="10" xfId="11" applyFont="1" applyBorder="1" applyAlignment="1">
      <alignment horizontal="center" vertical="center"/>
    </xf>
    <xf numFmtId="0" fontId="36" fillId="0" borderId="10" xfId="11" applyFont="1" applyBorder="1" applyAlignment="1">
      <alignment horizontal="right" vertical="center"/>
    </xf>
    <xf numFmtId="0" fontId="87" fillId="7" borderId="10" xfId="11" applyFont="1" applyFill="1" applyBorder="1" applyAlignment="1">
      <alignment horizontal="center" vertical="center"/>
    </xf>
    <xf numFmtId="0" fontId="87" fillId="7" borderId="10" xfId="11" applyFont="1" applyFill="1" applyBorder="1" applyAlignment="1">
      <alignment horizontal="center" vertical="center" wrapText="1"/>
    </xf>
    <xf numFmtId="0" fontId="87" fillId="0" borderId="0" xfId="11" applyFont="1" applyAlignment="1">
      <alignment horizontal="center" vertical="center"/>
    </xf>
    <xf numFmtId="0" fontId="87" fillId="7" borderId="10" xfId="11" applyFont="1" applyFill="1" applyBorder="1"/>
    <xf numFmtId="0" fontId="89" fillId="7" borderId="10" xfId="11" applyFont="1" applyFill="1" applyBorder="1" applyAlignment="1">
      <alignment vertical="center"/>
    </xf>
    <xf numFmtId="0" fontId="89" fillId="7" borderId="10" xfId="11" applyFont="1" applyFill="1" applyBorder="1" applyAlignment="1">
      <alignment horizontal="center"/>
    </xf>
    <xf numFmtId="0" fontId="89" fillId="7" borderId="10" xfId="11" applyFont="1" applyFill="1" applyBorder="1" applyAlignment="1">
      <alignment horizontal="right"/>
    </xf>
    <xf numFmtId="0" fontId="89" fillId="7" borderId="10" xfId="11" applyFont="1" applyFill="1" applyBorder="1" applyAlignment="1">
      <alignment horizontal="right" vertical="top"/>
    </xf>
    <xf numFmtId="0" fontId="89" fillId="7" borderId="10" xfId="11" applyFont="1" applyFill="1" applyBorder="1" applyAlignment="1">
      <alignment vertical="top"/>
    </xf>
    <xf numFmtId="0" fontId="89" fillId="0" borderId="0" xfId="11" applyFont="1" applyAlignment="1">
      <alignment vertical="top"/>
    </xf>
    <xf numFmtId="0" fontId="87" fillId="0" borderId="0" xfId="11" applyFont="1"/>
    <xf numFmtId="0" fontId="2" fillId="7" borderId="10" xfId="11" applyFill="1" applyBorder="1" applyAlignment="1">
      <alignment horizontal="center" vertical="top" wrapText="1"/>
    </xf>
    <xf numFmtId="0" fontId="90" fillId="7" borderId="10" xfId="11" applyFont="1" applyFill="1" applyBorder="1" applyAlignment="1">
      <alignment horizontal="justify" vertical="top" wrapText="1"/>
    </xf>
    <xf numFmtId="0" fontId="2" fillId="7" borderId="10" xfId="11" applyFill="1" applyBorder="1" applyAlignment="1">
      <alignment horizontal="center"/>
    </xf>
    <xf numFmtId="1" fontId="2" fillId="7" borderId="10" xfId="11" applyNumberFormat="1" applyFill="1" applyBorder="1" applyAlignment="1">
      <alignment horizontal="center"/>
    </xf>
    <xf numFmtId="2" fontId="2" fillId="7" borderId="10" xfId="11" applyNumberFormat="1" applyFill="1" applyBorder="1" applyAlignment="1">
      <alignment horizontal="center"/>
    </xf>
    <xf numFmtId="0" fontId="2" fillId="7" borderId="10" xfId="11" applyFill="1" applyBorder="1" applyAlignment="1">
      <alignment horizontal="justify" vertical="top" wrapText="1"/>
    </xf>
    <xf numFmtId="0" fontId="90" fillId="7" borderId="10" xfId="11" applyFont="1" applyFill="1" applyBorder="1" applyAlignment="1">
      <alignment horizontal="center" vertical="top" wrapText="1"/>
    </xf>
    <xf numFmtId="0" fontId="90" fillId="7" borderId="10" xfId="11" applyFont="1" applyFill="1" applyBorder="1" applyAlignment="1">
      <alignment horizontal="center"/>
    </xf>
    <xf numFmtId="1" fontId="90" fillId="7" borderId="10" xfId="11" applyNumberFormat="1" applyFont="1" applyFill="1" applyBorder="1" applyAlignment="1">
      <alignment horizontal="center"/>
    </xf>
    <xf numFmtId="2" fontId="90" fillId="7" borderId="10" xfId="11" applyNumberFormat="1" applyFont="1" applyFill="1" applyBorder="1" applyAlignment="1">
      <alignment horizontal="center"/>
    </xf>
    <xf numFmtId="0" fontId="90" fillId="7" borderId="10" xfId="11" applyFont="1" applyFill="1" applyBorder="1" applyAlignment="1">
      <alignment horizontal="center" wrapText="1"/>
    </xf>
    <xf numFmtId="0" fontId="90" fillId="0" borderId="0" xfId="11" applyFont="1"/>
    <xf numFmtId="1" fontId="2" fillId="7" borderId="10" xfId="11" applyNumberFormat="1" applyFill="1" applyBorder="1" applyAlignment="1">
      <alignment horizontal="left" indent="2"/>
    </xf>
    <xf numFmtId="0" fontId="37" fillId="0" borderId="0" xfId="11" applyFont="1" applyAlignment="1">
      <alignment vertical="top"/>
    </xf>
    <xf numFmtId="2" fontId="91" fillId="7" borderId="10" xfId="11" applyNumberFormat="1" applyFont="1" applyFill="1" applyBorder="1" applyAlignment="1">
      <alignment horizontal="center"/>
    </xf>
    <xf numFmtId="1" fontId="90" fillId="7" borderId="10" xfId="11" applyNumberFormat="1" applyFont="1" applyFill="1" applyBorder="1" applyAlignment="1">
      <alignment horizontal="center" vertical="top"/>
    </xf>
    <xf numFmtId="0" fontId="90" fillId="7" borderId="0" xfId="11" applyFont="1" applyFill="1" applyAlignment="1">
      <alignment vertical="center"/>
    </xf>
    <xf numFmtId="0" fontId="2" fillId="7" borderId="10" xfId="11" applyFill="1" applyBorder="1" applyAlignment="1">
      <alignment horizontal="center" vertical="center" wrapText="1"/>
    </xf>
    <xf numFmtId="0" fontId="37" fillId="7" borderId="10" xfId="11" applyFont="1" applyFill="1" applyBorder="1" applyAlignment="1">
      <alignment horizontal="justify" vertical="center" wrapText="1"/>
    </xf>
    <xf numFmtId="0" fontId="2" fillId="7" borderId="10" xfId="11" applyFill="1" applyBorder="1" applyAlignment="1">
      <alignment horizontal="center" vertical="center"/>
    </xf>
    <xf numFmtId="0" fontId="90" fillId="0" borderId="10" xfId="11" applyFont="1" applyBorder="1" applyAlignment="1">
      <alignment horizontal="center" vertical="top" wrapText="1"/>
    </xf>
    <xf numFmtId="0" fontId="90" fillId="0" borderId="10" xfId="11" applyFont="1" applyBorder="1" applyAlignment="1">
      <alignment horizontal="justify" vertical="top" wrapText="1"/>
    </xf>
    <xf numFmtId="0" fontId="90" fillId="0" borderId="10" xfId="11" applyFont="1" applyBorder="1" applyAlignment="1">
      <alignment horizontal="center"/>
    </xf>
    <xf numFmtId="1" fontId="90" fillId="0" borderId="10" xfId="11" applyNumberFormat="1" applyFont="1" applyBorder="1" applyAlignment="1">
      <alignment horizontal="center"/>
    </xf>
    <xf numFmtId="2" fontId="90" fillId="0" borderId="10" xfId="11" applyNumberFormat="1" applyFont="1" applyBorder="1" applyAlignment="1">
      <alignment horizontal="center"/>
    </xf>
    <xf numFmtId="0" fontId="90" fillId="0" borderId="10" xfId="11" applyFont="1" applyBorder="1" applyAlignment="1">
      <alignment horizontal="left"/>
    </xf>
    <xf numFmtId="0" fontId="2" fillId="0" borderId="10" xfId="11" applyBorder="1" applyAlignment="1">
      <alignment horizontal="center" vertical="top" wrapText="1"/>
    </xf>
    <xf numFmtId="0" fontId="2" fillId="0" borderId="10" xfId="11" applyBorder="1" applyAlignment="1">
      <alignment wrapText="1"/>
    </xf>
    <xf numFmtId="0" fontId="90" fillId="12" borderId="10" xfId="11" applyFont="1" applyFill="1" applyBorder="1" applyAlignment="1">
      <alignment horizontal="left" vertical="top" wrapText="1"/>
    </xf>
    <xf numFmtId="0" fontId="2" fillId="7" borderId="10" xfId="11" applyFill="1" applyBorder="1" applyAlignment="1">
      <alignment horizontal="center" wrapText="1"/>
    </xf>
    <xf numFmtId="0" fontId="90" fillId="7" borderId="10" xfId="11" applyFont="1" applyFill="1" applyBorder="1" applyAlignment="1">
      <alignment horizontal="left" vertical="top" wrapText="1"/>
    </xf>
    <xf numFmtId="43" fontId="90" fillId="7" borderId="10" xfId="14" applyFont="1" applyFill="1" applyBorder="1" applyAlignment="1">
      <alignment horizontal="center"/>
    </xf>
    <xf numFmtId="0" fontId="87" fillId="7" borderId="10" xfId="11" applyFont="1" applyFill="1" applyBorder="1" applyAlignment="1">
      <alignment horizontal="center"/>
    </xf>
    <xf numFmtId="0" fontId="2" fillId="7" borderId="10" xfId="11" applyFill="1" applyBorder="1" applyAlignment="1">
      <alignment horizontal="left" vertical="top" wrapText="1"/>
    </xf>
    <xf numFmtId="43" fontId="2" fillId="7" borderId="10" xfId="14" applyFont="1" applyFill="1" applyBorder="1" applyAlignment="1">
      <alignment horizontal="center"/>
    </xf>
    <xf numFmtId="0" fontId="36" fillId="7" borderId="10" xfId="11" applyFont="1" applyFill="1" applyBorder="1" applyAlignment="1">
      <alignment horizontal="center"/>
    </xf>
    <xf numFmtId="0" fontId="36" fillId="7" borderId="10" xfId="11" applyFont="1" applyFill="1" applyBorder="1" applyAlignment="1">
      <alignment horizontal="center" vertical="top" wrapText="1"/>
    </xf>
    <xf numFmtId="0" fontId="90" fillId="7" borderId="21" xfId="11" applyFont="1" applyFill="1" applyBorder="1" applyAlignment="1">
      <alignment horizontal="center" vertical="top" wrapText="1"/>
    </xf>
    <xf numFmtId="0" fontId="90" fillId="7" borderId="21" xfId="11" applyFont="1" applyFill="1" applyBorder="1" applyAlignment="1">
      <alignment horizontal="justify" vertical="top" wrapText="1"/>
    </xf>
    <xf numFmtId="0" fontId="90" fillId="7" borderId="21" xfId="11" applyFont="1" applyFill="1" applyBorder="1" applyAlignment="1">
      <alignment horizontal="center"/>
    </xf>
    <xf numFmtId="1" fontId="90" fillId="7" borderId="21" xfId="11" applyNumberFormat="1" applyFont="1" applyFill="1" applyBorder="1" applyAlignment="1">
      <alignment horizontal="center"/>
    </xf>
    <xf numFmtId="2" fontId="90" fillId="7" borderId="21" xfId="11" applyNumberFormat="1" applyFont="1" applyFill="1" applyBorder="1" applyAlignment="1">
      <alignment horizontal="center"/>
    </xf>
    <xf numFmtId="0" fontId="90" fillId="0" borderId="0" xfId="11" applyFont="1" applyAlignment="1">
      <alignment vertical="center"/>
    </xf>
    <xf numFmtId="0" fontId="87" fillId="7" borderId="10" xfId="11" applyFont="1" applyFill="1" applyBorder="1" applyAlignment="1">
      <alignment horizontal="center" vertical="top" wrapText="1"/>
    </xf>
    <xf numFmtId="0" fontId="89" fillId="7" borderId="10" xfId="11" applyFont="1" applyFill="1" applyBorder="1" applyAlignment="1">
      <alignment horizontal="justify" vertical="center" wrapText="1"/>
    </xf>
    <xf numFmtId="2" fontId="87" fillId="7" borderId="10" xfId="11" applyNumberFormat="1" applyFont="1" applyFill="1" applyBorder="1" applyAlignment="1">
      <alignment horizontal="center"/>
    </xf>
    <xf numFmtId="0" fontId="87" fillId="0" borderId="0" xfId="11" applyFont="1" applyAlignment="1">
      <alignment vertical="center"/>
    </xf>
    <xf numFmtId="0" fontId="2" fillId="12" borderId="0" xfId="11" applyFill="1" applyAlignment="1">
      <alignment vertical="center"/>
    </xf>
    <xf numFmtId="2" fontId="90" fillId="7" borderId="10" xfId="11" applyNumberFormat="1" applyFont="1" applyFill="1" applyBorder="1" applyAlignment="1">
      <alignment horizontal="center" wrapText="1"/>
    </xf>
    <xf numFmtId="0" fontId="90" fillId="7" borderId="10" xfId="11" applyFont="1" applyFill="1" applyBorder="1" applyAlignment="1">
      <alignment horizontal="center" vertical="top"/>
    </xf>
    <xf numFmtId="0" fontId="63" fillId="7" borderId="10" xfId="11" applyFont="1" applyFill="1" applyBorder="1" applyAlignment="1">
      <alignment horizontal="justify" vertical="top" wrapText="1"/>
    </xf>
    <xf numFmtId="0" fontId="90" fillId="7" borderId="0" xfId="11" applyFont="1" applyFill="1"/>
    <xf numFmtId="0" fontId="90" fillId="7" borderId="10" xfId="11" applyFont="1" applyFill="1" applyBorder="1" applyAlignment="1">
      <alignment horizontal="justify" vertical="top"/>
    </xf>
    <xf numFmtId="0" fontId="2" fillId="7" borderId="10" xfId="11" applyFill="1" applyBorder="1" applyAlignment="1">
      <alignment horizontal="center" vertical="top"/>
    </xf>
    <xf numFmtId="166" fontId="2" fillId="7" borderId="10" xfId="11" applyNumberFormat="1" applyFill="1" applyBorder="1" applyAlignment="1">
      <alignment horizontal="center" wrapText="1"/>
    </xf>
    <xf numFmtId="2" fontId="2" fillId="7" borderId="10" xfId="11" applyNumberFormat="1" applyFill="1" applyBorder="1" applyAlignment="1">
      <alignment horizontal="center" wrapText="1"/>
    </xf>
    <xf numFmtId="0" fontId="37" fillId="7" borderId="10" xfId="11" applyFont="1" applyFill="1" applyBorder="1" applyAlignment="1">
      <alignment horizontal="center" vertical="center" wrapText="1"/>
    </xf>
    <xf numFmtId="0" fontId="37" fillId="0" borderId="0" xfId="11" applyFont="1" applyAlignment="1">
      <alignment horizontal="justify" vertical="center" wrapText="1"/>
    </xf>
    <xf numFmtId="0" fontId="2" fillId="7" borderId="0" xfId="11" applyFill="1"/>
    <xf numFmtId="49" fontId="2" fillId="7" borderId="10" xfId="11" applyNumberFormat="1" applyFill="1" applyBorder="1" applyAlignment="1">
      <alignment horizontal="center" vertical="top"/>
    </xf>
    <xf numFmtId="0" fontId="37" fillId="7" borderId="10" xfId="11" applyFont="1" applyFill="1" applyBorder="1" applyAlignment="1">
      <alignment horizontal="justify" vertical="top" wrapText="1"/>
    </xf>
    <xf numFmtId="0" fontId="2" fillId="7" borderId="10" xfId="11" applyFill="1" applyBorder="1"/>
    <xf numFmtId="0" fontId="2" fillId="7" borderId="0" xfId="11" applyFill="1" applyAlignment="1">
      <alignment vertical="center"/>
    </xf>
    <xf numFmtId="0" fontId="2" fillId="0" borderId="10" xfId="11" applyBorder="1" applyAlignment="1">
      <alignment horizontal="left" vertical="top" wrapText="1"/>
    </xf>
    <xf numFmtId="1" fontId="2" fillId="7" borderId="10" xfId="11" applyNumberFormat="1" applyFill="1" applyBorder="1" applyAlignment="1">
      <alignment horizontal="center" wrapText="1"/>
    </xf>
    <xf numFmtId="0" fontId="90" fillId="7" borderId="10" xfId="11" applyFont="1" applyFill="1" applyBorder="1" applyAlignment="1">
      <alignment wrapText="1"/>
    </xf>
    <xf numFmtId="0" fontId="63" fillId="7" borderId="10" xfId="11" applyFont="1" applyFill="1" applyBorder="1" applyAlignment="1">
      <alignment vertical="center"/>
    </xf>
    <xf numFmtId="0" fontId="90" fillId="7" borderId="10" xfId="11" applyFont="1" applyFill="1" applyBorder="1" applyAlignment="1">
      <alignment horizontal="center" vertical="center"/>
    </xf>
    <xf numFmtId="0" fontId="2" fillId="7" borderId="10" xfId="11" applyFill="1" applyBorder="1" applyAlignment="1">
      <alignment horizontal="center" vertical="justify"/>
    </xf>
    <xf numFmtId="0" fontId="90" fillId="7" borderId="10" xfId="11" applyFont="1" applyFill="1" applyBorder="1" applyAlignment="1">
      <alignment horizontal="left" vertical="center"/>
    </xf>
    <xf numFmtId="2" fontId="78" fillId="7" borderId="10" xfId="15" applyNumberFormat="1" applyFill="1" applyBorder="1" applyAlignment="1" applyProtection="1">
      <alignment horizontal="center"/>
    </xf>
    <xf numFmtId="0" fontId="37" fillId="0" borderId="10" xfId="11" applyFont="1" applyBorder="1"/>
    <xf numFmtId="0" fontId="36" fillId="0" borderId="0" xfId="11" applyFont="1" applyAlignment="1">
      <alignment horizontal="right"/>
    </xf>
    <xf numFmtId="2" fontId="2" fillId="0" borderId="10" xfId="11" applyNumberFormat="1" applyBorder="1" applyAlignment="1">
      <alignment horizontal="left" vertical="top"/>
    </xf>
    <xf numFmtId="0" fontId="69" fillId="0" borderId="10" xfId="11" applyFont="1" applyBorder="1" applyAlignment="1">
      <alignment horizontal="left" vertical="top"/>
    </xf>
    <xf numFmtId="0" fontId="80" fillId="0" borderId="10" xfId="11" applyFont="1" applyBorder="1" applyAlignment="1">
      <alignment horizontal="left" vertical="center"/>
    </xf>
    <xf numFmtId="0" fontId="2" fillId="0" borderId="10" xfId="11" applyBorder="1" applyAlignment="1">
      <alignment horizontal="justify" vertical="center"/>
    </xf>
    <xf numFmtId="2" fontId="2" fillId="0" borderId="10" xfId="11" applyNumberFormat="1" applyBorder="1" applyAlignment="1">
      <alignment horizontal="left" vertical="center"/>
    </xf>
    <xf numFmtId="0" fontId="80" fillId="0" borderId="10" xfId="11" applyFont="1" applyBorder="1" applyAlignment="1">
      <alignment horizontal="center" vertical="center"/>
    </xf>
    <xf numFmtId="0" fontId="80" fillId="0" borderId="10" xfId="11" applyFont="1" applyBorder="1" applyAlignment="1">
      <alignment horizontal="left"/>
    </xf>
    <xf numFmtId="2" fontId="80" fillId="0" borderId="10" xfId="11" applyNumberFormat="1" applyFont="1" applyBorder="1" applyAlignment="1">
      <alignment horizontal="left" vertical="top"/>
    </xf>
    <xf numFmtId="0" fontId="80" fillId="0" borderId="0" xfId="11" applyFont="1" applyAlignment="1">
      <alignment horizontal="left"/>
    </xf>
    <xf numFmtId="2" fontId="80" fillId="0" borderId="10" xfId="11" applyNumberFormat="1" applyFont="1" applyBorder="1" applyAlignment="1">
      <alignment horizontal="left"/>
    </xf>
    <xf numFmtId="0" fontId="92" fillId="0" borderId="0" xfId="11" applyFont="1" applyAlignment="1">
      <alignment horizontal="left"/>
    </xf>
    <xf numFmtId="0" fontId="80" fillId="0" borderId="10" xfId="11" applyFont="1" applyBorder="1" applyAlignment="1">
      <alignment horizontal="justify" vertical="top" wrapText="1"/>
    </xf>
    <xf numFmtId="2" fontId="80" fillId="0" borderId="10" xfId="11" applyNumberFormat="1" applyFont="1" applyBorder="1" applyAlignment="1">
      <alignment horizontal="center"/>
    </xf>
    <xf numFmtId="1" fontId="80" fillId="0" borderId="10" xfId="11" applyNumberFormat="1" applyFont="1" applyBorder="1" applyAlignment="1">
      <alignment horizontal="center"/>
    </xf>
    <xf numFmtId="2" fontId="80" fillId="0" borderId="0" xfId="11" applyNumberFormat="1" applyFont="1" applyAlignment="1">
      <alignment horizontal="center"/>
    </xf>
    <xf numFmtId="0" fontId="90" fillId="0" borderId="10" xfId="11" applyFont="1" applyBorder="1"/>
    <xf numFmtId="0" fontId="90" fillId="0" borderId="10" xfId="11" applyFont="1" applyBorder="1" applyAlignment="1">
      <alignment horizontal="center" wrapText="1"/>
    </xf>
    <xf numFmtId="0" fontId="90" fillId="0" borderId="0" xfId="11" applyFont="1" applyAlignment="1">
      <alignment horizontal="center" wrapText="1"/>
    </xf>
    <xf numFmtId="0" fontId="90" fillId="0" borderId="10" xfId="11" applyFont="1" applyBorder="1" applyAlignment="1">
      <alignment horizontal="center" vertical="top"/>
    </xf>
    <xf numFmtId="0" fontId="90" fillId="0" borderId="10" xfId="11" applyFont="1" applyBorder="1" applyAlignment="1">
      <alignment horizontal="left" vertical="top" wrapText="1"/>
    </xf>
    <xf numFmtId="2" fontId="90" fillId="0" borderId="10" xfId="11" applyNumberFormat="1" applyFont="1" applyBorder="1" applyAlignment="1">
      <alignment horizontal="left" vertical="center"/>
    </xf>
    <xf numFmtId="2" fontId="90" fillId="0" borderId="0" xfId="11" applyNumberFormat="1" applyFont="1" applyAlignment="1">
      <alignment horizontal="center" vertical="center"/>
    </xf>
    <xf numFmtId="0" fontId="71" fillId="0" borderId="10" xfId="11" applyFont="1" applyBorder="1" applyAlignment="1">
      <alignment horizontal="left" vertical="top"/>
    </xf>
    <xf numFmtId="2" fontId="90" fillId="0" borderId="10" xfId="11" applyNumberFormat="1" applyFont="1" applyBorder="1" applyAlignment="1">
      <alignment horizontal="left" vertical="top"/>
    </xf>
    <xf numFmtId="2" fontId="90" fillId="0" borderId="0" xfId="11" applyNumberFormat="1" applyFont="1" applyAlignment="1">
      <alignment horizontal="center" vertical="top"/>
    </xf>
    <xf numFmtId="0" fontId="71" fillId="0" borderId="10" xfId="11" applyFont="1" applyBorder="1" applyAlignment="1">
      <alignment horizontal="center" vertical="top"/>
    </xf>
    <xf numFmtId="0" fontId="90" fillId="0" borderId="10" xfId="11" applyFont="1" applyBorder="1" applyAlignment="1">
      <alignment horizontal="left" vertical="top"/>
    </xf>
    <xf numFmtId="0" fontId="36" fillId="0" borderId="0" xfId="11" applyFont="1" applyAlignment="1">
      <alignment horizontal="center"/>
    </xf>
    <xf numFmtId="2" fontId="90" fillId="0" borderId="0" xfId="11" applyNumberFormat="1" applyFont="1" applyAlignment="1">
      <alignment horizontal="right" vertical="top"/>
    </xf>
    <xf numFmtId="0" fontId="80" fillId="0" borderId="0" xfId="11" applyFont="1" applyAlignment="1">
      <alignment horizontal="center"/>
    </xf>
    <xf numFmtId="2" fontId="90" fillId="0" borderId="10" xfId="11" applyNumberFormat="1" applyFont="1" applyBorder="1" applyAlignment="1">
      <alignment horizontal="left"/>
    </xf>
    <xf numFmtId="0" fontId="90" fillId="0" borderId="0" xfId="11" applyFont="1" applyAlignment="1">
      <alignment horizontal="center"/>
    </xf>
    <xf numFmtId="2" fontId="90" fillId="0" borderId="0" xfId="11" applyNumberFormat="1" applyFont="1" applyAlignment="1">
      <alignment horizontal="left"/>
    </xf>
    <xf numFmtId="2" fontId="90" fillId="0" borderId="0" xfId="11" applyNumberFormat="1" applyFont="1" applyAlignment="1">
      <alignment horizontal="center"/>
    </xf>
    <xf numFmtId="0" fontId="64" fillId="10" borderId="32" xfId="0" applyFont="1" applyFill="1" applyBorder="1" applyAlignment="1">
      <alignment horizontal="center" vertical="center" wrapText="1"/>
    </xf>
    <xf numFmtId="0" fontId="64" fillId="10" borderId="33" xfId="0" applyFont="1" applyFill="1" applyBorder="1" applyAlignment="1">
      <alignment horizontal="center" vertical="center" wrapText="1"/>
    </xf>
    <xf numFmtId="0" fontId="27" fillId="0" borderId="0" xfId="0" applyFont="1"/>
    <xf numFmtId="164" fontId="2" fillId="0" borderId="0" xfId="0" applyNumberFormat="1" applyFont="1"/>
    <xf numFmtId="43" fontId="0" fillId="0" borderId="0" xfId="0" applyNumberFormat="1"/>
    <xf numFmtId="0" fontId="32" fillId="0" borderId="0" xfId="11" applyFont="1" applyAlignment="1">
      <alignment vertical="top" wrapText="1"/>
    </xf>
    <xf numFmtId="0" fontId="35" fillId="0" borderId="0" xfId="11" applyFont="1" applyAlignment="1">
      <alignment vertical="top" wrapText="1"/>
    </xf>
    <xf numFmtId="0" fontId="6" fillId="3" borderId="24" xfId="11" applyFont="1" applyFill="1" applyBorder="1" applyAlignment="1">
      <alignment horizontal="left" vertical="center" wrapText="1"/>
    </xf>
    <xf numFmtId="0" fontId="6" fillId="3" borderId="25" xfId="11" applyFont="1" applyFill="1" applyBorder="1" applyAlignment="1">
      <alignment horizontal="left" vertical="center" wrapText="1"/>
    </xf>
    <xf numFmtId="0" fontId="6" fillId="9" borderId="25" xfId="11" applyFont="1" applyFill="1" applyBorder="1" applyAlignment="1">
      <alignment horizontal="left" vertical="center" wrapText="1"/>
    </xf>
    <xf numFmtId="0" fontId="6" fillId="3" borderId="13" xfId="11" applyFont="1" applyFill="1" applyBorder="1" applyAlignment="1">
      <alignment horizontal="left" vertical="center" wrapText="1"/>
    </xf>
    <xf numFmtId="0" fontId="2" fillId="0" borderId="10" xfId="11" applyBorder="1" applyAlignment="1">
      <alignment vertical="center" wrapText="1"/>
    </xf>
    <xf numFmtId="0" fontId="6" fillId="7" borderId="10" xfId="11" applyFont="1" applyFill="1" applyBorder="1" applyAlignment="1">
      <alignment horizontal="left" vertical="center" wrapText="1"/>
    </xf>
    <xf numFmtId="0" fontId="6" fillId="7" borderId="10" xfId="11" applyFont="1" applyFill="1" applyBorder="1" applyAlignment="1">
      <alignment horizontal="center" vertical="center" wrapText="1"/>
    </xf>
    <xf numFmtId="2" fontId="6" fillId="7" borderId="10" xfId="11" applyNumberFormat="1" applyFont="1" applyFill="1" applyBorder="1" applyAlignment="1">
      <alignment horizontal="left" vertical="center" wrapText="1"/>
    </xf>
    <xf numFmtId="171" fontId="6" fillId="7" borderId="10" xfId="11" applyNumberFormat="1" applyFont="1" applyFill="1" applyBorder="1" applyAlignment="1">
      <alignment horizontal="left" vertical="center" wrapText="1"/>
    </xf>
    <xf numFmtId="2" fontId="6" fillId="7" borderId="10" xfId="14" applyNumberFormat="1" applyFont="1" applyFill="1" applyBorder="1" applyAlignment="1">
      <alignment horizontal="left" vertical="center" wrapText="1"/>
    </xf>
    <xf numFmtId="0" fontId="2" fillId="5" borderId="0" xfId="11" applyFill="1"/>
    <xf numFmtId="2" fontId="6" fillId="7" borderId="10" xfId="11" applyNumberFormat="1" applyFont="1" applyFill="1" applyBorder="1" applyAlignment="1">
      <alignment horizontal="left" vertical="center"/>
    </xf>
    <xf numFmtId="43" fontId="6" fillId="7" borderId="10" xfId="14" applyFont="1" applyFill="1" applyBorder="1" applyAlignment="1">
      <alignment horizontal="left" vertical="center" wrapText="1"/>
    </xf>
    <xf numFmtId="173" fontId="0" fillId="0" borderId="10" xfId="17" applyFont="1" applyBorder="1"/>
    <xf numFmtId="0" fontId="27" fillId="0" borderId="10" xfId="0" applyFont="1" applyBorder="1" applyAlignment="1">
      <alignment horizontal="center"/>
    </xf>
    <xf numFmtId="0" fontId="27" fillId="0" borderId="10" xfId="0" applyFont="1" applyBorder="1" applyAlignment="1">
      <alignment horizontal="center" wrapText="1"/>
    </xf>
    <xf numFmtId="0" fontId="0" fillId="0" borderId="10" xfId="0" applyBorder="1"/>
    <xf numFmtId="2" fontId="0" fillId="0" borderId="10" xfId="0" applyNumberFormat="1" applyBorder="1"/>
    <xf numFmtId="0" fontId="27" fillId="0" borderId="10" xfId="0" applyFont="1" applyBorder="1"/>
    <xf numFmtId="2" fontId="27" fillId="0" borderId="10" xfId="0" applyNumberFormat="1" applyFont="1" applyBorder="1"/>
    <xf numFmtId="4" fontId="8" fillId="0" borderId="10" xfId="0" applyNumberFormat="1" applyFont="1" applyBorder="1" applyAlignment="1" applyProtection="1">
      <alignment horizontal="center"/>
      <protection hidden="1"/>
    </xf>
    <xf numFmtId="0" fontId="17" fillId="0" borderId="0" xfId="0" applyFont="1" applyAlignment="1">
      <alignment horizontal="center"/>
    </xf>
    <xf numFmtId="0" fontId="0" fillId="0" borderId="10" xfId="0" applyBorder="1" applyAlignment="1">
      <alignment horizontal="center"/>
    </xf>
    <xf numFmtId="0" fontId="14" fillId="6" borderId="10" xfId="0" applyFont="1" applyFill="1" applyBorder="1" applyAlignment="1" applyProtection="1">
      <alignment horizontal="center"/>
      <protection locked="0" hidden="1"/>
    </xf>
    <xf numFmtId="165" fontId="14" fillId="6" borderId="10" xfId="0" applyNumberFormat="1" applyFont="1" applyFill="1" applyBorder="1" applyAlignment="1" applyProtection="1">
      <alignment horizontal="center"/>
      <protection locked="0" hidden="1"/>
    </xf>
    <xf numFmtId="0" fontId="0" fillId="0" borderId="10" xfId="0" applyBorder="1" applyAlignment="1">
      <alignment horizontal="center" vertical="center"/>
    </xf>
    <xf numFmtId="0" fontId="14" fillId="6" borderId="10" xfId="0" applyFont="1" applyFill="1" applyBorder="1" applyAlignment="1" applyProtection="1">
      <alignment horizontal="center" vertical="center"/>
      <protection locked="0"/>
    </xf>
    <xf numFmtId="0" fontId="14" fillId="6" borderId="10" xfId="0" applyFont="1" applyFill="1" applyBorder="1" applyAlignment="1" applyProtection="1">
      <alignment horizontal="center"/>
      <protection locked="0"/>
    </xf>
    <xf numFmtId="0" fontId="14" fillId="6" borderId="12" xfId="0" applyFont="1" applyFill="1" applyBorder="1" applyAlignment="1" applyProtection="1">
      <alignment horizontal="center"/>
      <protection locked="0"/>
    </xf>
    <xf numFmtId="0" fontId="0" fillId="2" borderId="0" xfId="0" applyFill="1" applyAlignment="1">
      <alignment horizontal="center" wrapText="1"/>
    </xf>
    <xf numFmtId="0" fontId="0" fillId="4" borderId="0" xfId="0" applyFill="1" applyAlignment="1">
      <alignment horizont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4" fillId="6" borderId="10" xfId="0" applyFont="1" applyFill="1" applyBorder="1" applyAlignment="1" applyProtection="1">
      <alignment horizontal="center" vertical="center" wrapText="1"/>
      <protection locked="0"/>
    </xf>
    <xf numFmtId="0" fontId="0" fillId="4" borderId="5" xfId="0" applyFill="1" applyBorder="1" applyAlignment="1">
      <alignment horizontal="center"/>
    </xf>
    <xf numFmtId="0" fontId="0" fillId="4" borderId="6" xfId="0" applyFill="1" applyBorder="1" applyAlignment="1">
      <alignment horizontal="center"/>
    </xf>
    <xf numFmtId="0" fontId="0" fillId="3" borderId="5" xfId="0" applyFill="1" applyBorder="1" applyAlignment="1">
      <alignment horizontal="center" wrapText="1"/>
    </xf>
    <xf numFmtId="0" fontId="0" fillId="3" borderId="0" xfId="0" applyFill="1" applyAlignment="1">
      <alignment horizontal="center" wrapText="1"/>
    </xf>
    <xf numFmtId="0" fontId="0" fillId="3" borderId="6" xfId="0" applyFill="1" applyBorder="1" applyAlignment="1">
      <alignment horizontal="center" wrapText="1"/>
    </xf>
    <xf numFmtId="0" fontId="3" fillId="0" borderId="5" xfId="2" applyFont="1" applyBorder="1" applyAlignment="1" applyProtection="1">
      <alignment horizontal="right" vertical="center"/>
      <protection hidden="1"/>
    </xf>
    <xf numFmtId="0" fontId="3" fillId="0" borderId="0" xfId="2" applyFont="1" applyAlignment="1" applyProtection="1">
      <alignment horizontal="right" vertical="center"/>
      <protection hidden="1"/>
    </xf>
    <xf numFmtId="0" fontId="4" fillId="0" borderId="5" xfId="2" applyFont="1" applyBorder="1" applyAlignment="1" applyProtection="1">
      <alignment horizontal="right" vertical="center"/>
      <protection hidden="1"/>
    </xf>
    <xf numFmtId="0" fontId="4" fillId="0" borderId="0" xfId="2" applyFont="1" applyAlignment="1" applyProtection="1">
      <alignment horizontal="right" vertical="center"/>
      <protection hidden="1"/>
    </xf>
    <xf numFmtId="0" fontId="1" fillId="5" borderId="5" xfId="1" applyFill="1" applyBorder="1" applyAlignment="1" applyProtection="1">
      <alignment horizontal="center"/>
    </xf>
    <xf numFmtId="0" fontId="1" fillId="5" borderId="0" xfId="1" applyFill="1" applyBorder="1" applyAlignment="1" applyProtection="1">
      <alignment horizontal="center"/>
    </xf>
    <xf numFmtId="0" fontId="1" fillId="5" borderId="6" xfId="1" applyFill="1" applyBorder="1" applyAlignment="1" applyProtection="1">
      <alignment horizontal="center"/>
    </xf>
    <xf numFmtId="0" fontId="0" fillId="3" borderId="0" xfId="0" applyFill="1" applyAlignment="1">
      <alignment horizontal="center" vertical="center"/>
    </xf>
    <xf numFmtId="0" fontId="0" fillId="3" borderId="6" xfId="0" applyFill="1" applyBorder="1" applyAlignment="1">
      <alignment horizontal="center" vertical="center"/>
    </xf>
    <xf numFmtId="0" fontId="21" fillId="2" borderId="0" xfId="0" applyFont="1" applyFill="1" applyAlignment="1" applyProtection="1">
      <alignment horizontal="center"/>
      <protection hidden="1"/>
    </xf>
    <xf numFmtId="0" fontId="21" fillId="0" borderId="11" xfId="0" applyFont="1" applyBorder="1" applyAlignment="1" applyProtection="1">
      <alignment horizontal="center"/>
      <protection hidden="1"/>
    </xf>
    <xf numFmtId="0" fontId="21" fillId="0" borderId="13" xfId="0" applyFont="1" applyBorder="1" applyAlignment="1" applyProtection="1">
      <alignment horizontal="center"/>
      <protection hidden="1"/>
    </xf>
    <xf numFmtId="0" fontId="20" fillId="7" borderId="11" xfId="0" applyFont="1" applyFill="1" applyBorder="1" applyAlignment="1" applyProtection="1">
      <alignment horizontal="center"/>
      <protection hidden="1"/>
    </xf>
    <xf numFmtId="0" fontId="20" fillId="7" borderId="13" xfId="0" applyFont="1" applyFill="1" applyBorder="1" applyAlignment="1" applyProtection="1">
      <alignment horizontal="center"/>
      <protection hidden="1"/>
    </xf>
    <xf numFmtId="0" fontId="22" fillId="0" borderId="11" xfId="0" applyFont="1" applyBorder="1" applyAlignment="1" applyProtection="1">
      <alignment horizontal="center" vertical="top" wrapText="1"/>
      <protection hidden="1"/>
    </xf>
    <xf numFmtId="0" fontId="22" fillId="0" borderId="17" xfId="0" applyFont="1" applyBorder="1" applyAlignment="1" applyProtection="1">
      <alignment horizontal="center" vertical="top" wrapText="1"/>
      <protection hidden="1"/>
    </xf>
    <xf numFmtId="0" fontId="22" fillId="0" borderId="13" xfId="0" applyFont="1" applyBorder="1" applyAlignment="1" applyProtection="1">
      <alignment horizontal="center" vertical="top" wrapText="1"/>
      <protection hidden="1"/>
    </xf>
    <xf numFmtId="0" fontId="23" fillId="0" borderId="11" xfId="0" applyFont="1" applyBorder="1" applyAlignment="1">
      <alignment horizontal="left"/>
    </xf>
    <xf numFmtId="0" fontId="23" fillId="0" borderId="13" xfId="0" applyFont="1" applyBorder="1" applyAlignment="1">
      <alignment horizontal="left"/>
    </xf>
    <xf numFmtId="0" fontId="21" fillId="5" borderId="0" xfId="0" applyFont="1" applyFill="1" applyAlignment="1" applyProtection="1">
      <alignment horizontal="center" wrapText="1"/>
      <protection hidden="1"/>
    </xf>
    <xf numFmtId="0" fontId="21" fillId="0" borderId="1" xfId="0" applyFont="1" applyBorder="1" applyAlignment="1" applyProtection="1">
      <alignment horizontal="center"/>
      <protection hidden="1"/>
    </xf>
    <xf numFmtId="0" fontId="21" fillId="0" borderId="18" xfId="0" applyFont="1" applyBorder="1" applyAlignment="1" applyProtection="1">
      <alignment horizontal="center"/>
      <protection hidden="1"/>
    </xf>
    <xf numFmtId="0" fontId="25" fillId="0" borderId="10" xfId="0" applyFont="1" applyBorder="1" applyAlignment="1" applyProtection="1">
      <alignment horizontal="center"/>
      <protection hidden="1"/>
    </xf>
    <xf numFmtId="0" fontId="24" fillId="0" borderId="11" xfId="0" applyFont="1" applyBorder="1" applyAlignment="1" applyProtection="1">
      <alignment horizontal="center"/>
      <protection hidden="1"/>
    </xf>
    <xf numFmtId="0" fontId="24" fillId="0" borderId="17" xfId="0" applyFont="1" applyBorder="1" applyAlignment="1" applyProtection="1">
      <alignment horizontal="center"/>
      <protection hidden="1"/>
    </xf>
    <xf numFmtId="0" fontId="24" fillId="0" borderId="13" xfId="0" applyFont="1" applyBorder="1" applyAlignment="1" applyProtection="1">
      <alignment horizontal="center"/>
      <protection hidden="1"/>
    </xf>
    <xf numFmtId="0" fontId="20" fillId="0" borderId="12" xfId="0" applyFont="1" applyBorder="1" applyAlignment="1" applyProtection="1">
      <alignment horizontal="center" vertical="center" wrapText="1"/>
      <protection hidden="1"/>
    </xf>
    <xf numFmtId="0" fontId="20" fillId="0" borderId="20" xfId="0" applyFont="1" applyBorder="1" applyAlignment="1" applyProtection="1">
      <alignment horizontal="center" vertical="center" wrapText="1"/>
      <protection hidden="1"/>
    </xf>
    <xf numFmtId="0" fontId="20" fillId="0" borderId="21" xfId="0" applyFont="1" applyBorder="1" applyAlignment="1" applyProtection="1">
      <alignment horizontal="center" vertical="center" wrapText="1"/>
      <protection hidden="1"/>
    </xf>
    <xf numFmtId="0" fontId="22" fillId="0" borderId="11" xfId="6" applyFont="1" applyBorder="1" applyAlignment="1" applyProtection="1">
      <alignment horizontal="center" vertical="center"/>
      <protection hidden="1"/>
    </xf>
    <xf numFmtId="0" fontId="22" fillId="0" borderId="17" xfId="6" applyFont="1" applyBorder="1" applyAlignment="1" applyProtection="1">
      <alignment horizontal="center" vertical="center"/>
      <protection hidden="1"/>
    </xf>
    <xf numFmtId="0" fontId="22" fillId="0" borderId="13" xfId="6" applyFont="1" applyBorder="1" applyAlignment="1" applyProtection="1">
      <alignment horizontal="center" vertical="center"/>
      <protection hidden="1"/>
    </xf>
    <xf numFmtId="0" fontId="20" fillId="0" borderId="11" xfId="6" applyFont="1" applyBorder="1" applyAlignment="1" applyProtection="1">
      <alignment horizontal="center" vertical="center"/>
      <protection hidden="1"/>
    </xf>
    <xf numFmtId="0" fontId="20" fillId="0" borderId="17" xfId="6" applyFont="1" applyBorder="1" applyAlignment="1" applyProtection="1">
      <alignment horizontal="center" vertical="center"/>
      <protection hidden="1"/>
    </xf>
    <xf numFmtId="0" fontId="20" fillId="0" borderId="13" xfId="6" applyFont="1" applyBorder="1" applyAlignment="1" applyProtection="1">
      <alignment horizontal="center" vertical="center"/>
      <protection hidden="1"/>
    </xf>
    <xf numFmtId="0" fontId="23" fillId="0" borderId="17" xfId="0" applyFont="1" applyBorder="1" applyAlignment="1">
      <alignment horizontal="left"/>
    </xf>
    <xf numFmtId="0" fontId="5" fillId="6" borderId="10" xfId="0" applyFont="1" applyFill="1" applyBorder="1" applyAlignment="1" applyProtection="1">
      <alignment horizontal="center"/>
      <protection hidden="1"/>
    </xf>
    <xf numFmtId="0" fontId="5" fillId="0" borderId="0" xfId="0" applyFont="1" applyAlignment="1" applyProtection="1">
      <alignment horizontal="center"/>
      <protection hidden="1"/>
    </xf>
    <xf numFmtId="0" fontId="5" fillId="0" borderId="1" xfId="0" applyFont="1" applyBorder="1" applyAlignment="1" applyProtection="1">
      <alignment horizontal="center"/>
      <protection hidden="1"/>
    </xf>
    <xf numFmtId="0" fontId="8" fillId="0" borderId="10" xfId="0" applyFont="1" applyBorder="1" applyAlignment="1" applyProtection="1">
      <alignment horizontal="center"/>
      <protection hidden="1"/>
    </xf>
    <xf numFmtId="0" fontId="6" fillId="6" borderId="10" xfId="0" applyFont="1" applyFill="1" applyBorder="1" applyAlignment="1" applyProtection="1">
      <alignment horizontal="center"/>
      <protection hidden="1"/>
    </xf>
    <xf numFmtId="0" fontId="6" fillId="0" borderId="0" xfId="0" applyFont="1" applyAlignment="1" applyProtection="1">
      <alignment horizontal="center" wrapText="1"/>
      <protection hidden="1"/>
    </xf>
    <xf numFmtId="0" fontId="5" fillId="2" borderId="0" xfId="0" applyFont="1" applyFill="1" applyAlignment="1" applyProtection="1">
      <alignment horizontal="center" wrapText="1"/>
      <protection hidden="1"/>
    </xf>
    <xf numFmtId="0" fontId="8" fillId="0" borderId="2" xfId="0" applyFont="1" applyBorder="1" applyAlignment="1" applyProtection="1">
      <alignment horizontal="center" wrapText="1"/>
      <protection hidden="1"/>
    </xf>
    <xf numFmtId="0" fontId="8" fillId="0" borderId="3" xfId="0" applyFont="1" applyBorder="1" applyAlignment="1" applyProtection="1">
      <alignment horizontal="center" wrapText="1"/>
      <protection hidden="1"/>
    </xf>
    <xf numFmtId="0" fontId="8" fillId="0" borderId="4" xfId="0" applyFont="1" applyBorder="1" applyAlignment="1" applyProtection="1">
      <alignment horizontal="center" wrapText="1"/>
      <protection hidden="1"/>
    </xf>
    <xf numFmtId="0" fontId="8" fillId="0" borderId="5" xfId="0" applyFont="1" applyBorder="1" applyAlignment="1" applyProtection="1">
      <alignment horizontal="center" wrapText="1"/>
      <protection hidden="1"/>
    </xf>
    <xf numFmtId="0" fontId="8" fillId="0" borderId="0" xfId="0" applyFont="1" applyAlignment="1" applyProtection="1">
      <alignment horizontal="center" wrapText="1"/>
      <protection hidden="1"/>
    </xf>
    <xf numFmtId="0" fontId="8" fillId="0" borderId="6" xfId="0" applyFont="1" applyBorder="1" applyAlignment="1" applyProtection="1">
      <alignment horizontal="center" wrapText="1"/>
      <protection hidden="1"/>
    </xf>
    <xf numFmtId="0" fontId="8" fillId="0" borderId="7" xfId="0" applyFont="1" applyBorder="1" applyAlignment="1" applyProtection="1">
      <alignment horizontal="center" wrapText="1"/>
      <protection hidden="1"/>
    </xf>
    <xf numFmtId="0" fontId="8" fillId="0" borderId="8" xfId="0" applyFont="1" applyBorder="1" applyAlignment="1" applyProtection="1">
      <alignment horizontal="center" wrapText="1"/>
      <protection hidden="1"/>
    </xf>
    <xf numFmtId="0" fontId="8" fillId="0" borderId="9" xfId="0" applyFont="1" applyBorder="1" applyAlignment="1" applyProtection="1">
      <alignment horizontal="center" wrapText="1"/>
      <protection hidden="1"/>
    </xf>
    <xf numFmtId="0" fontId="5" fillId="0" borderId="0" xfId="0" applyFont="1" applyAlignment="1" applyProtection="1">
      <alignment horizontal="left"/>
      <protection hidden="1"/>
    </xf>
    <xf numFmtId="0" fontId="6" fillId="0" borderId="0" xfId="0" applyFont="1" applyAlignment="1" applyProtection="1">
      <alignment horizontal="center"/>
      <protection hidden="1"/>
    </xf>
    <xf numFmtId="0" fontId="28" fillId="8" borderId="11" xfId="11" applyFont="1" applyFill="1" applyBorder="1" applyAlignment="1">
      <alignment horizontal="center" vertical="top" wrapText="1"/>
    </xf>
    <xf numFmtId="0" fontId="28" fillId="8" borderId="17" xfId="11" applyFont="1" applyFill="1" applyBorder="1" applyAlignment="1">
      <alignment horizontal="center" vertical="top" wrapText="1"/>
    </xf>
    <xf numFmtId="0" fontId="28" fillId="8" borderId="13" xfId="11" applyFont="1" applyFill="1" applyBorder="1" applyAlignment="1">
      <alignment horizontal="center" vertical="top" wrapText="1"/>
    </xf>
    <xf numFmtId="1" fontId="35" fillId="0" borderId="0" xfId="11" applyNumberFormat="1" applyFont="1" applyAlignment="1">
      <alignment horizontal="center" vertical="top"/>
    </xf>
    <xf numFmtId="2" fontId="2" fillId="0" borderId="11" xfId="11" applyNumberFormat="1" applyBorder="1" applyAlignment="1">
      <alignment horizontal="center"/>
    </xf>
    <xf numFmtId="2" fontId="2" fillId="0" borderId="13" xfId="11" applyNumberFormat="1" applyBorder="1" applyAlignment="1">
      <alignment horizontal="center"/>
    </xf>
    <xf numFmtId="4" fontId="38" fillId="0" borderId="10" xfId="11" applyNumberFormat="1" applyFont="1" applyBorder="1" applyAlignment="1">
      <alignment horizontal="center"/>
    </xf>
    <xf numFmtId="4" fontId="37" fillId="0" borderId="10" xfId="11" applyNumberFormat="1" applyFont="1" applyBorder="1" applyAlignment="1">
      <alignment horizontal="center"/>
    </xf>
    <xf numFmtId="2" fontId="2" fillId="0" borderId="11" xfId="11" applyNumberFormat="1" applyBorder="1" applyAlignment="1">
      <alignment horizontal="center" vertical="top"/>
    </xf>
    <xf numFmtId="2" fontId="2" fillId="0" borderId="13" xfId="11" applyNumberFormat="1" applyBorder="1" applyAlignment="1">
      <alignment horizontal="center" vertical="top"/>
    </xf>
    <xf numFmtId="2" fontId="2" fillId="0" borderId="11" xfId="11" applyNumberFormat="1" applyBorder="1" applyAlignment="1">
      <alignment horizontal="center" vertical="center"/>
    </xf>
    <xf numFmtId="2" fontId="2" fillId="0" borderId="13" xfId="11" applyNumberFormat="1" applyBorder="1" applyAlignment="1">
      <alignment horizontal="center" vertical="center"/>
    </xf>
    <xf numFmtId="4" fontId="38" fillId="0" borderId="21" xfId="11" applyNumberFormat="1" applyFont="1" applyBorder="1" applyAlignment="1">
      <alignment horizontal="center"/>
    </xf>
    <xf numFmtId="4" fontId="35" fillId="0" borderId="21" xfId="11" applyNumberFormat="1" applyFont="1" applyBorder="1" applyAlignment="1">
      <alignment horizontal="center"/>
    </xf>
    <xf numFmtId="0" fontId="27" fillId="0" borderId="0" xfId="0" applyFont="1" applyAlignment="1">
      <alignment horizontal="center"/>
    </xf>
    <xf numFmtId="0" fontId="41" fillId="0" borderId="0" xfId="11" applyFont="1" applyAlignment="1">
      <alignment horizontal="center" vertical="top" wrapText="1"/>
    </xf>
    <xf numFmtId="0" fontId="42" fillId="0" borderId="0" xfId="11" applyFont="1" applyAlignment="1">
      <alignment horizontal="center" wrapText="1"/>
    </xf>
    <xf numFmtId="0" fontId="43" fillId="0" borderId="0" xfId="11" applyFont="1" applyAlignment="1">
      <alignment horizontal="center" vertical="top" wrapText="1"/>
    </xf>
    <xf numFmtId="0" fontId="44" fillId="0" borderId="0" xfId="11" applyFont="1" applyAlignment="1">
      <alignment horizontal="center" vertical="top" wrapText="1"/>
    </xf>
    <xf numFmtId="0" fontId="45" fillId="0" borderId="0" xfId="11" applyFont="1" applyAlignment="1">
      <alignment vertical="top" wrapText="1"/>
    </xf>
    <xf numFmtId="0" fontId="53" fillId="0" borderId="0" xfId="11" applyFont="1" applyAlignment="1">
      <alignment horizontal="center" wrapText="1"/>
    </xf>
    <xf numFmtId="0" fontId="54" fillId="0" borderId="0" xfId="11" applyFont="1" applyAlignment="1">
      <alignment horizontal="center" vertical="center" wrapText="1"/>
    </xf>
    <xf numFmtId="0" fontId="55" fillId="0" borderId="0" xfId="11" applyFont="1" applyAlignment="1">
      <alignment horizontal="center" vertical="center" wrapText="1"/>
    </xf>
    <xf numFmtId="0" fontId="45" fillId="0" borderId="0" xfId="11" applyFont="1" applyAlignment="1">
      <alignment wrapText="1"/>
    </xf>
    <xf numFmtId="0" fontId="2" fillId="0" borderId="31" xfId="11" applyBorder="1" applyAlignment="1">
      <alignment wrapText="1"/>
    </xf>
    <xf numFmtId="0" fontId="62" fillId="11" borderId="10" xfId="0" applyFont="1" applyFill="1" applyBorder="1" applyAlignment="1">
      <alignment horizontal="center" vertical="center" wrapText="1"/>
    </xf>
    <xf numFmtId="0" fontId="57" fillId="0" borderId="0" xfId="0" applyFont="1" applyAlignment="1">
      <alignment horizontal="center" wrapText="1"/>
    </xf>
    <xf numFmtId="0" fontId="58" fillId="0" borderId="0" xfId="0" applyFont="1" applyAlignment="1">
      <alignment horizontal="center" wrapText="1"/>
    </xf>
    <xf numFmtId="0" fontId="59" fillId="0" borderId="0" xfId="0" applyFont="1" applyAlignment="1">
      <alignment horizontal="center" vertical="center" wrapText="1"/>
    </xf>
    <xf numFmtId="0" fontId="60" fillId="0" borderId="0" xfId="0" applyFont="1" applyAlignment="1">
      <alignment vertical="center" wrapText="1"/>
    </xf>
    <xf numFmtId="0" fontId="63" fillId="11" borderId="10" xfId="0" applyFont="1" applyFill="1" applyBorder="1" applyAlignment="1">
      <alignment horizontal="center" vertical="center" wrapText="1"/>
    </xf>
    <xf numFmtId="0" fontId="62" fillId="11" borderId="21" xfId="0" applyFont="1" applyFill="1" applyBorder="1" applyAlignment="1">
      <alignment horizontal="center" vertical="center" wrapText="1"/>
    </xf>
    <xf numFmtId="0" fontId="35" fillId="0" borderId="0" xfId="0" applyFont="1" applyAlignment="1">
      <alignment vertical="center" wrapText="1"/>
    </xf>
    <xf numFmtId="168" fontId="67" fillId="0" borderId="1" xfId="0" applyNumberFormat="1" applyFont="1" applyBorder="1" applyAlignment="1">
      <alignment horizontal="left" vertical="center" wrapText="1" indent="12"/>
    </xf>
    <xf numFmtId="0" fontId="62" fillId="11" borderId="34" xfId="0" applyFont="1" applyFill="1" applyBorder="1" applyAlignment="1">
      <alignment horizontal="center" vertical="center" wrapText="1"/>
    </xf>
    <xf numFmtId="0" fontId="62" fillId="11" borderId="36" xfId="0" applyFont="1" applyFill="1" applyBorder="1" applyAlignment="1">
      <alignment horizontal="center" vertical="center" wrapText="1"/>
    </xf>
    <xf numFmtId="0" fontId="62" fillId="11" borderId="32" xfId="0" applyFont="1" applyFill="1" applyBorder="1" applyAlignment="1">
      <alignment horizontal="center" vertical="center" wrapText="1"/>
    </xf>
    <xf numFmtId="0" fontId="62" fillId="11" borderId="37" xfId="0" applyFont="1" applyFill="1" applyBorder="1" applyAlignment="1">
      <alignment horizontal="center" vertical="center" wrapText="1"/>
    </xf>
    <xf numFmtId="0" fontId="63" fillId="11" borderId="35" xfId="0" applyFont="1" applyFill="1" applyBorder="1" applyAlignment="1">
      <alignment horizontal="center" vertical="center" wrapText="1"/>
    </xf>
    <xf numFmtId="0" fontId="63" fillId="11" borderId="38" xfId="0" applyFont="1" applyFill="1" applyBorder="1" applyAlignment="1">
      <alignment horizontal="center" vertical="center" wrapText="1"/>
    </xf>
    <xf numFmtId="0" fontId="68" fillId="7" borderId="1" xfId="0" applyFont="1" applyFill="1" applyBorder="1" applyAlignment="1">
      <alignment horizontal="center" vertical="center" wrapText="1"/>
    </xf>
    <xf numFmtId="0" fontId="68" fillId="7" borderId="18" xfId="0" applyFont="1" applyFill="1" applyBorder="1" applyAlignment="1">
      <alignment horizontal="center" vertical="center" wrapText="1"/>
    </xf>
    <xf numFmtId="0" fontId="0" fillId="0" borderId="12" xfId="0" applyBorder="1" applyAlignment="1">
      <alignment horizontal="center" vertical="center"/>
    </xf>
    <xf numFmtId="0" fontId="0" fillId="0" borderId="20" xfId="0" applyBorder="1" applyAlignment="1">
      <alignment horizontal="center" vertical="center"/>
    </xf>
    <xf numFmtId="0" fontId="27" fillId="3" borderId="12" xfId="0" applyFont="1" applyFill="1" applyBorder="1" applyAlignment="1">
      <alignment horizontal="center" vertical="center" wrapText="1"/>
    </xf>
    <xf numFmtId="0" fontId="27" fillId="3" borderId="39"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10" xfId="0" applyFont="1" applyFill="1" applyBorder="1" applyAlignment="1">
      <alignment horizontal="center" vertical="center"/>
    </xf>
    <xf numFmtId="0" fontId="27" fillId="3" borderId="12" xfId="0" applyFont="1" applyFill="1" applyBorder="1" applyAlignment="1">
      <alignment horizontal="center" vertical="center"/>
    </xf>
    <xf numFmtId="172" fontId="27" fillId="0" borderId="42" xfId="0" applyNumberFormat="1" applyFont="1" applyBorder="1" applyAlignment="1">
      <alignment horizontal="center" vertical="center"/>
    </xf>
    <xf numFmtId="172" fontId="27" fillId="0" borderId="44" xfId="0" applyNumberFormat="1" applyFont="1" applyBorder="1" applyAlignment="1">
      <alignment horizontal="center" vertical="center"/>
    </xf>
    <xf numFmtId="172" fontId="27" fillId="0" borderId="46" xfId="0" applyNumberFormat="1" applyFont="1" applyBorder="1" applyAlignment="1">
      <alignment horizontal="center" vertical="center"/>
    </xf>
    <xf numFmtId="0" fontId="27" fillId="0" borderId="21" xfId="0" applyFont="1" applyBorder="1" applyAlignment="1">
      <alignment horizontal="center" vertical="center"/>
    </xf>
    <xf numFmtId="0" fontId="27" fillId="0" borderId="40" xfId="0" applyFont="1" applyBorder="1" applyAlignment="1">
      <alignment horizontal="center" vertical="center"/>
    </xf>
    <xf numFmtId="0" fontId="27" fillId="0" borderId="43" xfId="0" applyFont="1" applyBorder="1" applyAlignment="1">
      <alignment horizontal="center" vertical="center"/>
    </xf>
    <xf numFmtId="0" fontId="27" fillId="0" borderId="45" xfId="0" applyFont="1" applyBorder="1" applyAlignment="1">
      <alignment horizontal="center" vertical="center"/>
    </xf>
    <xf numFmtId="0" fontId="27" fillId="0" borderId="41"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39" xfId="0" applyFont="1" applyBorder="1" applyAlignment="1">
      <alignment horizontal="center" vertical="center" wrapText="1"/>
    </xf>
    <xf numFmtId="172" fontId="0" fillId="0" borderId="41" xfId="0" applyNumberFormat="1" applyBorder="1" applyAlignment="1">
      <alignment horizontal="center" vertical="center"/>
    </xf>
    <xf numFmtId="172" fontId="0" fillId="0" borderId="20" xfId="0" applyNumberFormat="1" applyBorder="1" applyAlignment="1">
      <alignment horizontal="center" vertical="center"/>
    </xf>
    <xf numFmtId="172" fontId="0" fillId="0" borderId="39" xfId="0" applyNumberFormat="1" applyBorder="1" applyAlignment="1">
      <alignment horizontal="center" vertical="center"/>
    </xf>
    <xf numFmtId="0" fontId="0" fillId="0" borderId="41" xfId="0" applyBorder="1" applyAlignment="1">
      <alignment horizontal="center" vertical="center"/>
    </xf>
    <xf numFmtId="0" fontId="0" fillId="0" borderId="39" xfId="0" applyBorder="1" applyAlignment="1">
      <alignment horizontal="center" vertical="center"/>
    </xf>
    <xf numFmtId="0" fontId="27" fillId="0" borderId="19" xfId="0" applyFont="1" applyBorder="1" applyAlignment="1">
      <alignment horizontal="center" vertical="center"/>
    </xf>
    <xf numFmtId="0" fontId="37" fillId="0" borderId="1" xfId="11" applyFont="1" applyBorder="1" applyAlignment="1">
      <alignment horizontal="center"/>
    </xf>
    <xf numFmtId="0" fontId="83" fillId="0" borderId="0" xfId="11" applyFont="1" applyAlignment="1">
      <alignment horizontal="left" vertical="center" wrapText="1"/>
    </xf>
    <xf numFmtId="0" fontId="37" fillId="0" borderId="0" xfId="11" applyFont="1" applyAlignment="1">
      <alignment horizontal="left" vertical="center" wrapText="1"/>
    </xf>
    <xf numFmtId="0" fontId="71" fillId="0" borderId="10" xfId="11" applyFont="1" applyBorder="1" applyAlignment="1">
      <alignment horizontal="center" vertical="top"/>
    </xf>
    <xf numFmtId="0" fontId="71" fillId="0" borderId="10" xfId="11" applyFont="1" applyBorder="1" applyAlignment="1">
      <alignment horizontal="left" vertical="top"/>
    </xf>
    <xf numFmtId="0" fontId="80" fillId="0" borderId="10" xfId="11" applyFont="1" applyBorder="1" applyAlignment="1">
      <alignment horizontal="left" vertical="center"/>
    </xf>
    <xf numFmtId="0" fontId="86" fillId="0" borderId="10" xfId="11" applyFont="1" applyBorder="1" applyAlignment="1">
      <alignment vertical="center" wrapText="1"/>
    </xf>
    <xf numFmtId="0" fontId="2" fillId="0" borderId="10" xfId="11" applyBorder="1" applyAlignment="1">
      <alignment vertical="center"/>
    </xf>
    <xf numFmtId="0" fontId="2" fillId="0" borderId="10" xfId="11" applyBorder="1" applyAlignment="1">
      <alignment horizontal="left" vertical="top" wrapText="1"/>
    </xf>
    <xf numFmtId="0" fontId="2" fillId="0" borderId="10" xfId="11" applyBorder="1" applyAlignment="1">
      <alignment horizontal="left" vertical="top"/>
    </xf>
    <xf numFmtId="0" fontId="90" fillId="0" borderId="10" xfId="11" applyFont="1" applyBorder="1" applyAlignment="1">
      <alignment horizontal="left" vertical="top" wrapText="1"/>
    </xf>
    <xf numFmtId="0" fontId="52" fillId="10" borderId="35" xfId="0" applyFont="1" applyFill="1" applyBorder="1" applyAlignment="1">
      <alignment horizontal="center" vertical="top" wrapText="1"/>
    </xf>
    <xf numFmtId="0" fontId="52" fillId="10" borderId="0" xfId="0" applyFont="1" applyFill="1" applyAlignment="1">
      <alignment horizontal="center" vertical="top" wrapText="1"/>
    </xf>
    <xf numFmtId="0" fontId="52" fillId="10" borderId="23" xfId="0" applyFont="1" applyFill="1" applyBorder="1" applyAlignment="1">
      <alignment horizontal="center" vertical="top" wrapText="1"/>
    </xf>
    <xf numFmtId="0" fontId="62" fillId="11" borderId="12" xfId="0" applyFont="1" applyFill="1" applyBorder="1" applyAlignment="1">
      <alignment horizontal="center" vertical="center" wrapText="1"/>
    </xf>
    <xf numFmtId="0" fontId="32" fillId="0" borderId="0" xfId="11" applyFont="1" applyAlignment="1">
      <alignment horizontal="center" vertical="top" wrapText="1"/>
    </xf>
    <xf numFmtId="0" fontId="35" fillId="0" borderId="1" xfId="11" applyFont="1" applyBorder="1" applyAlignment="1">
      <alignment horizontal="center" vertical="top" wrapText="1"/>
    </xf>
    <xf numFmtId="0" fontId="2" fillId="0" borderId="11" xfId="11" applyBorder="1" applyAlignment="1">
      <alignment horizontal="center" vertical="center"/>
    </xf>
    <xf numFmtId="0" fontId="2" fillId="0" borderId="13" xfId="11" applyBorder="1" applyAlignment="1">
      <alignment horizontal="center" vertical="center"/>
    </xf>
    <xf numFmtId="0" fontId="10" fillId="6" borderId="10" xfId="3" applyFont="1" applyFill="1" applyBorder="1" applyAlignment="1" applyProtection="1">
      <alignment horizontal="center" vertical="center"/>
      <protection hidden="1"/>
    </xf>
    <xf numFmtId="0" fontId="11" fillId="6" borderId="15" xfId="0" applyFont="1" applyFill="1" applyBorder="1" applyAlignment="1" applyProtection="1">
      <alignment horizontal="center" vertical="center"/>
      <protection locked="0" hidden="1"/>
    </xf>
    <xf numFmtId="0" fontId="11" fillId="0" borderId="16" xfId="0" applyFont="1" applyBorder="1" applyAlignment="1" applyProtection="1">
      <alignment horizontal="left" vertical="center" indent="2"/>
      <protection hidden="1"/>
    </xf>
    <xf numFmtId="0" fontId="12" fillId="0" borderId="0" xfId="3" applyFont="1" applyAlignment="1" applyProtection="1">
      <alignment horizontal="justify" vertical="top"/>
      <protection hidden="1"/>
    </xf>
    <xf numFmtId="167" fontId="10" fillId="6" borderId="10" xfId="3" applyNumberFormat="1" applyFont="1" applyFill="1" applyBorder="1" applyAlignment="1" applyProtection="1">
      <alignment horizontal="left" vertical="center" indent="1"/>
      <protection hidden="1"/>
    </xf>
    <xf numFmtId="0" fontId="11" fillId="0" borderId="14" xfId="0" applyFont="1" applyBorder="1" applyAlignment="1" applyProtection="1">
      <alignment horizontal="left" vertical="center" indent="2"/>
      <protection hidden="1"/>
    </xf>
    <xf numFmtId="0" fontId="11" fillId="0" borderId="0" xfId="0" applyFont="1" applyAlignment="1" applyProtection="1">
      <alignment horizontal="left" vertical="center" indent="2"/>
      <protection hidden="1"/>
    </xf>
    <xf numFmtId="0" fontId="11" fillId="0" borderId="15" xfId="0" applyFont="1" applyBorder="1" applyAlignment="1" applyProtection="1">
      <alignment horizontal="left" vertical="center" indent="2"/>
      <protection hidden="1"/>
    </xf>
    <xf numFmtId="0" fontId="13" fillId="0" borderId="0" xfId="3" applyFont="1" applyAlignment="1" applyProtection="1">
      <alignment horizontal="justify" vertical="center"/>
      <protection hidden="1"/>
    </xf>
    <xf numFmtId="0" fontId="0" fillId="0" borderId="0" xfId="3" applyFont="1" applyAlignment="1" applyProtection="1">
      <alignment horizontal="justify" vertical="top"/>
      <protection hidden="1"/>
    </xf>
    <xf numFmtId="0" fontId="11" fillId="0" borderId="0" xfId="3" applyFont="1" applyAlignment="1" applyProtection="1">
      <alignment horizontal="justify" vertical="top"/>
      <protection hidden="1"/>
    </xf>
    <xf numFmtId="0" fontId="0" fillId="0" borderId="0" xfId="3" applyFont="1" applyAlignment="1" applyProtection="1">
      <alignment vertical="top" wrapText="1"/>
      <protection hidden="1"/>
    </xf>
    <xf numFmtId="0" fontId="0" fillId="0" borderId="0" xfId="0" applyAlignment="1" applyProtection="1">
      <alignment vertical="top" wrapText="1"/>
      <protection hidden="1"/>
    </xf>
    <xf numFmtId="0" fontId="12" fillId="0" borderId="0" xfId="3" applyFont="1" applyAlignment="1" applyProtection="1">
      <alignment horizontal="justify" vertical="center"/>
      <protection hidden="1"/>
    </xf>
    <xf numFmtId="0" fontId="10" fillId="0" borderId="0" xfId="3" applyFont="1" applyAlignment="1" applyProtection="1">
      <alignment horizontal="center" vertical="center"/>
      <protection hidden="1"/>
    </xf>
    <xf numFmtId="0" fontId="0" fillId="6" borderId="0" xfId="3" applyFont="1" applyFill="1" applyAlignment="1" applyProtection="1">
      <alignment horizontal="left" vertical="center"/>
      <protection locked="0" hidden="1"/>
    </xf>
    <xf numFmtId="0" fontId="11" fillId="6" borderId="0" xfId="3" applyFont="1" applyFill="1" applyAlignment="1" applyProtection="1">
      <alignment horizontal="left" vertical="center"/>
      <protection locked="0" hidden="1"/>
    </xf>
    <xf numFmtId="167" fontId="11" fillId="0" borderId="0" xfId="3" applyNumberFormat="1" applyFont="1" applyAlignment="1" applyProtection="1">
      <alignment horizontal="left" vertical="center"/>
      <protection hidden="1"/>
    </xf>
    <xf numFmtId="0" fontId="12" fillId="2" borderId="0" xfId="3" applyFont="1" applyFill="1" applyAlignment="1" applyProtection="1">
      <alignment horizontal="justify" vertical="top"/>
      <protection hidden="1"/>
    </xf>
    <xf numFmtId="10" fontId="21" fillId="6" borderId="13" xfId="0" applyNumberFormat="1" applyFont="1" applyFill="1" applyBorder="1" applyProtection="1">
      <protection locked="0"/>
    </xf>
  </cellXfs>
  <cellStyles count="18">
    <cellStyle name="Comma 11" xfId="14" xr:uid="{C8F3B15E-7CAF-4A55-9798-BAD6499864E7}"/>
    <cellStyle name="Comma 2" xfId="7" xr:uid="{00000000-0005-0000-0000-000000000000}"/>
    <cellStyle name="Comma 3" xfId="12" xr:uid="{79D73786-6776-4C79-A538-359147EFB274}"/>
    <cellStyle name="Comma 4" xfId="13" xr:uid="{7283FE58-31E7-48C9-A42E-C904AB43326C}"/>
    <cellStyle name="Currency 2" xfId="17" xr:uid="{55B3F983-3ACD-478F-A74C-351B80D03992}"/>
    <cellStyle name="Hyperlink" xfId="1" builtinId="8"/>
    <cellStyle name="Hyperlink 2" xfId="8" xr:uid="{00000000-0005-0000-0000-000002000000}"/>
    <cellStyle name="Hyperlink 3" xfId="15" xr:uid="{0C3396F3-C19F-499D-AB5D-E9530B8E0D80}"/>
    <cellStyle name="Normal" xfId="0" builtinId="0"/>
    <cellStyle name="Normal 12" xfId="11" xr:uid="{943A2589-B592-4A31-8DEA-1F9407965023}"/>
    <cellStyle name="Normal 2" xfId="6" xr:uid="{00000000-0005-0000-0000-000004000000}"/>
    <cellStyle name="Normal 3" xfId="10" xr:uid="{DC926A02-16C0-45DA-AAA0-82F8116A0A21}"/>
    <cellStyle name="Normal_Annexures TW 04" xfId="3" xr:uid="{00000000-0005-0000-0000-000005000000}"/>
    <cellStyle name="Normal_Attach 3(JV)" xfId="5" xr:uid="{00000000-0005-0000-0000-000006000000}"/>
    <cellStyle name="Normal_BOQ" xfId="16" xr:uid="{90E27780-6017-4057-B398-9B91176B6EA4}"/>
    <cellStyle name="Normal_Price_Schedules for Insulator Package Rev-01" xfId="2" xr:uid="{00000000-0005-0000-0000-000007000000}"/>
    <cellStyle name="Normal_PRICE-SCHE Bihar-Rev-2-corrections_Annexures TW 04" xfId="4" xr:uid="{00000000-0005-0000-0000-000008000000}"/>
    <cellStyle name="Style 1" xfId="9" xr:uid="{00000000-0005-0000-0000-000003000000}"/>
  </cellStyles>
  <dxfs count="0"/>
  <tableStyles count="0" defaultTableStyle="TableStyleMedium9" defaultPivotStyle="PivotStyleLight16"/>
  <colors>
    <mruColors>
      <color rgb="FF339933"/>
      <color rgb="FF00CC00"/>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13</xdr:row>
      <xdr:rowOff>57150</xdr:rowOff>
    </xdr:from>
    <xdr:to>
      <xdr:col>11</xdr:col>
      <xdr:colOff>605561</xdr:colOff>
      <xdr:row>16</xdr:row>
      <xdr:rowOff>191177</xdr:rowOff>
    </xdr:to>
    <xdr:pic>
      <xdr:nvPicPr>
        <xdr:cNvPr id="2" name="Picture 1" descr="Logo PNG.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886325" y="3810000"/>
          <a:ext cx="2691536" cy="8579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0</xdr:row>
          <xdr:rowOff>0</xdr:rowOff>
        </xdr:from>
        <xdr:to>
          <xdr:col>2</xdr:col>
          <xdr:colOff>571500</xdr:colOff>
          <xdr:row>1</xdr:row>
          <xdr:rowOff>66675</xdr:rowOff>
        </xdr:to>
        <xdr:sp macro="" textlink="">
          <xdr:nvSpPr>
            <xdr:cNvPr id="19457" name="Control 1" hidden="1">
              <a:extLst>
                <a:ext uri="{63B3BB69-23CF-44E3-9099-C40C66FF867C}">
                  <a14:compatExt spid="_x0000_s19457"/>
                </a:ext>
                <a:ext uri="{FF2B5EF4-FFF2-40B4-BE49-F238E27FC236}">
                  <a16:creationId xmlns:a16="http://schemas.microsoft.com/office/drawing/2014/main" id="{00000000-0008-0000-1200-000001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2</xdr:col>
          <xdr:colOff>561975</xdr:colOff>
          <xdr:row>1</xdr:row>
          <xdr:rowOff>66675</xdr:rowOff>
        </xdr:to>
        <xdr:sp macro="" textlink="">
          <xdr:nvSpPr>
            <xdr:cNvPr id="20481" name="Control 1" hidden="1">
              <a:extLst>
                <a:ext uri="{63B3BB69-23CF-44E3-9099-C40C66FF867C}">
                  <a14:compatExt spid="_x0000_s20481"/>
                </a:ext>
                <a:ext uri="{FF2B5EF4-FFF2-40B4-BE49-F238E27FC236}">
                  <a16:creationId xmlns:a16="http://schemas.microsoft.com/office/drawing/2014/main" id="{00000000-0008-0000-1300-0000015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0</xdr:row>
          <xdr:rowOff>0</xdr:rowOff>
        </xdr:from>
        <xdr:to>
          <xdr:col>2</xdr:col>
          <xdr:colOff>400050</xdr:colOff>
          <xdr:row>1</xdr:row>
          <xdr:rowOff>38100</xdr:rowOff>
        </xdr:to>
        <xdr:sp macro="" textlink="">
          <xdr:nvSpPr>
            <xdr:cNvPr id="21505" name="Control 1" hidden="1">
              <a:extLst>
                <a:ext uri="{63B3BB69-23CF-44E3-9099-C40C66FF867C}">
                  <a14:compatExt spid="_x0000_s21505"/>
                </a:ext>
                <a:ext uri="{FF2B5EF4-FFF2-40B4-BE49-F238E27FC236}">
                  <a16:creationId xmlns:a16="http://schemas.microsoft.com/office/drawing/2014/main" id="{00000000-0008-0000-1400-0000015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2</xdr:col>
          <xdr:colOff>381000</xdr:colOff>
          <xdr:row>1</xdr:row>
          <xdr:rowOff>38100</xdr:rowOff>
        </xdr:to>
        <xdr:sp macro="" textlink="">
          <xdr:nvSpPr>
            <xdr:cNvPr id="22529" name="Control 1" hidden="1">
              <a:extLst>
                <a:ext uri="{63B3BB69-23CF-44E3-9099-C40C66FF867C}">
                  <a14:compatExt spid="_x0000_s22529"/>
                </a:ext>
                <a:ext uri="{FF2B5EF4-FFF2-40B4-BE49-F238E27FC236}">
                  <a16:creationId xmlns:a16="http://schemas.microsoft.com/office/drawing/2014/main" id="{00000000-0008-0000-1500-0000015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1905000</xdr:colOff>
      <xdr:row>864</xdr:row>
      <xdr:rowOff>228600</xdr:rowOff>
    </xdr:from>
    <xdr:to>
      <xdr:col>2</xdr:col>
      <xdr:colOff>2343150</xdr:colOff>
      <xdr:row>864</xdr:row>
      <xdr:rowOff>228600</xdr:rowOff>
    </xdr:to>
    <xdr:pic>
      <xdr:nvPicPr>
        <xdr:cNvPr id="2" name="Picture 36" descr="l&amp;t">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86075" y="284368875"/>
          <a:ext cx="438150" cy="0"/>
        </a:xfrm>
        <a:prstGeom prst="rect">
          <a:avLst/>
        </a:prstGeom>
        <a:noFill/>
        <a:ln w="9525">
          <a:noFill/>
          <a:miter lim="800000"/>
          <a:headEnd/>
          <a:tailEnd/>
        </a:ln>
      </xdr:spPr>
    </xdr:pic>
    <xdr:clientData/>
  </xdr:twoCellAnchor>
  <xdr:twoCellAnchor>
    <xdr:from>
      <xdr:col>2</xdr:col>
      <xdr:colOff>1905000</xdr:colOff>
      <xdr:row>825</xdr:row>
      <xdr:rowOff>228600</xdr:rowOff>
    </xdr:from>
    <xdr:to>
      <xdr:col>2</xdr:col>
      <xdr:colOff>2343150</xdr:colOff>
      <xdr:row>825</xdr:row>
      <xdr:rowOff>228600</xdr:rowOff>
    </xdr:to>
    <xdr:pic>
      <xdr:nvPicPr>
        <xdr:cNvPr id="3" name="Picture 36" descr="l&amp;t">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86075" y="276720300"/>
          <a:ext cx="438150" cy="0"/>
        </a:xfrm>
        <a:prstGeom prst="rect">
          <a:avLst/>
        </a:prstGeom>
        <a:noFill/>
        <a:ln w="9525">
          <a:noFill/>
          <a:miter lim="800000"/>
          <a:headEnd/>
          <a:tailEnd/>
        </a:ln>
      </xdr:spPr>
    </xdr:pic>
    <xdr:clientData/>
  </xdr:twoCellAnchor>
  <xdr:twoCellAnchor>
    <xdr:from>
      <xdr:col>2</xdr:col>
      <xdr:colOff>1905000</xdr:colOff>
      <xdr:row>951</xdr:row>
      <xdr:rowOff>228600</xdr:rowOff>
    </xdr:from>
    <xdr:to>
      <xdr:col>2</xdr:col>
      <xdr:colOff>2343150</xdr:colOff>
      <xdr:row>951</xdr:row>
      <xdr:rowOff>228600</xdr:rowOff>
    </xdr:to>
    <xdr:pic>
      <xdr:nvPicPr>
        <xdr:cNvPr id="4" name="Picture 36" descr="l&amp;t">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86075" y="300932850"/>
          <a:ext cx="438150" cy="0"/>
        </a:xfrm>
        <a:prstGeom prst="rect">
          <a:avLst/>
        </a:prstGeom>
        <a:noFill/>
        <a:ln w="9525">
          <a:noFill/>
          <a:miter lim="800000"/>
          <a:headEnd/>
          <a:tailEnd/>
        </a:ln>
      </xdr:spPr>
    </xdr:pic>
    <xdr:clientData/>
  </xdr:twoCellAnchor>
  <xdr:twoCellAnchor>
    <xdr:from>
      <xdr:col>2</xdr:col>
      <xdr:colOff>1905000</xdr:colOff>
      <xdr:row>912</xdr:row>
      <xdr:rowOff>228600</xdr:rowOff>
    </xdr:from>
    <xdr:to>
      <xdr:col>2</xdr:col>
      <xdr:colOff>2343150</xdr:colOff>
      <xdr:row>912</xdr:row>
      <xdr:rowOff>228600</xdr:rowOff>
    </xdr:to>
    <xdr:pic>
      <xdr:nvPicPr>
        <xdr:cNvPr id="5" name="Picture 36" descr="l&amp;t">
          <a:extLst>
            <a:ext uri="{FF2B5EF4-FFF2-40B4-BE49-F238E27FC236}">
              <a16:creationId xmlns:a16="http://schemas.microsoft.com/office/drawing/2014/main" id="{00000000-0008-0000-17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86075" y="293474775"/>
          <a:ext cx="438150" cy="0"/>
        </a:xfrm>
        <a:prstGeom prst="rect">
          <a:avLst/>
        </a:prstGeom>
        <a:noFill/>
        <a:ln w="9525">
          <a:noFill/>
          <a:miter lim="800000"/>
          <a:headEnd/>
          <a:tailEnd/>
        </a:ln>
      </xdr:spPr>
    </xdr:pic>
    <xdr:clientData/>
  </xdr:twoCellAnchor>
  <xdr:twoCellAnchor>
    <xdr:from>
      <xdr:col>2</xdr:col>
      <xdr:colOff>1905000</xdr:colOff>
      <xdr:row>961</xdr:row>
      <xdr:rowOff>228600</xdr:rowOff>
    </xdr:from>
    <xdr:to>
      <xdr:col>2</xdr:col>
      <xdr:colOff>2343150</xdr:colOff>
      <xdr:row>961</xdr:row>
      <xdr:rowOff>228600</xdr:rowOff>
    </xdr:to>
    <xdr:pic>
      <xdr:nvPicPr>
        <xdr:cNvPr id="6" name="Picture 36" descr="l&amp;t">
          <a:extLst>
            <a:ext uri="{FF2B5EF4-FFF2-40B4-BE49-F238E27FC236}">
              <a16:creationId xmlns:a16="http://schemas.microsoft.com/office/drawing/2014/main" id="{00000000-0008-0000-17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86075" y="302933100"/>
          <a:ext cx="438150" cy="0"/>
        </a:xfrm>
        <a:prstGeom prst="rect">
          <a:avLst/>
        </a:prstGeom>
        <a:noFill/>
        <a:ln w="9525">
          <a:noFill/>
          <a:miter lim="800000"/>
          <a:headEnd/>
          <a:tailEnd/>
        </a:ln>
      </xdr:spPr>
    </xdr:pic>
    <xdr:clientData/>
  </xdr:twoCellAnchor>
  <xdr:twoCellAnchor>
    <xdr:from>
      <xdr:col>2</xdr:col>
      <xdr:colOff>1905000</xdr:colOff>
      <xdr:row>922</xdr:row>
      <xdr:rowOff>228600</xdr:rowOff>
    </xdr:from>
    <xdr:to>
      <xdr:col>2</xdr:col>
      <xdr:colOff>2343150</xdr:colOff>
      <xdr:row>922</xdr:row>
      <xdr:rowOff>228600</xdr:rowOff>
    </xdr:to>
    <xdr:pic>
      <xdr:nvPicPr>
        <xdr:cNvPr id="7" name="Picture 36" descr="l&amp;t">
          <a:extLst>
            <a:ext uri="{FF2B5EF4-FFF2-40B4-BE49-F238E27FC236}">
              <a16:creationId xmlns:a16="http://schemas.microsoft.com/office/drawing/2014/main" id="{00000000-0008-0000-17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86075" y="295284525"/>
          <a:ext cx="438150" cy="0"/>
        </a:xfrm>
        <a:prstGeom prst="rect">
          <a:avLst/>
        </a:prstGeom>
        <a:noFill/>
        <a:ln w="9525">
          <a:noFill/>
          <a:miter lim="800000"/>
          <a:headEnd/>
          <a:tailEnd/>
        </a:ln>
      </xdr:spPr>
    </xdr:pic>
    <xdr:clientData/>
  </xdr:twoCellAnchor>
  <xdr:twoCellAnchor>
    <xdr:from>
      <xdr:col>2</xdr:col>
      <xdr:colOff>1905000</xdr:colOff>
      <xdr:row>864</xdr:row>
      <xdr:rowOff>228600</xdr:rowOff>
    </xdr:from>
    <xdr:to>
      <xdr:col>2</xdr:col>
      <xdr:colOff>2343150</xdr:colOff>
      <xdr:row>864</xdr:row>
      <xdr:rowOff>228600</xdr:rowOff>
    </xdr:to>
    <xdr:pic>
      <xdr:nvPicPr>
        <xdr:cNvPr id="8" name="Picture 36" descr="l&amp;t">
          <a:extLst>
            <a:ext uri="{FF2B5EF4-FFF2-40B4-BE49-F238E27FC236}">
              <a16:creationId xmlns:a16="http://schemas.microsoft.com/office/drawing/2014/main" id="{00000000-0008-0000-17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86075" y="284368875"/>
          <a:ext cx="438150" cy="0"/>
        </a:xfrm>
        <a:prstGeom prst="rect">
          <a:avLst/>
        </a:prstGeom>
        <a:noFill/>
        <a:ln w="9525">
          <a:noFill/>
          <a:miter lim="800000"/>
          <a:headEnd/>
          <a:tailEnd/>
        </a:ln>
      </xdr:spPr>
    </xdr:pic>
    <xdr:clientData/>
  </xdr:twoCellAnchor>
  <xdr:twoCellAnchor>
    <xdr:from>
      <xdr:col>2</xdr:col>
      <xdr:colOff>1905000</xdr:colOff>
      <xdr:row>825</xdr:row>
      <xdr:rowOff>228600</xdr:rowOff>
    </xdr:from>
    <xdr:to>
      <xdr:col>2</xdr:col>
      <xdr:colOff>2343150</xdr:colOff>
      <xdr:row>825</xdr:row>
      <xdr:rowOff>228600</xdr:rowOff>
    </xdr:to>
    <xdr:pic>
      <xdr:nvPicPr>
        <xdr:cNvPr id="9" name="Picture 36" descr="l&amp;t">
          <a:extLst>
            <a:ext uri="{FF2B5EF4-FFF2-40B4-BE49-F238E27FC236}">
              <a16:creationId xmlns:a16="http://schemas.microsoft.com/office/drawing/2014/main" id="{00000000-0008-0000-17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86075" y="276720300"/>
          <a:ext cx="438150" cy="0"/>
        </a:xfrm>
        <a:prstGeom prst="rect">
          <a:avLst/>
        </a:prstGeom>
        <a:noFill/>
        <a:ln w="9525">
          <a:noFill/>
          <a:miter lim="800000"/>
          <a:headEnd/>
          <a:tailEnd/>
        </a:ln>
      </xdr:spPr>
    </xdr:pic>
    <xdr:clientData/>
  </xdr:twoCellAnchor>
  <xdr:twoCellAnchor>
    <xdr:from>
      <xdr:col>2</xdr:col>
      <xdr:colOff>1905000</xdr:colOff>
      <xdr:row>951</xdr:row>
      <xdr:rowOff>228600</xdr:rowOff>
    </xdr:from>
    <xdr:to>
      <xdr:col>2</xdr:col>
      <xdr:colOff>2343150</xdr:colOff>
      <xdr:row>951</xdr:row>
      <xdr:rowOff>228600</xdr:rowOff>
    </xdr:to>
    <xdr:pic>
      <xdr:nvPicPr>
        <xdr:cNvPr id="10" name="Picture 36" descr="l&amp;t">
          <a:extLst>
            <a:ext uri="{FF2B5EF4-FFF2-40B4-BE49-F238E27FC236}">
              <a16:creationId xmlns:a16="http://schemas.microsoft.com/office/drawing/2014/main" id="{00000000-0008-0000-17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86075" y="300932850"/>
          <a:ext cx="438150" cy="0"/>
        </a:xfrm>
        <a:prstGeom prst="rect">
          <a:avLst/>
        </a:prstGeom>
        <a:noFill/>
        <a:ln w="9525">
          <a:noFill/>
          <a:miter lim="800000"/>
          <a:headEnd/>
          <a:tailEnd/>
        </a:ln>
      </xdr:spPr>
    </xdr:pic>
    <xdr:clientData/>
  </xdr:twoCellAnchor>
  <xdr:twoCellAnchor>
    <xdr:from>
      <xdr:col>2</xdr:col>
      <xdr:colOff>1905000</xdr:colOff>
      <xdr:row>912</xdr:row>
      <xdr:rowOff>228600</xdr:rowOff>
    </xdr:from>
    <xdr:to>
      <xdr:col>2</xdr:col>
      <xdr:colOff>2343150</xdr:colOff>
      <xdr:row>912</xdr:row>
      <xdr:rowOff>228600</xdr:rowOff>
    </xdr:to>
    <xdr:pic>
      <xdr:nvPicPr>
        <xdr:cNvPr id="11" name="Picture 36" descr="l&amp;t">
          <a:extLst>
            <a:ext uri="{FF2B5EF4-FFF2-40B4-BE49-F238E27FC236}">
              <a16:creationId xmlns:a16="http://schemas.microsoft.com/office/drawing/2014/main" id="{00000000-0008-0000-17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86075" y="293474775"/>
          <a:ext cx="438150" cy="0"/>
        </a:xfrm>
        <a:prstGeom prst="rect">
          <a:avLst/>
        </a:prstGeom>
        <a:noFill/>
        <a:ln w="9525">
          <a:noFill/>
          <a:miter lim="800000"/>
          <a:headEnd/>
          <a:tailEnd/>
        </a:ln>
      </xdr:spPr>
    </xdr:pic>
    <xdr:clientData/>
  </xdr:twoCellAnchor>
  <xdr:twoCellAnchor>
    <xdr:from>
      <xdr:col>2</xdr:col>
      <xdr:colOff>1905000</xdr:colOff>
      <xdr:row>961</xdr:row>
      <xdr:rowOff>228600</xdr:rowOff>
    </xdr:from>
    <xdr:to>
      <xdr:col>2</xdr:col>
      <xdr:colOff>2343150</xdr:colOff>
      <xdr:row>961</xdr:row>
      <xdr:rowOff>228600</xdr:rowOff>
    </xdr:to>
    <xdr:pic>
      <xdr:nvPicPr>
        <xdr:cNvPr id="12" name="Picture 36" descr="l&amp;t">
          <a:extLst>
            <a:ext uri="{FF2B5EF4-FFF2-40B4-BE49-F238E27FC236}">
              <a16:creationId xmlns:a16="http://schemas.microsoft.com/office/drawing/2014/main" id="{00000000-0008-0000-17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86075" y="302933100"/>
          <a:ext cx="438150" cy="0"/>
        </a:xfrm>
        <a:prstGeom prst="rect">
          <a:avLst/>
        </a:prstGeom>
        <a:noFill/>
        <a:ln w="9525">
          <a:noFill/>
          <a:miter lim="800000"/>
          <a:headEnd/>
          <a:tailEnd/>
        </a:ln>
      </xdr:spPr>
    </xdr:pic>
    <xdr:clientData/>
  </xdr:twoCellAnchor>
  <xdr:twoCellAnchor>
    <xdr:from>
      <xdr:col>2</xdr:col>
      <xdr:colOff>1905000</xdr:colOff>
      <xdr:row>922</xdr:row>
      <xdr:rowOff>228600</xdr:rowOff>
    </xdr:from>
    <xdr:to>
      <xdr:col>2</xdr:col>
      <xdr:colOff>2343150</xdr:colOff>
      <xdr:row>922</xdr:row>
      <xdr:rowOff>228600</xdr:rowOff>
    </xdr:to>
    <xdr:pic>
      <xdr:nvPicPr>
        <xdr:cNvPr id="13" name="Picture 36" descr="l&amp;t">
          <a:extLst>
            <a:ext uri="{FF2B5EF4-FFF2-40B4-BE49-F238E27FC236}">
              <a16:creationId xmlns:a16="http://schemas.microsoft.com/office/drawing/2014/main" id="{00000000-0008-0000-17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886075" y="295284525"/>
          <a:ext cx="438150" cy="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0</xdr:row>
          <xdr:rowOff>0</xdr:rowOff>
        </xdr:from>
        <xdr:to>
          <xdr:col>2</xdr:col>
          <xdr:colOff>400050</xdr:colOff>
          <xdr:row>1</xdr:row>
          <xdr:rowOff>38100</xdr:rowOff>
        </xdr:to>
        <xdr:sp macro="" textlink="">
          <xdr:nvSpPr>
            <xdr:cNvPr id="25601" name="Control 1" hidden="1">
              <a:extLst>
                <a:ext uri="{63B3BB69-23CF-44E3-9099-C40C66FF867C}">
                  <a14:compatExt spid="_x0000_s25601"/>
                </a:ext>
                <a:ext uri="{FF2B5EF4-FFF2-40B4-BE49-F238E27FC236}">
                  <a16:creationId xmlns:a16="http://schemas.microsoft.com/office/drawing/2014/main" id="{00000000-0008-0000-1900-0000016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0</xdr:row>
          <xdr:rowOff>0</xdr:rowOff>
        </xdr:from>
        <xdr:to>
          <xdr:col>2</xdr:col>
          <xdr:colOff>400050</xdr:colOff>
          <xdr:row>1</xdr:row>
          <xdr:rowOff>38100</xdr:rowOff>
        </xdr:to>
        <xdr:sp macro="" textlink="">
          <xdr:nvSpPr>
            <xdr:cNvPr id="26625" name="Control 1" hidden="1">
              <a:extLst>
                <a:ext uri="{63B3BB69-23CF-44E3-9099-C40C66FF867C}">
                  <a14:compatExt spid="_x0000_s26625"/>
                </a:ext>
                <a:ext uri="{FF2B5EF4-FFF2-40B4-BE49-F238E27FC236}">
                  <a16:creationId xmlns:a16="http://schemas.microsoft.com/office/drawing/2014/main" id="{00000000-0008-0000-1A00-0000016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14817</xdr:colOff>
          <xdr:row>0</xdr:row>
          <xdr:rowOff>0</xdr:rowOff>
        </xdr:from>
        <xdr:to>
          <xdr:col>2</xdr:col>
          <xdr:colOff>484717</xdr:colOff>
          <xdr:row>1</xdr:row>
          <xdr:rowOff>50800</xdr:rowOff>
        </xdr:to>
        <xdr:sp macro="" textlink="">
          <xdr:nvSpPr>
            <xdr:cNvPr id="27649" name="Control 1" hidden="1">
              <a:extLst>
                <a:ext uri="{63B3BB69-23CF-44E3-9099-C40C66FF867C}">
                  <a14:compatExt spid="_x0000_s27649"/>
                </a:ext>
                <a:ext uri="{FF2B5EF4-FFF2-40B4-BE49-F238E27FC236}">
                  <a16:creationId xmlns:a16="http://schemas.microsoft.com/office/drawing/2014/main" id="{00000000-0008-0000-1B00-0000016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Jamshedpur\Tower-2(G+3)%20Estimate%20Jamshedpur%20(Type-B3,%20C%20&amp;%20D).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powergrid1989-my.sharepoint.com/personal/60003912_powergrid_in/Documents/pritam/Jamshedpur%20Quarter%20NIT%20435/BOQ%20(2)/BOQ/BOQ/BOQ%20CONSTRUCTION%20OF%20DRAIN%20JSR/BOQ_DRAIN%20AND%20CULVERTS.xlsx" TargetMode="External"/><Relationship Id="rId1" Type="http://schemas.openxmlformats.org/officeDocument/2006/relationships/externalLinkPath" Target="/personal/60003912_powergrid_in/Documents/pritam/Jamshedpur%20Quarter%20NIT%20435/BOQ%20(2)/BOQ/BOQ/BOQ%20CONSTRUCTION%20OF%20DRAIN%20JSR/BOQ_DRAIN%20AND%20CULVERT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powergrid1989-my.sharepoint.com/personal/60003912_powergrid_in/Documents/pritam/Jamshedpur%20Quarter%20NIT%20435/BOQ%20(2)/BOQ/BOQ/BOQ%20PAVER%20BLOCK%20AND%20KERB%20STONE%20JSR/BOQ%20PAVER%20BLOCK%20AND%20KERB%20STONE.xlsx" TargetMode="External"/><Relationship Id="rId1" Type="http://schemas.openxmlformats.org/officeDocument/2006/relationships/externalLinkPath" Target="/personal/60003912_powergrid_in/Documents/pritam/Jamshedpur%20Quarter%20NIT%20435/BOQ%20(2)/BOQ/BOQ/BOQ%20PAVER%20BLOCK%20AND%20KERB%20STONE%20JSR/BOQ%20PAVER%20BLOCK%20AND%20KERB%20STONE.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powergrid1989-my.sharepoint.com/personal/60003912_powergrid_in/Documents/pritam/Jamshedpur%20Quarter%20NIT%20435/BOQ%20(2)/BOQ/BOQ/BOQ%20Construction%20of%20RCC%20Road%20in%20colony%20JSR/BOQ%20Construction%20of%20RCC%20Road%20in%20colony.xlsx" TargetMode="External"/><Relationship Id="rId1" Type="http://schemas.openxmlformats.org/officeDocument/2006/relationships/externalLinkPath" Target="/personal/60003912_powergrid_in/Documents/pritam/Jamshedpur%20Quarter%20NIT%20435/BOQ%20(2)/BOQ/BOQ/BOQ%20Construction%20of%20RCC%20Road%20in%20colony%20JSR/BOQ%20Construction%20of%20RCC%20Road%20in%20colony.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powergrid1989-my.sharepoint.com/personal/60003912_powergrid_in/Documents/pritam/Jamshedpur%20Quarter%20NIT%20435/BOQ%20(2)/BOQ/BOQ/BOQ%20DISMANTLING%20OF%20QTR%20JSR%20JSR/BOQ%20DISMANTLING%20OF%20QTR%20JSR.xlsx" TargetMode="External"/><Relationship Id="rId1" Type="http://schemas.openxmlformats.org/officeDocument/2006/relationships/externalLinkPath" Target="/personal/60003912_powergrid_in/Documents/pritam/Jamshedpur%20Quarter%20NIT%20435/BOQ%20(2)/BOQ/BOQ/BOQ%20DISMANTLING%20OF%20QTR%20JSR%20JSR/BOQ%20DISMANTLING%20OF%20QTR%20JSR.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powergrid1989-my.sharepoint.com/personal/60003912_powergrid_in/Documents/pritam/Jamshedpur%20Quarter%20NIT%20435/BOQ%20(2)/BOQ/BOQ/JSR%20PHE%20ELECTRICAL%20ETC.xlsx" TargetMode="External"/><Relationship Id="rId1" Type="http://schemas.openxmlformats.org/officeDocument/2006/relationships/externalLinkPath" Target="/personal/60003912_powergrid_in/Documents/pritam/Jamshedpur%20Quarter%20NIT%20435/BOQ%20(2)/BOQ/BOQ/JSR%20PHE%20ELECTRICAL%20ET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7c1078852dac1ea9/Career/Electrical%20Design/Projects/Chandwa%20SS%20PG/Estimate%20Draf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onudeep\Price%20Pa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ound"/>
      <sheetName val="First &amp; Second"/>
      <sheetName val="Third"/>
      <sheetName val="Fourth  "/>
      <sheetName val="2nd floor"/>
      <sheetName val="3rd Floor"/>
      <sheetName val="4th floor"/>
      <sheetName val="Terrace"/>
      <sheetName val="Plinth"/>
      <sheetName val="BOQ"/>
      <sheetName val="Sheet1"/>
      <sheetName val="Final Abstract of cost"/>
      <sheetName val="PHE works "/>
      <sheetName val="Electrical works"/>
      <sheetName val="PHE analysis"/>
      <sheetName val="QTY. Septic Tank"/>
      <sheetName val="Qty Recharge Pit"/>
      <sheetName val="underground water tank"/>
      <sheetName val="Water requirement"/>
    </sheetNames>
    <sheetDataSet>
      <sheetData sheetId="0"/>
      <sheetData sheetId="1"/>
      <sheetData sheetId="2"/>
      <sheetData sheetId="3"/>
      <sheetData sheetId="4"/>
      <sheetData sheetId="5"/>
      <sheetData sheetId="6"/>
      <sheetData sheetId="7"/>
      <sheetData sheetId="8">
        <row r="48">
          <cell r="D48">
            <v>18</v>
          </cell>
        </row>
        <row r="49">
          <cell r="D49">
            <v>14</v>
          </cell>
        </row>
        <row r="50">
          <cell r="D50">
            <v>15</v>
          </cell>
        </row>
      </sheetData>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OQ- New Drain"/>
      <sheetName val="Calculation - New Drain"/>
      <sheetName val="Sheet1"/>
    </sheetNames>
    <sheetDataSet>
      <sheetData sheetId="0"/>
      <sheetData sheetId="1">
        <row r="11">
          <cell r="J11">
            <v>26.957781249999996</v>
          </cell>
        </row>
        <row r="17">
          <cell r="J17">
            <v>408.375</v>
          </cell>
        </row>
        <row r="27">
          <cell r="J27">
            <v>300.54387500000001</v>
          </cell>
        </row>
        <row r="38">
          <cell r="J38">
            <v>27.331125</v>
          </cell>
        </row>
        <row r="45">
          <cell r="J45">
            <v>34.125</v>
          </cell>
        </row>
        <row r="57">
          <cell r="J57">
            <v>129</v>
          </cell>
        </row>
        <row r="64">
          <cell r="J64">
            <v>138</v>
          </cell>
        </row>
        <row r="71">
          <cell r="J71">
            <v>1004.9999999999999</v>
          </cell>
        </row>
        <row r="78">
          <cell r="J78">
            <v>30</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OQ- PAVER BLOCK"/>
      <sheetName val="Calculation - PAVER BLOCK "/>
    </sheetNames>
    <sheetDataSet>
      <sheetData sheetId="0"/>
      <sheetData sheetId="1">
        <row r="11">
          <cell r="J11">
            <v>450</v>
          </cell>
        </row>
        <row r="18">
          <cell r="J18">
            <v>45</v>
          </cell>
        </row>
        <row r="25">
          <cell r="J25">
            <v>450</v>
          </cell>
        </row>
        <row r="34">
          <cell r="J34">
            <v>60</v>
          </cell>
        </row>
        <row r="41">
          <cell r="J41">
            <v>450</v>
          </cell>
        </row>
        <row r="48">
          <cell r="J48">
            <v>450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OQ RCC ROAD IN COLONY"/>
      <sheetName val="Cal- RCC ROAD"/>
      <sheetName val="Sheet2"/>
    </sheetNames>
    <sheetDataSet>
      <sheetData sheetId="0"/>
      <sheetData sheetId="1">
        <row r="12">
          <cell r="K12">
            <v>200</v>
          </cell>
        </row>
        <row r="19">
          <cell r="K19">
            <v>131.25</v>
          </cell>
        </row>
        <row r="26">
          <cell r="K26">
            <v>131.25</v>
          </cell>
        </row>
        <row r="33">
          <cell r="K33">
            <v>131.25</v>
          </cell>
        </row>
        <row r="40">
          <cell r="K40">
            <v>70</v>
          </cell>
        </row>
        <row r="47">
          <cell r="K47">
            <v>1312.5</v>
          </cell>
        </row>
        <row r="55">
          <cell r="K55">
            <v>2633.3333333333335</v>
          </cell>
        </row>
        <row r="63">
          <cell r="K63">
            <v>703.125</v>
          </cell>
        </row>
        <row r="70">
          <cell r="K70">
            <v>65.625</v>
          </cell>
        </row>
        <row r="79">
          <cell r="K79">
            <v>16.40625</v>
          </cell>
        </row>
        <row r="88">
          <cell r="K88">
            <v>16.40625</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ST ESTIMATE"/>
      <sheetName val="SAMPLE CALCULATION"/>
      <sheetName val="CALCULATION"/>
      <sheetName val="BOQ RATE ANALYSIS"/>
    </sheetNames>
    <sheetDataSet>
      <sheetData sheetId="0"/>
      <sheetData sheetId="1"/>
      <sheetData sheetId="2"/>
      <sheetData sheetId="3">
        <row r="10">
          <cell r="H10">
            <v>177778</v>
          </cell>
        </row>
        <row r="11">
          <cell r="H11">
            <v>192000.24000000002</v>
          </cell>
        </row>
        <row r="12">
          <cell r="H12">
            <v>450370.93333333335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OQ"/>
      <sheetName val="Sheet1"/>
      <sheetName val="PHE works "/>
      <sheetName val="ABSTRACT"/>
      <sheetName val="Electrical works"/>
      <sheetName val="PHE analysis"/>
      <sheetName val="QTY. Septic Tank"/>
      <sheetName val="Qty Recharge Pit"/>
      <sheetName val="underground water tank"/>
      <sheetName val="DAR 11.2"/>
    </sheetNames>
    <sheetDataSet>
      <sheetData sheetId="0"/>
      <sheetData sheetId="1"/>
      <sheetData sheetId="2"/>
      <sheetData sheetId="3"/>
      <sheetData sheetId="4"/>
      <sheetData sheetId="5">
        <row r="23">
          <cell r="F23">
            <v>931</v>
          </cell>
        </row>
        <row r="35">
          <cell r="F35">
            <v>328</v>
          </cell>
        </row>
        <row r="57">
          <cell r="F57">
            <v>266</v>
          </cell>
        </row>
        <row r="68">
          <cell r="F68">
            <v>171</v>
          </cell>
        </row>
        <row r="101">
          <cell r="F101">
            <v>52</v>
          </cell>
        </row>
        <row r="112">
          <cell r="F112">
            <v>428</v>
          </cell>
        </row>
      </sheetData>
      <sheetData sheetId="6"/>
      <sheetData sheetId="7"/>
      <sheetData sheetId="8">
        <row r="35">
          <cell r="L35">
            <v>150234.86966725226</v>
          </cell>
        </row>
      </sheetData>
      <sheetData sheetId="9">
        <row r="21">
          <cell r="F21">
            <v>474.89393798373419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working"/>
      <sheetName val="Electric Estimation"/>
      <sheetName val="BOQ"/>
      <sheetName val="Estimate"/>
      <sheetName val="Fixture"/>
    </sheetNames>
    <sheetDataSet>
      <sheetData sheetId="0" refreshError="1"/>
      <sheetData sheetId="1" refreshError="1"/>
      <sheetData sheetId="2" refreshError="1"/>
      <sheetData sheetId="3" refreshError="1"/>
      <sheetData sheetId="4" refreshError="1">
        <row r="33">
          <cell r="G33">
            <v>16</v>
          </cell>
        </row>
        <row r="41">
          <cell r="G41">
            <v>8</v>
          </cell>
        </row>
        <row r="51">
          <cell r="C51">
            <v>3</v>
          </cell>
          <cell r="D51">
            <v>3</v>
          </cell>
          <cell r="E51">
            <v>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Data"/>
      <sheetName val="Cover"/>
      <sheetName val="Names of Bidder"/>
      <sheetName val="Sch-1"/>
      <sheetName val="Sch-1 Dis"/>
      <sheetName val="Sch-2"/>
      <sheetName val="Sch-2 Dis"/>
      <sheetName val="Sch-3 "/>
      <sheetName val="Sch-3 Dis"/>
      <sheetName val="Sch-4(Buyback)"/>
      <sheetName val="Sch-4"/>
      <sheetName val="Sch-4 Dis"/>
      <sheetName val="Sch-5"/>
      <sheetName val="Sch-5 After Discount"/>
      <sheetName val="Sch-6"/>
      <sheetName val="Sch-6 Dis"/>
      <sheetName val="Discount"/>
      <sheetName val="Octroi"/>
      <sheetName val="Entry Tax"/>
      <sheetName val="Other Taxes &amp; Duties"/>
      <sheetName val="Bid Form 2nd Envelope"/>
      <sheetName val="Q &amp; C"/>
      <sheetName val="T &amp; D"/>
      <sheetName val="N to W"/>
    </sheetNames>
    <sheetDataSet>
      <sheetData sheetId="0"/>
      <sheetData sheetId="1"/>
      <sheetData sheetId="2"/>
      <sheetData sheetId="3">
        <row r="6">
          <cell r="E6" t="str">
            <v>To:</v>
          </cell>
        </row>
        <row r="7">
          <cell r="E7" t="str">
            <v>Contract Services</v>
          </cell>
        </row>
        <row r="8">
          <cell r="B8" t="str">
            <v/>
          </cell>
          <cell r="E8" t="str">
            <v>Power Grid Corporation of India Ltd.,</v>
          </cell>
        </row>
        <row r="9">
          <cell r="E9" t="str">
            <v>Eastern Region Transmission System-I</v>
          </cell>
        </row>
        <row r="10">
          <cell r="E10" t="str">
            <v>Vidyut Board Colony Shastri Nagar</v>
          </cell>
        </row>
        <row r="11">
          <cell r="E11" t="str">
            <v>Patna 800023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15.bin"/><Relationship Id="rId5" Type="http://schemas.openxmlformats.org/officeDocument/2006/relationships/image" Target="../media/image2.emf"/><Relationship Id="rId4" Type="http://schemas.openxmlformats.org/officeDocument/2006/relationships/control" Target="../activeX/activeX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6.bin"/><Relationship Id="rId5" Type="http://schemas.openxmlformats.org/officeDocument/2006/relationships/image" Target="../media/image2.emf"/><Relationship Id="rId4" Type="http://schemas.openxmlformats.org/officeDocument/2006/relationships/control" Target="../activeX/activeX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control" Target="../activeX/activeX3.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8.bin"/><Relationship Id="rId5" Type="http://schemas.openxmlformats.org/officeDocument/2006/relationships/image" Target="../media/image2.emf"/><Relationship Id="rId4" Type="http://schemas.openxmlformats.org/officeDocument/2006/relationships/control" Target="../activeX/activeX4.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mailto:GST@18%25"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mailto:GST@18%25" TargetMode="Externa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20.bin"/><Relationship Id="rId5" Type="http://schemas.openxmlformats.org/officeDocument/2006/relationships/image" Target="../media/image2.emf"/><Relationship Id="rId4" Type="http://schemas.openxmlformats.org/officeDocument/2006/relationships/control" Target="../activeX/activeX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21.bin"/><Relationship Id="rId5" Type="http://schemas.openxmlformats.org/officeDocument/2006/relationships/image" Target="../media/image2.emf"/><Relationship Id="rId4" Type="http://schemas.openxmlformats.org/officeDocument/2006/relationships/control" Target="../activeX/activeX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9.xml"/><Relationship Id="rId1" Type="http://schemas.openxmlformats.org/officeDocument/2006/relationships/printerSettings" Target="../printerSettings/printerSettings22.bin"/><Relationship Id="rId5" Type="http://schemas.openxmlformats.org/officeDocument/2006/relationships/image" Target="../media/image4.emf"/><Relationship Id="rId4" Type="http://schemas.openxmlformats.org/officeDocument/2006/relationships/control" Target="../activeX/activeX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
  <sheetViews>
    <sheetView workbookViewId="0">
      <selection activeCell="D9" sqref="D9"/>
    </sheetView>
  </sheetViews>
  <sheetFormatPr defaultRowHeight="15" x14ac:dyDescent="0.25"/>
  <cols>
    <col min="1" max="1" width="19.85546875" customWidth="1"/>
    <col min="11" max="11" width="27.140625" customWidth="1"/>
  </cols>
  <sheetData>
    <row r="2" spans="1:11" x14ac:dyDescent="0.25">
      <c r="A2" t="s">
        <v>88</v>
      </c>
    </row>
    <row r="3" spans="1:11" ht="15.75" x14ac:dyDescent="0.25">
      <c r="A3" t="s">
        <v>0</v>
      </c>
      <c r="B3" s="874" t="s">
        <v>87</v>
      </c>
      <c r="C3" s="874"/>
      <c r="D3" s="874"/>
      <c r="E3" s="874"/>
      <c r="F3" s="874"/>
      <c r="G3" s="874"/>
      <c r="H3" s="874"/>
      <c r="I3" s="874"/>
      <c r="J3" s="874"/>
      <c r="K3" s="874"/>
    </row>
  </sheetData>
  <mergeCells count="1">
    <mergeCell ref="B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8"/>
  <sheetViews>
    <sheetView showGridLines="0" topLeftCell="A6" workbookViewId="0">
      <selection activeCell="E18" sqref="E18:K18"/>
    </sheetView>
  </sheetViews>
  <sheetFormatPr defaultRowHeight="15" x14ac:dyDescent="0.25"/>
  <cols>
    <col min="9" max="9" width="8.85546875" customWidth="1"/>
    <col min="10" max="10" width="9.140625" hidden="1" customWidth="1"/>
    <col min="11" max="11" width="0.140625" customWidth="1"/>
    <col min="12" max="12" width="9.140625" hidden="1" customWidth="1"/>
  </cols>
  <sheetData>
    <row r="1" spans="1:12" x14ac:dyDescent="0.25">
      <c r="A1" s="1" t="str">
        <f>Sheet1!A2</f>
        <v>RFX. No. 5002003246 NIT-435</v>
      </c>
      <c r="B1" s="1"/>
      <c r="C1" s="1"/>
    </row>
    <row r="2" spans="1:12" ht="39" customHeight="1" x14ac:dyDescent="0.25">
      <c r="A2" s="882" t="str">
        <f>Sheet1!B3</f>
        <v>Construction of Residential Quarters at Jamshedpur and demolition of Old Quarters( Brick Masonry</v>
      </c>
      <c r="B2" s="882"/>
      <c r="C2" s="882"/>
      <c r="D2" s="882"/>
      <c r="E2" s="882"/>
      <c r="F2" s="882"/>
      <c r="G2" s="882"/>
      <c r="H2" s="882"/>
      <c r="I2" s="882"/>
      <c r="J2" s="882"/>
      <c r="K2" s="882"/>
      <c r="L2" s="882"/>
    </row>
    <row r="4" spans="1:12" x14ac:dyDescent="0.25">
      <c r="A4" s="883" t="s">
        <v>10</v>
      </c>
      <c r="B4" s="883"/>
      <c r="C4" s="883"/>
      <c r="D4" s="883"/>
      <c r="E4" s="883"/>
      <c r="F4" s="883"/>
      <c r="G4" s="883"/>
      <c r="H4" s="883"/>
      <c r="I4" s="883"/>
      <c r="J4" s="883"/>
      <c r="K4" s="883"/>
      <c r="L4" s="883"/>
    </row>
    <row r="6" spans="1:12" ht="47.25" customHeight="1" x14ac:dyDescent="0.25">
      <c r="A6" s="878" t="s">
        <v>11</v>
      </c>
      <c r="B6" s="878"/>
      <c r="C6" s="878"/>
      <c r="D6" s="878"/>
      <c r="E6" s="879"/>
      <c r="F6" s="879"/>
      <c r="G6" s="879"/>
      <c r="H6" s="879"/>
      <c r="I6" s="879"/>
      <c r="J6" s="53"/>
      <c r="K6" s="53"/>
    </row>
    <row r="7" spans="1:12" ht="45" customHeight="1" x14ac:dyDescent="0.25">
      <c r="A7" s="884" t="s">
        <v>12</v>
      </c>
      <c r="B7" s="884"/>
      <c r="C7" s="884"/>
      <c r="D7" s="885"/>
      <c r="E7" s="886"/>
      <c r="F7" s="886"/>
      <c r="G7" s="886"/>
      <c r="H7" s="886"/>
      <c r="I7" s="886"/>
      <c r="J7" s="53"/>
      <c r="K7" s="53"/>
    </row>
    <row r="8" spans="1:12" ht="42" customHeight="1" x14ac:dyDescent="0.25">
      <c r="E8" s="880"/>
      <c r="F8" s="880"/>
      <c r="G8" s="880"/>
      <c r="H8" s="880"/>
      <c r="I8" s="880"/>
      <c r="J8" s="53"/>
      <c r="K8" s="53"/>
    </row>
    <row r="9" spans="1:12" ht="46.5" customHeight="1" x14ac:dyDescent="0.25">
      <c r="E9" s="881"/>
      <c r="F9" s="881"/>
      <c r="G9" s="881"/>
      <c r="H9" s="881"/>
      <c r="I9" s="881"/>
      <c r="J9" s="53"/>
      <c r="K9" s="53"/>
    </row>
    <row r="10" spans="1:12" ht="30.75" customHeight="1" x14ac:dyDescent="0.25">
      <c r="A10" s="875" t="s">
        <v>13</v>
      </c>
      <c r="B10" s="875"/>
      <c r="C10" s="875"/>
      <c r="D10" s="875"/>
      <c r="E10" s="880"/>
      <c r="F10" s="880"/>
      <c r="G10" s="880"/>
      <c r="H10" s="880"/>
      <c r="I10" s="880"/>
      <c r="J10" s="53"/>
      <c r="K10" s="53"/>
    </row>
    <row r="11" spans="1:12" ht="29.25" customHeight="1" x14ac:dyDescent="0.25">
      <c r="A11" s="878" t="s">
        <v>14</v>
      </c>
      <c r="B11" s="878"/>
      <c r="C11" s="878"/>
      <c r="D11" s="878"/>
      <c r="E11" s="879"/>
      <c r="F11" s="879"/>
      <c r="G11" s="879"/>
      <c r="H11" s="879"/>
      <c r="I11" s="879"/>
      <c r="J11" s="53"/>
      <c r="K11" s="53"/>
    </row>
    <row r="12" spans="1:12" ht="29.25" customHeight="1" x14ac:dyDescent="0.25">
      <c r="A12" s="878" t="s">
        <v>15</v>
      </c>
      <c r="B12" s="878"/>
      <c r="C12" s="878"/>
      <c r="D12" s="878"/>
      <c r="E12" s="879"/>
      <c r="F12" s="879"/>
      <c r="G12" s="879"/>
      <c r="H12" s="879"/>
      <c r="I12" s="879"/>
      <c r="J12" s="53"/>
      <c r="K12" s="53"/>
    </row>
    <row r="13" spans="1:12" ht="29.25" customHeight="1" x14ac:dyDescent="0.25">
      <c r="A13" s="878" t="s">
        <v>16</v>
      </c>
      <c r="B13" s="878"/>
      <c r="C13" s="878"/>
      <c r="D13" s="878"/>
      <c r="E13" s="879"/>
      <c r="F13" s="879"/>
      <c r="G13" s="879"/>
      <c r="H13" s="879"/>
      <c r="I13" s="879"/>
      <c r="J13" s="53"/>
      <c r="K13" s="53"/>
    </row>
    <row r="14" spans="1:12" ht="31.5" customHeight="1" x14ac:dyDescent="0.25">
      <c r="A14" s="878" t="s">
        <v>17</v>
      </c>
      <c r="B14" s="878"/>
      <c r="C14" s="878"/>
      <c r="D14" s="878"/>
      <c r="E14" s="879"/>
      <c r="F14" s="879"/>
      <c r="G14" s="879"/>
      <c r="H14" s="879"/>
      <c r="I14" s="879"/>
      <c r="J14" s="53"/>
      <c r="K14" s="53"/>
    </row>
    <row r="15" spans="1:12" x14ac:dyDescent="0.25">
      <c r="E15" s="53"/>
      <c r="F15" s="53"/>
      <c r="G15" s="53"/>
      <c r="H15" s="53"/>
      <c r="I15" s="53"/>
      <c r="J15" s="53"/>
      <c r="K15" s="53"/>
    </row>
    <row r="16" spans="1:12" x14ac:dyDescent="0.25">
      <c r="E16" s="53"/>
      <c r="F16" s="53"/>
      <c r="G16" s="53"/>
      <c r="H16" s="53"/>
      <c r="I16" s="53"/>
      <c r="J16" s="53"/>
      <c r="K16" s="53"/>
    </row>
    <row r="17" spans="1:11" ht="25.5" customHeight="1" x14ac:dyDescent="0.25">
      <c r="A17" s="875" t="s">
        <v>18</v>
      </c>
      <c r="B17" s="875"/>
      <c r="C17" s="875"/>
      <c r="D17" s="875"/>
      <c r="E17" s="876"/>
      <c r="F17" s="876"/>
      <c r="G17" s="876"/>
      <c r="H17" s="876"/>
      <c r="I17" s="876"/>
      <c r="J17" s="54"/>
      <c r="K17" s="54"/>
    </row>
    <row r="18" spans="1:11" ht="25.5" customHeight="1" x14ac:dyDescent="0.25">
      <c r="A18" s="875" t="s">
        <v>19</v>
      </c>
      <c r="B18" s="875"/>
      <c r="C18" s="875"/>
      <c r="D18" s="875"/>
      <c r="E18" s="877"/>
      <c r="F18" s="877"/>
      <c r="G18" s="877"/>
      <c r="H18" s="877"/>
      <c r="I18" s="877"/>
      <c r="J18" s="877"/>
      <c r="K18" s="877"/>
    </row>
  </sheetData>
  <sheetProtection password="DC1A" sheet="1" objects="1" scenarios="1" selectLockedCells="1"/>
  <mergeCells count="22">
    <mergeCell ref="A2:L2"/>
    <mergeCell ref="A4:L4"/>
    <mergeCell ref="A6:D6"/>
    <mergeCell ref="E6:I6"/>
    <mergeCell ref="A7:D7"/>
    <mergeCell ref="E7:I7"/>
    <mergeCell ref="E8:I8"/>
    <mergeCell ref="E9:I9"/>
    <mergeCell ref="A10:D10"/>
    <mergeCell ref="E10:I10"/>
    <mergeCell ref="A11:D11"/>
    <mergeCell ref="E11:I11"/>
    <mergeCell ref="A17:D17"/>
    <mergeCell ref="A18:D18"/>
    <mergeCell ref="E17:I17"/>
    <mergeCell ref="E18:K18"/>
    <mergeCell ref="A12:D12"/>
    <mergeCell ref="E12:I12"/>
    <mergeCell ref="A13:D13"/>
    <mergeCell ref="A14:D14"/>
    <mergeCell ref="E13:I13"/>
    <mergeCell ref="E14:I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
  <sheetViews>
    <sheetView showGridLines="0" workbookViewId="0">
      <selection activeCell="A12" sqref="A12:L12"/>
    </sheetView>
  </sheetViews>
  <sheetFormatPr defaultRowHeight="15" x14ac:dyDescent="0.25"/>
  <cols>
    <col min="10" max="10" width="13.140625" customWidth="1"/>
  </cols>
  <sheetData>
    <row r="1" spans="1:12" ht="21.75" customHeight="1" x14ac:dyDescent="0.25">
      <c r="A1" s="2" t="str">
        <f>Sheet1!A2</f>
        <v>RFX. No. 5002003246 NIT-435</v>
      </c>
      <c r="B1" s="3"/>
      <c r="C1" s="3"/>
      <c r="D1" s="4"/>
      <c r="E1" s="4"/>
      <c r="F1" s="4"/>
      <c r="G1" s="4"/>
      <c r="H1" s="4"/>
      <c r="I1" s="4"/>
      <c r="J1" s="4"/>
      <c r="K1" s="4"/>
      <c r="L1" s="5"/>
    </row>
    <row r="2" spans="1:12" ht="34.5" customHeight="1" x14ac:dyDescent="0.25">
      <c r="A2" s="889" t="str">
        <f>Sheet1!B3</f>
        <v>Construction of Residential Quarters at Jamshedpur and demolition of Old Quarters( Brick Masonry</v>
      </c>
      <c r="B2" s="890"/>
      <c r="C2" s="890"/>
      <c r="D2" s="890"/>
      <c r="E2" s="890"/>
      <c r="F2" s="890"/>
      <c r="G2" s="890"/>
      <c r="H2" s="890"/>
      <c r="I2" s="890"/>
      <c r="J2" s="890"/>
      <c r="K2" s="890"/>
      <c r="L2" s="891"/>
    </row>
    <row r="3" spans="1:12" ht="15" hidden="1" customHeight="1" x14ac:dyDescent="0.25">
      <c r="A3" s="889"/>
      <c r="B3" s="890"/>
      <c r="C3" s="890"/>
      <c r="D3" s="890"/>
      <c r="E3" s="890"/>
      <c r="F3" s="890"/>
      <c r="G3" s="890"/>
      <c r="H3" s="890"/>
      <c r="I3" s="890"/>
      <c r="J3" s="890"/>
      <c r="K3" s="890"/>
      <c r="L3" s="891"/>
    </row>
    <row r="4" spans="1:12" x14ac:dyDescent="0.25">
      <c r="A4" s="887" t="s">
        <v>1</v>
      </c>
      <c r="B4" s="883"/>
      <c r="C4" s="883"/>
      <c r="D4" s="883"/>
      <c r="E4" s="883"/>
      <c r="F4" s="883"/>
      <c r="G4" s="883"/>
      <c r="H4" s="883"/>
      <c r="I4" s="883"/>
      <c r="J4" s="883"/>
      <c r="K4" s="883"/>
      <c r="L4" s="888"/>
    </row>
    <row r="5" spans="1:12" x14ac:dyDescent="0.25">
      <c r="A5" s="6"/>
      <c r="L5" s="7"/>
    </row>
    <row r="6" spans="1:12" ht="44.25" customHeight="1" x14ac:dyDescent="0.25">
      <c r="A6" s="8">
        <v>1</v>
      </c>
      <c r="B6" s="899" t="s">
        <v>5</v>
      </c>
      <c r="C6" s="899"/>
      <c r="D6" s="899"/>
      <c r="E6" s="899"/>
      <c r="F6" s="899"/>
      <c r="G6" s="899"/>
      <c r="H6" s="899"/>
      <c r="I6" s="899"/>
      <c r="J6" s="899"/>
      <c r="K6" s="899"/>
      <c r="L6" s="900"/>
    </row>
    <row r="7" spans="1:12" ht="51" customHeight="1" x14ac:dyDescent="0.25">
      <c r="A7" s="8">
        <v>2</v>
      </c>
      <c r="B7" s="899" t="s">
        <v>2</v>
      </c>
      <c r="C7" s="899"/>
      <c r="D7" s="899"/>
      <c r="E7" s="899"/>
      <c r="F7" s="899"/>
      <c r="G7" s="899"/>
      <c r="H7" s="899"/>
      <c r="I7" s="899"/>
      <c r="J7" s="899"/>
      <c r="K7" s="899"/>
      <c r="L7" s="900"/>
    </row>
    <row r="8" spans="1:12" ht="48" customHeight="1" x14ac:dyDescent="0.25">
      <c r="A8" s="8">
        <v>3</v>
      </c>
      <c r="B8" s="899" t="s">
        <v>3</v>
      </c>
      <c r="C8" s="899"/>
      <c r="D8" s="899"/>
      <c r="E8" s="899"/>
      <c r="F8" s="899"/>
      <c r="G8" s="899"/>
      <c r="H8" s="899"/>
      <c r="I8" s="899"/>
      <c r="J8" s="899"/>
      <c r="K8" s="899"/>
      <c r="L8" s="900"/>
    </row>
    <row r="9" spans="1:12" x14ac:dyDescent="0.25">
      <c r="A9" s="6"/>
      <c r="L9" s="7"/>
    </row>
    <row r="10" spans="1:12" ht="12.75" customHeight="1" x14ac:dyDescent="0.25">
      <c r="A10" s="6"/>
      <c r="L10" s="7"/>
    </row>
    <row r="11" spans="1:12" x14ac:dyDescent="0.25">
      <c r="A11" s="6"/>
      <c r="L11" s="7"/>
    </row>
    <row r="12" spans="1:12" x14ac:dyDescent="0.25">
      <c r="A12" s="896" t="s">
        <v>4</v>
      </c>
      <c r="B12" s="897"/>
      <c r="C12" s="897"/>
      <c r="D12" s="897"/>
      <c r="E12" s="897"/>
      <c r="F12" s="897"/>
      <c r="G12" s="897"/>
      <c r="H12" s="897"/>
      <c r="I12" s="897"/>
      <c r="J12" s="897"/>
      <c r="K12" s="897"/>
      <c r="L12" s="898"/>
    </row>
    <row r="13" spans="1:12" x14ac:dyDescent="0.25">
      <c r="A13" s="6"/>
      <c r="L13" s="7"/>
    </row>
    <row r="14" spans="1:12" ht="20.25" x14ac:dyDescent="0.25">
      <c r="A14" s="892" t="s">
        <v>6</v>
      </c>
      <c r="B14" s="893"/>
      <c r="C14" s="893"/>
      <c r="D14" s="893"/>
      <c r="E14" s="893"/>
      <c r="F14" s="893"/>
      <c r="G14" s="893"/>
      <c r="H14" s="893"/>
      <c r="L14" s="7"/>
    </row>
    <row r="15" spans="1:12" ht="16.5" x14ac:dyDescent="0.25">
      <c r="A15" s="894" t="s">
        <v>7</v>
      </c>
      <c r="B15" s="895"/>
      <c r="C15" s="895"/>
      <c r="D15" s="895"/>
      <c r="E15" s="895"/>
      <c r="F15" s="895"/>
      <c r="G15" s="895"/>
      <c r="H15" s="895"/>
      <c r="L15" s="7"/>
    </row>
    <row r="16" spans="1:12" ht="20.25" x14ac:dyDescent="0.25">
      <c r="A16" s="892" t="s">
        <v>8</v>
      </c>
      <c r="B16" s="893"/>
      <c r="C16" s="893"/>
      <c r="D16" s="893"/>
      <c r="E16" s="893"/>
      <c r="F16" s="893"/>
      <c r="G16" s="893"/>
      <c r="H16" s="893"/>
      <c r="L16" s="7"/>
    </row>
    <row r="17" spans="1:12" ht="16.5" x14ac:dyDescent="0.25">
      <c r="A17" s="894" t="s">
        <v>9</v>
      </c>
      <c r="B17" s="895"/>
      <c r="C17" s="895"/>
      <c r="D17" s="895"/>
      <c r="E17" s="895"/>
      <c r="F17" s="895"/>
      <c r="G17" s="895"/>
      <c r="H17" s="895"/>
      <c r="L17" s="7"/>
    </row>
    <row r="18" spans="1:12" ht="15.75" thickBot="1" x14ac:dyDescent="0.3">
      <c r="A18" s="9"/>
      <c r="B18" s="10"/>
      <c r="C18" s="10"/>
      <c r="D18" s="10"/>
      <c r="E18" s="10"/>
      <c r="F18" s="10"/>
      <c r="G18" s="10"/>
      <c r="H18" s="10"/>
      <c r="I18" s="10"/>
      <c r="J18" s="10"/>
      <c r="K18" s="10"/>
      <c r="L18" s="11"/>
    </row>
  </sheetData>
  <sheetProtection password="DC1A" sheet="1" objects="1" scenarios="1"/>
  <mergeCells count="10">
    <mergeCell ref="A17:H17"/>
    <mergeCell ref="A12:L12"/>
    <mergeCell ref="B8:L8"/>
    <mergeCell ref="B7:L7"/>
    <mergeCell ref="B6:L6"/>
    <mergeCell ref="A4:L4"/>
    <mergeCell ref="A2:L3"/>
    <mergeCell ref="A14:H14"/>
    <mergeCell ref="A15:H15"/>
    <mergeCell ref="A16:H16"/>
  </mergeCells>
  <hyperlinks>
    <hyperlink ref="A12:J12" location="Details!A1" display="Click here to proceed." xr:uid="{00000000-0004-0000-01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3"/>
  <sheetViews>
    <sheetView tabSelected="1" workbookViewId="0">
      <selection activeCell="C37" sqref="C37"/>
    </sheetView>
  </sheetViews>
  <sheetFormatPr defaultColWidth="9.140625" defaultRowHeight="15.75" x14ac:dyDescent="0.25"/>
  <cols>
    <col min="1" max="1" width="17" style="57" customWidth="1"/>
    <col min="2" max="2" width="24.85546875" style="57" customWidth="1"/>
    <col min="3" max="3" width="28.85546875" style="57" customWidth="1"/>
    <col min="4" max="4" width="26.28515625" style="81" customWidth="1"/>
    <col min="5" max="5" width="25.85546875" style="56" customWidth="1"/>
    <col min="6" max="6" width="20.140625" style="57" customWidth="1"/>
    <col min="7" max="7" width="31.5703125" style="57" customWidth="1"/>
    <col min="8" max="16384" width="9.140625" style="57"/>
  </cols>
  <sheetData>
    <row r="1" spans="1:7" x14ac:dyDescent="0.25">
      <c r="A1" s="55" t="str">
        <f>Sheet1!A2</f>
        <v>RFX. No. 5002003246 NIT-435</v>
      </c>
      <c r="B1" s="55"/>
      <c r="C1" s="55"/>
      <c r="D1" s="78"/>
      <c r="E1" s="73"/>
    </row>
    <row r="2" spans="1:7" ht="21" customHeight="1" x14ac:dyDescent="0.25">
      <c r="A2" s="901" t="str">
        <f>Sheet1!B3</f>
        <v>Construction of Residential Quarters at Jamshedpur and demolition of Old Quarters( Brick Masonry</v>
      </c>
      <c r="B2" s="901"/>
      <c r="C2" s="901"/>
      <c r="D2" s="901"/>
      <c r="E2" s="901"/>
    </row>
    <row r="3" spans="1:7" ht="36" customHeight="1" x14ac:dyDescent="0.25">
      <c r="A3" s="912" t="s">
        <v>11</v>
      </c>
      <c r="B3" s="913"/>
      <c r="C3" s="58">
        <f>Details!E6</f>
        <v>0</v>
      </c>
      <c r="D3" s="79"/>
      <c r="E3" s="56" t="s">
        <v>59</v>
      </c>
    </row>
    <row r="4" spans="1:7" ht="33" customHeight="1" x14ac:dyDescent="0.25">
      <c r="A4" s="902" t="s">
        <v>12</v>
      </c>
      <c r="B4" s="903"/>
      <c r="C4" s="58">
        <f>Details!E7</f>
        <v>0</v>
      </c>
      <c r="D4" s="79"/>
      <c r="E4" s="59"/>
      <c r="F4" s="60"/>
    </row>
    <row r="5" spans="1:7" ht="42" customHeight="1" x14ac:dyDescent="0.25">
      <c r="A5" s="904"/>
      <c r="B5" s="905"/>
      <c r="C5" s="58">
        <f>Details!E8</f>
        <v>0</v>
      </c>
      <c r="D5" s="79"/>
      <c r="E5" s="61"/>
      <c r="F5" s="60"/>
    </row>
    <row r="6" spans="1:7" ht="36.950000000000003" customHeight="1" x14ac:dyDescent="0.25">
      <c r="A6" s="902"/>
      <c r="B6" s="903"/>
      <c r="C6" s="58">
        <f>Details!E9</f>
        <v>0</v>
      </c>
      <c r="D6" s="79"/>
      <c r="E6" s="61"/>
      <c r="F6" s="62"/>
    </row>
    <row r="8" spans="1:7" ht="19.5" x14ac:dyDescent="0.35">
      <c r="A8" s="914" t="s">
        <v>89</v>
      </c>
      <c r="B8" s="914"/>
      <c r="C8" s="914"/>
      <c r="D8" s="914"/>
      <c r="E8" s="914"/>
    </row>
    <row r="9" spans="1:7" ht="47.45" customHeight="1" x14ac:dyDescent="0.25">
      <c r="A9" s="63" t="s">
        <v>60</v>
      </c>
      <c r="B9" s="64"/>
      <c r="C9" s="63" t="s">
        <v>66</v>
      </c>
      <c r="D9" s="63" t="s">
        <v>86</v>
      </c>
      <c r="E9" s="65" t="s">
        <v>67</v>
      </c>
    </row>
    <row r="10" spans="1:7" ht="33.75" customHeight="1" x14ac:dyDescent="0.25">
      <c r="A10" s="66">
        <v>1</v>
      </c>
      <c r="B10" s="918" t="s">
        <v>75</v>
      </c>
      <c r="C10" s="909" t="s">
        <v>68</v>
      </c>
      <c r="D10" s="910"/>
      <c r="E10" s="67">
        <f>'Tower-I Plinth'!L134</f>
        <v>9759831.5016220864</v>
      </c>
    </row>
    <row r="11" spans="1:7" ht="18.75" customHeight="1" x14ac:dyDescent="0.25">
      <c r="A11" s="66">
        <v>2</v>
      </c>
      <c r="B11" s="919"/>
      <c r="C11" s="909" t="s">
        <v>69</v>
      </c>
      <c r="D11" s="910"/>
      <c r="E11" s="67">
        <f>'Tower-I Ground'!L274</f>
        <v>7220004.5838254709</v>
      </c>
    </row>
    <row r="12" spans="1:7" ht="21" customHeight="1" x14ac:dyDescent="0.25">
      <c r="A12" s="66">
        <v>3</v>
      </c>
      <c r="B12" s="919"/>
      <c r="C12" s="909" t="s">
        <v>70</v>
      </c>
      <c r="D12" s="910"/>
      <c r="E12" s="67">
        <f>'Tower-I First floor'!L417</f>
        <v>9889429.2643008474</v>
      </c>
    </row>
    <row r="13" spans="1:7" ht="34.5" customHeight="1" x14ac:dyDescent="0.25">
      <c r="A13" s="66">
        <v>4</v>
      </c>
      <c r="B13" s="919"/>
      <c r="C13" s="909" t="s">
        <v>72</v>
      </c>
      <c r="D13" s="910"/>
      <c r="E13" s="67">
        <f>'Tower I 2nd,3rd &amp; 4th'!L419</f>
        <v>9209667.6040783916</v>
      </c>
      <c r="G13" s="86"/>
    </row>
    <row r="14" spans="1:7" ht="36" customHeight="1" x14ac:dyDescent="0.25">
      <c r="A14" s="66">
        <v>5</v>
      </c>
      <c r="B14" s="919"/>
      <c r="C14" s="909" t="s">
        <v>73</v>
      </c>
      <c r="D14" s="910"/>
      <c r="E14" s="67">
        <f>'Tower I 2nd,3rd &amp; 4th'!L419</f>
        <v>9209667.6040783916</v>
      </c>
      <c r="G14" s="87"/>
    </row>
    <row r="15" spans="1:7" ht="35.25" customHeight="1" x14ac:dyDescent="0.25">
      <c r="A15" s="66">
        <v>6</v>
      </c>
      <c r="B15" s="919"/>
      <c r="C15" s="909" t="s">
        <v>71</v>
      </c>
      <c r="D15" s="910"/>
      <c r="E15" s="67">
        <f>'Tower-I Terrace'!L165</f>
        <v>1905193.8880349577</v>
      </c>
    </row>
    <row r="16" spans="1:7" ht="19.5" customHeight="1" x14ac:dyDescent="0.25">
      <c r="A16" s="66">
        <v>7</v>
      </c>
      <c r="B16" s="920"/>
      <c r="C16" s="909" t="s">
        <v>74</v>
      </c>
      <c r="D16" s="910"/>
      <c r="E16" s="67">
        <f>Lift!G7</f>
        <v>1461017</v>
      </c>
    </row>
    <row r="17" spans="1:7" ht="35.25" customHeight="1" x14ac:dyDescent="0.25">
      <c r="A17" s="66">
        <v>8</v>
      </c>
      <c r="B17" s="918" t="s">
        <v>76</v>
      </c>
      <c r="C17" s="909" t="s">
        <v>68</v>
      </c>
      <c r="D17" s="910"/>
      <c r="E17" s="67">
        <f>'Tower-2 Plinth'!L105</f>
        <v>8125458.1355932206</v>
      </c>
    </row>
    <row r="18" spans="1:7" ht="18.75" customHeight="1" x14ac:dyDescent="0.25">
      <c r="A18" s="66">
        <v>9</v>
      </c>
      <c r="B18" s="919"/>
      <c r="C18" s="909" t="s">
        <v>69</v>
      </c>
      <c r="D18" s="910"/>
      <c r="E18" s="67">
        <f>'Tower-2 Ground'!L286</f>
        <v>5702031.2261189045</v>
      </c>
    </row>
    <row r="19" spans="1:7" ht="35.25" customHeight="1" x14ac:dyDescent="0.25">
      <c r="A19" s="66">
        <v>10</v>
      </c>
      <c r="B19" s="919"/>
      <c r="C19" s="909" t="s">
        <v>70</v>
      </c>
      <c r="D19" s="910"/>
      <c r="E19" s="67">
        <f>'Tower-2 First &amp; Second'!L429</f>
        <v>7078572.9725677958</v>
      </c>
    </row>
    <row r="20" spans="1:7" ht="35.25" customHeight="1" x14ac:dyDescent="0.25">
      <c r="A20" s="66">
        <v>11</v>
      </c>
      <c r="B20" s="919"/>
      <c r="C20" s="909" t="s">
        <v>72</v>
      </c>
      <c r="D20" s="910"/>
      <c r="E20" s="67">
        <f>'Tower-2 First &amp; Second'!L429</f>
        <v>7078572.9725677958</v>
      </c>
    </row>
    <row r="21" spans="1:7" ht="31.5" customHeight="1" x14ac:dyDescent="0.25">
      <c r="A21" s="66">
        <v>12</v>
      </c>
      <c r="B21" s="919"/>
      <c r="C21" s="909" t="s">
        <v>73</v>
      </c>
      <c r="D21" s="910"/>
      <c r="E21" s="67">
        <f>'Tower-2 3RD'!L456</f>
        <v>7922519.5423728824</v>
      </c>
    </row>
    <row r="22" spans="1:7" ht="36.75" customHeight="1" x14ac:dyDescent="0.25">
      <c r="A22" s="66">
        <v>13</v>
      </c>
      <c r="B22" s="919"/>
      <c r="C22" s="909" t="s">
        <v>71</v>
      </c>
      <c r="D22" s="910"/>
      <c r="E22" s="67">
        <f>'Tower-2 Terrace'!L289</f>
        <v>644136.01426261012</v>
      </c>
    </row>
    <row r="23" spans="1:7" ht="19.5" customHeight="1" x14ac:dyDescent="0.25">
      <c r="A23" s="66">
        <v>14</v>
      </c>
      <c r="B23" s="920"/>
      <c r="C23" s="909" t="s">
        <v>74</v>
      </c>
      <c r="D23" s="910"/>
      <c r="E23" s="67">
        <f>Lift!G7</f>
        <v>1461017</v>
      </c>
    </row>
    <row r="24" spans="1:7" ht="25.5" customHeight="1" x14ac:dyDescent="0.25">
      <c r="A24" s="66">
        <v>15</v>
      </c>
      <c r="B24" s="909" t="s">
        <v>77</v>
      </c>
      <c r="C24" s="927"/>
      <c r="D24" s="910"/>
      <c r="E24" s="67">
        <f>'BOQ Peripheral Drain'!I19</f>
        <v>1805767</v>
      </c>
    </row>
    <row r="25" spans="1:7" ht="18.75" customHeight="1" x14ac:dyDescent="0.25">
      <c r="A25" s="66">
        <v>16</v>
      </c>
      <c r="B25" s="909" t="s">
        <v>78</v>
      </c>
      <c r="C25" s="927"/>
      <c r="D25" s="910"/>
      <c r="E25" s="67">
        <f>'BOQ- PAVER BLOCK'!I13+'BOQ RCC ROAD IN COLONY'!I21</f>
        <v>3606578.4875907991</v>
      </c>
      <c r="G25" s="88"/>
    </row>
    <row r="26" spans="1:7" ht="21" customHeight="1" x14ac:dyDescent="0.25">
      <c r="A26" s="66">
        <v>17</v>
      </c>
      <c r="B26" s="909" t="s">
        <v>79</v>
      </c>
      <c r="C26" s="927"/>
      <c r="D26" s="910"/>
      <c r="E26" s="67">
        <f>DISMANTLING!G14</f>
        <v>8578381.0933333337</v>
      </c>
    </row>
    <row r="27" spans="1:7" ht="18" customHeight="1" x14ac:dyDescent="0.25">
      <c r="A27" s="66">
        <v>18</v>
      </c>
      <c r="B27" s="909" t="s">
        <v>81</v>
      </c>
      <c r="C27" s="927"/>
      <c r="D27" s="910"/>
      <c r="E27" s="67">
        <f>'PHE works '!I220</f>
        <v>8571744.4600420576</v>
      </c>
    </row>
    <row r="28" spans="1:7" ht="17.25" customHeight="1" x14ac:dyDescent="0.25">
      <c r="A28" s="66">
        <v>19</v>
      </c>
      <c r="B28" s="909" t="s">
        <v>84</v>
      </c>
      <c r="C28" s="927"/>
      <c r="D28" s="910"/>
      <c r="E28" s="67">
        <f>Landscaping!J17</f>
        <v>779861.6875</v>
      </c>
    </row>
    <row r="29" spans="1:7" ht="19.5" customHeight="1" x14ac:dyDescent="0.25">
      <c r="A29" s="66">
        <v>20</v>
      </c>
      <c r="B29" s="909" t="s">
        <v>85</v>
      </c>
      <c r="C29" s="927"/>
      <c r="D29" s="910"/>
      <c r="E29" s="67">
        <f>'Electrical works'!H98</f>
        <v>6139800.8280871669</v>
      </c>
    </row>
    <row r="30" spans="1:7" ht="19.5" customHeight="1" x14ac:dyDescent="0.25">
      <c r="A30" s="66">
        <v>21</v>
      </c>
      <c r="B30" s="909" t="s">
        <v>80</v>
      </c>
      <c r="C30" s="927"/>
      <c r="D30" s="910"/>
      <c r="E30" s="67">
        <f>'BOQ POWER SUPPLY TO COLONY'!G27</f>
        <v>1267368</v>
      </c>
    </row>
    <row r="31" spans="1:7" ht="18" customHeight="1" x14ac:dyDescent="0.25">
      <c r="A31" s="66">
        <v>22</v>
      </c>
      <c r="B31" s="909" t="s">
        <v>82</v>
      </c>
      <c r="C31" s="927"/>
      <c r="D31" s="910"/>
      <c r="E31" s="67">
        <f>'modular kitchen'!G16</f>
        <v>5367711.25</v>
      </c>
    </row>
    <row r="32" spans="1:7" ht="18" customHeight="1" x14ac:dyDescent="0.25">
      <c r="A32" s="66">
        <v>23</v>
      </c>
      <c r="B32" s="909" t="s">
        <v>83</v>
      </c>
      <c r="C32" s="927"/>
      <c r="D32" s="910"/>
      <c r="E32" s="67">
        <f>Wardrobe!I15</f>
        <v>6359295.2999999998</v>
      </c>
    </row>
    <row r="33" spans="1:7" ht="27.75" customHeight="1" x14ac:dyDescent="0.25">
      <c r="A33" s="906" t="s">
        <v>1435</v>
      </c>
      <c r="B33" s="907"/>
      <c r="C33" s="907"/>
      <c r="D33" s="908"/>
      <c r="E33" s="68">
        <f>SUM(E10:E32)</f>
        <v>129143627.41597672</v>
      </c>
      <c r="F33" s="75"/>
    </row>
    <row r="34" spans="1:7" ht="16.5" customHeight="1" x14ac:dyDescent="0.25">
      <c r="A34" s="921" t="s">
        <v>1436</v>
      </c>
      <c r="B34" s="922"/>
      <c r="C34" s="922"/>
      <c r="D34" s="923"/>
      <c r="E34" s="69">
        <f>E33</f>
        <v>129143627.41597672</v>
      </c>
    </row>
    <row r="35" spans="1:7" ht="21" customHeight="1" x14ac:dyDescent="0.25">
      <c r="A35" s="924" t="s">
        <v>61</v>
      </c>
      <c r="B35" s="925"/>
      <c r="C35" s="925"/>
      <c r="D35" s="926"/>
      <c r="E35" s="70"/>
    </row>
    <row r="36" spans="1:7" ht="18" customHeight="1" x14ac:dyDescent="0.25">
      <c r="A36" s="924" t="s">
        <v>62</v>
      </c>
      <c r="B36" s="925"/>
      <c r="C36" s="925"/>
      <c r="D36" s="926"/>
      <c r="E36" s="71">
        <f>E34*(1+E35)</f>
        <v>129143627.41597672</v>
      </c>
    </row>
    <row r="37" spans="1:7" ht="24.75" customHeight="1" x14ac:dyDescent="0.25">
      <c r="A37" s="76"/>
      <c r="B37" s="77" t="s">
        <v>63</v>
      </c>
      <c r="C37" s="1049"/>
      <c r="D37" s="80"/>
      <c r="E37" s="83">
        <f>C37*E36</f>
        <v>0</v>
      </c>
      <c r="F37" s="56"/>
      <c r="G37" s="72"/>
    </row>
    <row r="38" spans="1:7" ht="24.75" customHeight="1" x14ac:dyDescent="0.3">
      <c r="A38" s="915" t="s">
        <v>1437</v>
      </c>
      <c r="B38" s="916"/>
      <c r="C38" s="916"/>
      <c r="D38" s="917"/>
      <c r="E38" s="82">
        <f>E36+E37</f>
        <v>129143627.41597672</v>
      </c>
    </row>
    <row r="39" spans="1:7" ht="30" customHeight="1" x14ac:dyDescent="0.25">
      <c r="A39" s="911" t="s">
        <v>65</v>
      </c>
      <c r="B39" s="911"/>
      <c r="C39" s="911"/>
      <c r="D39" s="911"/>
      <c r="E39" s="911"/>
    </row>
    <row r="41" spans="1:7" x14ac:dyDescent="0.25">
      <c r="A41" s="57" t="s">
        <v>19</v>
      </c>
      <c r="B41" s="85">
        <f>Details!E18</f>
        <v>0</v>
      </c>
      <c r="D41" s="84" t="s">
        <v>16</v>
      </c>
      <c r="E41" s="74">
        <f>Details!E13</f>
        <v>0</v>
      </c>
    </row>
    <row r="43" spans="1:7" x14ac:dyDescent="0.25">
      <c r="A43" s="57" t="s">
        <v>18</v>
      </c>
      <c r="B43" s="85">
        <f>Details!E17</f>
        <v>0</v>
      </c>
      <c r="D43" s="84" t="s">
        <v>24</v>
      </c>
      <c r="E43" s="74">
        <f>Details!E14</f>
        <v>0</v>
      </c>
    </row>
  </sheetData>
  <sheetProtection algorithmName="SHA-512" hashValue="m9yxPvZJx4QzMAb0gXQ34IgWATnx0DFRY7Kgg7KAShQhh009S0kkgt53EQC+bLH/8RK6I/cJ2OuOyfjfSjt+fA==" saltValue="N/qyNgHVB5NSFqRyB1/tog==" spinCount="100000" sheet="1" selectLockedCells="1"/>
  <mergeCells count="37">
    <mergeCell ref="B28:D28"/>
    <mergeCell ref="B29:D29"/>
    <mergeCell ref="B30:D30"/>
    <mergeCell ref="B31:D31"/>
    <mergeCell ref="B32:D32"/>
    <mergeCell ref="A39:E39"/>
    <mergeCell ref="A3:B3"/>
    <mergeCell ref="A8:E8"/>
    <mergeCell ref="A38:D38"/>
    <mergeCell ref="B10:B16"/>
    <mergeCell ref="B17:B23"/>
    <mergeCell ref="C10:D10"/>
    <mergeCell ref="C11:D11"/>
    <mergeCell ref="A34:D34"/>
    <mergeCell ref="A35:D35"/>
    <mergeCell ref="A36:D36"/>
    <mergeCell ref="C23:D23"/>
    <mergeCell ref="B24:D24"/>
    <mergeCell ref="B25:D25"/>
    <mergeCell ref="B26:D26"/>
    <mergeCell ref="B27:D27"/>
    <mergeCell ref="A2:E2"/>
    <mergeCell ref="A4:B4"/>
    <mergeCell ref="A5:B5"/>
    <mergeCell ref="A6:B6"/>
    <mergeCell ref="A33:D33"/>
    <mergeCell ref="C12:D12"/>
    <mergeCell ref="C13:D13"/>
    <mergeCell ref="C14:D14"/>
    <mergeCell ref="C15:D15"/>
    <mergeCell ref="C16:D16"/>
    <mergeCell ref="C17:D17"/>
    <mergeCell ref="C18:D18"/>
    <mergeCell ref="C19:D19"/>
    <mergeCell ref="C20:D20"/>
    <mergeCell ref="C21:D21"/>
    <mergeCell ref="C22:D22"/>
  </mergeCells>
  <pageMargins left="0.7" right="0.7" top="0.75" bottom="0.75" header="0.3" footer="0.3"/>
  <pageSetup paperSize="9" orientation="portrait"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0"/>
  <sheetViews>
    <sheetView workbookViewId="0">
      <selection activeCell="H15" sqref="H15"/>
    </sheetView>
  </sheetViews>
  <sheetFormatPr defaultColWidth="9.140625" defaultRowHeight="15" x14ac:dyDescent="0.25"/>
  <cols>
    <col min="1" max="3" width="9.140625" style="48"/>
    <col min="4" max="4" width="27.28515625" style="48" customWidth="1"/>
    <col min="5" max="6" width="9.140625" style="48"/>
    <col min="7" max="7" width="6.140625" style="48" customWidth="1"/>
    <col min="8" max="8" width="45.42578125" style="48" customWidth="1"/>
    <col min="9" max="16384" width="9.140625" style="48"/>
  </cols>
  <sheetData>
    <row r="1" spans="1:8" ht="19.5" customHeight="1" x14ac:dyDescent="0.25">
      <c r="A1" s="47" t="str">
        <f>Sheet1!A2</f>
        <v>RFX. No. 5002003246 NIT-435</v>
      </c>
      <c r="B1" s="47"/>
      <c r="C1" s="47"/>
    </row>
    <row r="2" spans="1:8" ht="31.5" customHeight="1" x14ac:dyDescent="0.25">
      <c r="A2" s="934" t="str">
        <f>Sheet1!B3</f>
        <v>Construction of Residential Quarters at Jamshedpur and demolition of Old Quarters( Brick Masonry</v>
      </c>
      <c r="B2" s="934"/>
      <c r="C2" s="934"/>
      <c r="D2" s="934"/>
      <c r="E2" s="934"/>
      <c r="F2" s="934"/>
      <c r="G2" s="934"/>
      <c r="H2" s="934"/>
    </row>
    <row r="4" spans="1:8" ht="30.75" customHeight="1" x14ac:dyDescent="0.25">
      <c r="A4" s="944" t="s">
        <v>11</v>
      </c>
      <c r="B4" s="944"/>
      <c r="C4" s="932">
        <f>Details!E13</f>
        <v>0</v>
      </c>
      <c r="D4" s="932"/>
      <c r="E4" s="49"/>
      <c r="F4" s="50" t="s">
        <v>20</v>
      </c>
    </row>
    <row r="5" spans="1:8" ht="27.75" customHeight="1" x14ac:dyDescent="0.25">
      <c r="A5" s="944" t="s">
        <v>12</v>
      </c>
      <c r="B5" s="944"/>
      <c r="C5" s="932">
        <f>Details!E7</f>
        <v>0</v>
      </c>
      <c r="D5" s="932"/>
      <c r="E5" s="49"/>
      <c r="F5" s="945" t="s">
        <v>21</v>
      </c>
      <c r="G5" s="945"/>
      <c r="H5" s="945"/>
    </row>
    <row r="6" spans="1:8" ht="32.25" customHeight="1" x14ac:dyDescent="0.25">
      <c r="C6" s="932">
        <f>Details!E8</f>
        <v>0</v>
      </c>
      <c r="D6" s="932"/>
      <c r="E6" s="49"/>
      <c r="F6" s="945" t="s">
        <v>22</v>
      </c>
      <c r="G6" s="945"/>
      <c r="H6" s="945"/>
    </row>
    <row r="7" spans="1:8" ht="30.75" customHeight="1" x14ac:dyDescent="0.25">
      <c r="C7" s="932">
        <f>Details!E9</f>
        <v>0</v>
      </c>
      <c r="D7" s="932"/>
      <c r="E7" s="49"/>
      <c r="F7" s="933" t="s">
        <v>23</v>
      </c>
      <c r="G7" s="933"/>
      <c r="H7" s="933"/>
    </row>
    <row r="8" spans="1:8" ht="15.75" thickBot="1" x14ac:dyDescent="0.3">
      <c r="A8" s="929"/>
      <c r="B8" s="929"/>
      <c r="C8" s="929"/>
      <c r="D8" s="929"/>
      <c r="E8" s="929"/>
      <c r="F8" s="929"/>
      <c r="G8" s="929"/>
      <c r="H8" s="929"/>
    </row>
    <row r="9" spans="1:8" x14ac:dyDescent="0.25">
      <c r="A9" s="935" t="s">
        <v>25</v>
      </c>
      <c r="B9" s="936"/>
      <c r="C9" s="936"/>
      <c r="D9" s="936"/>
      <c r="E9" s="936"/>
      <c r="F9" s="936"/>
      <c r="G9" s="936"/>
      <c r="H9" s="937"/>
    </row>
    <row r="10" spans="1:8" x14ac:dyDescent="0.25">
      <c r="A10" s="938"/>
      <c r="B10" s="939"/>
      <c r="C10" s="939"/>
      <c r="D10" s="939"/>
      <c r="E10" s="939"/>
      <c r="F10" s="939"/>
      <c r="G10" s="939"/>
      <c r="H10" s="940"/>
    </row>
    <row r="11" spans="1:8" x14ac:dyDescent="0.25">
      <c r="A11" s="938"/>
      <c r="B11" s="939"/>
      <c r="C11" s="939"/>
      <c r="D11" s="939"/>
      <c r="E11" s="939"/>
      <c r="F11" s="939"/>
      <c r="G11" s="939"/>
      <c r="H11" s="940"/>
    </row>
    <row r="12" spans="1:8" ht="2.25" customHeight="1" thickBot="1" x14ac:dyDescent="0.3">
      <c r="A12" s="941"/>
      <c r="B12" s="942"/>
      <c r="C12" s="942"/>
      <c r="D12" s="942"/>
      <c r="E12" s="942"/>
      <c r="F12" s="942"/>
      <c r="G12" s="942"/>
      <c r="H12" s="943"/>
    </row>
    <row r="13" spans="1:8" x14ac:dyDescent="0.25">
      <c r="A13" s="930"/>
      <c r="B13" s="930"/>
      <c r="C13" s="930"/>
      <c r="D13" s="930"/>
      <c r="E13" s="930"/>
      <c r="F13" s="930"/>
      <c r="G13" s="930"/>
      <c r="H13" s="930"/>
    </row>
    <row r="14" spans="1:8" ht="30" customHeight="1" x14ac:dyDescent="0.25">
      <c r="A14" s="931" t="s">
        <v>26</v>
      </c>
      <c r="B14" s="931"/>
      <c r="C14" s="931" t="s">
        <v>64</v>
      </c>
      <c r="D14" s="931"/>
      <c r="E14" s="931"/>
      <c r="F14" s="931"/>
      <c r="G14" s="931"/>
      <c r="H14" s="873">
        <f>'Schedule-I'!E36</f>
        <v>129143627.41597672</v>
      </c>
    </row>
    <row r="15" spans="1:8" ht="31.5" customHeight="1" x14ac:dyDescent="0.25">
      <c r="A15" s="931" t="s">
        <v>27</v>
      </c>
      <c r="B15" s="931"/>
      <c r="C15" s="931" t="s">
        <v>28</v>
      </c>
      <c r="D15" s="931"/>
      <c r="E15" s="931"/>
      <c r="F15" s="931"/>
      <c r="G15" s="931"/>
      <c r="H15" s="46">
        <f>'Schedule-I'!E37</f>
        <v>0</v>
      </c>
    </row>
    <row r="16" spans="1:8" ht="29.25" customHeight="1" x14ac:dyDescent="0.25">
      <c r="A16" s="931" t="s">
        <v>29</v>
      </c>
      <c r="B16" s="931"/>
      <c r="C16" s="931" t="s">
        <v>30</v>
      </c>
      <c r="D16" s="931"/>
      <c r="E16" s="931"/>
      <c r="F16" s="931"/>
      <c r="G16" s="931"/>
      <c r="H16" s="46">
        <f>H14+H15</f>
        <v>129143627.41597672</v>
      </c>
    </row>
    <row r="19" spans="1:8" ht="25.5" customHeight="1" x14ac:dyDescent="0.25">
      <c r="A19" s="48" t="s">
        <v>19</v>
      </c>
      <c r="B19" s="928">
        <f>Details!E2</f>
        <v>0</v>
      </c>
      <c r="C19" s="928"/>
      <c r="D19" s="51"/>
      <c r="E19" s="929" t="s">
        <v>16</v>
      </c>
      <c r="F19" s="929"/>
      <c r="G19" s="928">
        <f>Details!E13</f>
        <v>0</v>
      </c>
      <c r="H19" s="928"/>
    </row>
    <row r="20" spans="1:8" ht="24.75" customHeight="1" x14ac:dyDescent="0.25">
      <c r="A20" s="48" t="s">
        <v>18</v>
      </c>
      <c r="B20" s="928">
        <f>Details!E1</f>
        <v>0</v>
      </c>
      <c r="C20" s="928"/>
      <c r="D20" s="51"/>
      <c r="E20" s="929" t="s">
        <v>24</v>
      </c>
      <c r="F20" s="929"/>
      <c r="G20" s="928">
        <f>Details!E14</f>
        <v>0</v>
      </c>
      <c r="H20" s="928"/>
    </row>
  </sheetData>
  <sheetProtection algorithmName="SHA-512" hashValue="YVD58mpEoGMAxvEJ5k17Ojriv9j3UmyEhLotEGbK5x39T/wXkpdgWp+H/nzg2wJLQfJjcNXB0Yqqu5q7d4Vh0A==" saltValue="LRMARRvppvkJgjo2J2e6vA==" spinCount="100000" sheet="1" selectLockedCells="1" selectUnlockedCells="1"/>
  <mergeCells count="25">
    <mergeCell ref="C7:D7"/>
    <mergeCell ref="F7:H7"/>
    <mergeCell ref="A2:H2"/>
    <mergeCell ref="A9:H12"/>
    <mergeCell ref="C14:G14"/>
    <mergeCell ref="A14:B14"/>
    <mergeCell ref="A4:B4"/>
    <mergeCell ref="C4:D4"/>
    <mergeCell ref="A5:B5"/>
    <mergeCell ref="C5:D5"/>
    <mergeCell ref="F5:H5"/>
    <mergeCell ref="C6:D6"/>
    <mergeCell ref="F6:H6"/>
    <mergeCell ref="B20:C20"/>
    <mergeCell ref="E20:F20"/>
    <mergeCell ref="G20:H20"/>
    <mergeCell ref="A8:H8"/>
    <mergeCell ref="A13:H13"/>
    <mergeCell ref="A15:B15"/>
    <mergeCell ref="C15:G15"/>
    <mergeCell ref="A16:B16"/>
    <mergeCell ref="C16:G16"/>
    <mergeCell ref="B19:C19"/>
    <mergeCell ref="E19:F19"/>
    <mergeCell ref="G19:H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15ED1-43E3-47A2-8846-14DAAE4F391D}">
  <dimension ref="A1:H24"/>
  <sheetViews>
    <sheetView view="pageBreakPreview" zoomScaleNormal="100" zoomScaleSheetLayoutView="100" workbookViewId="0">
      <selection activeCell="C12" sqref="C12"/>
    </sheetView>
  </sheetViews>
  <sheetFormatPr defaultRowHeight="12.75" x14ac:dyDescent="0.2"/>
  <cols>
    <col min="1" max="1" width="12.7109375" style="103" customWidth="1"/>
    <col min="2" max="2" width="44.42578125" style="90" customWidth="1"/>
    <col min="3" max="3" width="27.42578125" style="103" customWidth="1"/>
    <col min="4" max="6" width="9.140625" style="90"/>
    <col min="7" max="7" width="9.7109375" style="90" bestFit="1" customWidth="1"/>
    <col min="8" max="8" width="10" style="90" bestFit="1" customWidth="1"/>
    <col min="9" max="256" width="9.140625" style="90"/>
    <col min="257" max="257" width="12.7109375" style="90" customWidth="1"/>
    <col min="258" max="258" width="44.42578125" style="90" customWidth="1"/>
    <col min="259" max="259" width="27.42578125" style="90" customWidth="1"/>
    <col min="260" max="262" width="9.140625" style="90"/>
    <col min="263" max="263" width="9.7109375" style="90" bestFit="1" customWidth="1"/>
    <col min="264" max="264" width="10" style="90" bestFit="1" customWidth="1"/>
    <col min="265" max="512" width="9.140625" style="90"/>
    <col min="513" max="513" width="12.7109375" style="90" customWidth="1"/>
    <col min="514" max="514" width="44.42578125" style="90" customWidth="1"/>
    <col min="515" max="515" width="27.42578125" style="90" customWidth="1"/>
    <col min="516" max="518" width="9.140625" style="90"/>
    <col min="519" max="519" width="9.7109375" style="90" bestFit="1" customWidth="1"/>
    <col min="520" max="520" width="10" style="90" bestFit="1" customWidth="1"/>
    <col min="521" max="768" width="9.140625" style="90"/>
    <col min="769" max="769" width="12.7109375" style="90" customWidth="1"/>
    <col min="770" max="770" width="44.42578125" style="90" customWidth="1"/>
    <col min="771" max="771" width="27.42578125" style="90" customWidth="1"/>
    <col min="772" max="774" width="9.140625" style="90"/>
    <col min="775" max="775" width="9.7109375" style="90" bestFit="1" customWidth="1"/>
    <col min="776" max="776" width="10" style="90" bestFit="1" customWidth="1"/>
    <col min="777" max="1024" width="9.140625" style="90"/>
    <col min="1025" max="1025" width="12.7109375" style="90" customWidth="1"/>
    <col min="1026" max="1026" width="44.42578125" style="90" customWidth="1"/>
    <col min="1027" max="1027" width="27.42578125" style="90" customWidth="1"/>
    <col min="1028" max="1030" width="9.140625" style="90"/>
    <col min="1031" max="1031" width="9.7109375" style="90" bestFit="1" customWidth="1"/>
    <col min="1032" max="1032" width="10" style="90" bestFit="1" customWidth="1"/>
    <col min="1033" max="1280" width="9.140625" style="90"/>
    <col min="1281" max="1281" width="12.7109375" style="90" customWidth="1"/>
    <col min="1282" max="1282" width="44.42578125" style="90" customWidth="1"/>
    <col min="1283" max="1283" width="27.42578125" style="90" customWidth="1"/>
    <col min="1284" max="1286" width="9.140625" style="90"/>
    <col min="1287" max="1287" width="9.7109375" style="90" bestFit="1" customWidth="1"/>
    <col min="1288" max="1288" width="10" style="90" bestFit="1" customWidth="1"/>
    <col min="1289" max="1536" width="9.140625" style="90"/>
    <col min="1537" max="1537" width="12.7109375" style="90" customWidth="1"/>
    <col min="1538" max="1538" width="44.42578125" style="90" customWidth="1"/>
    <col min="1539" max="1539" width="27.42578125" style="90" customWidth="1"/>
    <col min="1540" max="1542" width="9.140625" style="90"/>
    <col min="1543" max="1543" width="9.7109375" style="90" bestFit="1" customWidth="1"/>
    <col min="1544" max="1544" width="10" style="90" bestFit="1" customWidth="1"/>
    <col min="1545" max="1792" width="9.140625" style="90"/>
    <col min="1793" max="1793" width="12.7109375" style="90" customWidth="1"/>
    <col min="1794" max="1794" width="44.42578125" style="90" customWidth="1"/>
    <col min="1795" max="1795" width="27.42578125" style="90" customWidth="1"/>
    <col min="1796" max="1798" width="9.140625" style="90"/>
    <col min="1799" max="1799" width="9.7109375" style="90" bestFit="1" customWidth="1"/>
    <col min="1800" max="1800" width="10" style="90" bestFit="1" customWidth="1"/>
    <col min="1801" max="2048" width="9.140625" style="90"/>
    <col min="2049" max="2049" width="12.7109375" style="90" customWidth="1"/>
    <col min="2050" max="2050" width="44.42578125" style="90" customWidth="1"/>
    <col min="2051" max="2051" width="27.42578125" style="90" customWidth="1"/>
    <col min="2052" max="2054" width="9.140625" style="90"/>
    <col min="2055" max="2055" width="9.7109375" style="90" bestFit="1" customWidth="1"/>
    <col min="2056" max="2056" width="10" style="90" bestFit="1" customWidth="1"/>
    <col min="2057" max="2304" width="9.140625" style="90"/>
    <col min="2305" max="2305" width="12.7109375" style="90" customWidth="1"/>
    <col min="2306" max="2306" width="44.42578125" style="90" customWidth="1"/>
    <col min="2307" max="2307" width="27.42578125" style="90" customWidth="1"/>
    <col min="2308" max="2310" width="9.140625" style="90"/>
    <col min="2311" max="2311" width="9.7109375" style="90" bestFit="1" customWidth="1"/>
    <col min="2312" max="2312" width="10" style="90" bestFit="1" customWidth="1"/>
    <col min="2313" max="2560" width="9.140625" style="90"/>
    <col min="2561" max="2561" width="12.7109375" style="90" customWidth="1"/>
    <col min="2562" max="2562" width="44.42578125" style="90" customWidth="1"/>
    <col min="2563" max="2563" width="27.42578125" style="90" customWidth="1"/>
    <col min="2564" max="2566" width="9.140625" style="90"/>
    <col min="2567" max="2567" width="9.7109375" style="90" bestFit="1" customWidth="1"/>
    <col min="2568" max="2568" width="10" style="90" bestFit="1" customWidth="1"/>
    <col min="2569" max="2816" width="9.140625" style="90"/>
    <col min="2817" max="2817" width="12.7109375" style="90" customWidth="1"/>
    <col min="2818" max="2818" width="44.42578125" style="90" customWidth="1"/>
    <col min="2819" max="2819" width="27.42578125" style="90" customWidth="1"/>
    <col min="2820" max="2822" width="9.140625" style="90"/>
    <col min="2823" max="2823" width="9.7109375" style="90" bestFit="1" customWidth="1"/>
    <col min="2824" max="2824" width="10" style="90" bestFit="1" customWidth="1"/>
    <col min="2825" max="3072" width="9.140625" style="90"/>
    <col min="3073" max="3073" width="12.7109375" style="90" customWidth="1"/>
    <col min="3074" max="3074" width="44.42578125" style="90" customWidth="1"/>
    <col min="3075" max="3075" width="27.42578125" style="90" customWidth="1"/>
    <col min="3076" max="3078" width="9.140625" style="90"/>
    <col min="3079" max="3079" width="9.7109375" style="90" bestFit="1" customWidth="1"/>
    <col min="3080" max="3080" width="10" style="90" bestFit="1" customWidth="1"/>
    <col min="3081" max="3328" width="9.140625" style="90"/>
    <col min="3329" max="3329" width="12.7109375" style="90" customWidth="1"/>
    <col min="3330" max="3330" width="44.42578125" style="90" customWidth="1"/>
    <col min="3331" max="3331" width="27.42578125" style="90" customWidth="1"/>
    <col min="3332" max="3334" width="9.140625" style="90"/>
    <col min="3335" max="3335" width="9.7109375" style="90" bestFit="1" customWidth="1"/>
    <col min="3336" max="3336" width="10" style="90" bestFit="1" customWidth="1"/>
    <col min="3337" max="3584" width="9.140625" style="90"/>
    <col min="3585" max="3585" width="12.7109375" style="90" customWidth="1"/>
    <col min="3586" max="3586" width="44.42578125" style="90" customWidth="1"/>
    <col min="3587" max="3587" width="27.42578125" style="90" customWidth="1"/>
    <col min="3588" max="3590" width="9.140625" style="90"/>
    <col min="3591" max="3591" width="9.7109375" style="90" bestFit="1" customWidth="1"/>
    <col min="3592" max="3592" width="10" style="90" bestFit="1" customWidth="1"/>
    <col min="3593" max="3840" width="9.140625" style="90"/>
    <col min="3841" max="3841" width="12.7109375" style="90" customWidth="1"/>
    <col min="3842" max="3842" width="44.42578125" style="90" customWidth="1"/>
    <col min="3843" max="3843" width="27.42578125" style="90" customWidth="1"/>
    <col min="3844" max="3846" width="9.140625" style="90"/>
    <col min="3847" max="3847" width="9.7109375" style="90" bestFit="1" customWidth="1"/>
    <col min="3848" max="3848" width="10" style="90" bestFit="1" customWidth="1"/>
    <col min="3849" max="4096" width="9.140625" style="90"/>
    <col min="4097" max="4097" width="12.7109375" style="90" customWidth="1"/>
    <col min="4098" max="4098" width="44.42578125" style="90" customWidth="1"/>
    <col min="4099" max="4099" width="27.42578125" style="90" customWidth="1"/>
    <col min="4100" max="4102" width="9.140625" style="90"/>
    <col min="4103" max="4103" width="9.7109375" style="90" bestFit="1" customWidth="1"/>
    <col min="4104" max="4104" width="10" style="90" bestFit="1" customWidth="1"/>
    <col min="4105" max="4352" width="9.140625" style="90"/>
    <col min="4353" max="4353" width="12.7109375" style="90" customWidth="1"/>
    <col min="4354" max="4354" width="44.42578125" style="90" customWidth="1"/>
    <col min="4355" max="4355" width="27.42578125" style="90" customWidth="1"/>
    <col min="4356" max="4358" width="9.140625" style="90"/>
    <col min="4359" max="4359" width="9.7109375" style="90" bestFit="1" customWidth="1"/>
    <col min="4360" max="4360" width="10" style="90" bestFit="1" customWidth="1"/>
    <col min="4361" max="4608" width="9.140625" style="90"/>
    <col min="4609" max="4609" width="12.7109375" style="90" customWidth="1"/>
    <col min="4610" max="4610" width="44.42578125" style="90" customWidth="1"/>
    <col min="4611" max="4611" width="27.42578125" style="90" customWidth="1"/>
    <col min="4612" max="4614" width="9.140625" style="90"/>
    <col min="4615" max="4615" width="9.7109375" style="90" bestFit="1" customWidth="1"/>
    <col min="4616" max="4616" width="10" style="90" bestFit="1" customWidth="1"/>
    <col min="4617" max="4864" width="9.140625" style="90"/>
    <col min="4865" max="4865" width="12.7109375" style="90" customWidth="1"/>
    <col min="4866" max="4866" width="44.42578125" style="90" customWidth="1"/>
    <col min="4867" max="4867" width="27.42578125" style="90" customWidth="1"/>
    <col min="4868" max="4870" width="9.140625" style="90"/>
    <col min="4871" max="4871" width="9.7109375" style="90" bestFit="1" customWidth="1"/>
    <col min="4872" max="4872" width="10" style="90" bestFit="1" customWidth="1"/>
    <col min="4873" max="5120" width="9.140625" style="90"/>
    <col min="5121" max="5121" width="12.7109375" style="90" customWidth="1"/>
    <col min="5122" max="5122" width="44.42578125" style="90" customWidth="1"/>
    <col min="5123" max="5123" width="27.42578125" style="90" customWidth="1"/>
    <col min="5124" max="5126" width="9.140625" style="90"/>
    <col min="5127" max="5127" width="9.7109375" style="90" bestFit="1" customWidth="1"/>
    <col min="5128" max="5128" width="10" style="90" bestFit="1" customWidth="1"/>
    <col min="5129" max="5376" width="9.140625" style="90"/>
    <col min="5377" max="5377" width="12.7109375" style="90" customWidth="1"/>
    <col min="5378" max="5378" width="44.42578125" style="90" customWidth="1"/>
    <col min="5379" max="5379" width="27.42578125" style="90" customWidth="1"/>
    <col min="5380" max="5382" width="9.140625" style="90"/>
    <col min="5383" max="5383" width="9.7109375" style="90" bestFit="1" customWidth="1"/>
    <col min="5384" max="5384" width="10" style="90" bestFit="1" customWidth="1"/>
    <col min="5385" max="5632" width="9.140625" style="90"/>
    <col min="5633" max="5633" width="12.7109375" style="90" customWidth="1"/>
    <col min="5634" max="5634" width="44.42578125" style="90" customWidth="1"/>
    <col min="5635" max="5635" width="27.42578125" style="90" customWidth="1"/>
    <col min="5636" max="5638" width="9.140625" style="90"/>
    <col min="5639" max="5639" width="9.7109375" style="90" bestFit="1" customWidth="1"/>
    <col min="5640" max="5640" width="10" style="90" bestFit="1" customWidth="1"/>
    <col min="5641" max="5888" width="9.140625" style="90"/>
    <col min="5889" max="5889" width="12.7109375" style="90" customWidth="1"/>
    <col min="5890" max="5890" width="44.42578125" style="90" customWidth="1"/>
    <col min="5891" max="5891" width="27.42578125" style="90" customWidth="1"/>
    <col min="5892" max="5894" width="9.140625" style="90"/>
    <col min="5895" max="5895" width="9.7109375" style="90" bestFit="1" customWidth="1"/>
    <col min="5896" max="5896" width="10" style="90" bestFit="1" customWidth="1"/>
    <col min="5897" max="6144" width="9.140625" style="90"/>
    <col min="6145" max="6145" width="12.7109375" style="90" customWidth="1"/>
    <col min="6146" max="6146" width="44.42578125" style="90" customWidth="1"/>
    <col min="6147" max="6147" width="27.42578125" style="90" customWidth="1"/>
    <col min="6148" max="6150" width="9.140625" style="90"/>
    <col min="6151" max="6151" width="9.7109375" style="90" bestFit="1" customWidth="1"/>
    <col min="6152" max="6152" width="10" style="90" bestFit="1" customWidth="1"/>
    <col min="6153" max="6400" width="9.140625" style="90"/>
    <col min="6401" max="6401" width="12.7109375" style="90" customWidth="1"/>
    <col min="6402" max="6402" width="44.42578125" style="90" customWidth="1"/>
    <col min="6403" max="6403" width="27.42578125" style="90" customWidth="1"/>
    <col min="6404" max="6406" width="9.140625" style="90"/>
    <col min="6407" max="6407" width="9.7109375" style="90" bestFit="1" customWidth="1"/>
    <col min="6408" max="6408" width="10" style="90" bestFit="1" customWidth="1"/>
    <col min="6409" max="6656" width="9.140625" style="90"/>
    <col min="6657" max="6657" width="12.7109375" style="90" customWidth="1"/>
    <col min="6658" max="6658" width="44.42578125" style="90" customWidth="1"/>
    <col min="6659" max="6659" width="27.42578125" style="90" customWidth="1"/>
    <col min="6660" max="6662" width="9.140625" style="90"/>
    <col min="6663" max="6663" width="9.7109375" style="90" bestFit="1" customWidth="1"/>
    <col min="6664" max="6664" width="10" style="90" bestFit="1" customWidth="1"/>
    <col min="6665" max="6912" width="9.140625" style="90"/>
    <col min="6913" max="6913" width="12.7109375" style="90" customWidth="1"/>
    <col min="6914" max="6914" width="44.42578125" style="90" customWidth="1"/>
    <col min="6915" max="6915" width="27.42578125" style="90" customWidth="1"/>
    <col min="6916" max="6918" width="9.140625" style="90"/>
    <col min="6919" max="6919" width="9.7109375" style="90" bestFit="1" customWidth="1"/>
    <col min="6920" max="6920" width="10" style="90" bestFit="1" customWidth="1"/>
    <col min="6921" max="7168" width="9.140625" style="90"/>
    <col min="7169" max="7169" width="12.7109375" style="90" customWidth="1"/>
    <col min="7170" max="7170" width="44.42578125" style="90" customWidth="1"/>
    <col min="7171" max="7171" width="27.42578125" style="90" customWidth="1"/>
    <col min="7172" max="7174" width="9.140625" style="90"/>
    <col min="7175" max="7175" width="9.7109375" style="90" bestFit="1" customWidth="1"/>
    <col min="7176" max="7176" width="10" style="90" bestFit="1" customWidth="1"/>
    <col min="7177" max="7424" width="9.140625" style="90"/>
    <col min="7425" max="7425" width="12.7109375" style="90" customWidth="1"/>
    <col min="7426" max="7426" width="44.42578125" style="90" customWidth="1"/>
    <col min="7427" max="7427" width="27.42578125" style="90" customWidth="1"/>
    <col min="7428" max="7430" width="9.140625" style="90"/>
    <col min="7431" max="7431" width="9.7109375" style="90" bestFit="1" customWidth="1"/>
    <col min="7432" max="7432" width="10" style="90" bestFit="1" customWidth="1"/>
    <col min="7433" max="7680" width="9.140625" style="90"/>
    <col min="7681" max="7681" width="12.7109375" style="90" customWidth="1"/>
    <col min="7682" max="7682" width="44.42578125" style="90" customWidth="1"/>
    <col min="7683" max="7683" width="27.42578125" style="90" customWidth="1"/>
    <col min="7684" max="7686" width="9.140625" style="90"/>
    <col min="7687" max="7687" width="9.7109375" style="90" bestFit="1" customWidth="1"/>
    <col min="7688" max="7688" width="10" style="90" bestFit="1" customWidth="1"/>
    <col min="7689" max="7936" width="9.140625" style="90"/>
    <col min="7937" max="7937" width="12.7109375" style="90" customWidth="1"/>
    <col min="7938" max="7938" width="44.42578125" style="90" customWidth="1"/>
    <col min="7939" max="7939" width="27.42578125" style="90" customWidth="1"/>
    <col min="7940" max="7942" width="9.140625" style="90"/>
    <col min="7943" max="7943" width="9.7109375" style="90" bestFit="1" customWidth="1"/>
    <col min="7944" max="7944" width="10" style="90" bestFit="1" customWidth="1"/>
    <col min="7945" max="8192" width="9.140625" style="90"/>
    <col min="8193" max="8193" width="12.7109375" style="90" customWidth="1"/>
    <col min="8194" max="8194" width="44.42578125" style="90" customWidth="1"/>
    <col min="8195" max="8195" width="27.42578125" style="90" customWidth="1"/>
    <col min="8196" max="8198" width="9.140625" style="90"/>
    <col min="8199" max="8199" width="9.7109375" style="90" bestFit="1" customWidth="1"/>
    <col min="8200" max="8200" width="10" style="90" bestFit="1" customWidth="1"/>
    <col min="8201" max="8448" width="9.140625" style="90"/>
    <col min="8449" max="8449" width="12.7109375" style="90" customWidth="1"/>
    <col min="8450" max="8450" width="44.42578125" style="90" customWidth="1"/>
    <col min="8451" max="8451" width="27.42578125" style="90" customWidth="1"/>
    <col min="8452" max="8454" width="9.140625" style="90"/>
    <col min="8455" max="8455" width="9.7109375" style="90" bestFit="1" customWidth="1"/>
    <col min="8456" max="8456" width="10" style="90" bestFit="1" customWidth="1"/>
    <col min="8457" max="8704" width="9.140625" style="90"/>
    <col min="8705" max="8705" width="12.7109375" style="90" customWidth="1"/>
    <col min="8706" max="8706" width="44.42578125" style="90" customWidth="1"/>
    <col min="8707" max="8707" width="27.42578125" style="90" customWidth="1"/>
    <col min="8708" max="8710" width="9.140625" style="90"/>
    <col min="8711" max="8711" width="9.7109375" style="90" bestFit="1" customWidth="1"/>
    <col min="8712" max="8712" width="10" style="90" bestFit="1" customWidth="1"/>
    <col min="8713" max="8960" width="9.140625" style="90"/>
    <col min="8961" max="8961" width="12.7109375" style="90" customWidth="1"/>
    <col min="8962" max="8962" width="44.42578125" style="90" customWidth="1"/>
    <col min="8963" max="8963" width="27.42578125" style="90" customWidth="1"/>
    <col min="8964" max="8966" width="9.140625" style="90"/>
    <col min="8967" max="8967" width="9.7109375" style="90" bestFit="1" customWidth="1"/>
    <col min="8968" max="8968" width="10" style="90" bestFit="1" customWidth="1"/>
    <col min="8969" max="9216" width="9.140625" style="90"/>
    <col min="9217" max="9217" width="12.7109375" style="90" customWidth="1"/>
    <col min="9218" max="9218" width="44.42578125" style="90" customWidth="1"/>
    <col min="9219" max="9219" width="27.42578125" style="90" customWidth="1"/>
    <col min="9220" max="9222" width="9.140625" style="90"/>
    <col min="9223" max="9223" width="9.7109375" style="90" bestFit="1" customWidth="1"/>
    <col min="9224" max="9224" width="10" style="90" bestFit="1" customWidth="1"/>
    <col min="9225" max="9472" width="9.140625" style="90"/>
    <col min="9473" max="9473" width="12.7109375" style="90" customWidth="1"/>
    <col min="9474" max="9474" width="44.42578125" style="90" customWidth="1"/>
    <col min="9475" max="9475" width="27.42578125" style="90" customWidth="1"/>
    <col min="9476" max="9478" width="9.140625" style="90"/>
    <col min="9479" max="9479" width="9.7109375" style="90" bestFit="1" customWidth="1"/>
    <col min="9480" max="9480" width="10" style="90" bestFit="1" customWidth="1"/>
    <col min="9481" max="9728" width="9.140625" style="90"/>
    <col min="9729" max="9729" width="12.7109375" style="90" customWidth="1"/>
    <col min="9730" max="9730" width="44.42578125" style="90" customWidth="1"/>
    <col min="9731" max="9731" width="27.42578125" style="90" customWidth="1"/>
    <col min="9732" max="9734" width="9.140625" style="90"/>
    <col min="9735" max="9735" width="9.7109375" style="90" bestFit="1" customWidth="1"/>
    <col min="9736" max="9736" width="10" style="90" bestFit="1" customWidth="1"/>
    <col min="9737" max="9984" width="9.140625" style="90"/>
    <col min="9985" max="9985" width="12.7109375" style="90" customWidth="1"/>
    <col min="9986" max="9986" width="44.42578125" style="90" customWidth="1"/>
    <col min="9987" max="9987" width="27.42578125" style="90" customWidth="1"/>
    <col min="9988" max="9990" width="9.140625" style="90"/>
    <col min="9991" max="9991" width="9.7109375" style="90" bestFit="1" customWidth="1"/>
    <col min="9992" max="9992" width="10" style="90" bestFit="1" customWidth="1"/>
    <col min="9993" max="10240" width="9.140625" style="90"/>
    <col min="10241" max="10241" width="12.7109375" style="90" customWidth="1"/>
    <col min="10242" max="10242" width="44.42578125" style="90" customWidth="1"/>
    <col min="10243" max="10243" width="27.42578125" style="90" customWidth="1"/>
    <col min="10244" max="10246" width="9.140625" style="90"/>
    <col min="10247" max="10247" width="9.7109375" style="90" bestFit="1" customWidth="1"/>
    <col min="10248" max="10248" width="10" style="90" bestFit="1" customWidth="1"/>
    <col min="10249" max="10496" width="9.140625" style="90"/>
    <col min="10497" max="10497" width="12.7109375" style="90" customWidth="1"/>
    <col min="10498" max="10498" width="44.42578125" style="90" customWidth="1"/>
    <col min="10499" max="10499" width="27.42578125" style="90" customWidth="1"/>
    <col min="10500" max="10502" width="9.140625" style="90"/>
    <col min="10503" max="10503" width="9.7109375" style="90" bestFit="1" customWidth="1"/>
    <col min="10504" max="10504" width="10" style="90" bestFit="1" customWidth="1"/>
    <col min="10505" max="10752" width="9.140625" style="90"/>
    <col min="10753" max="10753" width="12.7109375" style="90" customWidth="1"/>
    <col min="10754" max="10754" width="44.42578125" style="90" customWidth="1"/>
    <col min="10755" max="10755" width="27.42578125" style="90" customWidth="1"/>
    <col min="10756" max="10758" width="9.140625" style="90"/>
    <col min="10759" max="10759" width="9.7109375" style="90" bestFit="1" customWidth="1"/>
    <col min="10760" max="10760" width="10" style="90" bestFit="1" customWidth="1"/>
    <col min="10761" max="11008" width="9.140625" style="90"/>
    <col min="11009" max="11009" width="12.7109375" style="90" customWidth="1"/>
    <col min="11010" max="11010" width="44.42578125" style="90" customWidth="1"/>
    <col min="11011" max="11011" width="27.42578125" style="90" customWidth="1"/>
    <col min="11012" max="11014" width="9.140625" style="90"/>
    <col min="11015" max="11015" width="9.7109375" style="90" bestFit="1" customWidth="1"/>
    <col min="11016" max="11016" width="10" style="90" bestFit="1" customWidth="1"/>
    <col min="11017" max="11264" width="9.140625" style="90"/>
    <col min="11265" max="11265" width="12.7109375" style="90" customWidth="1"/>
    <col min="11266" max="11266" width="44.42578125" style="90" customWidth="1"/>
    <col min="11267" max="11267" width="27.42578125" style="90" customWidth="1"/>
    <col min="11268" max="11270" width="9.140625" style="90"/>
    <col min="11271" max="11271" width="9.7109375" style="90" bestFit="1" customWidth="1"/>
    <col min="11272" max="11272" width="10" style="90" bestFit="1" customWidth="1"/>
    <col min="11273" max="11520" width="9.140625" style="90"/>
    <col min="11521" max="11521" width="12.7109375" style="90" customWidth="1"/>
    <col min="11522" max="11522" width="44.42578125" style="90" customWidth="1"/>
    <col min="11523" max="11523" width="27.42578125" style="90" customWidth="1"/>
    <col min="11524" max="11526" width="9.140625" style="90"/>
    <col min="11527" max="11527" width="9.7109375" style="90" bestFit="1" customWidth="1"/>
    <col min="11528" max="11528" width="10" style="90" bestFit="1" customWidth="1"/>
    <col min="11529" max="11776" width="9.140625" style="90"/>
    <col min="11777" max="11777" width="12.7109375" style="90" customWidth="1"/>
    <col min="11778" max="11778" width="44.42578125" style="90" customWidth="1"/>
    <col min="11779" max="11779" width="27.42578125" style="90" customWidth="1"/>
    <col min="11780" max="11782" width="9.140625" style="90"/>
    <col min="11783" max="11783" width="9.7109375" style="90" bestFit="1" customWidth="1"/>
    <col min="11784" max="11784" width="10" style="90" bestFit="1" customWidth="1"/>
    <col min="11785" max="12032" width="9.140625" style="90"/>
    <col min="12033" max="12033" width="12.7109375" style="90" customWidth="1"/>
    <col min="12034" max="12034" width="44.42578125" style="90" customWidth="1"/>
    <col min="12035" max="12035" width="27.42578125" style="90" customWidth="1"/>
    <col min="12036" max="12038" width="9.140625" style="90"/>
    <col min="12039" max="12039" width="9.7109375" style="90" bestFit="1" customWidth="1"/>
    <col min="12040" max="12040" width="10" style="90" bestFit="1" customWidth="1"/>
    <col min="12041" max="12288" width="9.140625" style="90"/>
    <col min="12289" max="12289" width="12.7109375" style="90" customWidth="1"/>
    <col min="12290" max="12290" width="44.42578125" style="90" customWidth="1"/>
    <col min="12291" max="12291" width="27.42578125" style="90" customWidth="1"/>
    <col min="12292" max="12294" width="9.140625" style="90"/>
    <col min="12295" max="12295" width="9.7109375" style="90" bestFit="1" customWidth="1"/>
    <col min="12296" max="12296" width="10" style="90" bestFit="1" customWidth="1"/>
    <col min="12297" max="12544" width="9.140625" style="90"/>
    <col min="12545" max="12545" width="12.7109375" style="90" customWidth="1"/>
    <col min="12546" max="12546" width="44.42578125" style="90" customWidth="1"/>
    <col min="12547" max="12547" width="27.42578125" style="90" customWidth="1"/>
    <col min="12548" max="12550" width="9.140625" style="90"/>
    <col min="12551" max="12551" width="9.7109375" style="90" bestFit="1" customWidth="1"/>
    <col min="12552" max="12552" width="10" style="90" bestFit="1" customWidth="1"/>
    <col min="12553" max="12800" width="9.140625" style="90"/>
    <col min="12801" max="12801" width="12.7109375" style="90" customWidth="1"/>
    <col min="12802" max="12802" width="44.42578125" style="90" customWidth="1"/>
    <col min="12803" max="12803" width="27.42578125" style="90" customWidth="1"/>
    <col min="12804" max="12806" width="9.140625" style="90"/>
    <col min="12807" max="12807" width="9.7109375" style="90" bestFit="1" customWidth="1"/>
    <col min="12808" max="12808" width="10" style="90" bestFit="1" customWidth="1"/>
    <col min="12809" max="13056" width="9.140625" style="90"/>
    <col min="13057" max="13057" width="12.7109375" style="90" customWidth="1"/>
    <col min="13058" max="13058" width="44.42578125" style="90" customWidth="1"/>
    <col min="13059" max="13059" width="27.42578125" style="90" customWidth="1"/>
    <col min="13060" max="13062" width="9.140625" style="90"/>
    <col min="13063" max="13063" width="9.7109375" style="90" bestFit="1" customWidth="1"/>
    <col min="13064" max="13064" width="10" style="90" bestFit="1" customWidth="1"/>
    <col min="13065" max="13312" width="9.140625" style="90"/>
    <col min="13313" max="13313" width="12.7109375" style="90" customWidth="1"/>
    <col min="13314" max="13314" width="44.42578125" style="90" customWidth="1"/>
    <col min="13315" max="13315" width="27.42578125" style="90" customWidth="1"/>
    <col min="13316" max="13318" width="9.140625" style="90"/>
    <col min="13319" max="13319" width="9.7109375" style="90" bestFit="1" customWidth="1"/>
    <col min="13320" max="13320" width="10" style="90" bestFit="1" customWidth="1"/>
    <col min="13321" max="13568" width="9.140625" style="90"/>
    <col min="13569" max="13569" width="12.7109375" style="90" customWidth="1"/>
    <col min="13570" max="13570" width="44.42578125" style="90" customWidth="1"/>
    <col min="13571" max="13571" width="27.42578125" style="90" customWidth="1"/>
    <col min="13572" max="13574" width="9.140625" style="90"/>
    <col min="13575" max="13575" width="9.7109375" style="90" bestFit="1" customWidth="1"/>
    <col min="13576" max="13576" width="10" style="90" bestFit="1" customWidth="1"/>
    <col min="13577" max="13824" width="9.140625" style="90"/>
    <col min="13825" max="13825" width="12.7109375" style="90" customWidth="1"/>
    <col min="13826" max="13826" width="44.42578125" style="90" customWidth="1"/>
    <col min="13827" max="13827" width="27.42578125" style="90" customWidth="1"/>
    <col min="13828" max="13830" width="9.140625" style="90"/>
    <col min="13831" max="13831" width="9.7109375" style="90" bestFit="1" customWidth="1"/>
    <col min="13832" max="13832" width="10" style="90" bestFit="1" customWidth="1"/>
    <col min="13833" max="14080" width="9.140625" style="90"/>
    <col min="14081" max="14081" width="12.7109375" style="90" customWidth="1"/>
    <col min="14082" max="14082" width="44.42578125" style="90" customWidth="1"/>
    <col min="14083" max="14083" width="27.42578125" style="90" customWidth="1"/>
    <col min="14084" max="14086" width="9.140625" style="90"/>
    <col min="14087" max="14087" width="9.7109375" style="90" bestFit="1" customWidth="1"/>
    <col min="14088" max="14088" width="10" style="90" bestFit="1" customWidth="1"/>
    <col min="14089" max="14336" width="9.140625" style="90"/>
    <col min="14337" max="14337" width="12.7109375" style="90" customWidth="1"/>
    <col min="14338" max="14338" width="44.42578125" style="90" customWidth="1"/>
    <col min="14339" max="14339" width="27.42578125" style="90" customWidth="1"/>
    <col min="14340" max="14342" width="9.140625" style="90"/>
    <col min="14343" max="14343" width="9.7109375" style="90" bestFit="1" customWidth="1"/>
    <col min="14344" max="14344" width="10" style="90" bestFit="1" customWidth="1"/>
    <col min="14345" max="14592" width="9.140625" style="90"/>
    <col min="14593" max="14593" width="12.7109375" style="90" customWidth="1"/>
    <col min="14594" max="14594" width="44.42578125" style="90" customWidth="1"/>
    <col min="14595" max="14595" width="27.42578125" style="90" customWidth="1"/>
    <col min="14596" max="14598" width="9.140625" style="90"/>
    <col min="14599" max="14599" width="9.7109375" style="90" bestFit="1" customWidth="1"/>
    <col min="14600" max="14600" width="10" style="90" bestFit="1" customWidth="1"/>
    <col min="14601" max="14848" width="9.140625" style="90"/>
    <col min="14849" max="14849" width="12.7109375" style="90" customWidth="1"/>
    <col min="14850" max="14850" width="44.42578125" style="90" customWidth="1"/>
    <col min="14851" max="14851" width="27.42578125" style="90" customWidth="1"/>
    <col min="14852" max="14854" width="9.140625" style="90"/>
    <col min="14855" max="14855" width="9.7109375" style="90" bestFit="1" customWidth="1"/>
    <col min="14856" max="14856" width="10" style="90" bestFit="1" customWidth="1"/>
    <col min="14857" max="15104" width="9.140625" style="90"/>
    <col min="15105" max="15105" width="12.7109375" style="90" customWidth="1"/>
    <col min="15106" max="15106" width="44.42578125" style="90" customWidth="1"/>
    <col min="15107" max="15107" width="27.42578125" style="90" customWidth="1"/>
    <col min="15108" max="15110" width="9.140625" style="90"/>
    <col min="15111" max="15111" width="9.7109375" style="90" bestFit="1" customWidth="1"/>
    <col min="15112" max="15112" width="10" style="90" bestFit="1" customWidth="1"/>
    <col min="15113" max="15360" width="9.140625" style="90"/>
    <col min="15361" max="15361" width="12.7109375" style="90" customWidth="1"/>
    <col min="15362" max="15362" width="44.42578125" style="90" customWidth="1"/>
    <col min="15363" max="15363" width="27.42578125" style="90" customWidth="1"/>
    <col min="15364" max="15366" width="9.140625" style="90"/>
    <col min="15367" max="15367" width="9.7109375" style="90" bestFit="1" customWidth="1"/>
    <col min="15368" max="15368" width="10" style="90" bestFit="1" customWidth="1"/>
    <col min="15369" max="15616" width="9.140625" style="90"/>
    <col min="15617" max="15617" width="12.7109375" style="90" customWidth="1"/>
    <col min="15618" max="15618" width="44.42578125" style="90" customWidth="1"/>
    <col min="15619" max="15619" width="27.42578125" style="90" customWidth="1"/>
    <col min="15620" max="15622" width="9.140625" style="90"/>
    <col min="15623" max="15623" width="9.7109375" style="90" bestFit="1" customWidth="1"/>
    <col min="15624" max="15624" width="10" style="90" bestFit="1" customWidth="1"/>
    <col min="15625" max="15872" width="9.140625" style="90"/>
    <col min="15873" max="15873" width="12.7109375" style="90" customWidth="1"/>
    <col min="15874" max="15874" width="44.42578125" style="90" customWidth="1"/>
    <col min="15875" max="15875" width="27.42578125" style="90" customWidth="1"/>
    <col min="15876" max="15878" width="9.140625" style="90"/>
    <col min="15879" max="15879" width="9.7109375" style="90" bestFit="1" customWidth="1"/>
    <col min="15880" max="15880" width="10" style="90" bestFit="1" customWidth="1"/>
    <col min="15881" max="16128" width="9.140625" style="90"/>
    <col min="16129" max="16129" width="12.7109375" style="90" customWidth="1"/>
    <col min="16130" max="16130" width="44.42578125" style="90" customWidth="1"/>
    <col min="16131" max="16131" width="27.42578125" style="90" customWidth="1"/>
    <col min="16132" max="16134" width="9.140625" style="90"/>
    <col min="16135" max="16135" width="9.7109375" style="90" bestFit="1" customWidth="1"/>
    <col min="16136" max="16136" width="10" style="90" bestFit="1" customWidth="1"/>
    <col min="16137" max="16384" width="9.140625" style="90"/>
  </cols>
  <sheetData>
    <row r="1" spans="1:6" ht="60" customHeight="1" x14ac:dyDescent="0.4">
      <c r="A1" s="946" t="s">
        <v>90</v>
      </c>
      <c r="B1" s="947"/>
      <c r="C1" s="948"/>
      <c r="D1" s="89"/>
      <c r="E1" s="89"/>
      <c r="F1" s="89"/>
    </row>
    <row r="2" spans="1:6" ht="15" customHeight="1" x14ac:dyDescent="0.4">
      <c r="A2" s="91"/>
      <c r="B2" s="91"/>
      <c r="C2" s="91"/>
      <c r="D2" s="89"/>
      <c r="E2" s="89"/>
      <c r="F2" s="89"/>
    </row>
    <row r="3" spans="1:6" ht="15" customHeight="1" x14ac:dyDescent="0.4">
      <c r="A3" s="92" t="s">
        <v>91</v>
      </c>
      <c r="B3" s="93" t="s">
        <v>92</v>
      </c>
      <c r="C3" s="94"/>
      <c r="D3" s="94"/>
      <c r="E3" s="94"/>
      <c r="F3" s="94"/>
    </row>
    <row r="4" spans="1:6" ht="20.25" x14ac:dyDescent="0.3">
      <c r="A4" s="95" t="s">
        <v>93</v>
      </c>
      <c r="B4" s="96" t="s">
        <v>94</v>
      </c>
      <c r="C4" s="95" t="s">
        <v>95</v>
      </c>
      <c r="D4" s="96"/>
      <c r="E4" s="96"/>
    </row>
    <row r="5" spans="1:6" ht="20.25" x14ac:dyDescent="0.3">
      <c r="A5" s="95"/>
      <c r="B5" s="96"/>
      <c r="C5" s="95"/>
      <c r="D5" s="96"/>
      <c r="E5" s="96"/>
    </row>
    <row r="6" spans="1:6" ht="20.25" x14ac:dyDescent="0.3">
      <c r="A6" s="95">
        <v>1</v>
      </c>
      <c r="B6" s="96" t="s">
        <v>68</v>
      </c>
      <c r="C6" s="97">
        <f>'Tower-I Plinth'!L134</f>
        <v>9759831.5016220864</v>
      </c>
      <c r="D6" s="96"/>
      <c r="E6" s="96"/>
    </row>
    <row r="7" spans="1:6" ht="20.25" x14ac:dyDescent="0.3">
      <c r="A7" s="95">
        <v>2</v>
      </c>
      <c r="B7" s="96" t="s">
        <v>69</v>
      </c>
      <c r="C7" s="97">
        <f>'Tower-I Ground'!L274</f>
        <v>7220004.5838254709</v>
      </c>
      <c r="D7" s="96"/>
      <c r="E7" s="96"/>
    </row>
    <row r="8" spans="1:6" ht="20.25" x14ac:dyDescent="0.3">
      <c r="A8" s="95">
        <v>3</v>
      </c>
      <c r="B8" s="96" t="s">
        <v>70</v>
      </c>
      <c r="C8" s="97">
        <f>'Tower-I First floor'!L417</f>
        <v>9889429.2643008474</v>
      </c>
      <c r="D8" s="96"/>
      <c r="E8" s="96"/>
    </row>
    <row r="9" spans="1:6" ht="20.25" x14ac:dyDescent="0.3">
      <c r="A9" s="95">
        <v>4</v>
      </c>
      <c r="B9" s="98" t="s">
        <v>72</v>
      </c>
      <c r="C9" s="97">
        <f>'Tower I 2nd,3rd &amp; 4th'!L419</f>
        <v>9209667.6040783916</v>
      </c>
      <c r="D9" s="96"/>
      <c r="E9" s="96"/>
    </row>
    <row r="10" spans="1:6" ht="20.25" x14ac:dyDescent="0.3">
      <c r="A10" s="95">
        <v>5</v>
      </c>
      <c r="B10" s="96" t="s">
        <v>73</v>
      </c>
      <c r="C10" s="97">
        <f>C9</f>
        <v>9209667.6040783916</v>
      </c>
      <c r="D10" s="96"/>
      <c r="E10" s="96"/>
    </row>
    <row r="11" spans="1:6" ht="20.25" x14ac:dyDescent="0.3">
      <c r="A11" s="95">
        <v>6</v>
      </c>
      <c r="B11" s="96" t="s">
        <v>71</v>
      </c>
      <c r="C11" s="97">
        <f>'Tower-I Terrace'!L165</f>
        <v>1905193.8880349577</v>
      </c>
      <c r="D11" s="96"/>
      <c r="E11" s="96"/>
    </row>
    <row r="12" spans="1:6" ht="20.25" x14ac:dyDescent="0.3">
      <c r="A12" s="95">
        <v>7</v>
      </c>
      <c r="B12" s="96" t="s">
        <v>74</v>
      </c>
      <c r="C12" s="97">
        <f>1724000*100/118</f>
        <v>1461016.9491525423</v>
      </c>
      <c r="D12" s="96"/>
      <c r="E12" s="96"/>
    </row>
    <row r="13" spans="1:6" ht="20.25" x14ac:dyDescent="0.3">
      <c r="A13" s="95">
        <v>8</v>
      </c>
      <c r="B13" s="99" t="s">
        <v>96</v>
      </c>
      <c r="C13" s="100">
        <f>SUM(C6:C12)</f>
        <v>48654811.395092681</v>
      </c>
      <c r="D13" s="96"/>
      <c r="E13" s="96"/>
    </row>
    <row r="14" spans="1:6" ht="19.5" customHeight="1" x14ac:dyDescent="0.3">
      <c r="A14" s="95"/>
      <c r="B14" s="96"/>
      <c r="C14" s="101"/>
    </row>
    <row r="21" spans="7:8" x14ac:dyDescent="0.2">
      <c r="G21" s="102"/>
    </row>
    <row r="23" spans="7:8" x14ac:dyDescent="0.2">
      <c r="H23" s="102"/>
    </row>
    <row r="24" spans="7:8" x14ac:dyDescent="0.2">
      <c r="G24" s="102"/>
    </row>
  </sheetData>
  <sheetProtection algorithmName="SHA-512" hashValue="ASIwmyEO7p0Ud24yJUtjINhtgil74LQXu8fCb4TWIsvkRmXs373+t6b5HCLVZXx1XKMKflyNCCV/46dvX4j5Xg==" saltValue="3nYcJjDz04ub9kbbhLwVvQ==" spinCount="100000" sheet="1" objects="1" scenarios="1" selectLockedCells="1" selectUnlockedCells="1"/>
  <mergeCells count="1">
    <mergeCell ref="A1:C1"/>
  </mergeCells>
  <pageMargins left="0.7" right="0.7" top="0.75" bottom="0.75" header="0.3" footer="0.3"/>
  <pageSetup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C9BE8-4D74-42C0-A771-EE346465B183}">
  <dimension ref="A2:R135"/>
  <sheetViews>
    <sheetView topLeftCell="A113" workbookViewId="0">
      <selection activeCell="O139" sqref="O139"/>
    </sheetView>
  </sheetViews>
  <sheetFormatPr defaultRowHeight="12.75" x14ac:dyDescent="0.25"/>
  <cols>
    <col min="1" max="1" width="5.140625" style="104" customWidth="1"/>
    <col min="2" max="2" width="7.85546875" style="105" customWidth="1"/>
    <col min="3" max="3" width="57.28515625" style="113" customWidth="1"/>
    <col min="4" max="4" width="4.7109375" style="114" customWidth="1"/>
    <col min="5" max="5" width="7.7109375" style="107" customWidth="1"/>
    <col min="6" max="6" width="8" style="107" customWidth="1"/>
    <col min="7" max="7" width="8.5703125" style="107" customWidth="1"/>
    <col min="8" max="8" width="8.85546875" style="108" customWidth="1"/>
    <col min="9" max="9" width="5.140625" style="109" customWidth="1"/>
    <col min="10" max="11" width="9.140625" style="108"/>
    <col min="12" max="12" width="12.140625" style="110" customWidth="1"/>
    <col min="13" max="256" width="9.140625" style="111"/>
    <col min="257" max="257" width="5.140625" style="111" customWidth="1"/>
    <col min="258" max="258" width="7.85546875" style="111" customWidth="1"/>
    <col min="259" max="259" width="57.28515625" style="111" customWidth="1"/>
    <col min="260" max="260" width="4.7109375" style="111" customWidth="1"/>
    <col min="261" max="261" width="7.7109375" style="111" customWidth="1"/>
    <col min="262" max="262" width="8" style="111" customWidth="1"/>
    <col min="263" max="263" width="8.5703125" style="111" customWidth="1"/>
    <col min="264" max="264" width="8.85546875" style="111" customWidth="1"/>
    <col min="265" max="265" width="5.140625" style="111" customWidth="1"/>
    <col min="266" max="267" width="9.140625" style="111"/>
    <col min="268" max="268" width="12.140625" style="111" customWidth="1"/>
    <col min="269" max="512" width="9.140625" style="111"/>
    <col min="513" max="513" width="5.140625" style="111" customWidth="1"/>
    <col min="514" max="514" width="7.85546875" style="111" customWidth="1"/>
    <col min="515" max="515" width="57.28515625" style="111" customWidth="1"/>
    <col min="516" max="516" width="4.7109375" style="111" customWidth="1"/>
    <col min="517" max="517" width="7.7109375" style="111" customWidth="1"/>
    <col min="518" max="518" width="8" style="111" customWidth="1"/>
    <col min="519" max="519" width="8.5703125" style="111" customWidth="1"/>
    <col min="520" max="520" width="8.85546875" style="111" customWidth="1"/>
    <col min="521" max="521" width="5.140625" style="111" customWidth="1"/>
    <col min="522" max="523" width="9.140625" style="111"/>
    <col min="524" max="524" width="12.140625" style="111" customWidth="1"/>
    <col min="525" max="768" width="9.140625" style="111"/>
    <col min="769" max="769" width="5.140625" style="111" customWidth="1"/>
    <col min="770" max="770" width="7.85546875" style="111" customWidth="1"/>
    <col min="771" max="771" width="57.28515625" style="111" customWidth="1"/>
    <col min="772" max="772" width="4.7109375" style="111" customWidth="1"/>
    <col min="773" max="773" width="7.7109375" style="111" customWidth="1"/>
    <col min="774" max="774" width="8" style="111" customWidth="1"/>
    <col min="775" max="775" width="8.5703125" style="111" customWidth="1"/>
    <col min="776" max="776" width="8.85546875" style="111" customWidth="1"/>
    <col min="777" max="777" width="5.140625" style="111" customWidth="1"/>
    <col min="778" max="779" width="9.140625" style="111"/>
    <col min="780" max="780" width="12.140625" style="111" customWidth="1"/>
    <col min="781" max="1024" width="9.140625" style="111"/>
    <col min="1025" max="1025" width="5.140625" style="111" customWidth="1"/>
    <col min="1026" max="1026" width="7.85546875" style="111" customWidth="1"/>
    <col min="1027" max="1027" width="57.28515625" style="111" customWidth="1"/>
    <col min="1028" max="1028" width="4.7109375" style="111" customWidth="1"/>
    <col min="1029" max="1029" width="7.7109375" style="111" customWidth="1"/>
    <col min="1030" max="1030" width="8" style="111" customWidth="1"/>
    <col min="1031" max="1031" width="8.5703125" style="111" customWidth="1"/>
    <col min="1032" max="1032" width="8.85546875" style="111" customWidth="1"/>
    <col min="1033" max="1033" width="5.140625" style="111" customWidth="1"/>
    <col min="1034" max="1035" width="9.140625" style="111"/>
    <col min="1036" max="1036" width="12.140625" style="111" customWidth="1"/>
    <col min="1037" max="1280" width="9.140625" style="111"/>
    <col min="1281" max="1281" width="5.140625" style="111" customWidth="1"/>
    <col min="1282" max="1282" width="7.85546875" style="111" customWidth="1"/>
    <col min="1283" max="1283" width="57.28515625" style="111" customWidth="1"/>
    <col min="1284" max="1284" width="4.7109375" style="111" customWidth="1"/>
    <col min="1285" max="1285" width="7.7109375" style="111" customWidth="1"/>
    <col min="1286" max="1286" width="8" style="111" customWidth="1"/>
    <col min="1287" max="1287" width="8.5703125" style="111" customWidth="1"/>
    <col min="1288" max="1288" width="8.85546875" style="111" customWidth="1"/>
    <col min="1289" max="1289" width="5.140625" style="111" customWidth="1"/>
    <col min="1290" max="1291" width="9.140625" style="111"/>
    <col min="1292" max="1292" width="12.140625" style="111" customWidth="1"/>
    <col min="1293" max="1536" width="9.140625" style="111"/>
    <col min="1537" max="1537" width="5.140625" style="111" customWidth="1"/>
    <col min="1538" max="1538" width="7.85546875" style="111" customWidth="1"/>
    <col min="1539" max="1539" width="57.28515625" style="111" customWidth="1"/>
    <col min="1540" max="1540" width="4.7109375" style="111" customWidth="1"/>
    <col min="1541" max="1541" width="7.7109375" style="111" customWidth="1"/>
    <col min="1542" max="1542" width="8" style="111" customWidth="1"/>
    <col min="1543" max="1543" width="8.5703125" style="111" customWidth="1"/>
    <col min="1544" max="1544" width="8.85546875" style="111" customWidth="1"/>
    <col min="1545" max="1545" width="5.140625" style="111" customWidth="1"/>
    <col min="1546" max="1547" width="9.140625" style="111"/>
    <col min="1548" max="1548" width="12.140625" style="111" customWidth="1"/>
    <col min="1549" max="1792" width="9.140625" style="111"/>
    <col min="1793" max="1793" width="5.140625" style="111" customWidth="1"/>
    <col min="1794" max="1794" width="7.85546875" style="111" customWidth="1"/>
    <col min="1795" max="1795" width="57.28515625" style="111" customWidth="1"/>
    <col min="1796" max="1796" width="4.7109375" style="111" customWidth="1"/>
    <col min="1797" max="1797" width="7.7109375" style="111" customWidth="1"/>
    <col min="1798" max="1798" width="8" style="111" customWidth="1"/>
    <col min="1799" max="1799" width="8.5703125" style="111" customWidth="1"/>
    <col min="1800" max="1800" width="8.85546875" style="111" customWidth="1"/>
    <col min="1801" max="1801" width="5.140625" style="111" customWidth="1"/>
    <col min="1802" max="1803" width="9.140625" style="111"/>
    <col min="1804" max="1804" width="12.140625" style="111" customWidth="1"/>
    <col min="1805" max="2048" width="9.140625" style="111"/>
    <col min="2049" max="2049" width="5.140625" style="111" customWidth="1"/>
    <col min="2050" max="2050" width="7.85546875" style="111" customWidth="1"/>
    <col min="2051" max="2051" width="57.28515625" style="111" customWidth="1"/>
    <col min="2052" max="2052" width="4.7109375" style="111" customWidth="1"/>
    <col min="2053" max="2053" width="7.7109375" style="111" customWidth="1"/>
    <col min="2054" max="2054" width="8" style="111" customWidth="1"/>
    <col min="2055" max="2055" width="8.5703125" style="111" customWidth="1"/>
    <col min="2056" max="2056" width="8.85546875" style="111" customWidth="1"/>
    <col min="2057" max="2057" width="5.140625" style="111" customWidth="1"/>
    <col min="2058" max="2059" width="9.140625" style="111"/>
    <col min="2060" max="2060" width="12.140625" style="111" customWidth="1"/>
    <col min="2061" max="2304" width="9.140625" style="111"/>
    <col min="2305" max="2305" width="5.140625" style="111" customWidth="1"/>
    <col min="2306" max="2306" width="7.85546875" style="111" customWidth="1"/>
    <col min="2307" max="2307" width="57.28515625" style="111" customWidth="1"/>
    <col min="2308" max="2308" width="4.7109375" style="111" customWidth="1"/>
    <col min="2309" max="2309" width="7.7109375" style="111" customWidth="1"/>
    <col min="2310" max="2310" width="8" style="111" customWidth="1"/>
    <col min="2311" max="2311" width="8.5703125" style="111" customWidth="1"/>
    <col min="2312" max="2312" width="8.85546875" style="111" customWidth="1"/>
    <col min="2313" max="2313" width="5.140625" style="111" customWidth="1"/>
    <col min="2314" max="2315" width="9.140625" style="111"/>
    <col min="2316" max="2316" width="12.140625" style="111" customWidth="1"/>
    <col min="2317" max="2560" width="9.140625" style="111"/>
    <col min="2561" max="2561" width="5.140625" style="111" customWidth="1"/>
    <col min="2562" max="2562" width="7.85546875" style="111" customWidth="1"/>
    <col min="2563" max="2563" width="57.28515625" style="111" customWidth="1"/>
    <col min="2564" max="2564" width="4.7109375" style="111" customWidth="1"/>
    <col min="2565" max="2565" width="7.7109375" style="111" customWidth="1"/>
    <col min="2566" max="2566" width="8" style="111" customWidth="1"/>
    <col min="2567" max="2567" width="8.5703125" style="111" customWidth="1"/>
    <col min="2568" max="2568" width="8.85546875" style="111" customWidth="1"/>
    <col min="2569" max="2569" width="5.140625" style="111" customWidth="1"/>
    <col min="2570" max="2571" width="9.140625" style="111"/>
    <col min="2572" max="2572" width="12.140625" style="111" customWidth="1"/>
    <col min="2573" max="2816" width="9.140625" style="111"/>
    <col min="2817" max="2817" width="5.140625" style="111" customWidth="1"/>
    <col min="2818" max="2818" width="7.85546875" style="111" customWidth="1"/>
    <col min="2819" max="2819" width="57.28515625" style="111" customWidth="1"/>
    <col min="2820" max="2820" width="4.7109375" style="111" customWidth="1"/>
    <col min="2821" max="2821" width="7.7109375" style="111" customWidth="1"/>
    <col min="2822" max="2822" width="8" style="111" customWidth="1"/>
    <col min="2823" max="2823" width="8.5703125" style="111" customWidth="1"/>
    <col min="2824" max="2824" width="8.85546875" style="111" customWidth="1"/>
    <col min="2825" max="2825" width="5.140625" style="111" customWidth="1"/>
    <col min="2826" max="2827" width="9.140625" style="111"/>
    <col min="2828" max="2828" width="12.140625" style="111" customWidth="1"/>
    <col min="2829" max="3072" width="9.140625" style="111"/>
    <col min="3073" max="3073" width="5.140625" style="111" customWidth="1"/>
    <col min="3074" max="3074" width="7.85546875" style="111" customWidth="1"/>
    <col min="3075" max="3075" width="57.28515625" style="111" customWidth="1"/>
    <col min="3076" max="3076" width="4.7109375" style="111" customWidth="1"/>
    <col min="3077" max="3077" width="7.7109375" style="111" customWidth="1"/>
    <col min="3078" max="3078" width="8" style="111" customWidth="1"/>
    <col min="3079" max="3079" width="8.5703125" style="111" customWidth="1"/>
    <col min="3080" max="3080" width="8.85546875" style="111" customWidth="1"/>
    <col min="3081" max="3081" width="5.140625" style="111" customWidth="1"/>
    <col min="3082" max="3083" width="9.140625" style="111"/>
    <col min="3084" max="3084" width="12.140625" style="111" customWidth="1"/>
    <col min="3085" max="3328" width="9.140625" style="111"/>
    <col min="3329" max="3329" width="5.140625" style="111" customWidth="1"/>
    <col min="3330" max="3330" width="7.85546875" style="111" customWidth="1"/>
    <col min="3331" max="3331" width="57.28515625" style="111" customWidth="1"/>
    <col min="3332" max="3332" width="4.7109375" style="111" customWidth="1"/>
    <col min="3333" max="3333" width="7.7109375" style="111" customWidth="1"/>
    <col min="3334" max="3334" width="8" style="111" customWidth="1"/>
    <col min="3335" max="3335" width="8.5703125" style="111" customWidth="1"/>
    <col min="3336" max="3336" width="8.85546875" style="111" customWidth="1"/>
    <col min="3337" max="3337" width="5.140625" style="111" customWidth="1"/>
    <col min="3338" max="3339" width="9.140625" style="111"/>
    <col min="3340" max="3340" width="12.140625" style="111" customWidth="1"/>
    <col min="3341" max="3584" width="9.140625" style="111"/>
    <col min="3585" max="3585" width="5.140625" style="111" customWidth="1"/>
    <col min="3586" max="3586" width="7.85546875" style="111" customWidth="1"/>
    <col min="3587" max="3587" width="57.28515625" style="111" customWidth="1"/>
    <col min="3588" max="3588" width="4.7109375" style="111" customWidth="1"/>
    <col min="3589" max="3589" width="7.7109375" style="111" customWidth="1"/>
    <col min="3590" max="3590" width="8" style="111" customWidth="1"/>
    <col min="3591" max="3591" width="8.5703125" style="111" customWidth="1"/>
    <col min="3592" max="3592" width="8.85546875" style="111" customWidth="1"/>
    <col min="3593" max="3593" width="5.140625" style="111" customWidth="1"/>
    <col min="3594" max="3595" width="9.140625" style="111"/>
    <col min="3596" max="3596" width="12.140625" style="111" customWidth="1"/>
    <col min="3597" max="3840" width="9.140625" style="111"/>
    <col min="3841" max="3841" width="5.140625" style="111" customWidth="1"/>
    <col min="3842" max="3842" width="7.85546875" style="111" customWidth="1"/>
    <col min="3843" max="3843" width="57.28515625" style="111" customWidth="1"/>
    <col min="3844" max="3844" width="4.7109375" style="111" customWidth="1"/>
    <col min="3845" max="3845" width="7.7109375" style="111" customWidth="1"/>
    <col min="3846" max="3846" width="8" style="111" customWidth="1"/>
    <col min="3847" max="3847" width="8.5703125" style="111" customWidth="1"/>
    <col min="3848" max="3848" width="8.85546875" style="111" customWidth="1"/>
    <col min="3849" max="3849" width="5.140625" style="111" customWidth="1"/>
    <col min="3850" max="3851" width="9.140625" style="111"/>
    <col min="3852" max="3852" width="12.140625" style="111" customWidth="1"/>
    <col min="3853" max="4096" width="9.140625" style="111"/>
    <col min="4097" max="4097" width="5.140625" style="111" customWidth="1"/>
    <col min="4098" max="4098" width="7.85546875" style="111" customWidth="1"/>
    <col min="4099" max="4099" width="57.28515625" style="111" customWidth="1"/>
    <col min="4100" max="4100" width="4.7109375" style="111" customWidth="1"/>
    <col min="4101" max="4101" width="7.7109375" style="111" customWidth="1"/>
    <col min="4102" max="4102" width="8" style="111" customWidth="1"/>
    <col min="4103" max="4103" width="8.5703125" style="111" customWidth="1"/>
    <col min="4104" max="4104" width="8.85546875" style="111" customWidth="1"/>
    <col min="4105" max="4105" width="5.140625" style="111" customWidth="1"/>
    <col min="4106" max="4107" width="9.140625" style="111"/>
    <col min="4108" max="4108" width="12.140625" style="111" customWidth="1"/>
    <col min="4109" max="4352" width="9.140625" style="111"/>
    <col min="4353" max="4353" width="5.140625" style="111" customWidth="1"/>
    <col min="4354" max="4354" width="7.85546875" style="111" customWidth="1"/>
    <col min="4355" max="4355" width="57.28515625" style="111" customWidth="1"/>
    <col min="4356" max="4356" width="4.7109375" style="111" customWidth="1"/>
    <col min="4357" max="4357" width="7.7109375" style="111" customWidth="1"/>
    <col min="4358" max="4358" width="8" style="111" customWidth="1"/>
    <col min="4359" max="4359" width="8.5703125" style="111" customWidth="1"/>
    <col min="4360" max="4360" width="8.85546875" style="111" customWidth="1"/>
    <col min="4361" max="4361" width="5.140625" style="111" customWidth="1"/>
    <col min="4362" max="4363" width="9.140625" style="111"/>
    <col min="4364" max="4364" width="12.140625" style="111" customWidth="1"/>
    <col min="4365" max="4608" width="9.140625" style="111"/>
    <col min="4609" max="4609" width="5.140625" style="111" customWidth="1"/>
    <col min="4610" max="4610" width="7.85546875" style="111" customWidth="1"/>
    <col min="4611" max="4611" width="57.28515625" style="111" customWidth="1"/>
    <col min="4612" max="4612" width="4.7109375" style="111" customWidth="1"/>
    <col min="4613" max="4613" width="7.7109375" style="111" customWidth="1"/>
    <col min="4614" max="4614" width="8" style="111" customWidth="1"/>
    <col min="4615" max="4615" width="8.5703125" style="111" customWidth="1"/>
    <col min="4616" max="4616" width="8.85546875" style="111" customWidth="1"/>
    <col min="4617" max="4617" width="5.140625" style="111" customWidth="1"/>
    <col min="4618" max="4619" width="9.140625" style="111"/>
    <col min="4620" max="4620" width="12.140625" style="111" customWidth="1"/>
    <col min="4621" max="4864" width="9.140625" style="111"/>
    <col min="4865" max="4865" width="5.140625" style="111" customWidth="1"/>
    <col min="4866" max="4866" width="7.85546875" style="111" customWidth="1"/>
    <col min="4867" max="4867" width="57.28515625" style="111" customWidth="1"/>
    <col min="4868" max="4868" width="4.7109375" style="111" customWidth="1"/>
    <col min="4869" max="4869" width="7.7109375" style="111" customWidth="1"/>
    <col min="4870" max="4870" width="8" style="111" customWidth="1"/>
    <col min="4871" max="4871" width="8.5703125" style="111" customWidth="1"/>
    <col min="4872" max="4872" width="8.85546875" style="111" customWidth="1"/>
    <col min="4873" max="4873" width="5.140625" style="111" customWidth="1"/>
    <col min="4874" max="4875" width="9.140625" style="111"/>
    <col min="4876" max="4876" width="12.140625" style="111" customWidth="1"/>
    <col min="4877" max="5120" width="9.140625" style="111"/>
    <col min="5121" max="5121" width="5.140625" style="111" customWidth="1"/>
    <col min="5122" max="5122" width="7.85546875" style="111" customWidth="1"/>
    <col min="5123" max="5123" width="57.28515625" style="111" customWidth="1"/>
    <col min="5124" max="5124" width="4.7109375" style="111" customWidth="1"/>
    <col min="5125" max="5125" width="7.7109375" style="111" customWidth="1"/>
    <col min="5126" max="5126" width="8" style="111" customWidth="1"/>
    <col min="5127" max="5127" width="8.5703125" style="111" customWidth="1"/>
    <col min="5128" max="5128" width="8.85546875" style="111" customWidth="1"/>
    <col min="5129" max="5129" width="5.140625" style="111" customWidth="1"/>
    <col min="5130" max="5131" width="9.140625" style="111"/>
    <col min="5132" max="5132" width="12.140625" style="111" customWidth="1"/>
    <col min="5133" max="5376" width="9.140625" style="111"/>
    <col min="5377" max="5377" width="5.140625" style="111" customWidth="1"/>
    <col min="5378" max="5378" width="7.85546875" style="111" customWidth="1"/>
    <col min="5379" max="5379" width="57.28515625" style="111" customWidth="1"/>
    <col min="5380" max="5380" width="4.7109375" style="111" customWidth="1"/>
    <col min="5381" max="5381" width="7.7109375" style="111" customWidth="1"/>
    <col min="5382" max="5382" width="8" style="111" customWidth="1"/>
    <col min="5383" max="5383" width="8.5703125" style="111" customWidth="1"/>
    <col min="5384" max="5384" width="8.85546875" style="111" customWidth="1"/>
    <col min="5385" max="5385" width="5.140625" style="111" customWidth="1"/>
    <col min="5386" max="5387" width="9.140625" style="111"/>
    <col min="5388" max="5388" width="12.140625" style="111" customWidth="1"/>
    <col min="5389" max="5632" width="9.140625" style="111"/>
    <col min="5633" max="5633" width="5.140625" style="111" customWidth="1"/>
    <col min="5634" max="5634" width="7.85546875" style="111" customWidth="1"/>
    <col min="5635" max="5635" width="57.28515625" style="111" customWidth="1"/>
    <col min="5636" max="5636" width="4.7109375" style="111" customWidth="1"/>
    <col min="5637" max="5637" width="7.7109375" style="111" customWidth="1"/>
    <col min="5638" max="5638" width="8" style="111" customWidth="1"/>
    <col min="5639" max="5639" width="8.5703125" style="111" customWidth="1"/>
    <col min="5640" max="5640" width="8.85546875" style="111" customWidth="1"/>
    <col min="5641" max="5641" width="5.140625" style="111" customWidth="1"/>
    <col min="5642" max="5643" width="9.140625" style="111"/>
    <col min="5644" max="5644" width="12.140625" style="111" customWidth="1"/>
    <col min="5645" max="5888" width="9.140625" style="111"/>
    <col min="5889" max="5889" width="5.140625" style="111" customWidth="1"/>
    <col min="5890" max="5890" width="7.85546875" style="111" customWidth="1"/>
    <col min="5891" max="5891" width="57.28515625" style="111" customWidth="1"/>
    <col min="5892" max="5892" width="4.7109375" style="111" customWidth="1"/>
    <col min="5893" max="5893" width="7.7109375" style="111" customWidth="1"/>
    <col min="5894" max="5894" width="8" style="111" customWidth="1"/>
    <col min="5895" max="5895" width="8.5703125" style="111" customWidth="1"/>
    <col min="5896" max="5896" width="8.85546875" style="111" customWidth="1"/>
    <col min="5897" max="5897" width="5.140625" style="111" customWidth="1"/>
    <col min="5898" max="5899" width="9.140625" style="111"/>
    <col min="5900" max="5900" width="12.140625" style="111" customWidth="1"/>
    <col min="5901" max="6144" width="9.140625" style="111"/>
    <col min="6145" max="6145" width="5.140625" style="111" customWidth="1"/>
    <col min="6146" max="6146" width="7.85546875" style="111" customWidth="1"/>
    <col min="6147" max="6147" width="57.28515625" style="111" customWidth="1"/>
    <col min="6148" max="6148" width="4.7109375" style="111" customWidth="1"/>
    <col min="6149" max="6149" width="7.7109375" style="111" customWidth="1"/>
    <col min="6150" max="6150" width="8" style="111" customWidth="1"/>
    <col min="6151" max="6151" width="8.5703125" style="111" customWidth="1"/>
    <col min="6152" max="6152" width="8.85546875" style="111" customWidth="1"/>
    <col min="6153" max="6153" width="5.140625" style="111" customWidth="1"/>
    <col min="6154" max="6155" width="9.140625" style="111"/>
    <col min="6156" max="6156" width="12.140625" style="111" customWidth="1"/>
    <col min="6157" max="6400" width="9.140625" style="111"/>
    <col min="6401" max="6401" width="5.140625" style="111" customWidth="1"/>
    <col min="6402" max="6402" width="7.85546875" style="111" customWidth="1"/>
    <col min="6403" max="6403" width="57.28515625" style="111" customWidth="1"/>
    <col min="6404" max="6404" width="4.7109375" style="111" customWidth="1"/>
    <col min="6405" max="6405" width="7.7109375" style="111" customWidth="1"/>
    <col min="6406" max="6406" width="8" style="111" customWidth="1"/>
    <col min="6407" max="6407" width="8.5703125" style="111" customWidth="1"/>
    <col min="6408" max="6408" width="8.85546875" style="111" customWidth="1"/>
    <col min="6409" max="6409" width="5.140625" style="111" customWidth="1"/>
    <col min="6410" max="6411" width="9.140625" style="111"/>
    <col min="6412" max="6412" width="12.140625" style="111" customWidth="1"/>
    <col min="6413" max="6656" width="9.140625" style="111"/>
    <col min="6657" max="6657" width="5.140625" style="111" customWidth="1"/>
    <col min="6658" max="6658" width="7.85546875" style="111" customWidth="1"/>
    <col min="6659" max="6659" width="57.28515625" style="111" customWidth="1"/>
    <col min="6660" max="6660" width="4.7109375" style="111" customWidth="1"/>
    <col min="6661" max="6661" width="7.7109375" style="111" customWidth="1"/>
    <col min="6662" max="6662" width="8" style="111" customWidth="1"/>
    <col min="6663" max="6663" width="8.5703125" style="111" customWidth="1"/>
    <col min="6664" max="6664" width="8.85546875" style="111" customWidth="1"/>
    <col min="6665" max="6665" width="5.140625" style="111" customWidth="1"/>
    <col min="6666" max="6667" width="9.140625" style="111"/>
    <col min="6668" max="6668" width="12.140625" style="111" customWidth="1"/>
    <col min="6669" max="6912" width="9.140625" style="111"/>
    <col min="6913" max="6913" width="5.140625" style="111" customWidth="1"/>
    <col min="6914" max="6914" width="7.85546875" style="111" customWidth="1"/>
    <col min="6915" max="6915" width="57.28515625" style="111" customWidth="1"/>
    <col min="6916" max="6916" width="4.7109375" style="111" customWidth="1"/>
    <col min="6917" max="6917" width="7.7109375" style="111" customWidth="1"/>
    <col min="6918" max="6918" width="8" style="111" customWidth="1"/>
    <col min="6919" max="6919" width="8.5703125" style="111" customWidth="1"/>
    <col min="6920" max="6920" width="8.85546875" style="111" customWidth="1"/>
    <col min="6921" max="6921" width="5.140625" style="111" customWidth="1"/>
    <col min="6922" max="6923" width="9.140625" style="111"/>
    <col min="6924" max="6924" width="12.140625" style="111" customWidth="1"/>
    <col min="6925" max="7168" width="9.140625" style="111"/>
    <col min="7169" max="7169" width="5.140625" style="111" customWidth="1"/>
    <col min="7170" max="7170" width="7.85546875" style="111" customWidth="1"/>
    <col min="7171" max="7171" width="57.28515625" style="111" customWidth="1"/>
    <col min="7172" max="7172" width="4.7109375" style="111" customWidth="1"/>
    <col min="7173" max="7173" width="7.7109375" style="111" customWidth="1"/>
    <col min="7174" max="7174" width="8" style="111" customWidth="1"/>
    <col min="7175" max="7175" width="8.5703125" style="111" customWidth="1"/>
    <col min="7176" max="7176" width="8.85546875" style="111" customWidth="1"/>
    <col min="7177" max="7177" width="5.140625" style="111" customWidth="1"/>
    <col min="7178" max="7179" width="9.140625" style="111"/>
    <col min="7180" max="7180" width="12.140625" style="111" customWidth="1"/>
    <col min="7181" max="7424" width="9.140625" style="111"/>
    <col min="7425" max="7425" width="5.140625" style="111" customWidth="1"/>
    <col min="7426" max="7426" width="7.85546875" style="111" customWidth="1"/>
    <col min="7427" max="7427" width="57.28515625" style="111" customWidth="1"/>
    <col min="7428" max="7428" width="4.7109375" style="111" customWidth="1"/>
    <col min="7429" max="7429" width="7.7109375" style="111" customWidth="1"/>
    <col min="7430" max="7430" width="8" style="111" customWidth="1"/>
    <col min="7431" max="7431" width="8.5703125" style="111" customWidth="1"/>
    <col min="7432" max="7432" width="8.85546875" style="111" customWidth="1"/>
    <col min="7433" max="7433" width="5.140625" style="111" customWidth="1"/>
    <col min="7434" max="7435" width="9.140625" style="111"/>
    <col min="7436" max="7436" width="12.140625" style="111" customWidth="1"/>
    <col min="7437" max="7680" width="9.140625" style="111"/>
    <col min="7681" max="7681" width="5.140625" style="111" customWidth="1"/>
    <col min="7682" max="7682" width="7.85546875" style="111" customWidth="1"/>
    <col min="7683" max="7683" width="57.28515625" style="111" customWidth="1"/>
    <col min="7684" max="7684" width="4.7109375" style="111" customWidth="1"/>
    <col min="7685" max="7685" width="7.7109375" style="111" customWidth="1"/>
    <col min="7686" max="7686" width="8" style="111" customWidth="1"/>
    <col min="7687" max="7687" width="8.5703125" style="111" customWidth="1"/>
    <col min="7688" max="7688" width="8.85546875" style="111" customWidth="1"/>
    <col min="7689" max="7689" width="5.140625" style="111" customWidth="1"/>
    <col min="7690" max="7691" width="9.140625" style="111"/>
    <col min="7692" max="7692" width="12.140625" style="111" customWidth="1"/>
    <col min="7693" max="7936" width="9.140625" style="111"/>
    <col min="7937" max="7937" width="5.140625" style="111" customWidth="1"/>
    <col min="7938" max="7938" width="7.85546875" style="111" customWidth="1"/>
    <col min="7939" max="7939" width="57.28515625" style="111" customWidth="1"/>
    <col min="7940" max="7940" width="4.7109375" style="111" customWidth="1"/>
    <col min="7941" max="7941" width="7.7109375" style="111" customWidth="1"/>
    <col min="7942" max="7942" width="8" style="111" customWidth="1"/>
    <col min="7943" max="7943" width="8.5703125" style="111" customWidth="1"/>
    <col min="7944" max="7944" width="8.85546875" style="111" customWidth="1"/>
    <col min="7945" max="7945" width="5.140625" style="111" customWidth="1"/>
    <col min="7946" max="7947" width="9.140625" style="111"/>
    <col min="7948" max="7948" width="12.140625" style="111" customWidth="1"/>
    <col min="7949" max="8192" width="9.140625" style="111"/>
    <col min="8193" max="8193" width="5.140625" style="111" customWidth="1"/>
    <col min="8194" max="8194" width="7.85546875" style="111" customWidth="1"/>
    <col min="8195" max="8195" width="57.28515625" style="111" customWidth="1"/>
    <col min="8196" max="8196" width="4.7109375" style="111" customWidth="1"/>
    <col min="8197" max="8197" width="7.7109375" style="111" customWidth="1"/>
    <col min="8198" max="8198" width="8" style="111" customWidth="1"/>
    <col min="8199" max="8199" width="8.5703125" style="111" customWidth="1"/>
    <col min="8200" max="8200" width="8.85546875" style="111" customWidth="1"/>
    <col min="8201" max="8201" width="5.140625" style="111" customWidth="1"/>
    <col min="8202" max="8203" width="9.140625" style="111"/>
    <col min="8204" max="8204" width="12.140625" style="111" customWidth="1"/>
    <col min="8205" max="8448" width="9.140625" style="111"/>
    <col min="8449" max="8449" width="5.140625" style="111" customWidth="1"/>
    <col min="8450" max="8450" width="7.85546875" style="111" customWidth="1"/>
    <col min="8451" max="8451" width="57.28515625" style="111" customWidth="1"/>
    <col min="8452" max="8452" width="4.7109375" style="111" customWidth="1"/>
    <col min="8453" max="8453" width="7.7109375" style="111" customWidth="1"/>
    <col min="8454" max="8454" width="8" style="111" customWidth="1"/>
    <col min="8455" max="8455" width="8.5703125" style="111" customWidth="1"/>
    <col min="8456" max="8456" width="8.85546875" style="111" customWidth="1"/>
    <col min="8457" max="8457" width="5.140625" style="111" customWidth="1"/>
    <col min="8458" max="8459" width="9.140625" style="111"/>
    <col min="8460" max="8460" width="12.140625" style="111" customWidth="1"/>
    <col min="8461" max="8704" width="9.140625" style="111"/>
    <col min="8705" max="8705" width="5.140625" style="111" customWidth="1"/>
    <col min="8706" max="8706" width="7.85546875" style="111" customWidth="1"/>
    <col min="8707" max="8707" width="57.28515625" style="111" customWidth="1"/>
    <col min="8708" max="8708" width="4.7109375" style="111" customWidth="1"/>
    <col min="8709" max="8709" width="7.7109375" style="111" customWidth="1"/>
    <col min="8710" max="8710" width="8" style="111" customWidth="1"/>
    <col min="8711" max="8711" width="8.5703125" style="111" customWidth="1"/>
    <col min="8712" max="8712" width="8.85546875" style="111" customWidth="1"/>
    <col min="8713" max="8713" width="5.140625" style="111" customWidth="1"/>
    <col min="8714" max="8715" width="9.140625" style="111"/>
    <col min="8716" max="8716" width="12.140625" style="111" customWidth="1"/>
    <col min="8717" max="8960" width="9.140625" style="111"/>
    <col min="8961" max="8961" width="5.140625" style="111" customWidth="1"/>
    <col min="8962" max="8962" width="7.85546875" style="111" customWidth="1"/>
    <col min="8963" max="8963" width="57.28515625" style="111" customWidth="1"/>
    <col min="8964" max="8964" width="4.7109375" style="111" customWidth="1"/>
    <col min="8965" max="8965" width="7.7109375" style="111" customWidth="1"/>
    <col min="8966" max="8966" width="8" style="111" customWidth="1"/>
    <col min="8967" max="8967" width="8.5703125" style="111" customWidth="1"/>
    <col min="8968" max="8968" width="8.85546875" style="111" customWidth="1"/>
    <col min="8969" max="8969" width="5.140625" style="111" customWidth="1"/>
    <col min="8970" max="8971" width="9.140625" style="111"/>
    <col min="8972" max="8972" width="12.140625" style="111" customWidth="1"/>
    <col min="8973" max="9216" width="9.140625" style="111"/>
    <col min="9217" max="9217" width="5.140625" style="111" customWidth="1"/>
    <col min="9218" max="9218" width="7.85546875" style="111" customWidth="1"/>
    <col min="9219" max="9219" width="57.28515625" style="111" customWidth="1"/>
    <col min="9220" max="9220" width="4.7109375" style="111" customWidth="1"/>
    <col min="9221" max="9221" width="7.7109375" style="111" customWidth="1"/>
    <col min="9222" max="9222" width="8" style="111" customWidth="1"/>
    <col min="9223" max="9223" width="8.5703125" style="111" customWidth="1"/>
    <col min="9224" max="9224" width="8.85546875" style="111" customWidth="1"/>
    <col min="9225" max="9225" width="5.140625" style="111" customWidth="1"/>
    <col min="9226" max="9227" width="9.140625" style="111"/>
    <col min="9228" max="9228" width="12.140625" style="111" customWidth="1"/>
    <col min="9229" max="9472" width="9.140625" style="111"/>
    <col min="9473" max="9473" width="5.140625" style="111" customWidth="1"/>
    <col min="9474" max="9474" width="7.85546875" style="111" customWidth="1"/>
    <col min="9475" max="9475" width="57.28515625" style="111" customWidth="1"/>
    <col min="9476" max="9476" width="4.7109375" style="111" customWidth="1"/>
    <col min="9477" max="9477" width="7.7109375" style="111" customWidth="1"/>
    <col min="9478" max="9478" width="8" style="111" customWidth="1"/>
    <col min="9479" max="9479" width="8.5703125" style="111" customWidth="1"/>
    <col min="9480" max="9480" width="8.85546875" style="111" customWidth="1"/>
    <col min="9481" max="9481" width="5.140625" style="111" customWidth="1"/>
    <col min="9482" max="9483" width="9.140625" style="111"/>
    <col min="9484" max="9484" width="12.140625" style="111" customWidth="1"/>
    <col min="9485" max="9728" width="9.140625" style="111"/>
    <col min="9729" max="9729" width="5.140625" style="111" customWidth="1"/>
    <col min="9730" max="9730" width="7.85546875" style="111" customWidth="1"/>
    <col min="9731" max="9731" width="57.28515625" style="111" customWidth="1"/>
    <col min="9732" max="9732" width="4.7109375" style="111" customWidth="1"/>
    <col min="9733" max="9733" width="7.7109375" style="111" customWidth="1"/>
    <col min="9734" max="9734" width="8" style="111" customWidth="1"/>
    <col min="9735" max="9735" width="8.5703125" style="111" customWidth="1"/>
    <col min="9736" max="9736" width="8.85546875" style="111" customWidth="1"/>
    <col min="9737" max="9737" width="5.140625" style="111" customWidth="1"/>
    <col min="9738" max="9739" width="9.140625" style="111"/>
    <col min="9740" max="9740" width="12.140625" style="111" customWidth="1"/>
    <col min="9741" max="9984" width="9.140625" style="111"/>
    <col min="9985" max="9985" width="5.140625" style="111" customWidth="1"/>
    <col min="9986" max="9986" width="7.85546875" style="111" customWidth="1"/>
    <col min="9987" max="9987" width="57.28515625" style="111" customWidth="1"/>
    <col min="9988" max="9988" width="4.7109375" style="111" customWidth="1"/>
    <col min="9989" max="9989" width="7.7109375" style="111" customWidth="1"/>
    <col min="9990" max="9990" width="8" style="111" customWidth="1"/>
    <col min="9991" max="9991" width="8.5703125" style="111" customWidth="1"/>
    <col min="9992" max="9992" width="8.85546875" style="111" customWidth="1"/>
    <col min="9993" max="9993" width="5.140625" style="111" customWidth="1"/>
    <col min="9994" max="9995" width="9.140625" style="111"/>
    <col min="9996" max="9996" width="12.140625" style="111" customWidth="1"/>
    <col min="9997" max="10240" width="9.140625" style="111"/>
    <col min="10241" max="10241" width="5.140625" style="111" customWidth="1"/>
    <col min="10242" max="10242" width="7.85546875" style="111" customWidth="1"/>
    <col min="10243" max="10243" width="57.28515625" style="111" customWidth="1"/>
    <col min="10244" max="10244" width="4.7109375" style="111" customWidth="1"/>
    <col min="10245" max="10245" width="7.7109375" style="111" customWidth="1"/>
    <col min="10246" max="10246" width="8" style="111" customWidth="1"/>
    <col min="10247" max="10247" width="8.5703125" style="111" customWidth="1"/>
    <col min="10248" max="10248" width="8.85546875" style="111" customWidth="1"/>
    <col min="10249" max="10249" width="5.140625" style="111" customWidth="1"/>
    <col min="10250" max="10251" width="9.140625" style="111"/>
    <col min="10252" max="10252" width="12.140625" style="111" customWidth="1"/>
    <col min="10253" max="10496" width="9.140625" style="111"/>
    <col min="10497" max="10497" width="5.140625" style="111" customWidth="1"/>
    <col min="10498" max="10498" width="7.85546875" style="111" customWidth="1"/>
    <col min="10499" max="10499" width="57.28515625" style="111" customWidth="1"/>
    <col min="10500" max="10500" width="4.7109375" style="111" customWidth="1"/>
    <col min="10501" max="10501" width="7.7109375" style="111" customWidth="1"/>
    <col min="10502" max="10502" width="8" style="111" customWidth="1"/>
    <col min="10503" max="10503" width="8.5703125" style="111" customWidth="1"/>
    <col min="10504" max="10504" width="8.85546875" style="111" customWidth="1"/>
    <col min="10505" max="10505" width="5.140625" style="111" customWidth="1"/>
    <col min="10506" max="10507" width="9.140625" style="111"/>
    <col min="10508" max="10508" width="12.140625" style="111" customWidth="1"/>
    <col min="10509" max="10752" width="9.140625" style="111"/>
    <col min="10753" max="10753" width="5.140625" style="111" customWidth="1"/>
    <col min="10754" max="10754" width="7.85546875" style="111" customWidth="1"/>
    <col min="10755" max="10755" width="57.28515625" style="111" customWidth="1"/>
    <col min="10756" max="10756" width="4.7109375" style="111" customWidth="1"/>
    <col min="10757" max="10757" width="7.7109375" style="111" customWidth="1"/>
    <col min="10758" max="10758" width="8" style="111" customWidth="1"/>
    <col min="10759" max="10759" width="8.5703125" style="111" customWidth="1"/>
    <col min="10760" max="10760" width="8.85546875" style="111" customWidth="1"/>
    <col min="10761" max="10761" width="5.140625" style="111" customWidth="1"/>
    <col min="10762" max="10763" width="9.140625" style="111"/>
    <col min="10764" max="10764" width="12.140625" style="111" customWidth="1"/>
    <col min="10765" max="11008" width="9.140625" style="111"/>
    <col min="11009" max="11009" width="5.140625" style="111" customWidth="1"/>
    <col min="11010" max="11010" width="7.85546875" style="111" customWidth="1"/>
    <col min="11011" max="11011" width="57.28515625" style="111" customWidth="1"/>
    <col min="11012" max="11012" width="4.7109375" style="111" customWidth="1"/>
    <col min="11013" max="11013" width="7.7109375" style="111" customWidth="1"/>
    <col min="11014" max="11014" width="8" style="111" customWidth="1"/>
    <col min="11015" max="11015" width="8.5703125" style="111" customWidth="1"/>
    <col min="11016" max="11016" width="8.85546875" style="111" customWidth="1"/>
    <col min="11017" max="11017" width="5.140625" style="111" customWidth="1"/>
    <col min="11018" max="11019" width="9.140625" style="111"/>
    <col min="11020" max="11020" width="12.140625" style="111" customWidth="1"/>
    <col min="11021" max="11264" width="9.140625" style="111"/>
    <col min="11265" max="11265" width="5.140625" style="111" customWidth="1"/>
    <col min="11266" max="11266" width="7.85546875" style="111" customWidth="1"/>
    <col min="11267" max="11267" width="57.28515625" style="111" customWidth="1"/>
    <col min="11268" max="11268" width="4.7109375" style="111" customWidth="1"/>
    <col min="11269" max="11269" width="7.7109375" style="111" customWidth="1"/>
    <col min="11270" max="11270" width="8" style="111" customWidth="1"/>
    <col min="11271" max="11271" width="8.5703125" style="111" customWidth="1"/>
    <col min="11272" max="11272" width="8.85546875" style="111" customWidth="1"/>
    <col min="11273" max="11273" width="5.140625" style="111" customWidth="1"/>
    <col min="11274" max="11275" width="9.140625" style="111"/>
    <col min="11276" max="11276" width="12.140625" style="111" customWidth="1"/>
    <col min="11277" max="11520" width="9.140625" style="111"/>
    <col min="11521" max="11521" width="5.140625" style="111" customWidth="1"/>
    <col min="11522" max="11522" width="7.85546875" style="111" customWidth="1"/>
    <col min="11523" max="11523" width="57.28515625" style="111" customWidth="1"/>
    <col min="11524" max="11524" width="4.7109375" style="111" customWidth="1"/>
    <col min="11525" max="11525" width="7.7109375" style="111" customWidth="1"/>
    <col min="11526" max="11526" width="8" style="111" customWidth="1"/>
    <col min="11527" max="11527" width="8.5703125" style="111" customWidth="1"/>
    <col min="11528" max="11528" width="8.85546875" style="111" customWidth="1"/>
    <col min="11529" max="11529" width="5.140625" style="111" customWidth="1"/>
    <col min="11530" max="11531" width="9.140625" style="111"/>
    <col min="11532" max="11532" width="12.140625" style="111" customWidth="1"/>
    <col min="11533" max="11776" width="9.140625" style="111"/>
    <col min="11777" max="11777" width="5.140625" style="111" customWidth="1"/>
    <col min="11778" max="11778" width="7.85546875" style="111" customWidth="1"/>
    <col min="11779" max="11779" width="57.28515625" style="111" customWidth="1"/>
    <col min="11780" max="11780" width="4.7109375" style="111" customWidth="1"/>
    <col min="11781" max="11781" width="7.7109375" style="111" customWidth="1"/>
    <col min="11782" max="11782" width="8" style="111" customWidth="1"/>
    <col min="11783" max="11783" width="8.5703125" style="111" customWidth="1"/>
    <col min="11784" max="11784" width="8.85546875" style="111" customWidth="1"/>
    <col min="11785" max="11785" width="5.140625" style="111" customWidth="1"/>
    <col min="11786" max="11787" width="9.140625" style="111"/>
    <col min="11788" max="11788" width="12.140625" style="111" customWidth="1"/>
    <col min="11789" max="12032" width="9.140625" style="111"/>
    <col min="12033" max="12033" width="5.140625" style="111" customWidth="1"/>
    <col min="12034" max="12034" width="7.85546875" style="111" customWidth="1"/>
    <col min="12035" max="12035" width="57.28515625" style="111" customWidth="1"/>
    <col min="12036" max="12036" width="4.7109375" style="111" customWidth="1"/>
    <col min="12037" max="12037" width="7.7109375" style="111" customWidth="1"/>
    <col min="12038" max="12038" width="8" style="111" customWidth="1"/>
    <col min="12039" max="12039" width="8.5703125" style="111" customWidth="1"/>
    <col min="12040" max="12040" width="8.85546875" style="111" customWidth="1"/>
    <col min="12041" max="12041" width="5.140625" style="111" customWidth="1"/>
    <col min="12042" max="12043" width="9.140625" style="111"/>
    <col min="12044" max="12044" width="12.140625" style="111" customWidth="1"/>
    <col min="12045" max="12288" width="9.140625" style="111"/>
    <col min="12289" max="12289" width="5.140625" style="111" customWidth="1"/>
    <col min="12290" max="12290" width="7.85546875" style="111" customWidth="1"/>
    <col min="12291" max="12291" width="57.28515625" style="111" customWidth="1"/>
    <col min="12292" max="12292" width="4.7109375" style="111" customWidth="1"/>
    <col min="12293" max="12293" width="7.7109375" style="111" customWidth="1"/>
    <col min="12294" max="12294" width="8" style="111" customWidth="1"/>
    <col min="12295" max="12295" width="8.5703125" style="111" customWidth="1"/>
    <col min="12296" max="12296" width="8.85546875" style="111" customWidth="1"/>
    <col min="12297" max="12297" width="5.140625" style="111" customWidth="1"/>
    <col min="12298" max="12299" width="9.140625" style="111"/>
    <col min="12300" max="12300" width="12.140625" style="111" customWidth="1"/>
    <col min="12301" max="12544" width="9.140625" style="111"/>
    <col min="12545" max="12545" width="5.140625" style="111" customWidth="1"/>
    <col min="12546" max="12546" width="7.85546875" style="111" customWidth="1"/>
    <col min="12547" max="12547" width="57.28515625" style="111" customWidth="1"/>
    <col min="12548" max="12548" width="4.7109375" style="111" customWidth="1"/>
    <col min="12549" max="12549" width="7.7109375" style="111" customWidth="1"/>
    <col min="12550" max="12550" width="8" style="111" customWidth="1"/>
    <col min="12551" max="12551" width="8.5703125" style="111" customWidth="1"/>
    <col min="12552" max="12552" width="8.85546875" style="111" customWidth="1"/>
    <col min="12553" max="12553" width="5.140625" style="111" customWidth="1"/>
    <col min="12554" max="12555" width="9.140625" style="111"/>
    <col min="12556" max="12556" width="12.140625" style="111" customWidth="1"/>
    <col min="12557" max="12800" width="9.140625" style="111"/>
    <col min="12801" max="12801" width="5.140625" style="111" customWidth="1"/>
    <col min="12802" max="12802" width="7.85546875" style="111" customWidth="1"/>
    <col min="12803" max="12803" width="57.28515625" style="111" customWidth="1"/>
    <col min="12804" max="12804" width="4.7109375" style="111" customWidth="1"/>
    <col min="12805" max="12805" width="7.7109375" style="111" customWidth="1"/>
    <col min="12806" max="12806" width="8" style="111" customWidth="1"/>
    <col min="12807" max="12807" width="8.5703125" style="111" customWidth="1"/>
    <col min="12808" max="12808" width="8.85546875" style="111" customWidth="1"/>
    <col min="12809" max="12809" width="5.140625" style="111" customWidth="1"/>
    <col min="12810" max="12811" width="9.140625" style="111"/>
    <col min="12812" max="12812" width="12.140625" style="111" customWidth="1"/>
    <col min="12813" max="13056" width="9.140625" style="111"/>
    <col min="13057" max="13057" width="5.140625" style="111" customWidth="1"/>
    <col min="13058" max="13058" width="7.85546875" style="111" customWidth="1"/>
    <col min="13059" max="13059" width="57.28515625" style="111" customWidth="1"/>
    <col min="13060" max="13060" width="4.7109375" style="111" customWidth="1"/>
    <col min="13061" max="13061" width="7.7109375" style="111" customWidth="1"/>
    <col min="13062" max="13062" width="8" style="111" customWidth="1"/>
    <col min="13063" max="13063" width="8.5703125" style="111" customWidth="1"/>
    <col min="13064" max="13064" width="8.85546875" style="111" customWidth="1"/>
    <col min="13065" max="13065" width="5.140625" style="111" customWidth="1"/>
    <col min="13066" max="13067" width="9.140625" style="111"/>
    <col min="13068" max="13068" width="12.140625" style="111" customWidth="1"/>
    <col min="13069" max="13312" width="9.140625" style="111"/>
    <col min="13313" max="13313" width="5.140625" style="111" customWidth="1"/>
    <col min="13314" max="13314" width="7.85546875" style="111" customWidth="1"/>
    <col min="13315" max="13315" width="57.28515625" style="111" customWidth="1"/>
    <col min="13316" max="13316" width="4.7109375" style="111" customWidth="1"/>
    <col min="13317" max="13317" width="7.7109375" style="111" customWidth="1"/>
    <col min="13318" max="13318" width="8" style="111" customWidth="1"/>
    <col min="13319" max="13319" width="8.5703125" style="111" customWidth="1"/>
    <col min="13320" max="13320" width="8.85546875" style="111" customWidth="1"/>
    <col min="13321" max="13321" width="5.140625" style="111" customWidth="1"/>
    <col min="13322" max="13323" width="9.140625" style="111"/>
    <col min="13324" max="13324" width="12.140625" style="111" customWidth="1"/>
    <col min="13325" max="13568" width="9.140625" style="111"/>
    <col min="13569" max="13569" width="5.140625" style="111" customWidth="1"/>
    <col min="13570" max="13570" width="7.85546875" style="111" customWidth="1"/>
    <col min="13571" max="13571" width="57.28515625" style="111" customWidth="1"/>
    <col min="13572" max="13572" width="4.7109375" style="111" customWidth="1"/>
    <col min="13573" max="13573" width="7.7109375" style="111" customWidth="1"/>
    <col min="13574" max="13574" width="8" style="111" customWidth="1"/>
    <col min="13575" max="13575" width="8.5703125" style="111" customWidth="1"/>
    <col min="13576" max="13576" width="8.85546875" style="111" customWidth="1"/>
    <col min="13577" max="13577" width="5.140625" style="111" customWidth="1"/>
    <col min="13578" max="13579" width="9.140625" style="111"/>
    <col min="13580" max="13580" width="12.140625" style="111" customWidth="1"/>
    <col min="13581" max="13824" width="9.140625" style="111"/>
    <col min="13825" max="13825" width="5.140625" style="111" customWidth="1"/>
    <col min="13826" max="13826" width="7.85546875" style="111" customWidth="1"/>
    <col min="13827" max="13827" width="57.28515625" style="111" customWidth="1"/>
    <col min="13828" max="13828" width="4.7109375" style="111" customWidth="1"/>
    <col min="13829" max="13829" width="7.7109375" style="111" customWidth="1"/>
    <col min="13830" max="13830" width="8" style="111" customWidth="1"/>
    <col min="13831" max="13831" width="8.5703125" style="111" customWidth="1"/>
    <col min="13832" max="13832" width="8.85546875" style="111" customWidth="1"/>
    <col min="13833" max="13833" width="5.140625" style="111" customWidth="1"/>
    <col min="13834" max="13835" width="9.140625" style="111"/>
    <col min="13836" max="13836" width="12.140625" style="111" customWidth="1"/>
    <col min="13837" max="14080" width="9.140625" style="111"/>
    <col min="14081" max="14081" width="5.140625" style="111" customWidth="1"/>
    <col min="14082" max="14082" width="7.85546875" style="111" customWidth="1"/>
    <col min="14083" max="14083" width="57.28515625" style="111" customWidth="1"/>
    <col min="14084" max="14084" width="4.7109375" style="111" customWidth="1"/>
    <col min="14085" max="14085" width="7.7109375" style="111" customWidth="1"/>
    <col min="14086" max="14086" width="8" style="111" customWidth="1"/>
    <col min="14087" max="14087" width="8.5703125" style="111" customWidth="1"/>
    <col min="14088" max="14088" width="8.85546875" style="111" customWidth="1"/>
    <col min="14089" max="14089" width="5.140625" style="111" customWidth="1"/>
    <col min="14090" max="14091" width="9.140625" style="111"/>
    <col min="14092" max="14092" width="12.140625" style="111" customWidth="1"/>
    <col min="14093" max="14336" width="9.140625" style="111"/>
    <col min="14337" max="14337" width="5.140625" style="111" customWidth="1"/>
    <col min="14338" max="14338" width="7.85546875" style="111" customWidth="1"/>
    <col min="14339" max="14339" width="57.28515625" style="111" customWidth="1"/>
    <col min="14340" max="14340" width="4.7109375" style="111" customWidth="1"/>
    <col min="14341" max="14341" width="7.7109375" style="111" customWidth="1"/>
    <col min="14342" max="14342" width="8" style="111" customWidth="1"/>
    <col min="14343" max="14343" width="8.5703125" style="111" customWidth="1"/>
    <col min="14344" max="14344" width="8.85546875" style="111" customWidth="1"/>
    <col min="14345" max="14345" width="5.140625" style="111" customWidth="1"/>
    <col min="14346" max="14347" width="9.140625" style="111"/>
    <col min="14348" max="14348" width="12.140625" style="111" customWidth="1"/>
    <col min="14349" max="14592" width="9.140625" style="111"/>
    <col min="14593" max="14593" width="5.140625" style="111" customWidth="1"/>
    <col min="14594" max="14594" width="7.85546875" style="111" customWidth="1"/>
    <col min="14595" max="14595" width="57.28515625" style="111" customWidth="1"/>
    <col min="14596" max="14596" width="4.7109375" style="111" customWidth="1"/>
    <col min="14597" max="14597" width="7.7109375" style="111" customWidth="1"/>
    <col min="14598" max="14598" width="8" style="111" customWidth="1"/>
    <col min="14599" max="14599" width="8.5703125" style="111" customWidth="1"/>
    <col min="14600" max="14600" width="8.85546875" style="111" customWidth="1"/>
    <col min="14601" max="14601" width="5.140625" style="111" customWidth="1"/>
    <col min="14602" max="14603" width="9.140625" style="111"/>
    <col min="14604" max="14604" width="12.140625" style="111" customWidth="1"/>
    <col min="14605" max="14848" width="9.140625" style="111"/>
    <col min="14849" max="14849" width="5.140625" style="111" customWidth="1"/>
    <col min="14850" max="14850" width="7.85546875" style="111" customWidth="1"/>
    <col min="14851" max="14851" width="57.28515625" style="111" customWidth="1"/>
    <col min="14852" max="14852" width="4.7109375" style="111" customWidth="1"/>
    <col min="14853" max="14853" width="7.7109375" style="111" customWidth="1"/>
    <col min="14854" max="14854" width="8" style="111" customWidth="1"/>
    <col min="14855" max="14855" width="8.5703125" style="111" customWidth="1"/>
    <col min="14856" max="14856" width="8.85546875" style="111" customWidth="1"/>
    <col min="14857" max="14857" width="5.140625" style="111" customWidth="1"/>
    <col min="14858" max="14859" width="9.140625" style="111"/>
    <col min="14860" max="14860" width="12.140625" style="111" customWidth="1"/>
    <col min="14861" max="15104" width="9.140625" style="111"/>
    <col min="15105" max="15105" width="5.140625" style="111" customWidth="1"/>
    <col min="15106" max="15106" width="7.85546875" style="111" customWidth="1"/>
    <col min="15107" max="15107" width="57.28515625" style="111" customWidth="1"/>
    <col min="15108" max="15108" width="4.7109375" style="111" customWidth="1"/>
    <col min="15109" max="15109" width="7.7109375" style="111" customWidth="1"/>
    <col min="15110" max="15110" width="8" style="111" customWidth="1"/>
    <col min="15111" max="15111" width="8.5703125" style="111" customWidth="1"/>
    <col min="15112" max="15112" width="8.85546875" style="111" customWidth="1"/>
    <col min="15113" max="15113" width="5.140625" style="111" customWidth="1"/>
    <col min="15114" max="15115" width="9.140625" style="111"/>
    <col min="15116" max="15116" width="12.140625" style="111" customWidth="1"/>
    <col min="15117" max="15360" width="9.140625" style="111"/>
    <col min="15361" max="15361" width="5.140625" style="111" customWidth="1"/>
    <col min="15362" max="15362" width="7.85546875" style="111" customWidth="1"/>
    <col min="15363" max="15363" width="57.28515625" style="111" customWidth="1"/>
    <col min="15364" max="15364" width="4.7109375" style="111" customWidth="1"/>
    <col min="15365" max="15365" width="7.7109375" style="111" customWidth="1"/>
    <col min="15366" max="15366" width="8" style="111" customWidth="1"/>
    <col min="15367" max="15367" width="8.5703125" style="111" customWidth="1"/>
    <col min="15368" max="15368" width="8.85546875" style="111" customWidth="1"/>
    <col min="15369" max="15369" width="5.140625" style="111" customWidth="1"/>
    <col min="15370" max="15371" width="9.140625" style="111"/>
    <col min="15372" max="15372" width="12.140625" style="111" customWidth="1"/>
    <col min="15373" max="15616" width="9.140625" style="111"/>
    <col min="15617" max="15617" width="5.140625" style="111" customWidth="1"/>
    <col min="15618" max="15618" width="7.85546875" style="111" customWidth="1"/>
    <col min="15619" max="15619" width="57.28515625" style="111" customWidth="1"/>
    <col min="15620" max="15620" width="4.7109375" style="111" customWidth="1"/>
    <col min="15621" max="15621" width="7.7109375" style="111" customWidth="1"/>
    <col min="15622" max="15622" width="8" style="111" customWidth="1"/>
    <col min="15623" max="15623" width="8.5703125" style="111" customWidth="1"/>
    <col min="15624" max="15624" width="8.85546875" style="111" customWidth="1"/>
    <col min="15625" max="15625" width="5.140625" style="111" customWidth="1"/>
    <col min="15626" max="15627" width="9.140625" style="111"/>
    <col min="15628" max="15628" width="12.140625" style="111" customWidth="1"/>
    <col min="15629" max="15872" width="9.140625" style="111"/>
    <col min="15873" max="15873" width="5.140625" style="111" customWidth="1"/>
    <col min="15874" max="15874" width="7.85546875" style="111" customWidth="1"/>
    <col min="15875" max="15875" width="57.28515625" style="111" customWidth="1"/>
    <col min="15876" max="15876" width="4.7109375" style="111" customWidth="1"/>
    <col min="15877" max="15877" width="7.7109375" style="111" customWidth="1"/>
    <col min="15878" max="15878" width="8" style="111" customWidth="1"/>
    <col min="15879" max="15879" width="8.5703125" style="111" customWidth="1"/>
    <col min="15880" max="15880" width="8.85546875" style="111" customWidth="1"/>
    <col min="15881" max="15881" width="5.140625" style="111" customWidth="1"/>
    <col min="15882" max="15883" width="9.140625" style="111"/>
    <col min="15884" max="15884" width="12.140625" style="111" customWidth="1"/>
    <col min="15885" max="16128" width="9.140625" style="111"/>
    <col min="16129" max="16129" width="5.140625" style="111" customWidth="1"/>
    <col min="16130" max="16130" width="7.85546875" style="111" customWidth="1"/>
    <col min="16131" max="16131" width="57.28515625" style="111" customWidth="1"/>
    <col min="16132" max="16132" width="4.7109375" style="111" customWidth="1"/>
    <col min="16133" max="16133" width="7.7109375" style="111" customWidth="1"/>
    <col min="16134" max="16134" width="8" style="111" customWidth="1"/>
    <col min="16135" max="16135" width="8.5703125" style="111" customWidth="1"/>
    <col min="16136" max="16136" width="8.85546875" style="111" customWidth="1"/>
    <col min="16137" max="16137" width="5.140625" style="111" customWidth="1"/>
    <col min="16138" max="16139" width="9.140625" style="111"/>
    <col min="16140" max="16140" width="12.140625" style="111" customWidth="1"/>
    <col min="16141" max="16384" width="9.140625" style="111"/>
  </cols>
  <sheetData>
    <row r="2" spans="1:14" ht="15" x14ac:dyDescent="0.2">
      <c r="C2" s="106" t="s">
        <v>97</v>
      </c>
      <c r="D2" s="90"/>
      <c r="E2" s="90"/>
      <c r="F2" s="90"/>
    </row>
    <row r="3" spans="1:14" ht="15.75" x14ac:dyDescent="0.25">
      <c r="A3" s="949" t="s">
        <v>98</v>
      </c>
      <c r="B3" s="949"/>
      <c r="C3" s="949"/>
      <c r="D3" s="949"/>
      <c r="E3" s="949"/>
      <c r="F3" s="949"/>
      <c r="G3" s="949"/>
      <c r="H3" s="949"/>
      <c r="I3" s="949"/>
      <c r="J3" s="949"/>
      <c r="K3" s="949"/>
      <c r="L3" s="949"/>
    </row>
    <row r="5" spans="1:14" ht="25.5" x14ac:dyDescent="0.25">
      <c r="A5" s="104" t="s">
        <v>99</v>
      </c>
      <c r="B5" s="105" t="s">
        <v>100</v>
      </c>
      <c r="C5" s="113" t="s">
        <v>101</v>
      </c>
      <c r="D5" s="114" t="s">
        <v>102</v>
      </c>
      <c r="E5" s="107" t="s">
        <v>103</v>
      </c>
      <c r="F5" s="107" t="s">
        <v>104</v>
      </c>
      <c r="G5" s="107" t="s">
        <v>105</v>
      </c>
      <c r="H5" s="108" t="s">
        <v>106</v>
      </c>
      <c r="I5" s="109" t="s">
        <v>107</v>
      </c>
      <c r="J5" s="108" t="s">
        <v>108</v>
      </c>
      <c r="K5" s="115" t="s">
        <v>109</v>
      </c>
      <c r="L5" s="110" t="s">
        <v>95</v>
      </c>
    </row>
    <row r="7" spans="1:14" ht="90.75" customHeight="1" x14ac:dyDescent="0.25">
      <c r="A7" s="116">
        <v>1</v>
      </c>
      <c r="B7" s="117">
        <v>2.8</v>
      </c>
      <c r="C7" s="118" t="s">
        <v>110</v>
      </c>
      <c r="D7" s="119"/>
      <c r="E7" s="120"/>
      <c r="F7" s="120"/>
      <c r="G7" s="120"/>
      <c r="H7" s="121"/>
      <c r="I7" s="122"/>
      <c r="J7" s="121"/>
      <c r="K7" s="121"/>
      <c r="L7" s="123"/>
    </row>
    <row r="8" spans="1:14" ht="18" customHeight="1" x14ac:dyDescent="0.25">
      <c r="A8" s="124"/>
      <c r="B8" s="125" t="s">
        <v>111</v>
      </c>
      <c r="C8" s="126" t="s">
        <v>112</v>
      </c>
      <c r="D8" s="127"/>
      <c r="E8" s="128"/>
      <c r="F8" s="128"/>
      <c r="G8" s="128"/>
      <c r="H8" s="129"/>
      <c r="I8" s="130"/>
      <c r="J8" s="129"/>
      <c r="K8" s="129"/>
      <c r="L8" s="131"/>
    </row>
    <row r="9" spans="1:14" x14ac:dyDescent="0.25">
      <c r="A9" s="124"/>
      <c r="B9" s="125"/>
      <c r="C9" s="132" t="s">
        <v>113</v>
      </c>
      <c r="D9" s="133">
        <v>26</v>
      </c>
      <c r="E9" s="134">
        <v>2.8</v>
      </c>
      <c r="F9" s="134">
        <v>2.2000000000000002</v>
      </c>
      <c r="G9" s="134">
        <v>2</v>
      </c>
      <c r="H9" s="135">
        <f>G9*F9*E9*D9</f>
        <v>320.32</v>
      </c>
      <c r="I9" s="136"/>
      <c r="J9" s="135"/>
      <c r="K9" s="135"/>
      <c r="L9" s="137"/>
    </row>
    <row r="10" spans="1:14" x14ac:dyDescent="0.25">
      <c r="A10" s="124"/>
      <c r="B10" s="125"/>
      <c r="C10" s="132" t="s">
        <v>114</v>
      </c>
      <c r="D10" s="133">
        <v>20</v>
      </c>
      <c r="E10" s="134">
        <v>3.2</v>
      </c>
      <c r="F10" s="134">
        <v>2.5</v>
      </c>
      <c r="G10" s="134">
        <v>2</v>
      </c>
      <c r="H10" s="135">
        <f>G10*F10*E10*D10</f>
        <v>320</v>
      </c>
      <c r="I10" s="136"/>
      <c r="J10" s="135"/>
      <c r="K10" s="135"/>
      <c r="L10" s="137"/>
    </row>
    <row r="11" spans="1:14" x14ac:dyDescent="0.25">
      <c r="A11" s="124"/>
      <c r="B11" s="125"/>
      <c r="C11" s="132" t="s">
        <v>115</v>
      </c>
      <c r="D11" s="133">
        <v>22</v>
      </c>
      <c r="E11" s="134">
        <v>3.6</v>
      </c>
      <c r="F11" s="134">
        <v>3.2</v>
      </c>
      <c r="G11" s="134">
        <v>2</v>
      </c>
      <c r="H11" s="135">
        <f>G11*F11*E11*D11</f>
        <v>506.88000000000005</v>
      </c>
      <c r="I11" s="136"/>
      <c r="J11" s="135"/>
      <c r="K11" s="135"/>
      <c r="L11" s="137"/>
    </row>
    <row r="12" spans="1:14" x14ac:dyDescent="0.25">
      <c r="A12" s="124"/>
      <c r="B12" s="125"/>
      <c r="C12" s="132" t="s">
        <v>116</v>
      </c>
      <c r="D12" s="133" t="s">
        <v>91</v>
      </c>
      <c r="E12" s="134">
        <v>150</v>
      </c>
      <c r="F12" s="134">
        <v>0.3</v>
      </c>
      <c r="G12" s="134">
        <v>0.4</v>
      </c>
      <c r="H12" s="135">
        <f>SUM(G12*F12*E12)</f>
        <v>18</v>
      </c>
      <c r="I12" s="136"/>
      <c r="J12" s="135"/>
      <c r="K12" s="135"/>
      <c r="L12" s="137"/>
    </row>
    <row r="13" spans="1:14" x14ac:dyDescent="0.25">
      <c r="A13" s="124"/>
      <c r="B13" s="125"/>
      <c r="C13" s="130" t="s">
        <v>117</v>
      </c>
      <c r="D13" s="127" t="s">
        <v>91</v>
      </c>
      <c r="E13" s="128"/>
      <c r="F13" s="128"/>
      <c r="G13" s="128"/>
      <c r="H13" s="138">
        <v>1165</v>
      </c>
      <c r="I13" s="130" t="s">
        <v>118</v>
      </c>
      <c r="J13" s="129">
        <v>260.3</v>
      </c>
      <c r="K13" s="129">
        <f>J13*100/118</f>
        <v>220.59322033898306</v>
      </c>
      <c r="L13" s="131">
        <f>K13*H13</f>
        <v>256991.10169491527</v>
      </c>
      <c r="M13" s="108"/>
      <c r="N13" s="108"/>
    </row>
    <row r="14" spans="1:14" ht="3" customHeight="1" x14ac:dyDescent="0.25">
      <c r="A14" s="139"/>
      <c r="B14" s="140"/>
      <c r="C14" s="141"/>
      <c r="D14" s="142"/>
      <c r="E14" s="143"/>
      <c r="F14" s="143"/>
      <c r="G14" s="143"/>
      <c r="H14" s="144"/>
      <c r="I14" s="141"/>
      <c r="J14" s="145"/>
      <c r="K14" s="129">
        <f>J14*100/118</f>
        <v>0</v>
      </c>
      <c r="L14" s="131">
        <f>K14*H14</f>
        <v>0</v>
      </c>
      <c r="M14" s="108"/>
      <c r="N14" s="108"/>
    </row>
    <row r="15" spans="1:14" ht="60.75" customHeight="1" x14ac:dyDescent="0.2">
      <c r="A15" s="116">
        <v>2</v>
      </c>
      <c r="B15" s="146">
        <v>2.25</v>
      </c>
      <c r="C15" s="147" t="s">
        <v>119</v>
      </c>
      <c r="D15" s="148"/>
      <c r="E15" s="149"/>
      <c r="F15" s="149"/>
      <c r="G15" s="149"/>
      <c r="H15" s="150"/>
      <c r="I15" s="151"/>
      <c r="J15" s="152"/>
      <c r="K15" s="129"/>
      <c r="L15" s="131"/>
      <c r="M15" s="108"/>
      <c r="N15" s="108"/>
    </row>
    <row r="16" spans="1:14" ht="25.5" x14ac:dyDescent="0.25">
      <c r="A16" s="124"/>
      <c r="B16" s="153"/>
      <c r="C16" s="154" t="s">
        <v>120</v>
      </c>
      <c r="D16" s="148"/>
      <c r="E16" s="149"/>
      <c r="F16" s="149"/>
      <c r="G16" s="149"/>
      <c r="H16" s="150"/>
      <c r="I16" s="151"/>
      <c r="J16" s="152"/>
      <c r="K16" s="129"/>
      <c r="L16" s="131"/>
      <c r="M16" s="108"/>
      <c r="N16" s="108"/>
    </row>
    <row r="17" spans="1:14" ht="15" customHeight="1" x14ac:dyDescent="0.25">
      <c r="A17" s="124"/>
      <c r="B17" s="153"/>
      <c r="C17" s="155" t="s">
        <v>117</v>
      </c>
      <c r="D17" s="156"/>
      <c r="E17" s="157"/>
      <c r="F17" s="157"/>
      <c r="G17" s="157"/>
      <c r="H17" s="158">
        <v>500</v>
      </c>
      <c r="I17" s="155" t="s">
        <v>118</v>
      </c>
      <c r="J17" s="159">
        <v>196</v>
      </c>
      <c r="K17" s="129">
        <f>J17*100/118</f>
        <v>166.10169491525423</v>
      </c>
      <c r="L17" s="131">
        <f>K17*H17</f>
        <v>83050.847457627111</v>
      </c>
      <c r="M17" s="108"/>
      <c r="N17" s="108"/>
    </row>
    <row r="18" spans="1:14" ht="6.75" hidden="1" customHeight="1" x14ac:dyDescent="0.25">
      <c r="A18" s="139"/>
      <c r="B18" s="160"/>
      <c r="C18" s="161"/>
      <c r="D18" s="162"/>
      <c r="E18" s="163"/>
      <c r="F18" s="163"/>
      <c r="G18" s="163"/>
      <c r="H18" s="164"/>
      <c r="I18" s="165"/>
      <c r="J18" s="164"/>
      <c r="K18" s="129">
        <f>J18*100/118</f>
        <v>0</v>
      </c>
      <c r="L18" s="131">
        <f>K18*H18</f>
        <v>0</v>
      </c>
    </row>
    <row r="19" spans="1:14" ht="41.25" customHeight="1" x14ac:dyDescent="0.25">
      <c r="A19" s="116">
        <v>3</v>
      </c>
      <c r="B19" s="166">
        <v>2.27</v>
      </c>
      <c r="C19" s="167" t="s">
        <v>121</v>
      </c>
      <c r="D19" s="168"/>
      <c r="E19" s="169"/>
      <c r="F19" s="169"/>
      <c r="G19" s="169"/>
      <c r="H19" s="170"/>
      <c r="I19" s="171"/>
      <c r="J19" s="170"/>
      <c r="K19" s="129"/>
      <c r="L19" s="131"/>
    </row>
    <row r="20" spans="1:14" x14ac:dyDescent="0.25">
      <c r="A20" s="124"/>
      <c r="B20" s="153"/>
      <c r="C20" s="172" t="s">
        <v>113</v>
      </c>
      <c r="D20" s="148">
        <v>26</v>
      </c>
      <c r="E20" s="149">
        <v>2.65</v>
      </c>
      <c r="F20" s="149">
        <v>2.25</v>
      </c>
      <c r="G20" s="149">
        <v>0.1</v>
      </c>
      <c r="H20" s="152">
        <f>G20*F20*E20*D20</f>
        <v>15.502499999999998</v>
      </c>
      <c r="I20" s="151"/>
      <c r="J20" s="152"/>
      <c r="K20" s="129"/>
      <c r="L20" s="131"/>
    </row>
    <row r="21" spans="1:14" x14ac:dyDescent="0.25">
      <c r="A21" s="124"/>
      <c r="B21" s="153"/>
      <c r="C21" s="172" t="s">
        <v>114</v>
      </c>
      <c r="D21" s="148">
        <v>20</v>
      </c>
      <c r="E21" s="149">
        <v>2.95</v>
      </c>
      <c r="F21" s="149">
        <v>2.4500000000000002</v>
      </c>
      <c r="G21" s="149">
        <v>0.1</v>
      </c>
      <c r="H21" s="152">
        <f>G21*F21*E21*D21</f>
        <v>14.455000000000002</v>
      </c>
      <c r="I21" s="151"/>
      <c r="J21" s="152"/>
      <c r="K21" s="129"/>
      <c r="L21" s="131"/>
    </row>
    <row r="22" spans="1:14" x14ac:dyDescent="0.25">
      <c r="A22" s="124"/>
      <c r="B22" s="153"/>
      <c r="C22" s="172" t="s">
        <v>115</v>
      </c>
      <c r="D22" s="148">
        <v>22</v>
      </c>
      <c r="E22" s="149">
        <v>3.25</v>
      </c>
      <c r="F22" s="149">
        <v>2.65</v>
      </c>
      <c r="G22" s="149">
        <v>0.1</v>
      </c>
      <c r="H22" s="152">
        <f>G22*F22*E22*D22</f>
        <v>18.947500000000002</v>
      </c>
      <c r="I22" s="151"/>
      <c r="J22" s="152"/>
      <c r="K22" s="129"/>
      <c r="L22" s="131"/>
    </row>
    <row r="23" spans="1:14" ht="25.5" x14ac:dyDescent="0.25">
      <c r="A23" s="124"/>
      <c r="B23" s="153"/>
      <c r="C23" s="173" t="s">
        <v>122</v>
      </c>
      <c r="D23" s="148">
        <v>1</v>
      </c>
      <c r="E23" s="149">
        <v>414</v>
      </c>
      <c r="F23" s="149" t="s">
        <v>91</v>
      </c>
      <c r="G23" s="149">
        <v>0.45</v>
      </c>
      <c r="H23" s="152">
        <f>SUM(G23*E23*D23)</f>
        <v>186.3</v>
      </c>
      <c r="I23" s="151"/>
      <c r="J23" s="152"/>
      <c r="K23" s="129"/>
      <c r="L23" s="131"/>
    </row>
    <row r="24" spans="1:14" ht="38.25" x14ac:dyDescent="0.25">
      <c r="A24" s="124"/>
      <c r="B24" s="153"/>
      <c r="C24" s="173" t="s">
        <v>123</v>
      </c>
      <c r="D24" s="148"/>
      <c r="E24" s="149"/>
      <c r="F24" s="149"/>
      <c r="G24" s="149"/>
      <c r="H24" s="152">
        <v>-221</v>
      </c>
      <c r="I24" s="151"/>
      <c r="J24" s="152"/>
      <c r="K24" s="129"/>
      <c r="L24" s="131"/>
    </row>
    <row r="25" spans="1:14" x14ac:dyDescent="0.25">
      <c r="A25" s="124"/>
      <c r="B25" s="153"/>
      <c r="C25" s="173" t="s">
        <v>124</v>
      </c>
      <c r="D25" s="148"/>
      <c r="E25" s="149"/>
      <c r="F25" s="149"/>
      <c r="G25" s="149"/>
      <c r="H25" s="152">
        <f>H133</f>
        <v>0.83015624999999993</v>
      </c>
      <c r="I25" s="151"/>
      <c r="J25" s="152"/>
      <c r="K25" s="129"/>
      <c r="L25" s="131"/>
    </row>
    <row r="26" spans="1:14" x14ac:dyDescent="0.25">
      <c r="A26" s="124"/>
      <c r="B26" s="125"/>
      <c r="C26" s="130" t="s">
        <v>117</v>
      </c>
      <c r="D26" s="127"/>
      <c r="E26" s="128"/>
      <c r="F26" s="128"/>
      <c r="G26" s="128"/>
      <c r="H26" s="138">
        <v>15</v>
      </c>
      <c r="I26" s="130" t="s">
        <v>118</v>
      </c>
      <c r="J26" s="129">
        <v>2123.75</v>
      </c>
      <c r="K26" s="129">
        <f>J26*100/118</f>
        <v>1799.7881355932204</v>
      </c>
      <c r="L26" s="131">
        <f>K26*H26</f>
        <v>26996.822033898308</v>
      </c>
    </row>
    <row r="27" spans="1:14" ht="57" customHeight="1" x14ac:dyDescent="0.25">
      <c r="A27" s="116">
        <v>4</v>
      </c>
      <c r="B27" s="117" t="s">
        <v>125</v>
      </c>
      <c r="C27" s="118" t="s">
        <v>126</v>
      </c>
      <c r="D27" s="119"/>
      <c r="E27" s="120"/>
      <c r="F27" s="120"/>
      <c r="G27" s="120"/>
      <c r="H27" s="174"/>
      <c r="I27" s="122"/>
      <c r="J27" s="121"/>
      <c r="K27" s="129"/>
      <c r="L27" s="131"/>
    </row>
    <row r="28" spans="1:14" x14ac:dyDescent="0.25">
      <c r="A28" s="124"/>
      <c r="B28" s="125"/>
      <c r="C28" s="132" t="s">
        <v>113</v>
      </c>
      <c r="D28" s="133">
        <v>26</v>
      </c>
      <c r="E28" s="134">
        <v>2.8</v>
      </c>
      <c r="F28" s="134">
        <v>2.2000000000000002</v>
      </c>
      <c r="G28" s="134"/>
      <c r="H28" s="135">
        <f>F28*E28*D28</f>
        <v>160.16</v>
      </c>
      <c r="I28" s="136"/>
      <c r="J28" s="135"/>
      <c r="K28" s="129"/>
      <c r="L28" s="131"/>
    </row>
    <row r="29" spans="1:14" x14ac:dyDescent="0.25">
      <c r="A29" s="124"/>
      <c r="B29" s="125"/>
      <c r="C29" s="132" t="s">
        <v>114</v>
      </c>
      <c r="D29" s="133">
        <v>20</v>
      </c>
      <c r="E29" s="134">
        <v>3.2</v>
      </c>
      <c r="F29" s="134">
        <v>2.5</v>
      </c>
      <c r="G29" s="134"/>
      <c r="H29" s="135">
        <f>F29*E29*D29</f>
        <v>160</v>
      </c>
      <c r="I29" s="136"/>
      <c r="J29" s="135"/>
      <c r="K29" s="129"/>
      <c r="L29" s="131"/>
    </row>
    <row r="30" spans="1:14" x14ac:dyDescent="0.25">
      <c r="A30" s="124"/>
      <c r="B30" s="125"/>
      <c r="C30" s="132" t="s">
        <v>115</v>
      </c>
      <c r="D30" s="133">
        <v>22</v>
      </c>
      <c r="E30" s="134">
        <v>3.6</v>
      </c>
      <c r="F30" s="134">
        <v>3.2</v>
      </c>
      <c r="G30" s="134"/>
      <c r="H30" s="135">
        <f>F30*E30*D30</f>
        <v>253.44000000000003</v>
      </c>
      <c r="I30" s="136"/>
      <c r="J30" s="135"/>
      <c r="K30" s="129"/>
      <c r="L30" s="131"/>
    </row>
    <row r="31" spans="1:14" x14ac:dyDescent="0.25">
      <c r="A31" s="124"/>
      <c r="B31" s="125"/>
      <c r="C31" s="132" t="s">
        <v>127</v>
      </c>
      <c r="D31" s="133">
        <v>1</v>
      </c>
      <c r="E31" s="134">
        <v>414</v>
      </c>
      <c r="F31" s="134" t="s">
        <v>91</v>
      </c>
      <c r="G31" s="134"/>
      <c r="H31" s="135">
        <f>SUM(E31*D31)</f>
        <v>414</v>
      </c>
      <c r="I31" s="136"/>
      <c r="J31" s="135"/>
      <c r="K31" s="129"/>
      <c r="L31" s="131"/>
    </row>
    <row r="32" spans="1:14" x14ac:dyDescent="0.25">
      <c r="A32" s="139"/>
      <c r="B32" s="140"/>
      <c r="C32" s="141" t="s">
        <v>117</v>
      </c>
      <c r="D32" s="142"/>
      <c r="E32" s="143"/>
      <c r="F32" s="143"/>
      <c r="G32" s="143"/>
      <c r="H32" s="144">
        <v>987</v>
      </c>
      <c r="I32" s="141" t="s">
        <v>128</v>
      </c>
      <c r="J32" s="145">
        <v>551.32000000000005</v>
      </c>
      <c r="K32" s="129">
        <f>J32*100/118</f>
        <v>467.22033898305091</v>
      </c>
      <c r="L32" s="131">
        <f>K32*H32</f>
        <v>461146.47457627126</v>
      </c>
    </row>
    <row r="33" spans="1:12" ht="43.5" customHeight="1" x14ac:dyDescent="0.2">
      <c r="A33" s="116">
        <v>5</v>
      </c>
      <c r="B33" s="175">
        <v>4.0999999999999996</v>
      </c>
      <c r="C33" s="118" t="s">
        <v>129</v>
      </c>
      <c r="D33" s="119"/>
      <c r="E33" s="120"/>
      <c r="F33" s="120"/>
      <c r="G33" s="120"/>
      <c r="H33" s="121"/>
      <c r="I33" s="122"/>
      <c r="J33" s="121"/>
      <c r="K33" s="129"/>
      <c r="L33" s="131"/>
    </row>
    <row r="34" spans="1:12" ht="40.5" customHeight="1" x14ac:dyDescent="0.2">
      <c r="A34" s="124"/>
      <c r="B34" s="176" t="s">
        <v>130</v>
      </c>
      <c r="C34" s="126" t="s">
        <v>131</v>
      </c>
      <c r="D34" s="127"/>
      <c r="E34" s="128"/>
      <c r="F34" s="128"/>
      <c r="G34" s="128"/>
      <c r="H34" s="129"/>
      <c r="I34" s="130"/>
      <c r="J34" s="129"/>
      <c r="K34" s="129"/>
      <c r="L34" s="131"/>
    </row>
    <row r="35" spans="1:12" ht="18" customHeight="1" x14ac:dyDescent="0.2">
      <c r="A35" s="124"/>
      <c r="B35" s="176"/>
      <c r="C35" s="177" t="s">
        <v>132</v>
      </c>
      <c r="D35" s="133"/>
      <c r="E35" s="134"/>
      <c r="F35" s="134"/>
      <c r="G35" s="134"/>
      <c r="H35" s="135"/>
      <c r="I35" s="136"/>
      <c r="J35" s="135"/>
      <c r="K35" s="129"/>
      <c r="L35" s="131"/>
    </row>
    <row r="36" spans="1:12" x14ac:dyDescent="0.25">
      <c r="A36" s="124"/>
      <c r="B36" s="125"/>
      <c r="C36" s="132" t="s">
        <v>113</v>
      </c>
      <c r="D36" s="133">
        <v>26</v>
      </c>
      <c r="E36" s="134">
        <v>2.8</v>
      </c>
      <c r="F36" s="134">
        <v>2.2000000000000002</v>
      </c>
      <c r="G36" s="134">
        <v>7.4999999999999997E-2</v>
      </c>
      <c r="H36" s="135">
        <f>G36*F36*E36*D36</f>
        <v>12.011999999999999</v>
      </c>
      <c r="I36" s="136"/>
      <c r="J36" s="135"/>
      <c r="K36" s="129"/>
      <c r="L36" s="131"/>
    </row>
    <row r="37" spans="1:12" x14ac:dyDescent="0.25">
      <c r="A37" s="124"/>
      <c r="B37" s="125"/>
      <c r="C37" s="132" t="s">
        <v>114</v>
      </c>
      <c r="D37" s="133">
        <v>20</v>
      </c>
      <c r="E37" s="134">
        <v>3.2</v>
      </c>
      <c r="F37" s="134">
        <v>2.5</v>
      </c>
      <c r="G37" s="134">
        <v>7.4999999999999997E-2</v>
      </c>
      <c r="H37" s="135">
        <f>G37*F37*E37*D37</f>
        <v>12.000000000000002</v>
      </c>
      <c r="I37" s="136"/>
      <c r="J37" s="135"/>
      <c r="K37" s="129"/>
      <c r="L37" s="131"/>
    </row>
    <row r="38" spans="1:12" x14ac:dyDescent="0.25">
      <c r="A38" s="124"/>
      <c r="B38" s="125"/>
      <c r="C38" s="132" t="s">
        <v>115</v>
      </c>
      <c r="D38" s="133">
        <v>22</v>
      </c>
      <c r="E38" s="134">
        <v>3.6</v>
      </c>
      <c r="F38" s="134">
        <v>3.2</v>
      </c>
      <c r="G38" s="134">
        <v>7.4999999999999997E-2</v>
      </c>
      <c r="H38" s="135">
        <f>G38*F38*E38*D38</f>
        <v>19.007999999999999</v>
      </c>
      <c r="I38" s="136"/>
      <c r="J38" s="135"/>
      <c r="K38" s="129"/>
      <c r="L38" s="131"/>
    </row>
    <row r="39" spans="1:12" x14ac:dyDescent="0.25">
      <c r="A39" s="124"/>
      <c r="B39" s="125"/>
      <c r="C39" s="132" t="s">
        <v>133</v>
      </c>
      <c r="D39" s="133">
        <v>1</v>
      </c>
      <c r="E39" s="134">
        <v>414</v>
      </c>
      <c r="F39" s="134" t="s">
        <v>91</v>
      </c>
      <c r="G39" s="134">
        <v>7.4999999999999997E-2</v>
      </c>
      <c r="H39" s="135">
        <f>SUM(G39*E39*D39)</f>
        <v>31.049999999999997</v>
      </c>
      <c r="I39" s="136"/>
      <c r="J39" s="135"/>
      <c r="K39" s="129"/>
      <c r="L39" s="131"/>
    </row>
    <row r="40" spans="1:12" x14ac:dyDescent="0.25">
      <c r="A40" s="139"/>
      <c r="B40" s="140"/>
      <c r="C40" s="141" t="s">
        <v>117</v>
      </c>
      <c r="D40" s="142"/>
      <c r="E40" s="143"/>
      <c r="F40" s="143"/>
      <c r="G40" s="143"/>
      <c r="H40" s="144">
        <v>74</v>
      </c>
      <c r="I40" s="141" t="s">
        <v>118</v>
      </c>
      <c r="J40" s="145">
        <v>7878.5</v>
      </c>
      <c r="K40" s="129">
        <f>J40*100/118</f>
        <v>6676.6949152542375</v>
      </c>
      <c r="L40" s="131">
        <f>K40*H40</f>
        <v>494075.42372881359</v>
      </c>
    </row>
    <row r="41" spans="1:12" ht="47.25" customHeight="1" x14ac:dyDescent="0.2">
      <c r="A41" s="116">
        <v>6</v>
      </c>
      <c r="B41" s="175">
        <v>5.0999999999999996</v>
      </c>
      <c r="C41" s="118" t="s">
        <v>134</v>
      </c>
      <c r="D41" s="119"/>
      <c r="E41" s="120"/>
      <c r="F41" s="120"/>
      <c r="G41" s="120"/>
      <c r="H41" s="174"/>
      <c r="I41" s="122"/>
      <c r="J41" s="121"/>
      <c r="K41" s="129"/>
      <c r="L41" s="131"/>
    </row>
    <row r="42" spans="1:12" ht="33.75" customHeight="1" x14ac:dyDescent="0.2">
      <c r="A42" s="124"/>
      <c r="B42" s="176" t="s">
        <v>135</v>
      </c>
      <c r="C42" s="126" t="s">
        <v>136</v>
      </c>
      <c r="D42" s="127"/>
      <c r="E42" s="128"/>
      <c r="F42" s="128"/>
      <c r="G42" s="128"/>
      <c r="H42" s="138"/>
      <c r="I42" s="130"/>
      <c r="J42" s="129"/>
      <c r="K42" s="129"/>
      <c r="L42" s="131"/>
    </row>
    <row r="43" spans="1:12" x14ac:dyDescent="0.25">
      <c r="A43" s="124"/>
      <c r="B43" s="125"/>
      <c r="C43" s="132" t="s">
        <v>113</v>
      </c>
      <c r="D43" s="133">
        <v>26</v>
      </c>
      <c r="E43" s="134">
        <v>2.8</v>
      </c>
      <c r="F43" s="134">
        <v>2.2000000000000002</v>
      </c>
      <c r="G43" s="134">
        <v>0.5</v>
      </c>
      <c r="H43" s="135">
        <f t="shared" ref="H43:H48" si="0">G43*F43*E43*D43</f>
        <v>80.08</v>
      </c>
      <c r="I43" s="136"/>
      <c r="J43" s="135"/>
      <c r="K43" s="129"/>
      <c r="L43" s="131"/>
    </row>
    <row r="44" spans="1:12" x14ac:dyDescent="0.25">
      <c r="A44" s="124"/>
      <c r="B44" s="125"/>
      <c r="C44" s="132" t="s">
        <v>137</v>
      </c>
      <c r="D44" s="133">
        <v>26</v>
      </c>
      <c r="E44" s="134">
        <v>0.75</v>
      </c>
      <c r="F44" s="134">
        <v>0.55000000000000004</v>
      </c>
      <c r="G44" s="134">
        <v>0.15</v>
      </c>
      <c r="H44" s="135">
        <f t="shared" si="0"/>
        <v>1.6087499999999999</v>
      </c>
      <c r="I44" s="136"/>
      <c r="J44" s="135"/>
      <c r="K44" s="129"/>
      <c r="L44" s="131"/>
    </row>
    <row r="45" spans="1:12" x14ac:dyDescent="0.25">
      <c r="A45" s="124"/>
      <c r="B45" s="125"/>
      <c r="C45" s="132" t="s">
        <v>114</v>
      </c>
      <c r="D45" s="133">
        <v>20</v>
      </c>
      <c r="E45" s="134">
        <v>3.2</v>
      </c>
      <c r="F45" s="134">
        <v>2.5</v>
      </c>
      <c r="G45" s="134">
        <v>0.6</v>
      </c>
      <c r="H45" s="135">
        <f t="shared" si="0"/>
        <v>96.000000000000014</v>
      </c>
      <c r="I45" s="136"/>
      <c r="J45" s="135"/>
      <c r="K45" s="129"/>
      <c r="L45" s="131"/>
    </row>
    <row r="46" spans="1:12" x14ac:dyDescent="0.25">
      <c r="A46" s="124"/>
      <c r="B46" s="125"/>
      <c r="C46" s="132" t="s">
        <v>137</v>
      </c>
      <c r="D46" s="133">
        <v>20</v>
      </c>
      <c r="E46" s="134">
        <v>0.75</v>
      </c>
      <c r="F46" s="134">
        <v>0.55000000000000004</v>
      </c>
      <c r="G46" s="134">
        <v>0.15</v>
      </c>
      <c r="H46" s="135">
        <f t="shared" si="0"/>
        <v>1.2375</v>
      </c>
      <c r="I46" s="136"/>
      <c r="J46" s="135"/>
      <c r="K46" s="129"/>
      <c r="L46" s="131"/>
    </row>
    <row r="47" spans="1:12" x14ac:dyDescent="0.25">
      <c r="A47" s="124"/>
      <c r="B47" s="125"/>
      <c r="C47" s="132" t="s">
        <v>115</v>
      </c>
      <c r="D47" s="133">
        <v>22</v>
      </c>
      <c r="E47" s="134">
        <v>3.6</v>
      </c>
      <c r="F47" s="134">
        <v>3.2</v>
      </c>
      <c r="G47" s="134">
        <v>0.75</v>
      </c>
      <c r="H47" s="135">
        <f t="shared" si="0"/>
        <v>190.08000000000004</v>
      </c>
      <c r="I47" s="136"/>
      <c r="J47" s="135"/>
      <c r="K47" s="129"/>
      <c r="L47" s="131"/>
    </row>
    <row r="48" spans="1:12" x14ac:dyDescent="0.25">
      <c r="A48" s="124"/>
      <c r="B48" s="125"/>
      <c r="C48" s="132" t="s">
        <v>137</v>
      </c>
      <c r="D48" s="133">
        <v>22</v>
      </c>
      <c r="E48" s="134">
        <v>0.75</v>
      </c>
      <c r="F48" s="134">
        <v>0.55000000000000004</v>
      </c>
      <c r="G48" s="134">
        <v>0.15</v>
      </c>
      <c r="H48" s="135">
        <f t="shared" si="0"/>
        <v>1.3612500000000001</v>
      </c>
      <c r="I48" s="136"/>
      <c r="J48" s="135"/>
      <c r="K48" s="129"/>
      <c r="L48" s="131"/>
    </row>
    <row r="49" spans="1:17" x14ac:dyDescent="0.25">
      <c r="A49" s="124"/>
      <c r="B49" s="125"/>
      <c r="C49" s="178" t="s">
        <v>138</v>
      </c>
      <c r="D49" s="133"/>
      <c r="E49" s="134"/>
      <c r="F49" s="134"/>
      <c r="G49" s="134"/>
      <c r="H49" s="135"/>
      <c r="I49" s="136"/>
      <c r="J49" s="135"/>
      <c r="K49" s="129"/>
      <c r="L49" s="131"/>
    </row>
    <row r="50" spans="1:17" x14ac:dyDescent="0.25">
      <c r="A50" s="124"/>
      <c r="B50" s="125"/>
      <c r="C50" s="132" t="s">
        <v>139</v>
      </c>
      <c r="D50" s="133">
        <f>68-12</f>
        <v>56</v>
      </c>
      <c r="E50" s="134">
        <v>0.3</v>
      </c>
      <c r="F50" s="134">
        <v>0.6</v>
      </c>
      <c r="G50" s="134">
        <f>2+0.3-0.1-0.15-0.15-0.5-0.4</f>
        <v>0.99999999999999989</v>
      </c>
      <c r="H50" s="135">
        <f>G50*F50*E50*D50</f>
        <v>10.079999999999998</v>
      </c>
      <c r="I50" s="136"/>
      <c r="J50" s="135"/>
      <c r="K50" s="129"/>
      <c r="L50" s="131"/>
      <c r="M50" s="114"/>
      <c r="N50" s="107"/>
      <c r="O50" s="107"/>
      <c r="P50" s="107"/>
      <c r="Q50" s="179"/>
    </row>
    <row r="51" spans="1:17" x14ac:dyDescent="0.25">
      <c r="A51" s="124"/>
      <c r="B51" s="125"/>
      <c r="C51" s="132" t="s">
        <v>140</v>
      </c>
      <c r="D51" s="133">
        <v>12</v>
      </c>
      <c r="E51" s="134">
        <v>0.3</v>
      </c>
      <c r="F51" s="134">
        <v>0.5</v>
      </c>
      <c r="G51" s="134">
        <f>2+0.3-0.1-0.15-0.5-0.15-0.4</f>
        <v>0.99999999999999989</v>
      </c>
      <c r="H51" s="135">
        <f>G51*F51*E51*D51</f>
        <v>1.7999999999999996</v>
      </c>
      <c r="I51" s="136"/>
      <c r="J51" s="135"/>
      <c r="K51" s="129"/>
      <c r="L51" s="131"/>
      <c r="M51" s="114"/>
      <c r="N51" s="107"/>
      <c r="O51" s="107"/>
      <c r="P51" s="107"/>
      <c r="Q51" s="179"/>
    </row>
    <row r="52" spans="1:17" x14ac:dyDescent="0.25">
      <c r="A52" s="124"/>
      <c r="B52" s="125"/>
      <c r="C52" s="132" t="s">
        <v>141</v>
      </c>
      <c r="D52" s="133">
        <v>1</v>
      </c>
      <c r="E52" s="134">
        <f xml:space="preserve"> (2.05+2.025)*2</f>
        <v>8.1499999999999986</v>
      </c>
      <c r="F52" s="134">
        <v>0.2</v>
      </c>
      <c r="G52" s="134">
        <f>2+0.3+0.15-0.1-0.15-0.5-0.4</f>
        <v>1.2999999999999998</v>
      </c>
      <c r="H52" s="135">
        <f>G52*F52*E52*D52</f>
        <v>2.1189999999999993</v>
      </c>
      <c r="I52" s="136"/>
      <c r="J52" s="135"/>
      <c r="K52" s="129"/>
      <c r="L52" s="131"/>
    </row>
    <row r="53" spans="1:17" x14ac:dyDescent="0.25">
      <c r="A53" s="124"/>
      <c r="B53" s="125"/>
      <c r="C53" s="132"/>
      <c r="D53" s="133">
        <f>SUM(D50:D51)</f>
        <v>68</v>
      </c>
      <c r="E53" s="134"/>
      <c r="F53" s="134"/>
      <c r="G53" s="134"/>
      <c r="H53" s="135"/>
      <c r="I53" s="136"/>
      <c r="J53" s="135"/>
      <c r="K53" s="129"/>
      <c r="L53" s="131"/>
    </row>
    <row r="54" spans="1:17" x14ac:dyDescent="0.25">
      <c r="A54" s="124"/>
      <c r="B54" s="125"/>
      <c r="C54" s="178" t="s">
        <v>142</v>
      </c>
      <c r="D54" s="133"/>
      <c r="E54" s="134"/>
      <c r="F54" s="134"/>
      <c r="G54" s="134"/>
      <c r="H54" s="135"/>
      <c r="I54" s="136"/>
      <c r="J54" s="135"/>
      <c r="K54" s="129"/>
      <c r="L54" s="131"/>
    </row>
    <row r="55" spans="1:17" x14ac:dyDescent="0.25">
      <c r="A55" s="124"/>
      <c r="B55" s="125"/>
      <c r="C55" s="178" t="s">
        <v>143</v>
      </c>
      <c r="D55" s="133"/>
      <c r="E55" s="134"/>
      <c r="F55" s="134"/>
      <c r="G55" s="134"/>
      <c r="H55" s="135"/>
      <c r="I55" s="136"/>
      <c r="J55" s="135"/>
      <c r="K55" s="129"/>
      <c r="L55" s="131"/>
    </row>
    <row r="56" spans="1:17" x14ac:dyDescent="0.25">
      <c r="A56" s="124"/>
      <c r="B56" s="125"/>
      <c r="C56" s="132" t="s">
        <v>144</v>
      </c>
      <c r="D56" s="133">
        <v>1</v>
      </c>
      <c r="E56" s="134">
        <v>8.85</v>
      </c>
      <c r="F56" s="134">
        <v>0.25</v>
      </c>
      <c r="G56" s="134">
        <v>0.5</v>
      </c>
      <c r="H56" s="135">
        <f t="shared" ref="H56:H97" si="1">G56*F56*E56*D56</f>
        <v>1.10625</v>
      </c>
      <c r="I56" s="136"/>
      <c r="J56" s="135"/>
      <c r="K56" s="129"/>
      <c r="L56" s="131"/>
    </row>
    <row r="57" spans="1:17" x14ac:dyDescent="0.25">
      <c r="A57" s="124"/>
      <c r="B57" s="125"/>
      <c r="C57" s="132" t="s">
        <v>145</v>
      </c>
      <c r="D57" s="133">
        <v>1</v>
      </c>
      <c r="E57" s="134">
        <v>5.2750000000000004</v>
      </c>
      <c r="F57" s="134">
        <v>0.25</v>
      </c>
      <c r="G57" s="134">
        <v>0.5</v>
      </c>
      <c r="H57" s="135">
        <f t="shared" si="1"/>
        <v>0.65937500000000004</v>
      </c>
      <c r="I57" s="136"/>
      <c r="J57" s="135"/>
      <c r="K57" s="129"/>
      <c r="L57" s="131"/>
    </row>
    <row r="58" spans="1:17" x14ac:dyDescent="0.25">
      <c r="A58" s="124"/>
      <c r="B58" s="125"/>
      <c r="C58" s="132" t="s">
        <v>146</v>
      </c>
      <c r="D58" s="133">
        <v>1</v>
      </c>
      <c r="E58" s="134">
        <v>3.57</v>
      </c>
      <c r="F58" s="134">
        <v>0.25</v>
      </c>
      <c r="G58" s="134">
        <v>0.5</v>
      </c>
      <c r="H58" s="135">
        <f t="shared" si="1"/>
        <v>0.44624999999999998</v>
      </c>
      <c r="I58" s="136"/>
      <c r="J58" s="135"/>
      <c r="K58" s="129"/>
      <c r="L58" s="131"/>
    </row>
    <row r="59" spans="1:17" x14ac:dyDescent="0.25">
      <c r="A59" s="124"/>
      <c r="B59" s="125"/>
      <c r="C59" s="132" t="s">
        <v>147</v>
      </c>
      <c r="D59" s="133">
        <v>1</v>
      </c>
      <c r="E59" s="134">
        <v>2.25</v>
      </c>
      <c r="F59" s="134">
        <v>0.25</v>
      </c>
      <c r="G59" s="134">
        <v>0.5</v>
      </c>
      <c r="H59" s="135">
        <f t="shared" si="1"/>
        <v>0.28125</v>
      </c>
      <c r="I59" s="136"/>
      <c r="J59" s="135"/>
      <c r="K59" s="129"/>
      <c r="L59" s="131"/>
    </row>
    <row r="60" spans="1:17" x14ac:dyDescent="0.25">
      <c r="A60" s="124"/>
      <c r="B60" s="125"/>
      <c r="C60" s="132" t="s">
        <v>148</v>
      </c>
      <c r="D60" s="133">
        <v>2</v>
      </c>
      <c r="E60" s="134">
        <v>6.5750000000000002</v>
      </c>
      <c r="F60" s="134">
        <v>0.25</v>
      </c>
      <c r="G60" s="134">
        <v>0.5</v>
      </c>
      <c r="H60" s="135">
        <f t="shared" si="1"/>
        <v>1.64375</v>
      </c>
      <c r="I60" s="136"/>
      <c r="J60" s="135"/>
      <c r="K60" s="129"/>
      <c r="L60" s="131"/>
    </row>
    <row r="61" spans="1:17" x14ac:dyDescent="0.25">
      <c r="A61" s="124"/>
      <c r="B61" s="125"/>
      <c r="C61" s="132" t="s">
        <v>149</v>
      </c>
      <c r="D61" s="133">
        <v>1</v>
      </c>
      <c r="E61" s="134">
        <v>5.85</v>
      </c>
      <c r="F61" s="134">
        <v>0.25</v>
      </c>
      <c r="G61" s="134">
        <v>0.5</v>
      </c>
      <c r="H61" s="135">
        <f t="shared" si="1"/>
        <v>0.73124999999999996</v>
      </c>
      <c r="I61" s="136"/>
      <c r="J61" s="135"/>
      <c r="K61" s="129"/>
      <c r="L61" s="131"/>
    </row>
    <row r="62" spans="1:17" x14ac:dyDescent="0.25">
      <c r="A62" s="124"/>
      <c r="B62" s="125"/>
      <c r="C62" s="132" t="s">
        <v>150</v>
      </c>
      <c r="D62" s="133">
        <v>1</v>
      </c>
      <c r="E62" s="134">
        <v>26</v>
      </c>
      <c r="F62" s="134">
        <v>0.25</v>
      </c>
      <c r="G62" s="134">
        <v>0.5</v>
      </c>
      <c r="H62" s="135">
        <f t="shared" si="1"/>
        <v>3.25</v>
      </c>
      <c r="I62" s="136"/>
      <c r="J62" s="135"/>
      <c r="K62" s="129"/>
      <c r="L62" s="131"/>
    </row>
    <row r="63" spans="1:17" x14ac:dyDescent="0.25">
      <c r="A63" s="124"/>
      <c r="B63" s="125"/>
      <c r="C63" s="132" t="s">
        <v>151</v>
      </c>
      <c r="D63" s="133">
        <v>1</v>
      </c>
      <c r="E63" s="134">
        <f>0.125+0.125+3.3</f>
        <v>3.55</v>
      </c>
      <c r="F63" s="134">
        <v>0.25</v>
      </c>
      <c r="G63" s="134">
        <v>0.5</v>
      </c>
      <c r="H63" s="135">
        <f t="shared" si="1"/>
        <v>0.44374999999999998</v>
      </c>
      <c r="I63" s="136"/>
      <c r="J63" s="135"/>
      <c r="K63" s="129"/>
      <c r="L63" s="131"/>
    </row>
    <row r="64" spans="1:17" x14ac:dyDescent="0.25">
      <c r="A64" s="124"/>
      <c r="B64" s="125"/>
      <c r="C64" s="132" t="s">
        <v>152</v>
      </c>
      <c r="D64" s="133">
        <v>1</v>
      </c>
      <c r="E64" s="134">
        <v>3.9750000000000001</v>
      </c>
      <c r="F64" s="134">
        <v>0.25</v>
      </c>
      <c r="G64" s="134">
        <v>0.5</v>
      </c>
      <c r="H64" s="135">
        <f t="shared" si="1"/>
        <v>0.49687500000000001</v>
      </c>
      <c r="I64" s="136"/>
      <c r="J64" s="135"/>
      <c r="K64" s="129"/>
      <c r="L64" s="131"/>
    </row>
    <row r="65" spans="1:12" x14ac:dyDescent="0.25">
      <c r="A65" s="124"/>
      <c r="B65" s="125"/>
      <c r="C65" s="132" t="s">
        <v>153</v>
      </c>
      <c r="D65" s="133">
        <v>1</v>
      </c>
      <c r="E65" s="134">
        <v>7.2</v>
      </c>
      <c r="F65" s="134">
        <v>0.25</v>
      </c>
      <c r="G65" s="134">
        <v>0.5</v>
      </c>
      <c r="H65" s="135">
        <f t="shared" si="1"/>
        <v>0.9</v>
      </c>
      <c r="I65" s="136"/>
      <c r="J65" s="135"/>
      <c r="K65" s="129"/>
      <c r="L65" s="131"/>
    </row>
    <row r="66" spans="1:12" x14ac:dyDescent="0.25">
      <c r="A66" s="124"/>
      <c r="B66" s="125"/>
      <c r="C66" s="132" t="s">
        <v>154</v>
      </c>
      <c r="D66" s="133">
        <v>1</v>
      </c>
      <c r="E66" s="134">
        <f>3.05+6.05</f>
        <v>9.1</v>
      </c>
      <c r="F66" s="134">
        <v>0.25</v>
      </c>
      <c r="G66" s="134">
        <v>0.5</v>
      </c>
      <c r="H66" s="135">
        <f t="shared" si="1"/>
        <v>1.1375</v>
      </c>
      <c r="I66" s="136"/>
      <c r="J66" s="135"/>
      <c r="K66" s="129"/>
      <c r="L66" s="131"/>
    </row>
    <row r="67" spans="1:12" x14ac:dyDescent="0.25">
      <c r="A67" s="124"/>
      <c r="B67" s="125"/>
      <c r="C67" s="132" t="s">
        <v>155</v>
      </c>
      <c r="D67" s="133">
        <v>1</v>
      </c>
      <c r="E67" s="134">
        <v>10.62</v>
      </c>
      <c r="F67" s="134">
        <v>0.25</v>
      </c>
      <c r="G67" s="134">
        <v>0.5</v>
      </c>
      <c r="H67" s="135">
        <f t="shared" si="1"/>
        <v>1.3274999999999999</v>
      </c>
      <c r="I67" s="136"/>
      <c r="J67" s="135"/>
      <c r="K67" s="129"/>
      <c r="L67" s="131"/>
    </row>
    <row r="68" spans="1:12" x14ac:dyDescent="0.25">
      <c r="A68" s="124"/>
      <c r="B68" s="125"/>
      <c r="C68" s="132" t="s">
        <v>156</v>
      </c>
      <c r="D68" s="180">
        <v>1</v>
      </c>
      <c r="E68" s="134">
        <v>4.0999999999999996</v>
      </c>
      <c r="F68" s="134">
        <v>0.25</v>
      </c>
      <c r="G68" s="134">
        <v>0.5</v>
      </c>
      <c r="H68" s="135">
        <f t="shared" si="1"/>
        <v>0.51249999999999996</v>
      </c>
      <c r="I68" s="136"/>
      <c r="J68" s="135"/>
      <c r="K68" s="129"/>
      <c r="L68" s="131"/>
    </row>
    <row r="69" spans="1:12" x14ac:dyDescent="0.25">
      <c r="A69" s="124"/>
      <c r="B69" s="125"/>
      <c r="C69" s="132" t="s">
        <v>157</v>
      </c>
      <c r="D69" s="133">
        <v>1</v>
      </c>
      <c r="E69" s="134">
        <v>3.55</v>
      </c>
      <c r="F69" s="134">
        <v>0.25</v>
      </c>
      <c r="G69" s="134">
        <v>0.5</v>
      </c>
      <c r="H69" s="135">
        <f t="shared" si="1"/>
        <v>0.44374999999999998</v>
      </c>
      <c r="I69" s="136"/>
      <c r="J69" s="135"/>
      <c r="K69" s="129"/>
      <c r="L69" s="131"/>
    </row>
    <row r="70" spans="1:12" x14ac:dyDescent="0.25">
      <c r="A70" s="124"/>
      <c r="B70" s="125"/>
      <c r="C70" s="132" t="s">
        <v>158</v>
      </c>
      <c r="D70" s="133">
        <v>1</v>
      </c>
      <c r="E70" s="134">
        <v>25.875</v>
      </c>
      <c r="F70" s="134">
        <v>0.25</v>
      </c>
      <c r="G70" s="134">
        <v>0.5</v>
      </c>
      <c r="H70" s="135">
        <f t="shared" si="1"/>
        <v>3.234375</v>
      </c>
      <c r="I70" s="136"/>
      <c r="J70" s="135"/>
      <c r="K70" s="129"/>
      <c r="L70" s="131"/>
    </row>
    <row r="71" spans="1:12" x14ac:dyDescent="0.25">
      <c r="A71" s="124"/>
      <c r="B71" s="125"/>
      <c r="C71" s="132" t="s">
        <v>159</v>
      </c>
      <c r="D71" s="133">
        <v>1</v>
      </c>
      <c r="E71" s="134">
        <v>5.85</v>
      </c>
      <c r="F71" s="134">
        <v>0.25</v>
      </c>
      <c r="G71" s="134">
        <v>0.5</v>
      </c>
      <c r="H71" s="135">
        <f t="shared" si="1"/>
        <v>0.73124999999999996</v>
      </c>
      <c r="I71" s="136"/>
      <c r="J71" s="135"/>
      <c r="K71" s="129"/>
      <c r="L71" s="131"/>
    </row>
    <row r="72" spans="1:12" x14ac:dyDescent="0.25">
      <c r="A72" s="124"/>
      <c r="B72" s="125"/>
      <c r="C72" s="132" t="s">
        <v>160</v>
      </c>
      <c r="D72" s="133">
        <v>1</v>
      </c>
      <c r="E72" s="134">
        <v>8.75</v>
      </c>
      <c r="F72" s="134">
        <v>0.25</v>
      </c>
      <c r="G72" s="134">
        <v>0.5</v>
      </c>
      <c r="H72" s="135">
        <f t="shared" si="1"/>
        <v>1.09375</v>
      </c>
      <c r="I72" s="136"/>
      <c r="J72" s="135"/>
      <c r="K72" s="129"/>
      <c r="L72" s="131"/>
    </row>
    <row r="73" spans="1:12" x14ac:dyDescent="0.25">
      <c r="A73" s="124"/>
      <c r="B73" s="125"/>
      <c r="C73" s="132" t="s">
        <v>161</v>
      </c>
      <c r="D73" s="133">
        <v>1</v>
      </c>
      <c r="E73" s="134">
        <v>6.5750000000000002</v>
      </c>
      <c r="F73" s="134">
        <v>0.25</v>
      </c>
      <c r="G73" s="134">
        <v>0.5</v>
      </c>
      <c r="H73" s="135">
        <f t="shared" si="1"/>
        <v>0.82187500000000002</v>
      </c>
      <c r="I73" s="136"/>
      <c r="J73" s="135"/>
      <c r="K73" s="129"/>
      <c r="L73" s="131"/>
    </row>
    <row r="74" spans="1:12" x14ac:dyDescent="0.25">
      <c r="A74" s="124"/>
      <c r="B74" s="125"/>
      <c r="C74" s="132" t="s">
        <v>162</v>
      </c>
      <c r="D74" s="133">
        <v>1</v>
      </c>
      <c r="E74" s="134">
        <v>2.52</v>
      </c>
      <c r="F74" s="134">
        <v>0.25</v>
      </c>
      <c r="G74" s="134">
        <v>0.5</v>
      </c>
      <c r="H74" s="135">
        <f t="shared" si="1"/>
        <v>0.315</v>
      </c>
      <c r="I74" s="136"/>
      <c r="J74" s="135"/>
      <c r="K74" s="129"/>
      <c r="L74" s="131"/>
    </row>
    <row r="75" spans="1:12" x14ac:dyDescent="0.25">
      <c r="A75" s="124"/>
      <c r="B75" s="125"/>
      <c r="C75" s="132" t="s">
        <v>163</v>
      </c>
      <c r="D75" s="133">
        <v>2</v>
      </c>
      <c r="E75" s="134">
        <v>8.85</v>
      </c>
      <c r="F75" s="134">
        <v>0.25</v>
      </c>
      <c r="G75" s="134">
        <v>0.5</v>
      </c>
      <c r="H75" s="135">
        <f t="shared" si="1"/>
        <v>2.2124999999999999</v>
      </c>
      <c r="I75" s="136"/>
      <c r="J75" s="135"/>
      <c r="K75" s="129"/>
      <c r="L75" s="131"/>
    </row>
    <row r="76" spans="1:12" x14ac:dyDescent="0.25">
      <c r="A76" s="124"/>
      <c r="B76" s="125"/>
      <c r="C76" s="132" t="s">
        <v>164</v>
      </c>
      <c r="D76" s="133">
        <v>1</v>
      </c>
      <c r="E76" s="134">
        <v>8.85</v>
      </c>
      <c r="F76" s="134">
        <v>0.25</v>
      </c>
      <c r="G76" s="134">
        <v>0.5</v>
      </c>
      <c r="H76" s="135">
        <f t="shared" si="1"/>
        <v>1.10625</v>
      </c>
      <c r="I76" s="136"/>
      <c r="J76" s="135"/>
      <c r="K76" s="129"/>
      <c r="L76" s="131"/>
    </row>
    <row r="77" spans="1:12" x14ac:dyDescent="0.25">
      <c r="A77" s="124"/>
      <c r="B77" s="125"/>
      <c r="C77" s="132" t="s">
        <v>165</v>
      </c>
      <c r="D77" s="133">
        <v>1</v>
      </c>
      <c r="E77" s="134">
        <v>5.2750000000000004</v>
      </c>
      <c r="F77" s="134">
        <v>0.25</v>
      </c>
      <c r="G77" s="134">
        <v>0.5</v>
      </c>
      <c r="H77" s="135">
        <f t="shared" si="1"/>
        <v>0.65937500000000004</v>
      </c>
      <c r="I77" s="136"/>
      <c r="J77" s="135"/>
      <c r="K77" s="129"/>
      <c r="L77" s="131"/>
    </row>
    <row r="78" spans="1:12" x14ac:dyDescent="0.25">
      <c r="A78" s="124"/>
      <c r="B78" s="125"/>
      <c r="C78" s="132" t="s">
        <v>166</v>
      </c>
      <c r="D78" s="133">
        <v>1</v>
      </c>
      <c r="E78" s="134">
        <v>3.5750000000000002</v>
      </c>
      <c r="F78" s="134">
        <v>0.25</v>
      </c>
      <c r="G78" s="134">
        <v>0.5</v>
      </c>
      <c r="H78" s="135">
        <f t="shared" si="1"/>
        <v>0.44687500000000002</v>
      </c>
      <c r="I78" s="136"/>
      <c r="J78" s="135"/>
      <c r="K78" s="129"/>
      <c r="L78" s="131"/>
    </row>
    <row r="79" spans="1:12" x14ac:dyDescent="0.25">
      <c r="A79" s="124"/>
      <c r="B79" s="125"/>
      <c r="C79" s="132" t="s">
        <v>167</v>
      </c>
      <c r="D79" s="133">
        <v>2</v>
      </c>
      <c r="E79" s="134">
        <v>2.2519999999999998</v>
      </c>
      <c r="F79" s="134">
        <v>0.25</v>
      </c>
      <c r="G79" s="134">
        <v>0.5</v>
      </c>
      <c r="H79" s="135">
        <f t="shared" si="1"/>
        <v>0.56299999999999994</v>
      </c>
      <c r="I79" s="136"/>
      <c r="J79" s="135"/>
      <c r="K79" s="129"/>
      <c r="L79" s="131"/>
    </row>
    <row r="80" spans="1:12" x14ac:dyDescent="0.25">
      <c r="A80" s="124"/>
      <c r="B80" s="125"/>
      <c r="C80" s="132" t="s">
        <v>168</v>
      </c>
      <c r="D80" s="133">
        <v>1</v>
      </c>
      <c r="E80" s="134">
        <v>6.5750000000000002</v>
      </c>
      <c r="F80" s="134">
        <v>0.25</v>
      </c>
      <c r="G80" s="134">
        <v>0.5</v>
      </c>
      <c r="H80" s="135">
        <f t="shared" si="1"/>
        <v>0.82187500000000002</v>
      </c>
      <c r="I80" s="136"/>
      <c r="J80" s="135"/>
      <c r="K80" s="129"/>
      <c r="L80" s="131"/>
    </row>
    <row r="81" spans="1:12" x14ac:dyDescent="0.25">
      <c r="A81" s="124"/>
      <c r="B81" s="125"/>
      <c r="C81" s="132" t="s">
        <v>169</v>
      </c>
      <c r="D81" s="133">
        <v>1</v>
      </c>
      <c r="E81" s="134">
        <v>5.85</v>
      </c>
      <c r="F81" s="134">
        <v>0.25</v>
      </c>
      <c r="G81" s="134">
        <v>0.5</v>
      </c>
      <c r="H81" s="135">
        <f t="shared" si="1"/>
        <v>0.73124999999999996</v>
      </c>
      <c r="I81" s="136"/>
      <c r="J81" s="135"/>
      <c r="K81" s="129"/>
      <c r="L81" s="131"/>
    </row>
    <row r="82" spans="1:12" x14ac:dyDescent="0.25">
      <c r="A82" s="124"/>
      <c r="B82" s="125"/>
      <c r="C82" s="132" t="s">
        <v>170</v>
      </c>
      <c r="D82" s="133">
        <v>1</v>
      </c>
      <c r="E82" s="134">
        <v>9.35</v>
      </c>
      <c r="F82" s="134">
        <v>0.25</v>
      </c>
      <c r="G82" s="134">
        <v>0.5</v>
      </c>
      <c r="H82" s="135">
        <f t="shared" si="1"/>
        <v>1.16875</v>
      </c>
      <c r="I82" s="136"/>
      <c r="J82" s="135"/>
      <c r="K82" s="129"/>
      <c r="L82" s="131"/>
    </row>
    <row r="83" spans="1:12" x14ac:dyDescent="0.25">
      <c r="A83" s="124"/>
      <c r="B83" s="125"/>
      <c r="C83" s="132" t="s">
        <v>171</v>
      </c>
      <c r="D83" s="133">
        <v>1</v>
      </c>
      <c r="E83" s="134">
        <v>9.1750000000000007</v>
      </c>
      <c r="F83" s="134">
        <v>0.25</v>
      </c>
      <c r="G83" s="134">
        <v>0.5</v>
      </c>
      <c r="H83" s="135">
        <f t="shared" si="1"/>
        <v>1.1468750000000001</v>
      </c>
      <c r="I83" s="136"/>
      <c r="J83" s="135"/>
      <c r="K83" s="129"/>
      <c r="L83" s="131"/>
    </row>
    <row r="84" spans="1:12" x14ac:dyDescent="0.25">
      <c r="A84" s="124"/>
      <c r="B84" s="125"/>
      <c r="C84" s="132" t="s">
        <v>172</v>
      </c>
      <c r="D84" s="133">
        <v>1</v>
      </c>
      <c r="E84" s="134">
        <v>8.85</v>
      </c>
      <c r="F84" s="134">
        <v>0.25</v>
      </c>
      <c r="G84" s="134">
        <v>0.5</v>
      </c>
      <c r="H84" s="135">
        <f t="shared" si="1"/>
        <v>1.10625</v>
      </c>
      <c r="I84" s="136"/>
      <c r="J84" s="135"/>
      <c r="K84" s="129"/>
      <c r="L84" s="131"/>
    </row>
    <row r="85" spans="1:12" x14ac:dyDescent="0.25">
      <c r="A85" s="124"/>
      <c r="B85" s="125"/>
      <c r="C85" s="132" t="s">
        <v>173</v>
      </c>
      <c r="D85" s="133">
        <v>1</v>
      </c>
      <c r="E85" s="134">
        <v>4.0999999999999996</v>
      </c>
      <c r="F85" s="134">
        <v>0.25</v>
      </c>
      <c r="G85" s="134">
        <v>0.5</v>
      </c>
      <c r="H85" s="135">
        <f t="shared" si="1"/>
        <v>0.51249999999999996</v>
      </c>
      <c r="I85" s="136"/>
      <c r="J85" s="135"/>
      <c r="K85" s="129"/>
      <c r="L85" s="131"/>
    </row>
    <row r="86" spans="1:12" x14ac:dyDescent="0.25">
      <c r="A86" s="124"/>
      <c r="B86" s="125"/>
      <c r="C86" s="132" t="s">
        <v>174</v>
      </c>
      <c r="D86" s="133">
        <v>1</v>
      </c>
      <c r="E86" s="134">
        <v>7.2</v>
      </c>
      <c r="F86" s="134">
        <v>0.25</v>
      </c>
      <c r="G86" s="134">
        <v>0.5</v>
      </c>
      <c r="H86" s="135">
        <f t="shared" si="1"/>
        <v>0.9</v>
      </c>
      <c r="I86" s="136"/>
      <c r="J86" s="135"/>
      <c r="K86" s="129"/>
      <c r="L86" s="131"/>
    </row>
    <row r="87" spans="1:12" x14ac:dyDescent="0.25">
      <c r="A87" s="124"/>
      <c r="B87" s="125"/>
      <c r="C87" s="132" t="s">
        <v>175</v>
      </c>
      <c r="D87" s="133">
        <v>1</v>
      </c>
      <c r="E87" s="134">
        <v>7.2</v>
      </c>
      <c r="F87" s="134">
        <v>0.25</v>
      </c>
      <c r="G87" s="134">
        <v>0.5</v>
      </c>
      <c r="H87" s="135">
        <f t="shared" si="1"/>
        <v>0.9</v>
      </c>
      <c r="I87" s="136"/>
      <c r="J87" s="135"/>
      <c r="K87" s="129"/>
      <c r="L87" s="131"/>
    </row>
    <row r="88" spans="1:12" x14ac:dyDescent="0.25">
      <c r="A88" s="124"/>
      <c r="B88" s="125"/>
      <c r="C88" s="132" t="s">
        <v>176</v>
      </c>
      <c r="D88" s="133">
        <v>1</v>
      </c>
      <c r="E88" s="134">
        <v>4.0999999999999996</v>
      </c>
      <c r="F88" s="134">
        <v>0.25</v>
      </c>
      <c r="G88" s="134">
        <v>0.5</v>
      </c>
      <c r="H88" s="135">
        <f t="shared" si="1"/>
        <v>0.51249999999999996</v>
      </c>
      <c r="I88" s="136"/>
      <c r="J88" s="135"/>
      <c r="K88" s="129"/>
      <c r="L88" s="131"/>
    </row>
    <row r="89" spans="1:12" x14ac:dyDescent="0.25">
      <c r="A89" s="124"/>
      <c r="B89" s="125"/>
      <c r="C89" s="132" t="s">
        <v>177</v>
      </c>
      <c r="D89" s="133">
        <v>1</v>
      </c>
      <c r="E89" s="134">
        <v>9.1750000000000007</v>
      </c>
      <c r="F89" s="134">
        <v>0.25</v>
      </c>
      <c r="G89" s="134">
        <v>0.5</v>
      </c>
      <c r="H89" s="135">
        <f t="shared" si="1"/>
        <v>1.1468750000000001</v>
      </c>
      <c r="I89" s="136"/>
      <c r="J89" s="135"/>
      <c r="K89" s="129"/>
      <c r="L89" s="131"/>
    </row>
    <row r="90" spans="1:12" x14ac:dyDescent="0.25">
      <c r="A90" s="124"/>
      <c r="B90" s="125"/>
      <c r="C90" s="132" t="s">
        <v>178</v>
      </c>
      <c r="D90" s="133">
        <v>1</v>
      </c>
      <c r="E90" s="134">
        <v>19.350000000000001</v>
      </c>
      <c r="F90" s="134">
        <v>0.25</v>
      </c>
      <c r="G90" s="134">
        <v>0.5</v>
      </c>
      <c r="H90" s="135">
        <f t="shared" si="1"/>
        <v>2.4187500000000002</v>
      </c>
      <c r="I90" s="136"/>
      <c r="J90" s="135"/>
      <c r="K90" s="129"/>
      <c r="L90" s="131"/>
    </row>
    <row r="91" spans="1:12" x14ac:dyDescent="0.25">
      <c r="A91" s="124"/>
      <c r="B91" s="125"/>
      <c r="C91" s="132" t="s">
        <v>179</v>
      </c>
      <c r="D91" s="133">
        <v>1</v>
      </c>
      <c r="E91" s="134">
        <v>5.58</v>
      </c>
      <c r="F91" s="134">
        <v>0.25</v>
      </c>
      <c r="G91" s="134">
        <v>0.5</v>
      </c>
      <c r="H91" s="135">
        <f t="shared" si="1"/>
        <v>0.69750000000000001</v>
      </c>
      <c r="I91" s="136"/>
      <c r="J91" s="135"/>
      <c r="K91" s="129"/>
      <c r="L91" s="131"/>
    </row>
    <row r="92" spans="1:12" x14ac:dyDescent="0.25">
      <c r="A92" s="124"/>
      <c r="B92" s="125"/>
      <c r="C92" s="132" t="s">
        <v>180</v>
      </c>
      <c r="D92" s="133">
        <v>1</v>
      </c>
      <c r="E92" s="134">
        <v>6.5750000000000002</v>
      </c>
      <c r="F92" s="134">
        <v>0.25</v>
      </c>
      <c r="G92" s="134">
        <v>0.5</v>
      </c>
      <c r="H92" s="135">
        <f t="shared" si="1"/>
        <v>0.82187500000000002</v>
      </c>
      <c r="I92" s="136"/>
      <c r="J92" s="135"/>
      <c r="K92" s="129"/>
      <c r="L92" s="131"/>
    </row>
    <row r="93" spans="1:12" x14ac:dyDescent="0.25">
      <c r="A93" s="124"/>
      <c r="B93" s="125"/>
      <c r="C93" s="132" t="s">
        <v>181</v>
      </c>
      <c r="D93" s="133">
        <v>1</v>
      </c>
      <c r="E93" s="134">
        <v>2.5249999999999999</v>
      </c>
      <c r="F93" s="134">
        <v>0.25</v>
      </c>
      <c r="G93" s="134">
        <v>0.5</v>
      </c>
      <c r="H93" s="135">
        <f t="shared" si="1"/>
        <v>0.31562499999999999</v>
      </c>
      <c r="I93" s="136"/>
      <c r="J93" s="135"/>
      <c r="K93" s="129"/>
      <c r="L93" s="131"/>
    </row>
    <row r="94" spans="1:12" x14ac:dyDescent="0.25">
      <c r="A94" s="124"/>
      <c r="B94" s="125"/>
      <c r="C94" s="132" t="s">
        <v>182</v>
      </c>
      <c r="D94" s="133">
        <v>1</v>
      </c>
      <c r="E94" s="134">
        <v>3.5750000000000002</v>
      </c>
      <c r="F94" s="134">
        <v>0.25</v>
      </c>
      <c r="G94" s="134">
        <v>0.5</v>
      </c>
      <c r="H94" s="135">
        <f t="shared" si="1"/>
        <v>0.44687500000000002</v>
      </c>
      <c r="I94" s="136"/>
      <c r="J94" s="135"/>
      <c r="K94" s="129"/>
      <c r="L94" s="131"/>
    </row>
    <row r="95" spans="1:12" x14ac:dyDescent="0.25">
      <c r="A95" s="124"/>
      <c r="B95" s="125"/>
      <c r="C95" s="132" t="s">
        <v>183</v>
      </c>
      <c r="D95" s="133">
        <v>1</v>
      </c>
      <c r="E95" s="134">
        <v>5.2750000000000004</v>
      </c>
      <c r="F95" s="134">
        <v>0.25</v>
      </c>
      <c r="G95" s="134">
        <v>0.5</v>
      </c>
      <c r="H95" s="135">
        <f t="shared" si="1"/>
        <v>0.65937500000000004</v>
      </c>
      <c r="I95" s="136"/>
      <c r="J95" s="135"/>
      <c r="K95" s="129"/>
      <c r="L95" s="131"/>
    </row>
    <row r="96" spans="1:12" x14ac:dyDescent="0.25">
      <c r="A96" s="124"/>
      <c r="B96" s="125"/>
      <c r="C96" s="132" t="s">
        <v>184</v>
      </c>
      <c r="D96" s="133">
        <v>1</v>
      </c>
      <c r="E96" s="134">
        <v>8.85</v>
      </c>
      <c r="F96" s="134">
        <v>0.25</v>
      </c>
      <c r="G96" s="134">
        <v>0.5</v>
      </c>
      <c r="H96" s="135">
        <f t="shared" si="1"/>
        <v>1.10625</v>
      </c>
      <c r="I96" s="136"/>
      <c r="J96" s="135"/>
      <c r="K96" s="129"/>
      <c r="L96" s="131"/>
    </row>
    <row r="97" spans="1:17" x14ac:dyDescent="0.25">
      <c r="A97" s="124"/>
      <c r="B97" s="125"/>
      <c r="C97" s="132" t="s">
        <v>185</v>
      </c>
      <c r="D97" s="180">
        <v>4</v>
      </c>
      <c r="E97" s="134">
        <f>1.6*4</f>
        <v>6.4</v>
      </c>
      <c r="F97" s="134">
        <v>0.125</v>
      </c>
      <c r="G97" s="134">
        <v>0.4</v>
      </c>
      <c r="H97" s="135">
        <f t="shared" si="1"/>
        <v>1.2800000000000002</v>
      </c>
      <c r="I97" s="136"/>
      <c r="J97" s="135"/>
      <c r="K97" s="129"/>
      <c r="L97" s="131"/>
    </row>
    <row r="98" spans="1:17" x14ac:dyDescent="0.25">
      <c r="A98" s="124"/>
      <c r="B98" s="125"/>
      <c r="C98" s="132"/>
      <c r="D98" s="133"/>
      <c r="E98" s="134"/>
      <c r="F98" s="134"/>
      <c r="G98" s="134"/>
      <c r="H98" s="135"/>
      <c r="I98" s="136"/>
      <c r="J98" s="135"/>
      <c r="K98" s="129"/>
      <c r="L98" s="131"/>
    </row>
    <row r="99" spans="1:17" x14ac:dyDescent="0.25">
      <c r="A99" s="124"/>
      <c r="B99" s="125"/>
      <c r="C99" s="181" t="s">
        <v>186</v>
      </c>
      <c r="D99" s="133"/>
      <c r="E99" s="134">
        <f>SUM(E56*D56+E57*D57+E58*D58+D59*E59+D60*E60+D61*E61+D62*E62+D63*E63+D64*E64+D65*E65+D66*E66+D67*E67+D68*E68+D69*E69+D70*E70+D71*E71+D72*E72+D73*E73+D74*E74+D75*E75+D76*E76+D77*E77+D78*E78+D79*E79+D80*E80+D81*E81+D82*E82+D83*E83+D84*E84+D85*E85+D86*E86+D87*E87+D88*E88+D89*E89+D90*E90+D91*E91+D92*E92+D93*E93+D94*E94+D95*E95+D96*E96)</f>
        <v>319.81899999999985</v>
      </c>
      <c r="F99" s="134"/>
      <c r="G99" s="134"/>
      <c r="H99" s="135"/>
      <c r="I99" s="136"/>
      <c r="J99" s="135"/>
      <c r="K99" s="129"/>
      <c r="L99" s="131"/>
    </row>
    <row r="100" spans="1:17" x14ac:dyDescent="0.25">
      <c r="A100" s="124"/>
      <c r="B100" s="125"/>
      <c r="C100" s="181" t="s">
        <v>187</v>
      </c>
      <c r="D100" s="133"/>
      <c r="E100" s="134">
        <f>D97*E97</f>
        <v>25.6</v>
      </c>
      <c r="F100" s="134"/>
      <c r="G100" s="134"/>
      <c r="H100" s="135"/>
      <c r="I100" s="136"/>
      <c r="J100" s="135"/>
      <c r="K100" s="129"/>
      <c r="L100" s="131"/>
    </row>
    <row r="101" spans="1:17" x14ac:dyDescent="0.25">
      <c r="A101" s="124"/>
      <c r="B101" s="125"/>
      <c r="C101" s="132" t="s">
        <v>188</v>
      </c>
      <c r="D101" s="133"/>
      <c r="E101" s="134"/>
      <c r="F101" s="134"/>
      <c r="G101" s="134"/>
      <c r="H101" s="135"/>
      <c r="I101" s="136"/>
      <c r="J101" s="135"/>
      <c r="K101" s="129"/>
      <c r="L101" s="131"/>
    </row>
    <row r="102" spans="1:17" x14ac:dyDescent="0.25">
      <c r="A102" s="124"/>
      <c r="B102" s="125"/>
      <c r="C102" s="132" t="s">
        <v>189</v>
      </c>
      <c r="D102" s="133"/>
      <c r="E102" s="134">
        <f>E132</f>
        <v>44.274999999999999</v>
      </c>
      <c r="F102" s="134">
        <v>0.25</v>
      </c>
      <c r="G102" s="134">
        <v>7.4999999999999997E-2</v>
      </c>
      <c r="H102" s="135">
        <f>SUM(G102*F102*E102)</f>
        <v>0.83015624999999993</v>
      </c>
      <c r="I102" s="136"/>
      <c r="J102" s="135"/>
      <c r="K102" s="129"/>
      <c r="L102" s="131"/>
    </row>
    <row r="103" spans="1:17" x14ac:dyDescent="0.25">
      <c r="A103" s="124"/>
      <c r="B103" s="125"/>
      <c r="C103" s="132"/>
      <c r="D103" s="133"/>
      <c r="E103" s="134"/>
      <c r="F103" s="134"/>
      <c r="G103" s="134"/>
      <c r="H103" s="135"/>
      <c r="I103" s="136"/>
      <c r="J103" s="135"/>
      <c r="K103" s="129"/>
      <c r="L103" s="131"/>
    </row>
    <row r="104" spans="1:17" x14ac:dyDescent="0.25">
      <c r="A104" s="139"/>
      <c r="B104" s="140"/>
      <c r="C104" s="141" t="s">
        <v>117</v>
      </c>
      <c r="D104" s="142"/>
      <c r="E104" s="143"/>
      <c r="F104" s="143"/>
      <c r="G104" s="143"/>
      <c r="H104" s="144">
        <v>426</v>
      </c>
      <c r="I104" s="141" t="s">
        <v>118</v>
      </c>
      <c r="J104" s="145">
        <v>9045.75</v>
      </c>
      <c r="K104" s="129">
        <f>J104*100/118</f>
        <v>7665.8898305084749</v>
      </c>
      <c r="L104" s="131">
        <f>K104*H104</f>
        <v>3265669.0677966103</v>
      </c>
    </row>
    <row r="105" spans="1:17" ht="38.25" x14ac:dyDescent="0.25">
      <c r="A105" s="116">
        <v>7</v>
      </c>
      <c r="B105" s="117">
        <v>5.22</v>
      </c>
      <c r="C105" s="182" t="s">
        <v>190</v>
      </c>
      <c r="D105" s="119"/>
      <c r="E105" s="120"/>
      <c r="F105" s="120"/>
      <c r="G105" s="120"/>
      <c r="H105" s="121"/>
      <c r="I105" s="122"/>
      <c r="J105" s="121"/>
      <c r="K105" s="129"/>
      <c r="L105" s="131"/>
    </row>
    <row r="106" spans="1:17" x14ac:dyDescent="0.25">
      <c r="A106" s="124"/>
      <c r="B106" s="125"/>
      <c r="C106" s="183" t="s">
        <v>191</v>
      </c>
      <c r="D106" s="133"/>
      <c r="E106" s="134">
        <f>H104</f>
        <v>426</v>
      </c>
      <c r="F106" s="134"/>
      <c r="G106" s="134"/>
      <c r="H106" s="135"/>
      <c r="I106" s="136"/>
      <c r="J106" s="135"/>
      <c r="K106" s="129"/>
      <c r="L106" s="131"/>
    </row>
    <row r="107" spans="1:17" x14ac:dyDescent="0.25">
      <c r="A107" s="124"/>
      <c r="B107" s="125"/>
      <c r="C107" s="183" t="s">
        <v>192</v>
      </c>
      <c r="D107" s="133">
        <v>120</v>
      </c>
      <c r="E107" s="134"/>
      <c r="F107" s="137" t="s">
        <v>91</v>
      </c>
      <c r="G107" s="134"/>
      <c r="H107" s="135">
        <f>SUM(E106*D107)</f>
        <v>51120</v>
      </c>
      <c r="I107" s="136"/>
      <c r="J107" s="135"/>
      <c r="K107" s="129"/>
      <c r="L107" s="131"/>
    </row>
    <row r="108" spans="1:17" x14ac:dyDescent="0.25">
      <c r="A108" s="139"/>
      <c r="B108" s="140" t="s">
        <v>193</v>
      </c>
      <c r="C108" s="184" t="s">
        <v>194</v>
      </c>
      <c r="D108" s="142"/>
      <c r="E108" s="143"/>
      <c r="F108" s="143"/>
      <c r="G108" s="185" t="s">
        <v>91</v>
      </c>
      <c r="H108" s="144">
        <f>SUM(H107)</f>
        <v>51120</v>
      </c>
      <c r="I108" s="141" t="s">
        <v>195</v>
      </c>
      <c r="J108" s="145">
        <v>107.85</v>
      </c>
      <c r="K108" s="129">
        <f>J108*100/118</f>
        <v>91.398305084745758</v>
      </c>
      <c r="L108" s="131">
        <f>K108*H108</f>
        <v>4672281.3559322031</v>
      </c>
    </row>
    <row r="109" spans="1:17" ht="28.5" customHeight="1" x14ac:dyDescent="0.25">
      <c r="A109" s="116">
        <v>8</v>
      </c>
      <c r="B109" s="117">
        <v>5.9</v>
      </c>
      <c r="C109" s="182" t="s">
        <v>196</v>
      </c>
      <c r="D109" s="119"/>
      <c r="E109" s="120"/>
      <c r="F109" s="120"/>
      <c r="G109" s="120"/>
      <c r="H109" s="121"/>
      <c r="I109" s="122"/>
      <c r="J109" s="121"/>
      <c r="K109" s="129"/>
      <c r="L109" s="131"/>
    </row>
    <row r="110" spans="1:17" ht="14.25" customHeight="1" x14ac:dyDescent="0.25">
      <c r="A110" s="124"/>
      <c r="B110" s="186" t="s">
        <v>197</v>
      </c>
      <c r="C110" s="187" t="s">
        <v>198</v>
      </c>
      <c r="D110" s="133"/>
      <c r="E110" s="134"/>
      <c r="F110" s="134"/>
      <c r="G110" s="134"/>
      <c r="H110" s="135"/>
      <c r="I110" s="136"/>
      <c r="J110" s="135"/>
      <c r="K110" s="129"/>
      <c r="L110" s="131"/>
    </row>
    <row r="111" spans="1:17" x14ac:dyDescent="0.25">
      <c r="A111" s="124"/>
      <c r="B111" s="188"/>
      <c r="C111" s="132" t="s">
        <v>113</v>
      </c>
      <c r="D111" s="133">
        <v>26</v>
      </c>
      <c r="E111" s="134">
        <f>2*(E43+F43)</f>
        <v>10</v>
      </c>
      <c r="F111" s="180"/>
      <c r="G111" s="134">
        <v>0.5</v>
      </c>
      <c r="H111" s="135">
        <f t="shared" ref="H111:H116" si="2">G111*E111*D111</f>
        <v>130</v>
      </c>
      <c r="I111" s="136"/>
      <c r="J111" s="135"/>
      <c r="K111" s="129"/>
      <c r="L111" s="131"/>
      <c r="M111" s="189"/>
      <c r="N111" s="114"/>
      <c r="O111" s="107"/>
      <c r="P111" s="107"/>
      <c r="Q111" s="107"/>
    </row>
    <row r="112" spans="1:17" x14ac:dyDescent="0.25">
      <c r="A112" s="124"/>
      <c r="B112" s="188"/>
      <c r="C112" s="132" t="s">
        <v>137</v>
      </c>
      <c r="D112" s="133">
        <v>26</v>
      </c>
      <c r="E112" s="134">
        <v>2.6</v>
      </c>
      <c r="F112" s="134"/>
      <c r="G112" s="134">
        <v>0.15</v>
      </c>
      <c r="H112" s="135">
        <f t="shared" si="2"/>
        <v>10.14</v>
      </c>
      <c r="I112" s="136"/>
      <c r="J112" s="135"/>
      <c r="K112" s="129"/>
      <c r="L112" s="131"/>
      <c r="M112" s="189"/>
      <c r="N112" s="114"/>
      <c r="O112" s="107"/>
      <c r="P112" s="107"/>
      <c r="Q112" s="107"/>
    </row>
    <row r="113" spans="1:18" x14ac:dyDescent="0.25">
      <c r="A113" s="124"/>
      <c r="B113" s="188"/>
      <c r="C113" s="132" t="s">
        <v>114</v>
      </c>
      <c r="D113" s="133">
        <v>20</v>
      </c>
      <c r="E113" s="134">
        <f>2*(E45+F45)</f>
        <v>11.4</v>
      </c>
      <c r="F113" s="180"/>
      <c r="G113" s="134">
        <v>0.5</v>
      </c>
      <c r="H113" s="135">
        <f t="shared" si="2"/>
        <v>114</v>
      </c>
      <c r="I113" s="136"/>
      <c r="J113" s="135"/>
      <c r="K113" s="129"/>
      <c r="L113" s="131"/>
      <c r="M113" s="189"/>
      <c r="N113" s="114"/>
      <c r="O113" s="107"/>
      <c r="P113" s="107"/>
      <c r="Q113" s="107"/>
    </row>
    <row r="114" spans="1:18" x14ac:dyDescent="0.25">
      <c r="A114" s="124"/>
      <c r="B114" s="188"/>
      <c r="C114" s="132" t="s">
        <v>137</v>
      </c>
      <c r="D114" s="133">
        <v>20</v>
      </c>
      <c r="E114" s="134">
        <v>2.6</v>
      </c>
      <c r="F114" s="180"/>
      <c r="G114" s="134">
        <v>0.15</v>
      </c>
      <c r="H114" s="135">
        <f t="shared" si="2"/>
        <v>7.8000000000000007</v>
      </c>
      <c r="I114" s="136"/>
      <c r="J114" s="135"/>
      <c r="K114" s="129"/>
      <c r="L114" s="131"/>
      <c r="M114" s="189"/>
      <c r="N114" s="114"/>
      <c r="O114" s="107"/>
      <c r="P114" s="107"/>
      <c r="Q114" s="107"/>
    </row>
    <row r="115" spans="1:18" x14ac:dyDescent="0.25">
      <c r="A115" s="124"/>
      <c r="B115" s="188"/>
      <c r="C115" s="132" t="s">
        <v>115</v>
      </c>
      <c r="D115" s="133">
        <v>22</v>
      </c>
      <c r="E115" s="134">
        <f>2*(E47+F47)</f>
        <v>13.600000000000001</v>
      </c>
      <c r="F115" s="180"/>
      <c r="G115" s="134">
        <v>0.5</v>
      </c>
      <c r="H115" s="135">
        <f t="shared" si="2"/>
        <v>149.60000000000002</v>
      </c>
      <c r="I115" s="136"/>
      <c r="J115" s="135"/>
      <c r="K115" s="129"/>
      <c r="L115" s="131"/>
      <c r="M115" s="189"/>
      <c r="N115" s="114"/>
      <c r="O115" s="107"/>
      <c r="P115" s="107"/>
      <c r="Q115" s="107"/>
    </row>
    <row r="116" spans="1:18" x14ac:dyDescent="0.25">
      <c r="A116" s="124"/>
      <c r="B116" s="188"/>
      <c r="C116" s="132" t="s">
        <v>137</v>
      </c>
      <c r="D116" s="133">
        <v>22</v>
      </c>
      <c r="E116" s="134">
        <v>2.6</v>
      </c>
      <c r="F116" s="180"/>
      <c r="G116" s="134">
        <v>0.15</v>
      </c>
      <c r="H116" s="135">
        <f t="shared" si="2"/>
        <v>8.58</v>
      </c>
      <c r="I116" s="136"/>
      <c r="J116" s="135"/>
      <c r="K116" s="129"/>
      <c r="L116" s="131"/>
      <c r="M116" s="189"/>
      <c r="N116" s="114"/>
      <c r="O116" s="107"/>
      <c r="P116" s="107"/>
      <c r="Q116" s="107"/>
    </row>
    <row r="117" spans="1:18" x14ac:dyDescent="0.25">
      <c r="A117" s="124"/>
      <c r="B117" s="186"/>
      <c r="C117" s="136" t="s">
        <v>117</v>
      </c>
      <c r="D117" s="133"/>
      <c r="E117" s="134"/>
      <c r="F117" s="180"/>
      <c r="G117" s="134"/>
      <c r="H117" s="190">
        <v>418</v>
      </c>
      <c r="I117" s="136" t="s">
        <v>128</v>
      </c>
      <c r="J117" s="135">
        <v>392.15</v>
      </c>
      <c r="K117" s="129">
        <f>J117*100/118</f>
        <v>332.33050847457628</v>
      </c>
      <c r="L117" s="131">
        <f>K117*H117</f>
        <v>138914.15254237287</v>
      </c>
    </row>
    <row r="118" spans="1:18" x14ac:dyDescent="0.25">
      <c r="A118" s="124"/>
      <c r="B118" s="186" t="s">
        <v>199</v>
      </c>
      <c r="C118" s="191" t="s">
        <v>200</v>
      </c>
      <c r="D118" s="133"/>
      <c r="E118" s="134"/>
      <c r="F118" s="134"/>
      <c r="G118" s="134"/>
      <c r="H118" s="135"/>
      <c r="I118" s="136"/>
      <c r="J118" s="135"/>
      <c r="K118" s="129"/>
      <c r="L118" s="131"/>
    </row>
    <row r="119" spans="1:18" x14ac:dyDescent="0.25">
      <c r="A119" s="124"/>
      <c r="B119" s="186"/>
      <c r="C119" s="132" t="s">
        <v>201</v>
      </c>
      <c r="D119" s="133">
        <v>1</v>
      </c>
      <c r="E119" s="134">
        <f>E99</f>
        <v>319.81899999999985</v>
      </c>
      <c r="F119" s="134"/>
      <c r="G119" s="134">
        <f>0.5 * 2</f>
        <v>1</v>
      </c>
      <c r="H119" s="135">
        <f>G119*E119*D119</f>
        <v>319.81899999999985</v>
      </c>
      <c r="I119" s="136"/>
      <c r="J119" s="135"/>
      <c r="K119" s="129"/>
      <c r="L119" s="131"/>
      <c r="M119" s="189"/>
      <c r="N119" s="114"/>
      <c r="O119" s="107"/>
      <c r="P119" s="107"/>
      <c r="Q119" s="107"/>
      <c r="R119" s="108"/>
    </row>
    <row r="120" spans="1:18" x14ac:dyDescent="0.25">
      <c r="A120" s="124"/>
      <c r="B120" s="186"/>
      <c r="C120" s="132" t="s">
        <v>201</v>
      </c>
      <c r="D120" s="133">
        <v>1</v>
      </c>
      <c r="E120" s="134">
        <f>E102</f>
        <v>44.274999999999999</v>
      </c>
      <c r="F120" s="134"/>
      <c r="G120" s="134">
        <f>0.5 * 2</f>
        <v>1</v>
      </c>
      <c r="H120" s="135">
        <f>G120*E120*D120</f>
        <v>44.274999999999999</v>
      </c>
      <c r="I120" s="136"/>
      <c r="J120" s="135"/>
      <c r="K120" s="129"/>
      <c r="L120" s="131"/>
      <c r="M120" s="189"/>
      <c r="N120" s="114"/>
      <c r="O120" s="107"/>
      <c r="P120" s="107"/>
      <c r="Q120" s="107"/>
      <c r="R120" s="108"/>
    </row>
    <row r="121" spans="1:18" x14ac:dyDescent="0.25">
      <c r="A121" s="124"/>
      <c r="B121" s="186"/>
      <c r="C121" s="132" t="s">
        <v>202</v>
      </c>
      <c r="D121" s="180">
        <v>1</v>
      </c>
      <c r="E121" s="134">
        <f>E100</f>
        <v>25.6</v>
      </c>
      <c r="F121" s="134"/>
      <c r="G121" s="134">
        <f>0.4*2</f>
        <v>0.8</v>
      </c>
      <c r="H121" s="135">
        <f>G121*E121*D121</f>
        <v>20.480000000000004</v>
      </c>
      <c r="I121" s="136"/>
      <c r="J121" s="135"/>
      <c r="K121" s="129"/>
      <c r="L121" s="131"/>
      <c r="M121" s="189"/>
      <c r="O121" s="107"/>
      <c r="P121" s="107"/>
      <c r="Q121" s="107"/>
      <c r="R121" s="108"/>
    </row>
    <row r="122" spans="1:18" x14ac:dyDescent="0.25">
      <c r="A122" s="124"/>
      <c r="B122" s="186"/>
      <c r="C122" s="136" t="s">
        <v>117</v>
      </c>
      <c r="D122" s="133"/>
      <c r="E122" s="134"/>
      <c r="F122" s="134"/>
      <c r="G122" s="134"/>
      <c r="H122" s="190">
        <v>384</v>
      </c>
      <c r="I122" s="136" t="s">
        <v>128</v>
      </c>
      <c r="J122" s="135">
        <v>736.4</v>
      </c>
      <c r="K122" s="129">
        <f>J122*100/118</f>
        <v>624.06779661016947</v>
      </c>
      <c r="L122" s="131">
        <f>K122*H122</f>
        <v>239642.03389830509</v>
      </c>
    </row>
    <row r="123" spans="1:18" x14ac:dyDescent="0.25">
      <c r="A123" s="124"/>
      <c r="B123" s="186" t="s">
        <v>203</v>
      </c>
      <c r="C123" s="191" t="s">
        <v>204</v>
      </c>
      <c r="D123" s="133"/>
      <c r="E123" s="134"/>
      <c r="F123" s="134"/>
      <c r="G123" s="134"/>
      <c r="H123" s="135"/>
      <c r="I123" s="136"/>
      <c r="J123" s="135"/>
      <c r="K123" s="129"/>
      <c r="L123" s="131"/>
    </row>
    <row r="124" spans="1:18" x14ac:dyDescent="0.25">
      <c r="A124" s="124"/>
      <c r="B124" s="186"/>
      <c r="C124" s="132" t="s">
        <v>139</v>
      </c>
      <c r="D124" s="133">
        <v>56</v>
      </c>
      <c r="E124" s="134">
        <f>2*(E50+F50)</f>
        <v>1.7999999999999998</v>
      </c>
      <c r="F124" s="134"/>
      <c r="G124" s="134">
        <f>G50</f>
        <v>0.99999999999999989</v>
      </c>
      <c r="H124" s="135">
        <f>G124*E124*D124</f>
        <v>100.79999999999998</v>
      </c>
      <c r="I124" s="136"/>
      <c r="J124" s="135"/>
      <c r="K124" s="129"/>
      <c r="L124" s="131"/>
    </row>
    <row r="125" spans="1:18" x14ac:dyDescent="0.25">
      <c r="A125" s="124"/>
      <c r="B125" s="186"/>
      <c r="C125" s="132" t="s">
        <v>140</v>
      </c>
      <c r="D125" s="133">
        <v>12</v>
      </c>
      <c r="E125" s="134">
        <f>2*(E51+F51)</f>
        <v>1.6</v>
      </c>
      <c r="F125" s="134"/>
      <c r="G125" s="134">
        <f>G51</f>
        <v>0.99999999999999989</v>
      </c>
      <c r="H125" s="135">
        <f>G125*E125*D125</f>
        <v>19.2</v>
      </c>
      <c r="I125" s="136"/>
      <c r="J125" s="135"/>
      <c r="K125" s="129"/>
      <c r="L125" s="131"/>
    </row>
    <row r="126" spans="1:18" x14ac:dyDescent="0.25">
      <c r="A126" s="124"/>
      <c r="B126" s="186"/>
      <c r="C126" s="132" t="s">
        <v>141</v>
      </c>
      <c r="D126" s="133">
        <v>1</v>
      </c>
      <c r="E126" s="134">
        <f xml:space="preserve"> E52*2</f>
        <v>16.299999999999997</v>
      </c>
      <c r="F126" s="134"/>
      <c r="G126" s="134">
        <f>G52</f>
        <v>1.2999999999999998</v>
      </c>
      <c r="H126" s="135">
        <f>G126*E126*D126</f>
        <v>21.189999999999994</v>
      </c>
      <c r="I126" s="136"/>
      <c r="J126" s="135"/>
      <c r="K126" s="129"/>
      <c r="L126" s="131"/>
    </row>
    <row r="127" spans="1:18" x14ac:dyDescent="0.25">
      <c r="A127" s="124"/>
      <c r="B127" s="186"/>
      <c r="C127" s="136" t="s">
        <v>117</v>
      </c>
      <c r="D127" s="133"/>
      <c r="E127" s="134"/>
      <c r="F127" s="134"/>
      <c r="G127" s="134"/>
      <c r="H127" s="190">
        <v>140</v>
      </c>
      <c r="I127" s="136" t="s">
        <v>128</v>
      </c>
      <c r="J127" s="135">
        <v>961.3</v>
      </c>
      <c r="K127" s="129">
        <f>J127*100/118</f>
        <v>814.66101694915255</v>
      </c>
      <c r="L127" s="131">
        <f>K127*H127</f>
        <v>114052.54237288136</v>
      </c>
    </row>
    <row r="128" spans="1:18" x14ac:dyDescent="0.25">
      <c r="A128" s="124"/>
      <c r="B128" s="186" t="s">
        <v>205</v>
      </c>
      <c r="C128" s="132" t="s">
        <v>206</v>
      </c>
      <c r="D128" s="133"/>
      <c r="E128" s="134"/>
      <c r="F128" s="134"/>
      <c r="G128" s="134"/>
      <c r="H128" s="190"/>
      <c r="I128" s="136"/>
      <c r="J128" s="135"/>
      <c r="K128" s="129"/>
      <c r="L128" s="131"/>
    </row>
    <row r="129" spans="1:12" x14ac:dyDescent="0.25">
      <c r="A129" s="124"/>
      <c r="B129" s="186"/>
      <c r="C129" s="132" t="s">
        <v>189</v>
      </c>
      <c r="D129" s="133"/>
      <c r="E129" s="134">
        <f>E132</f>
        <v>44.274999999999999</v>
      </c>
      <c r="F129" s="134"/>
      <c r="G129" s="134">
        <v>0.15</v>
      </c>
      <c r="H129" s="190">
        <f>SUM(G129*E129)</f>
        <v>6.6412499999999994</v>
      </c>
      <c r="I129" s="136"/>
      <c r="J129" s="135"/>
      <c r="K129" s="129"/>
      <c r="L129" s="131"/>
    </row>
    <row r="130" spans="1:12" x14ac:dyDescent="0.25">
      <c r="A130" s="139"/>
      <c r="B130" s="186"/>
      <c r="C130" s="136" t="s">
        <v>207</v>
      </c>
      <c r="D130" s="133"/>
      <c r="E130" s="134"/>
      <c r="F130" s="134"/>
      <c r="G130" s="134"/>
      <c r="H130" s="190">
        <v>6</v>
      </c>
      <c r="I130" s="136" t="s">
        <v>208</v>
      </c>
      <c r="J130" s="135">
        <v>392.15</v>
      </c>
      <c r="K130" s="129">
        <f>J130*100/118</f>
        <v>332.33050847457628</v>
      </c>
      <c r="L130" s="131">
        <f>K130*H130</f>
        <v>1993.9830508474577</v>
      </c>
    </row>
    <row r="131" spans="1:12" ht="25.5" x14ac:dyDescent="0.25">
      <c r="A131" s="116">
        <v>9</v>
      </c>
      <c r="B131" s="117">
        <v>6.1</v>
      </c>
      <c r="C131" s="192" t="s">
        <v>209</v>
      </c>
      <c r="D131" s="119"/>
      <c r="E131" s="120"/>
      <c r="F131" s="120"/>
      <c r="G131" s="193"/>
      <c r="H131" s="174"/>
      <c r="I131" s="122"/>
      <c r="J131" s="121"/>
      <c r="K131" s="129"/>
      <c r="L131" s="131"/>
    </row>
    <row r="132" spans="1:12" x14ac:dyDescent="0.25">
      <c r="A132" s="124"/>
      <c r="B132" s="186" t="s">
        <v>210</v>
      </c>
      <c r="C132" s="183" t="s">
        <v>211</v>
      </c>
      <c r="D132" s="133"/>
      <c r="E132" s="134">
        <f xml:space="preserve"> 3.15+4.65+2.625*2+1.95*4+5.1+4.05+1.875+1.375+0.5+2.95+1.625+3.4+2.55</f>
        <v>44.274999999999999</v>
      </c>
      <c r="F132" s="134">
        <v>0.25</v>
      </c>
      <c r="G132" s="135">
        <v>7.4999999999999997E-2</v>
      </c>
      <c r="H132" s="190">
        <f>SUM(E132*F132*G132)</f>
        <v>0.83015624999999993</v>
      </c>
      <c r="I132" s="136" t="s">
        <v>91</v>
      </c>
      <c r="J132" s="135" t="s">
        <v>91</v>
      </c>
      <c r="K132" s="129"/>
      <c r="L132" s="131"/>
    </row>
    <row r="133" spans="1:12" x14ac:dyDescent="0.25">
      <c r="A133" s="139"/>
      <c r="B133" s="140"/>
      <c r="C133" s="141" t="s">
        <v>117</v>
      </c>
      <c r="D133" s="142"/>
      <c r="E133" s="143"/>
      <c r="F133" s="143"/>
      <c r="G133" s="185"/>
      <c r="H133" s="144">
        <f>SUM(H132:H132)</f>
        <v>0.83015624999999993</v>
      </c>
      <c r="I133" s="141" t="s">
        <v>212</v>
      </c>
      <c r="J133" s="145">
        <v>7132.25</v>
      </c>
      <c r="K133" s="129">
        <f>J133*100/118</f>
        <v>6044.2796610169489</v>
      </c>
      <c r="L133" s="131">
        <f>K133*H133</f>
        <v>5017.6965373411012</v>
      </c>
    </row>
    <row r="134" spans="1:12" ht="18" customHeight="1" x14ac:dyDescent="0.25">
      <c r="A134" s="139"/>
      <c r="B134" s="140"/>
      <c r="C134" s="194" t="s">
        <v>213</v>
      </c>
      <c r="D134" s="195"/>
      <c r="E134" s="196"/>
      <c r="F134" s="196"/>
      <c r="G134" s="196"/>
      <c r="H134" s="197"/>
      <c r="I134" s="198"/>
      <c r="J134" s="197" t="s">
        <v>91</v>
      </c>
      <c r="K134" s="197"/>
      <c r="L134" s="199">
        <f>SUM(L7:L133)</f>
        <v>9759831.5016220864</v>
      </c>
    </row>
    <row r="135" spans="1:12" ht="12.75" customHeight="1" x14ac:dyDescent="0.25">
      <c r="C135" s="109"/>
      <c r="H135" s="200"/>
    </row>
  </sheetData>
  <sheetProtection algorithmName="SHA-512" hashValue="+NXJWHO0FD3CSfte90Qq8bJXfAwRWxFyeaDYuXQyxdaHOklxSIstbJx8JFKboTnVXooemF8alIBXWBu/aYskWw==" saltValue="034C3QBGxjrbmVDyixjyxQ==" spinCount="100000" sheet="1" objects="1" scenarios="1" selectLockedCells="1" selectUnlockedCells="1"/>
  <mergeCells count="1">
    <mergeCell ref="A3:L3"/>
  </mergeCells>
  <pageMargins left="0.5" right="0.5" top="1" bottom="0.5" header="0.3" footer="0.3"/>
  <pageSetup scale="70" orientation="portrait"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1ABE9-31CD-4DB9-AF4A-87428598855D}">
  <sheetPr>
    <tabColor indexed="38"/>
  </sheetPr>
  <dimension ref="A2:S281"/>
  <sheetViews>
    <sheetView topLeftCell="A267" zoomScaleNormal="100" workbookViewId="0">
      <selection activeCell="C12" sqref="C12"/>
    </sheetView>
  </sheetViews>
  <sheetFormatPr defaultRowHeight="12.75" x14ac:dyDescent="0.2"/>
  <cols>
    <col min="1" max="1" width="5.140625" style="201" customWidth="1"/>
    <col min="2" max="2" width="8.140625" style="90" customWidth="1"/>
    <col min="3" max="3" width="59.7109375" style="90" customWidth="1"/>
    <col min="4" max="4" width="5.140625" style="90" customWidth="1"/>
    <col min="5" max="5" width="6.5703125" style="90" customWidth="1"/>
    <col min="6" max="6" width="6.7109375" style="90" customWidth="1"/>
    <col min="7" max="7" width="7.5703125" style="90" customWidth="1"/>
    <col min="8" max="8" width="9.28515625" style="90" customWidth="1"/>
    <col min="9" max="9" width="6.140625" style="90" customWidth="1"/>
    <col min="10" max="11" width="10.42578125" style="202" customWidth="1"/>
    <col min="12" max="12" width="13.140625" style="203" customWidth="1"/>
    <col min="13" max="256" width="9.140625" style="90"/>
    <col min="257" max="257" width="5.140625" style="90" customWidth="1"/>
    <col min="258" max="258" width="8.140625" style="90" customWidth="1"/>
    <col min="259" max="259" width="59.7109375" style="90" customWidth="1"/>
    <col min="260" max="260" width="5.140625" style="90" customWidth="1"/>
    <col min="261" max="261" width="6.5703125" style="90" customWidth="1"/>
    <col min="262" max="262" width="6.7109375" style="90" customWidth="1"/>
    <col min="263" max="263" width="7.5703125" style="90" customWidth="1"/>
    <col min="264" max="264" width="9.28515625" style="90" customWidth="1"/>
    <col min="265" max="265" width="6.140625" style="90" customWidth="1"/>
    <col min="266" max="267" width="10.42578125" style="90" customWidth="1"/>
    <col min="268" max="268" width="13.140625" style="90" customWidth="1"/>
    <col min="269" max="512" width="9.140625" style="90"/>
    <col min="513" max="513" width="5.140625" style="90" customWidth="1"/>
    <col min="514" max="514" width="8.140625" style="90" customWidth="1"/>
    <col min="515" max="515" width="59.7109375" style="90" customWidth="1"/>
    <col min="516" max="516" width="5.140625" style="90" customWidth="1"/>
    <col min="517" max="517" width="6.5703125" style="90" customWidth="1"/>
    <col min="518" max="518" width="6.7109375" style="90" customWidth="1"/>
    <col min="519" max="519" width="7.5703125" style="90" customWidth="1"/>
    <col min="520" max="520" width="9.28515625" style="90" customWidth="1"/>
    <col min="521" max="521" width="6.140625" style="90" customWidth="1"/>
    <col min="522" max="523" width="10.42578125" style="90" customWidth="1"/>
    <col min="524" max="524" width="13.140625" style="90" customWidth="1"/>
    <col min="525" max="768" width="9.140625" style="90"/>
    <col min="769" max="769" width="5.140625" style="90" customWidth="1"/>
    <col min="770" max="770" width="8.140625" style="90" customWidth="1"/>
    <col min="771" max="771" width="59.7109375" style="90" customWidth="1"/>
    <col min="772" max="772" width="5.140625" style="90" customWidth="1"/>
    <col min="773" max="773" width="6.5703125" style="90" customWidth="1"/>
    <col min="774" max="774" width="6.7109375" style="90" customWidth="1"/>
    <col min="775" max="775" width="7.5703125" style="90" customWidth="1"/>
    <col min="776" max="776" width="9.28515625" style="90" customWidth="1"/>
    <col min="777" max="777" width="6.140625" style="90" customWidth="1"/>
    <col min="778" max="779" width="10.42578125" style="90" customWidth="1"/>
    <col min="780" max="780" width="13.140625" style="90" customWidth="1"/>
    <col min="781" max="1024" width="9.140625" style="90"/>
    <col min="1025" max="1025" width="5.140625" style="90" customWidth="1"/>
    <col min="1026" max="1026" width="8.140625" style="90" customWidth="1"/>
    <col min="1027" max="1027" width="59.7109375" style="90" customWidth="1"/>
    <col min="1028" max="1028" width="5.140625" style="90" customWidth="1"/>
    <col min="1029" max="1029" width="6.5703125" style="90" customWidth="1"/>
    <col min="1030" max="1030" width="6.7109375" style="90" customWidth="1"/>
    <col min="1031" max="1031" width="7.5703125" style="90" customWidth="1"/>
    <col min="1032" max="1032" width="9.28515625" style="90" customWidth="1"/>
    <col min="1033" max="1033" width="6.140625" style="90" customWidth="1"/>
    <col min="1034" max="1035" width="10.42578125" style="90" customWidth="1"/>
    <col min="1036" max="1036" width="13.140625" style="90" customWidth="1"/>
    <col min="1037" max="1280" width="9.140625" style="90"/>
    <col min="1281" max="1281" width="5.140625" style="90" customWidth="1"/>
    <col min="1282" max="1282" width="8.140625" style="90" customWidth="1"/>
    <col min="1283" max="1283" width="59.7109375" style="90" customWidth="1"/>
    <col min="1284" max="1284" width="5.140625" style="90" customWidth="1"/>
    <col min="1285" max="1285" width="6.5703125" style="90" customWidth="1"/>
    <col min="1286" max="1286" width="6.7109375" style="90" customWidth="1"/>
    <col min="1287" max="1287" width="7.5703125" style="90" customWidth="1"/>
    <col min="1288" max="1288" width="9.28515625" style="90" customWidth="1"/>
    <col min="1289" max="1289" width="6.140625" style="90" customWidth="1"/>
    <col min="1290" max="1291" width="10.42578125" style="90" customWidth="1"/>
    <col min="1292" max="1292" width="13.140625" style="90" customWidth="1"/>
    <col min="1293" max="1536" width="9.140625" style="90"/>
    <col min="1537" max="1537" width="5.140625" style="90" customWidth="1"/>
    <col min="1538" max="1538" width="8.140625" style="90" customWidth="1"/>
    <col min="1539" max="1539" width="59.7109375" style="90" customWidth="1"/>
    <col min="1540" max="1540" width="5.140625" style="90" customWidth="1"/>
    <col min="1541" max="1541" width="6.5703125" style="90" customWidth="1"/>
    <col min="1542" max="1542" width="6.7109375" style="90" customWidth="1"/>
    <col min="1543" max="1543" width="7.5703125" style="90" customWidth="1"/>
    <col min="1544" max="1544" width="9.28515625" style="90" customWidth="1"/>
    <col min="1545" max="1545" width="6.140625" style="90" customWidth="1"/>
    <col min="1546" max="1547" width="10.42578125" style="90" customWidth="1"/>
    <col min="1548" max="1548" width="13.140625" style="90" customWidth="1"/>
    <col min="1549" max="1792" width="9.140625" style="90"/>
    <col min="1793" max="1793" width="5.140625" style="90" customWidth="1"/>
    <col min="1794" max="1794" width="8.140625" style="90" customWidth="1"/>
    <col min="1795" max="1795" width="59.7109375" style="90" customWidth="1"/>
    <col min="1796" max="1796" width="5.140625" style="90" customWidth="1"/>
    <col min="1797" max="1797" width="6.5703125" style="90" customWidth="1"/>
    <col min="1798" max="1798" width="6.7109375" style="90" customWidth="1"/>
    <col min="1799" max="1799" width="7.5703125" style="90" customWidth="1"/>
    <col min="1800" max="1800" width="9.28515625" style="90" customWidth="1"/>
    <col min="1801" max="1801" width="6.140625" style="90" customWidth="1"/>
    <col min="1802" max="1803" width="10.42578125" style="90" customWidth="1"/>
    <col min="1804" max="1804" width="13.140625" style="90" customWidth="1"/>
    <col min="1805" max="2048" width="9.140625" style="90"/>
    <col min="2049" max="2049" width="5.140625" style="90" customWidth="1"/>
    <col min="2050" max="2050" width="8.140625" style="90" customWidth="1"/>
    <col min="2051" max="2051" width="59.7109375" style="90" customWidth="1"/>
    <col min="2052" max="2052" width="5.140625" style="90" customWidth="1"/>
    <col min="2053" max="2053" width="6.5703125" style="90" customWidth="1"/>
    <col min="2054" max="2054" width="6.7109375" style="90" customWidth="1"/>
    <col min="2055" max="2055" width="7.5703125" style="90" customWidth="1"/>
    <col min="2056" max="2056" width="9.28515625" style="90" customWidth="1"/>
    <col min="2057" max="2057" width="6.140625" style="90" customWidth="1"/>
    <col min="2058" max="2059" width="10.42578125" style="90" customWidth="1"/>
    <col min="2060" max="2060" width="13.140625" style="90" customWidth="1"/>
    <col min="2061" max="2304" width="9.140625" style="90"/>
    <col min="2305" max="2305" width="5.140625" style="90" customWidth="1"/>
    <col min="2306" max="2306" width="8.140625" style="90" customWidth="1"/>
    <col min="2307" max="2307" width="59.7109375" style="90" customWidth="1"/>
    <col min="2308" max="2308" width="5.140625" style="90" customWidth="1"/>
    <col min="2309" max="2309" width="6.5703125" style="90" customWidth="1"/>
    <col min="2310" max="2310" width="6.7109375" style="90" customWidth="1"/>
    <col min="2311" max="2311" width="7.5703125" style="90" customWidth="1"/>
    <col min="2312" max="2312" width="9.28515625" style="90" customWidth="1"/>
    <col min="2313" max="2313" width="6.140625" style="90" customWidth="1"/>
    <col min="2314" max="2315" width="10.42578125" style="90" customWidth="1"/>
    <col min="2316" max="2316" width="13.140625" style="90" customWidth="1"/>
    <col min="2317" max="2560" width="9.140625" style="90"/>
    <col min="2561" max="2561" width="5.140625" style="90" customWidth="1"/>
    <col min="2562" max="2562" width="8.140625" style="90" customWidth="1"/>
    <col min="2563" max="2563" width="59.7109375" style="90" customWidth="1"/>
    <col min="2564" max="2564" width="5.140625" style="90" customWidth="1"/>
    <col min="2565" max="2565" width="6.5703125" style="90" customWidth="1"/>
    <col min="2566" max="2566" width="6.7109375" style="90" customWidth="1"/>
    <col min="2567" max="2567" width="7.5703125" style="90" customWidth="1"/>
    <col min="2568" max="2568" width="9.28515625" style="90" customWidth="1"/>
    <col min="2569" max="2569" width="6.140625" style="90" customWidth="1"/>
    <col min="2570" max="2571" width="10.42578125" style="90" customWidth="1"/>
    <col min="2572" max="2572" width="13.140625" style="90" customWidth="1"/>
    <col min="2573" max="2816" width="9.140625" style="90"/>
    <col min="2817" max="2817" width="5.140625" style="90" customWidth="1"/>
    <col min="2818" max="2818" width="8.140625" style="90" customWidth="1"/>
    <col min="2819" max="2819" width="59.7109375" style="90" customWidth="1"/>
    <col min="2820" max="2820" width="5.140625" style="90" customWidth="1"/>
    <col min="2821" max="2821" width="6.5703125" style="90" customWidth="1"/>
    <col min="2822" max="2822" width="6.7109375" style="90" customWidth="1"/>
    <col min="2823" max="2823" width="7.5703125" style="90" customWidth="1"/>
    <col min="2824" max="2824" width="9.28515625" style="90" customWidth="1"/>
    <col min="2825" max="2825" width="6.140625" style="90" customWidth="1"/>
    <col min="2826" max="2827" width="10.42578125" style="90" customWidth="1"/>
    <col min="2828" max="2828" width="13.140625" style="90" customWidth="1"/>
    <col min="2829" max="3072" width="9.140625" style="90"/>
    <col min="3073" max="3073" width="5.140625" style="90" customWidth="1"/>
    <col min="3074" max="3074" width="8.140625" style="90" customWidth="1"/>
    <col min="3075" max="3075" width="59.7109375" style="90" customWidth="1"/>
    <col min="3076" max="3076" width="5.140625" style="90" customWidth="1"/>
    <col min="3077" max="3077" width="6.5703125" style="90" customWidth="1"/>
    <col min="3078" max="3078" width="6.7109375" style="90" customWidth="1"/>
    <col min="3079" max="3079" width="7.5703125" style="90" customWidth="1"/>
    <col min="3080" max="3080" width="9.28515625" style="90" customWidth="1"/>
    <col min="3081" max="3081" width="6.140625" style="90" customWidth="1"/>
    <col min="3082" max="3083" width="10.42578125" style="90" customWidth="1"/>
    <col min="3084" max="3084" width="13.140625" style="90" customWidth="1"/>
    <col min="3085" max="3328" width="9.140625" style="90"/>
    <col min="3329" max="3329" width="5.140625" style="90" customWidth="1"/>
    <col min="3330" max="3330" width="8.140625" style="90" customWidth="1"/>
    <col min="3331" max="3331" width="59.7109375" style="90" customWidth="1"/>
    <col min="3332" max="3332" width="5.140625" style="90" customWidth="1"/>
    <col min="3333" max="3333" width="6.5703125" style="90" customWidth="1"/>
    <col min="3334" max="3334" width="6.7109375" style="90" customWidth="1"/>
    <col min="3335" max="3335" width="7.5703125" style="90" customWidth="1"/>
    <col min="3336" max="3336" width="9.28515625" style="90" customWidth="1"/>
    <col min="3337" max="3337" width="6.140625" style="90" customWidth="1"/>
    <col min="3338" max="3339" width="10.42578125" style="90" customWidth="1"/>
    <col min="3340" max="3340" width="13.140625" style="90" customWidth="1"/>
    <col min="3341" max="3584" width="9.140625" style="90"/>
    <col min="3585" max="3585" width="5.140625" style="90" customWidth="1"/>
    <col min="3586" max="3586" width="8.140625" style="90" customWidth="1"/>
    <col min="3587" max="3587" width="59.7109375" style="90" customWidth="1"/>
    <col min="3588" max="3588" width="5.140625" style="90" customWidth="1"/>
    <col min="3589" max="3589" width="6.5703125" style="90" customWidth="1"/>
    <col min="3590" max="3590" width="6.7109375" style="90" customWidth="1"/>
    <col min="3591" max="3591" width="7.5703125" style="90" customWidth="1"/>
    <col min="3592" max="3592" width="9.28515625" style="90" customWidth="1"/>
    <col min="3593" max="3593" width="6.140625" style="90" customWidth="1"/>
    <col min="3594" max="3595" width="10.42578125" style="90" customWidth="1"/>
    <col min="3596" max="3596" width="13.140625" style="90" customWidth="1"/>
    <col min="3597" max="3840" width="9.140625" style="90"/>
    <col min="3841" max="3841" width="5.140625" style="90" customWidth="1"/>
    <col min="3842" max="3842" width="8.140625" style="90" customWidth="1"/>
    <col min="3843" max="3843" width="59.7109375" style="90" customWidth="1"/>
    <col min="3844" max="3844" width="5.140625" style="90" customWidth="1"/>
    <col min="3845" max="3845" width="6.5703125" style="90" customWidth="1"/>
    <col min="3846" max="3846" width="6.7109375" style="90" customWidth="1"/>
    <col min="3847" max="3847" width="7.5703125" style="90" customWidth="1"/>
    <col min="3848" max="3848" width="9.28515625" style="90" customWidth="1"/>
    <col min="3849" max="3849" width="6.140625" style="90" customWidth="1"/>
    <col min="3850" max="3851" width="10.42578125" style="90" customWidth="1"/>
    <col min="3852" max="3852" width="13.140625" style="90" customWidth="1"/>
    <col min="3853" max="4096" width="9.140625" style="90"/>
    <col min="4097" max="4097" width="5.140625" style="90" customWidth="1"/>
    <col min="4098" max="4098" width="8.140625" style="90" customWidth="1"/>
    <col min="4099" max="4099" width="59.7109375" style="90" customWidth="1"/>
    <col min="4100" max="4100" width="5.140625" style="90" customWidth="1"/>
    <col min="4101" max="4101" width="6.5703125" style="90" customWidth="1"/>
    <col min="4102" max="4102" width="6.7109375" style="90" customWidth="1"/>
    <col min="4103" max="4103" width="7.5703125" style="90" customWidth="1"/>
    <col min="4104" max="4104" width="9.28515625" style="90" customWidth="1"/>
    <col min="4105" max="4105" width="6.140625" style="90" customWidth="1"/>
    <col min="4106" max="4107" width="10.42578125" style="90" customWidth="1"/>
    <col min="4108" max="4108" width="13.140625" style="90" customWidth="1"/>
    <col min="4109" max="4352" width="9.140625" style="90"/>
    <col min="4353" max="4353" width="5.140625" style="90" customWidth="1"/>
    <col min="4354" max="4354" width="8.140625" style="90" customWidth="1"/>
    <col min="4355" max="4355" width="59.7109375" style="90" customWidth="1"/>
    <col min="4356" max="4356" width="5.140625" style="90" customWidth="1"/>
    <col min="4357" max="4357" width="6.5703125" style="90" customWidth="1"/>
    <col min="4358" max="4358" width="6.7109375" style="90" customWidth="1"/>
    <col min="4359" max="4359" width="7.5703125" style="90" customWidth="1"/>
    <col min="4360" max="4360" width="9.28515625" style="90" customWidth="1"/>
    <col min="4361" max="4361" width="6.140625" style="90" customWidth="1"/>
    <col min="4362" max="4363" width="10.42578125" style="90" customWidth="1"/>
    <col min="4364" max="4364" width="13.140625" style="90" customWidth="1"/>
    <col min="4365" max="4608" width="9.140625" style="90"/>
    <col min="4609" max="4609" width="5.140625" style="90" customWidth="1"/>
    <col min="4610" max="4610" width="8.140625" style="90" customWidth="1"/>
    <col min="4611" max="4611" width="59.7109375" style="90" customWidth="1"/>
    <col min="4612" max="4612" width="5.140625" style="90" customWidth="1"/>
    <col min="4613" max="4613" width="6.5703125" style="90" customWidth="1"/>
    <col min="4614" max="4614" width="6.7109375" style="90" customWidth="1"/>
    <col min="4615" max="4615" width="7.5703125" style="90" customWidth="1"/>
    <col min="4616" max="4616" width="9.28515625" style="90" customWidth="1"/>
    <col min="4617" max="4617" width="6.140625" style="90" customWidth="1"/>
    <col min="4618" max="4619" width="10.42578125" style="90" customWidth="1"/>
    <col min="4620" max="4620" width="13.140625" style="90" customWidth="1"/>
    <col min="4621" max="4864" width="9.140625" style="90"/>
    <col min="4865" max="4865" width="5.140625" style="90" customWidth="1"/>
    <col min="4866" max="4866" width="8.140625" style="90" customWidth="1"/>
    <col min="4867" max="4867" width="59.7109375" style="90" customWidth="1"/>
    <col min="4868" max="4868" width="5.140625" style="90" customWidth="1"/>
    <col min="4869" max="4869" width="6.5703125" style="90" customWidth="1"/>
    <col min="4870" max="4870" width="6.7109375" style="90" customWidth="1"/>
    <col min="4871" max="4871" width="7.5703125" style="90" customWidth="1"/>
    <col min="4872" max="4872" width="9.28515625" style="90" customWidth="1"/>
    <col min="4873" max="4873" width="6.140625" style="90" customWidth="1"/>
    <col min="4874" max="4875" width="10.42578125" style="90" customWidth="1"/>
    <col min="4876" max="4876" width="13.140625" style="90" customWidth="1"/>
    <col min="4877" max="5120" width="9.140625" style="90"/>
    <col min="5121" max="5121" width="5.140625" style="90" customWidth="1"/>
    <col min="5122" max="5122" width="8.140625" style="90" customWidth="1"/>
    <col min="5123" max="5123" width="59.7109375" style="90" customWidth="1"/>
    <col min="5124" max="5124" width="5.140625" style="90" customWidth="1"/>
    <col min="5125" max="5125" width="6.5703125" style="90" customWidth="1"/>
    <col min="5126" max="5126" width="6.7109375" style="90" customWidth="1"/>
    <col min="5127" max="5127" width="7.5703125" style="90" customWidth="1"/>
    <col min="5128" max="5128" width="9.28515625" style="90" customWidth="1"/>
    <col min="5129" max="5129" width="6.140625" style="90" customWidth="1"/>
    <col min="5130" max="5131" width="10.42578125" style="90" customWidth="1"/>
    <col min="5132" max="5132" width="13.140625" style="90" customWidth="1"/>
    <col min="5133" max="5376" width="9.140625" style="90"/>
    <col min="5377" max="5377" width="5.140625" style="90" customWidth="1"/>
    <col min="5378" max="5378" width="8.140625" style="90" customWidth="1"/>
    <col min="5379" max="5379" width="59.7109375" style="90" customWidth="1"/>
    <col min="5380" max="5380" width="5.140625" style="90" customWidth="1"/>
    <col min="5381" max="5381" width="6.5703125" style="90" customWidth="1"/>
    <col min="5382" max="5382" width="6.7109375" style="90" customWidth="1"/>
    <col min="5383" max="5383" width="7.5703125" style="90" customWidth="1"/>
    <col min="5384" max="5384" width="9.28515625" style="90" customWidth="1"/>
    <col min="5385" max="5385" width="6.140625" style="90" customWidth="1"/>
    <col min="5386" max="5387" width="10.42578125" style="90" customWidth="1"/>
    <col min="5388" max="5388" width="13.140625" style="90" customWidth="1"/>
    <col min="5389" max="5632" width="9.140625" style="90"/>
    <col min="5633" max="5633" width="5.140625" style="90" customWidth="1"/>
    <col min="5634" max="5634" width="8.140625" style="90" customWidth="1"/>
    <col min="5635" max="5635" width="59.7109375" style="90" customWidth="1"/>
    <col min="5636" max="5636" width="5.140625" style="90" customWidth="1"/>
    <col min="5637" max="5637" width="6.5703125" style="90" customWidth="1"/>
    <col min="5638" max="5638" width="6.7109375" style="90" customWidth="1"/>
    <col min="5639" max="5639" width="7.5703125" style="90" customWidth="1"/>
    <col min="5640" max="5640" width="9.28515625" style="90" customWidth="1"/>
    <col min="5641" max="5641" width="6.140625" style="90" customWidth="1"/>
    <col min="5642" max="5643" width="10.42578125" style="90" customWidth="1"/>
    <col min="5644" max="5644" width="13.140625" style="90" customWidth="1"/>
    <col min="5645" max="5888" width="9.140625" style="90"/>
    <col min="5889" max="5889" width="5.140625" style="90" customWidth="1"/>
    <col min="5890" max="5890" width="8.140625" style="90" customWidth="1"/>
    <col min="5891" max="5891" width="59.7109375" style="90" customWidth="1"/>
    <col min="5892" max="5892" width="5.140625" style="90" customWidth="1"/>
    <col min="5893" max="5893" width="6.5703125" style="90" customWidth="1"/>
    <col min="5894" max="5894" width="6.7109375" style="90" customWidth="1"/>
    <col min="5895" max="5895" width="7.5703125" style="90" customWidth="1"/>
    <col min="5896" max="5896" width="9.28515625" style="90" customWidth="1"/>
    <col min="5897" max="5897" width="6.140625" style="90" customWidth="1"/>
    <col min="5898" max="5899" width="10.42578125" style="90" customWidth="1"/>
    <col min="5900" max="5900" width="13.140625" style="90" customWidth="1"/>
    <col min="5901" max="6144" width="9.140625" style="90"/>
    <col min="6145" max="6145" width="5.140625" style="90" customWidth="1"/>
    <col min="6146" max="6146" width="8.140625" style="90" customWidth="1"/>
    <col min="6147" max="6147" width="59.7109375" style="90" customWidth="1"/>
    <col min="6148" max="6148" width="5.140625" style="90" customWidth="1"/>
    <col min="6149" max="6149" width="6.5703125" style="90" customWidth="1"/>
    <col min="6150" max="6150" width="6.7109375" style="90" customWidth="1"/>
    <col min="6151" max="6151" width="7.5703125" style="90" customWidth="1"/>
    <col min="6152" max="6152" width="9.28515625" style="90" customWidth="1"/>
    <col min="6153" max="6153" width="6.140625" style="90" customWidth="1"/>
    <col min="6154" max="6155" width="10.42578125" style="90" customWidth="1"/>
    <col min="6156" max="6156" width="13.140625" style="90" customWidth="1"/>
    <col min="6157" max="6400" width="9.140625" style="90"/>
    <col min="6401" max="6401" width="5.140625" style="90" customWidth="1"/>
    <col min="6402" max="6402" width="8.140625" style="90" customWidth="1"/>
    <col min="6403" max="6403" width="59.7109375" style="90" customWidth="1"/>
    <col min="6404" max="6404" width="5.140625" style="90" customWidth="1"/>
    <col min="6405" max="6405" width="6.5703125" style="90" customWidth="1"/>
    <col min="6406" max="6406" width="6.7109375" style="90" customWidth="1"/>
    <col min="6407" max="6407" width="7.5703125" style="90" customWidth="1"/>
    <col min="6408" max="6408" width="9.28515625" style="90" customWidth="1"/>
    <col min="6409" max="6409" width="6.140625" style="90" customWidth="1"/>
    <col min="6410" max="6411" width="10.42578125" style="90" customWidth="1"/>
    <col min="6412" max="6412" width="13.140625" style="90" customWidth="1"/>
    <col min="6413" max="6656" width="9.140625" style="90"/>
    <col min="6657" max="6657" width="5.140625" style="90" customWidth="1"/>
    <col min="6658" max="6658" width="8.140625" style="90" customWidth="1"/>
    <col min="6659" max="6659" width="59.7109375" style="90" customWidth="1"/>
    <col min="6660" max="6660" width="5.140625" style="90" customWidth="1"/>
    <col min="6661" max="6661" width="6.5703125" style="90" customWidth="1"/>
    <col min="6662" max="6662" width="6.7109375" style="90" customWidth="1"/>
    <col min="6663" max="6663" width="7.5703125" style="90" customWidth="1"/>
    <col min="6664" max="6664" width="9.28515625" style="90" customWidth="1"/>
    <col min="6665" max="6665" width="6.140625" style="90" customWidth="1"/>
    <col min="6666" max="6667" width="10.42578125" style="90" customWidth="1"/>
    <col min="6668" max="6668" width="13.140625" style="90" customWidth="1"/>
    <col min="6669" max="6912" width="9.140625" style="90"/>
    <col min="6913" max="6913" width="5.140625" style="90" customWidth="1"/>
    <col min="6914" max="6914" width="8.140625" style="90" customWidth="1"/>
    <col min="6915" max="6915" width="59.7109375" style="90" customWidth="1"/>
    <col min="6916" max="6916" width="5.140625" style="90" customWidth="1"/>
    <col min="6917" max="6917" width="6.5703125" style="90" customWidth="1"/>
    <col min="6918" max="6918" width="6.7109375" style="90" customWidth="1"/>
    <col min="6919" max="6919" width="7.5703125" style="90" customWidth="1"/>
    <col min="6920" max="6920" width="9.28515625" style="90" customWidth="1"/>
    <col min="6921" max="6921" width="6.140625" style="90" customWidth="1"/>
    <col min="6922" max="6923" width="10.42578125" style="90" customWidth="1"/>
    <col min="6924" max="6924" width="13.140625" style="90" customWidth="1"/>
    <col min="6925" max="7168" width="9.140625" style="90"/>
    <col min="7169" max="7169" width="5.140625" style="90" customWidth="1"/>
    <col min="7170" max="7170" width="8.140625" style="90" customWidth="1"/>
    <col min="7171" max="7171" width="59.7109375" style="90" customWidth="1"/>
    <col min="7172" max="7172" width="5.140625" style="90" customWidth="1"/>
    <col min="7173" max="7173" width="6.5703125" style="90" customWidth="1"/>
    <col min="7174" max="7174" width="6.7109375" style="90" customWidth="1"/>
    <col min="7175" max="7175" width="7.5703125" style="90" customWidth="1"/>
    <col min="7176" max="7176" width="9.28515625" style="90" customWidth="1"/>
    <col min="7177" max="7177" width="6.140625" style="90" customWidth="1"/>
    <col min="7178" max="7179" width="10.42578125" style="90" customWidth="1"/>
    <col min="7180" max="7180" width="13.140625" style="90" customWidth="1"/>
    <col min="7181" max="7424" width="9.140625" style="90"/>
    <col min="7425" max="7425" width="5.140625" style="90" customWidth="1"/>
    <col min="7426" max="7426" width="8.140625" style="90" customWidth="1"/>
    <col min="7427" max="7427" width="59.7109375" style="90" customWidth="1"/>
    <col min="7428" max="7428" width="5.140625" style="90" customWidth="1"/>
    <col min="7429" max="7429" width="6.5703125" style="90" customWidth="1"/>
    <col min="7430" max="7430" width="6.7109375" style="90" customWidth="1"/>
    <col min="7431" max="7431" width="7.5703125" style="90" customWidth="1"/>
    <col min="7432" max="7432" width="9.28515625" style="90" customWidth="1"/>
    <col min="7433" max="7433" width="6.140625" style="90" customWidth="1"/>
    <col min="7434" max="7435" width="10.42578125" style="90" customWidth="1"/>
    <col min="7436" max="7436" width="13.140625" style="90" customWidth="1"/>
    <col min="7437" max="7680" width="9.140625" style="90"/>
    <col min="7681" max="7681" width="5.140625" style="90" customWidth="1"/>
    <col min="7682" max="7682" width="8.140625" style="90" customWidth="1"/>
    <col min="7683" max="7683" width="59.7109375" style="90" customWidth="1"/>
    <col min="7684" max="7684" width="5.140625" style="90" customWidth="1"/>
    <col min="7685" max="7685" width="6.5703125" style="90" customWidth="1"/>
    <col min="7686" max="7686" width="6.7109375" style="90" customWidth="1"/>
    <col min="7687" max="7687" width="7.5703125" style="90" customWidth="1"/>
    <col min="7688" max="7688" width="9.28515625" style="90" customWidth="1"/>
    <col min="7689" max="7689" width="6.140625" style="90" customWidth="1"/>
    <col min="7690" max="7691" width="10.42578125" style="90" customWidth="1"/>
    <col min="7692" max="7692" width="13.140625" style="90" customWidth="1"/>
    <col min="7693" max="7936" width="9.140625" style="90"/>
    <col min="7937" max="7937" width="5.140625" style="90" customWidth="1"/>
    <col min="7938" max="7938" width="8.140625" style="90" customWidth="1"/>
    <col min="7939" max="7939" width="59.7109375" style="90" customWidth="1"/>
    <col min="7940" max="7940" width="5.140625" style="90" customWidth="1"/>
    <col min="7941" max="7941" width="6.5703125" style="90" customWidth="1"/>
    <col min="7942" max="7942" width="6.7109375" style="90" customWidth="1"/>
    <col min="7943" max="7943" width="7.5703125" style="90" customWidth="1"/>
    <col min="7944" max="7944" width="9.28515625" style="90" customWidth="1"/>
    <col min="7945" max="7945" width="6.140625" style="90" customWidth="1"/>
    <col min="7946" max="7947" width="10.42578125" style="90" customWidth="1"/>
    <col min="7948" max="7948" width="13.140625" style="90" customWidth="1"/>
    <col min="7949" max="8192" width="9.140625" style="90"/>
    <col min="8193" max="8193" width="5.140625" style="90" customWidth="1"/>
    <col min="8194" max="8194" width="8.140625" style="90" customWidth="1"/>
    <col min="8195" max="8195" width="59.7109375" style="90" customWidth="1"/>
    <col min="8196" max="8196" width="5.140625" style="90" customWidth="1"/>
    <col min="8197" max="8197" width="6.5703125" style="90" customWidth="1"/>
    <col min="8198" max="8198" width="6.7109375" style="90" customWidth="1"/>
    <col min="8199" max="8199" width="7.5703125" style="90" customWidth="1"/>
    <col min="8200" max="8200" width="9.28515625" style="90" customWidth="1"/>
    <col min="8201" max="8201" width="6.140625" style="90" customWidth="1"/>
    <col min="8202" max="8203" width="10.42578125" style="90" customWidth="1"/>
    <col min="8204" max="8204" width="13.140625" style="90" customWidth="1"/>
    <col min="8205" max="8448" width="9.140625" style="90"/>
    <col min="8449" max="8449" width="5.140625" style="90" customWidth="1"/>
    <col min="8450" max="8450" width="8.140625" style="90" customWidth="1"/>
    <col min="8451" max="8451" width="59.7109375" style="90" customWidth="1"/>
    <col min="8452" max="8452" width="5.140625" style="90" customWidth="1"/>
    <col min="8453" max="8453" width="6.5703125" style="90" customWidth="1"/>
    <col min="8454" max="8454" width="6.7109375" style="90" customWidth="1"/>
    <col min="8455" max="8455" width="7.5703125" style="90" customWidth="1"/>
    <col min="8456" max="8456" width="9.28515625" style="90" customWidth="1"/>
    <col min="8457" max="8457" width="6.140625" style="90" customWidth="1"/>
    <col min="8458" max="8459" width="10.42578125" style="90" customWidth="1"/>
    <col min="8460" max="8460" width="13.140625" style="90" customWidth="1"/>
    <col min="8461" max="8704" width="9.140625" style="90"/>
    <col min="8705" max="8705" width="5.140625" style="90" customWidth="1"/>
    <col min="8706" max="8706" width="8.140625" style="90" customWidth="1"/>
    <col min="8707" max="8707" width="59.7109375" style="90" customWidth="1"/>
    <col min="8708" max="8708" width="5.140625" style="90" customWidth="1"/>
    <col min="8709" max="8709" width="6.5703125" style="90" customWidth="1"/>
    <col min="8710" max="8710" width="6.7109375" style="90" customWidth="1"/>
    <col min="8711" max="8711" width="7.5703125" style="90" customWidth="1"/>
    <col min="8712" max="8712" width="9.28515625" style="90" customWidth="1"/>
    <col min="8713" max="8713" width="6.140625" style="90" customWidth="1"/>
    <col min="8714" max="8715" width="10.42578125" style="90" customWidth="1"/>
    <col min="8716" max="8716" width="13.140625" style="90" customWidth="1"/>
    <col min="8717" max="8960" width="9.140625" style="90"/>
    <col min="8961" max="8961" width="5.140625" style="90" customWidth="1"/>
    <col min="8962" max="8962" width="8.140625" style="90" customWidth="1"/>
    <col min="8963" max="8963" width="59.7109375" style="90" customWidth="1"/>
    <col min="8964" max="8964" width="5.140625" style="90" customWidth="1"/>
    <col min="8965" max="8965" width="6.5703125" style="90" customWidth="1"/>
    <col min="8966" max="8966" width="6.7109375" style="90" customWidth="1"/>
    <col min="8967" max="8967" width="7.5703125" style="90" customWidth="1"/>
    <col min="8968" max="8968" width="9.28515625" style="90" customWidth="1"/>
    <col min="8969" max="8969" width="6.140625" style="90" customWidth="1"/>
    <col min="8970" max="8971" width="10.42578125" style="90" customWidth="1"/>
    <col min="8972" max="8972" width="13.140625" style="90" customWidth="1"/>
    <col min="8973" max="9216" width="9.140625" style="90"/>
    <col min="9217" max="9217" width="5.140625" style="90" customWidth="1"/>
    <col min="9218" max="9218" width="8.140625" style="90" customWidth="1"/>
    <col min="9219" max="9219" width="59.7109375" style="90" customWidth="1"/>
    <col min="9220" max="9220" width="5.140625" style="90" customWidth="1"/>
    <col min="9221" max="9221" width="6.5703125" style="90" customWidth="1"/>
    <col min="9222" max="9222" width="6.7109375" style="90" customWidth="1"/>
    <col min="9223" max="9223" width="7.5703125" style="90" customWidth="1"/>
    <col min="9224" max="9224" width="9.28515625" style="90" customWidth="1"/>
    <col min="9225" max="9225" width="6.140625" style="90" customWidth="1"/>
    <col min="9226" max="9227" width="10.42578125" style="90" customWidth="1"/>
    <col min="9228" max="9228" width="13.140625" style="90" customWidth="1"/>
    <col min="9229" max="9472" width="9.140625" style="90"/>
    <col min="9473" max="9473" width="5.140625" style="90" customWidth="1"/>
    <col min="9474" max="9474" width="8.140625" style="90" customWidth="1"/>
    <col min="9475" max="9475" width="59.7109375" style="90" customWidth="1"/>
    <col min="9476" max="9476" width="5.140625" style="90" customWidth="1"/>
    <col min="9477" max="9477" width="6.5703125" style="90" customWidth="1"/>
    <col min="9478" max="9478" width="6.7109375" style="90" customWidth="1"/>
    <col min="9479" max="9479" width="7.5703125" style="90" customWidth="1"/>
    <col min="9480" max="9480" width="9.28515625" style="90" customWidth="1"/>
    <col min="9481" max="9481" width="6.140625" style="90" customWidth="1"/>
    <col min="9482" max="9483" width="10.42578125" style="90" customWidth="1"/>
    <col min="9484" max="9484" width="13.140625" style="90" customWidth="1"/>
    <col min="9485" max="9728" width="9.140625" style="90"/>
    <col min="9729" max="9729" width="5.140625" style="90" customWidth="1"/>
    <col min="9730" max="9730" width="8.140625" style="90" customWidth="1"/>
    <col min="9731" max="9731" width="59.7109375" style="90" customWidth="1"/>
    <col min="9732" max="9732" width="5.140625" style="90" customWidth="1"/>
    <col min="9733" max="9733" width="6.5703125" style="90" customWidth="1"/>
    <col min="9734" max="9734" width="6.7109375" style="90" customWidth="1"/>
    <col min="9735" max="9735" width="7.5703125" style="90" customWidth="1"/>
    <col min="9736" max="9736" width="9.28515625" style="90" customWidth="1"/>
    <col min="9737" max="9737" width="6.140625" style="90" customWidth="1"/>
    <col min="9738" max="9739" width="10.42578125" style="90" customWidth="1"/>
    <col min="9740" max="9740" width="13.140625" style="90" customWidth="1"/>
    <col min="9741" max="9984" width="9.140625" style="90"/>
    <col min="9985" max="9985" width="5.140625" style="90" customWidth="1"/>
    <col min="9986" max="9986" width="8.140625" style="90" customWidth="1"/>
    <col min="9987" max="9987" width="59.7109375" style="90" customWidth="1"/>
    <col min="9988" max="9988" width="5.140625" style="90" customWidth="1"/>
    <col min="9989" max="9989" width="6.5703125" style="90" customWidth="1"/>
    <col min="9990" max="9990" width="6.7109375" style="90" customWidth="1"/>
    <col min="9991" max="9991" width="7.5703125" style="90" customWidth="1"/>
    <col min="9992" max="9992" width="9.28515625" style="90" customWidth="1"/>
    <col min="9993" max="9993" width="6.140625" style="90" customWidth="1"/>
    <col min="9994" max="9995" width="10.42578125" style="90" customWidth="1"/>
    <col min="9996" max="9996" width="13.140625" style="90" customWidth="1"/>
    <col min="9997" max="10240" width="9.140625" style="90"/>
    <col min="10241" max="10241" width="5.140625" style="90" customWidth="1"/>
    <col min="10242" max="10242" width="8.140625" style="90" customWidth="1"/>
    <col min="10243" max="10243" width="59.7109375" style="90" customWidth="1"/>
    <col min="10244" max="10244" width="5.140625" style="90" customWidth="1"/>
    <col min="10245" max="10245" width="6.5703125" style="90" customWidth="1"/>
    <col min="10246" max="10246" width="6.7109375" style="90" customWidth="1"/>
    <col min="10247" max="10247" width="7.5703125" style="90" customWidth="1"/>
    <col min="10248" max="10248" width="9.28515625" style="90" customWidth="1"/>
    <col min="10249" max="10249" width="6.140625" style="90" customWidth="1"/>
    <col min="10250" max="10251" width="10.42578125" style="90" customWidth="1"/>
    <col min="10252" max="10252" width="13.140625" style="90" customWidth="1"/>
    <col min="10253" max="10496" width="9.140625" style="90"/>
    <col min="10497" max="10497" width="5.140625" style="90" customWidth="1"/>
    <col min="10498" max="10498" width="8.140625" style="90" customWidth="1"/>
    <col min="10499" max="10499" width="59.7109375" style="90" customWidth="1"/>
    <col min="10500" max="10500" width="5.140625" style="90" customWidth="1"/>
    <col min="10501" max="10501" width="6.5703125" style="90" customWidth="1"/>
    <col min="10502" max="10502" width="6.7109375" style="90" customWidth="1"/>
    <col min="10503" max="10503" width="7.5703125" style="90" customWidth="1"/>
    <col min="10504" max="10504" width="9.28515625" style="90" customWidth="1"/>
    <col min="10505" max="10505" width="6.140625" style="90" customWidth="1"/>
    <col min="10506" max="10507" width="10.42578125" style="90" customWidth="1"/>
    <col min="10508" max="10508" width="13.140625" style="90" customWidth="1"/>
    <col min="10509" max="10752" width="9.140625" style="90"/>
    <col min="10753" max="10753" width="5.140625" style="90" customWidth="1"/>
    <col min="10754" max="10754" width="8.140625" style="90" customWidth="1"/>
    <col min="10755" max="10755" width="59.7109375" style="90" customWidth="1"/>
    <col min="10756" max="10756" width="5.140625" style="90" customWidth="1"/>
    <col min="10757" max="10757" width="6.5703125" style="90" customWidth="1"/>
    <col min="10758" max="10758" width="6.7109375" style="90" customWidth="1"/>
    <col min="10759" max="10759" width="7.5703125" style="90" customWidth="1"/>
    <col min="10760" max="10760" width="9.28515625" style="90" customWidth="1"/>
    <col min="10761" max="10761" width="6.140625" style="90" customWidth="1"/>
    <col min="10762" max="10763" width="10.42578125" style="90" customWidth="1"/>
    <col min="10764" max="10764" width="13.140625" style="90" customWidth="1"/>
    <col min="10765" max="11008" width="9.140625" style="90"/>
    <col min="11009" max="11009" width="5.140625" style="90" customWidth="1"/>
    <col min="11010" max="11010" width="8.140625" style="90" customWidth="1"/>
    <col min="11011" max="11011" width="59.7109375" style="90" customWidth="1"/>
    <col min="11012" max="11012" width="5.140625" style="90" customWidth="1"/>
    <col min="11013" max="11013" width="6.5703125" style="90" customWidth="1"/>
    <col min="11014" max="11014" width="6.7109375" style="90" customWidth="1"/>
    <col min="11015" max="11015" width="7.5703125" style="90" customWidth="1"/>
    <col min="11016" max="11016" width="9.28515625" style="90" customWidth="1"/>
    <col min="11017" max="11017" width="6.140625" style="90" customWidth="1"/>
    <col min="11018" max="11019" width="10.42578125" style="90" customWidth="1"/>
    <col min="11020" max="11020" width="13.140625" style="90" customWidth="1"/>
    <col min="11021" max="11264" width="9.140625" style="90"/>
    <col min="11265" max="11265" width="5.140625" style="90" customWidth="1"/>
    <col min="11266" max="11266" width="8.140625" style="90" customWidth="1"/>
    <col min="11267" max="11267" width="59.7109375" style="90" customWidth="1"/>
    <col min="11268" max="11268" width="5.140625" style="90" customWidth="1"/>
    <col min="11269" max="11269" width="6.5703125" style="90" customWidth="1"/>
    <col min="11270" max="11270" width="6.7109375" style="90" customWidth="1"/>
    <col min="11271" max="11271" width="7.5703125" style="90" customWidth="1"/>
    <col min="11272" max="11272" width="9.28515625" style="90" customWidth="1"/>
    <col min="11273" max="11273" width="6.140625" style="90" customWidth="1"/>
    <col min="11274" max="11275" width="10.42578125" style="90" customWidth="1"/>
    <col min="11276" max="11276" width="13.140625" style="90" customWidth="1"/>
    <col min="11277" max="11520" width="9.140625" style="90"/>
    <col min="11521" max="11521" width="5.140625" style="90" customWidth="1"/>
    <col min="11522" max="11522" width="8.140625" style="90" customWidth="1"/>
    <col min="11523" max="11523" width="59.7109375" style="90" customWidth="1"/>
    <col min="11524" max="11524" width="5.140625" style="90" customWidth="1"/>
    <col min="11525" max="11525" width="6.5703125" style="90" customWidth="1"/>
    <col min="11526" max="11526" width="6.7109375" style="90" customWidth="1"/>
    <col min="11527" max="11527" width="7.5703125" style="90" customWidth="1"/>
    <col min="11528" max="11528" width="9.28515625" style="90" customWidth="1"/>
    <col min="11529" max="11529" width="6.140625" style="90" customWidth="1"/>
    <col min="11530" max="11531" width="10.42578125" style="90" customWidth="1"/>
    <col min="11532" max="11532" width="13.140625" style="90" customWidth="1"/>
    <col min="11533" max="11776" width="9.140625" style="90"/>
    <col min="11777" max="11777" width="5.140625" style="90" customWidth="1"/>
    <col min="11778" max="11778" width="8.140625" style="90" customWidth="1"/>
    <col min="11779" max="11779" width="59.7109375" style="90" customWidth="1"/>
    <col min="11780" max="11780" width="5.140625" style="90" customWidth="1"/>
    <col min="11781" max="11781" width="6.5703125" style="90" customWidth="1"/>
    <col min="11782" max="11782" width="6.7109375" style="90" customWidth="1"/>
    <col min="11783" max="11783" width="7.5703125" style="90" customWidth="1"/>
    <col min="11784" max="11784" width="9.28515625" style="90" customWidth="1"/>
    <col min="11785" max="11785" width="6.140625" style="90" customWidth="1"/>
    <col min="11786" max="11787" width="10.42578125" style="90" customWidth="1"/>
    <col min="11788" max="11788" width="13.140625" style="90" customWidth="1"/>
    <col min="11789" max="12032" width="9.140625" style="90"/>
    <col min="12033" max="12033" width="5.140625" style="90" customWidth="1"/>
    <col min="12034" max="12034" width="8.140625" style="90" customWidth="1"/>
    <col min="12035" max="12035" width="59.7109375" style="90" customWidth="1"/>
    <col min="12036" max="12036" width="5.140625" style="90" customWidth="1"/>
    <col min="12037" max="12037" width="6.5703125" style="90" customWidth="1"/>
    <col min="12038" max="12038" width="6.7109375" style="90" customWidth="1"/>
    <col min="12039" max="12039" width="7.5703125" style="90" customWidth="1"/>
    <col min="12040" max="12040" width="9.28515625" style="90" customWidth="1"/>
    <col min="12041" max="12041" width="6.140625" style="90" customWidth="1"/>
    <col min="12042" max="12043" width="10.42578125" style="90" customWidth="1"/>
    <col min="12044" max="12044" width="13.140625" style="90" customWidth="1"/>
    <col min="12045" max="12288" width="9.140625" style="90"/>
    <col min="12289" max="12289" width="5.140625" style="90" customWidth="1"/>
    <col min="12290" max="12290" width="8.140625" style="90" customWidth="1"/>
    <col min="12291" max="12291" width="59.7109375" style="90" customWidth="1"/>
    <col min="12292" max="12292" width="5.140625" style="90" customWidth="1"/>
    <col min="12293" max="12293" width="6.5703125" style="90" customWidth="1"/>
    <col min="12294" max="12294" width="6.7109375" style="90" customWidth="1"/>
    <col min="12295" max="12295" width="7.5703125" style="90" customWidth="1"/>
    <col min="12296" max="12296" width="9.28515625" style="90" customWidth="1"/>
    <col min="12297" max="12297" width="6.140625" style="90" customWidth="1"/>
    <col min="12298" max="12299" width="10.42578125" style="90" customWidth="1"/>
    <col min="12300" max="12300" width="13.140625" style="90" customWidth="1"/>
    <col min="12301" max="12544" width="9.140625" style="90"/>
    <col min="12545" max="12545" width="5.140625" style="90" customWidth="1"/>
    <col min="12546" max="12546" width="8.140625" style="90" customWidth="1"/>
    <col min="12547" max="12547" width="59.7109375" style="90" customWidth="1"/>
    <col min="12548" max="12548" width="5.140625" style="90" customWidth="1"/>
    <col min="12549" max="12549" width="6.5703125" style="90" customWidth="1"/>
    <col min="12550" max="12550" width="6.7109375" style="90" customWidth="1"/>
    <col min="12551" max="12551" width="7.5703125" style="90" customWidth="1"/>
    <col min="12552" max="12552" width="9.28515625" style="90" customWidth="1"/>
    <col min="12553" max="12553" width="6.140625" style="90" customWidth="1"/>
    <col min="12554" max="12555" width="10.42578125" style="90" customWidth="1"/>
    <col min="12556" max="12556" width="13.140625" style="90" customWidth="1"/>
    <col min="12557" max="12800" width="9.140625" style="90"/>
    <col min="12801" max="12801" width="5.140625" style="90" customWidth="1"/>
    <col min="12802" max="12802" width="8.140625" style="90" customWidth="1"/>
    <col min="12803" max="12803" width="59.7109375" style="90" customWidth="1"/>
    <col min="12804" max="12804" width="5.140625" style="90" customWidth="1"/>
    <col min="12805" max="12805" width="6.5703125" style="90" customWidth="1"/>
    <col min="12806" max="12806" width="6.7109375" style="90" customWidth="1"/>
    <col min="12807" max="12807" width="7.5703125" style="90" customWidth="1"/>
    <col min="12808" max="12808" width="9.28515625" style="90" customWidth="1"/>
    <col min="12809" max="12809" width="6.140625" style="90" customWidth="1"/>
    <col min="12810" max="12811" width="10.42578125" style="90" customWidth="1"/>
    <col min="12812" max="12812" width="13.140625" style="90" customWidth="1"/>
    <col min="12813" max="13056" width="9.140625" style="90"/>
    <col min="13057" max="13057" width="5.140625" style="90" customWidth="1"/>
    <col min="13058" max="13058" width="8.140625" style="90" customWidth="1"/>
    <col min="13059" max="13059" width="59.7109375" style="90" customWidth="1"/>
    <col min="13060" max="13060" width="5.140625" style="90" customWidth="1"/>
    <col min="13061" max="13061" width="6.5703125" style="90" customWidth="1"/>
    <col min="13062" max="13062" width="6.7109375" style="90" customWidth="1"/>
    <col min="13063" max="13063" width="7.5703125" style="90" customWidth="1"/>
    <col min="13064" max="13064" width="9.28515625" style="90" customWidth="1"/>
    <col min="13065" max="13065" width="6.140625" style="90" customWidth="1"/>
    <col min="13066" max="13067" width="10.42578125" style="90" customWidth="1"/>
    <col min="13068" max="13068" width="13.140625" style="90" customWidth="1"/>
    <col min="13069" max="13312" width="9.140625" style="90"/>
    <col min="13313" max="13313" width="5.140625" style="90" customWidth="1"/>
    <col min="13314" max="13314" width="8.140625" style="90" customWidth="1"/>
    <col min="13315" max="13315" width="59.7109375" style="90" customWidth="1"/>
    <col min="13316" max="13316" width="5.140625" style="90" customWidth="1"/>
    <col min="13317" max="13317" width="6.5703125" style="90" customWidth="1"/>
    <col min="13318" max="13318" width="6.7109375" style="90" customWidth="1"/>
    <col min="13319" max="13319" width="7.5703125" style="90" customWidth="1"/>
    <col min="13320" max="13320" width="9.28515625" style="90" customWidth="1"/>
    <col min="13321" max="13321" width="6.140625" style="90" customWidth="1"/>
    <col min="13322" max="13323" width="10.42578125" style="90" customWidth="1"/>
    <col min="13324" max="13324" width="13.140625" style="90" customWidth="1"/>
    <col min="13325" max="13568" width="9.140625" style="90"/>
    <col min="13569" max="13569" width="5.140625" style="90" customWidth="1"/>
    <col min="13570" max="13570" width="8.140625" style="90" customWidth="1"/>
    <col min="13571" max="13571" width="59.7109375" style="90" customWidth="1"/>
    <col min="13572" max="13572" width="5.140625" style="90" customWidth="1"/>
    <col min="13573" max="13573" width="6.5703125" style="90" customWidth="1"/>
    <col min="13574" max="13574" width="6.7109375" style="90" customWidth="1"/>
    <col min="13575" max="13575" width="7.5703125" style="90" customWidth="1"/>
    <col min="13576" max="13576" width="9.28515625" style="90" customWidth="1"/>
    <col min="13577" max="13577" width="6.140625" style="90" customWidth="1"/>
    <col min="13578" max="13579" width="10.42578125" style="90" customWidth="1"/>
    <col min="13580" max="13580" width="13.140625" style="90" customWidth="1"/>
    <col min="13581" max="13824" width="9.140625" style="90"/>
    <col min="13825" max="13825" width="5.140625" style="90" customWidth="1"/>
    <col min="13826" max="13826" width="8.140625" style="90" customWidth="1"/>
    <col min="13827" max="13827" width="59.7109375" style="90" customWidth="1"/>
    <col min="13828" max="13828" width="5.140625" style="90" customWidth="1"/>
    <col min="13829" max="13829" width="6.5703125" style="90" customWidth="1"/>
    <col min="13830" max="13830" width="6.7109375" style="90" customWidth="1"/>
    <col min="13831" max="13831" width="7.5703125" style="90" customWidth="1"/>
    <col min="13832" max="13832" width="9.28515625" style="90" customWidth="1"/>
    <col min="13833" max="13833" width="6.140625" style="90" customWidth="1"/>
    <col min="13834" max="13835" width="10.42578125" style="90" customWidth="1"/>
    <col min="13836" max="13836" width="13.140625" style="90" customWidth="1"/>
    <col min="13837" max="14080" width="9.140625" style="90"/>
    <col min="14081" max="14081" width="5.140625" style="90" customWidth="1"/>
    <col min="14082" max="14082" width="8.140625" style="90" customWidth="1"/>
    <col min="14083" max="14083" width="59.7109375" style="90" customWidth="1"/>
    <col min="14084" max="14084" width="5.140625" style="90" customWidth="1"/>
    <col min="14085" max="14085" width="6.5703125" style="90" customWidth="1"/>
    <col min="14086" max="14086" width="6.7109375" style="90" customWidth="1"/>
    <col min="14087" max="14087" width="7.5703125" style="90" customWidth="1"/>
    <col min="14088" max="14088" width="9.28515625" style="90" customWidth="1"/>
    <col min="14089" max="14089" width="6.140625" style="90" customWidth="1"/>
    <col min="14090" max="14091" width="10.42578125" style="90" customWidth="1"/>
    <col min="14092" max="14092" width="13.140625" style="90" customWidth="1"/>
    <col min="14093" max="14336" width="9.140625" style="90"/>
    <col min="14337" max="14337" width="5.140625" style="90" customWidth="1"/>
    <col min="14338" max="14338" width="8.140625" style="90" customWidth="1"/>
    <col min="14339" max="14339" width="59.7109375" style="90" customWidth="1"/>
    <col min="14340" max="14340" width="5.140625" style="90" customWidth="1"/>
    <col min="14341" max="14341" width="6.5703125" style="90" customWidth="1"/>
    <col min="14342" max="14342" width="6.7109375" style="90" customWidth="1"/>
    <col min="14343" max="14343" width="7.5703125" style="90" customWidth="1"/>
    <col min="14344" max="14344" width="9.28515625" style="90" customWidth="1"/>
    <col min="14345" max="14345" width="6.140625" style="90" customWidth="1"/>
    <col min="14346" max="14347" width="10.42578125" style="90" customWidth="1"/>
    <col min="14348" max="14348" width="13.140625" style="90" customWidth="1"/>
    <col min="14349" max="14592" width="9.140625" style="90"/>
    <col min="14593" max="14593" width="5.140625" style="90" customWidth="1"/>
    <col min="14594" max="14594" width="8.140625" style="90" customWidth="1"/>
    <col min="14595" max="14595" width="59.7109375" style="90" customWidth="1"/>
    <col min="14596" max="14596" width="5.140625" style="90" customWidth="1"/>
    <col min="14597" max="14597" width="6.5703125" style="90" customWidth="1"/>
    <col min="14598" max="14598" width="6.7109375" style="90" customWidth="1"/>
    <col min="14599" max="14599" width="7.5703125" style="90" customWidth="1"/>
    <col min="14600" max="14600" width="9.28515625" style="90" customWidth="1"/>
    <col min="14601" max="14601" width="6.140625" style="90" customWidth="1"/>
    <col min="14602" max="14603" width="10.42578125" style="90" customWidth="1"/>
    <col min="14604" max="14604" width="13.140625" style="90" customWidth="1"/>
    <col min="14605" max="14848" width="9.140625" style="90"/>
    <col min="14849" max="14849" width="5.140625" style="90" customWidth="1"/>
    <col min="14850" max="14850" width="8.140625" style="90" customWidth="1"/>
    <col min="14851" max="14851" width="59.7109375" style="90" customWidth="1"/>
    <col min="14852" max="14852" width="5.140625" style="90" customWidth="1"/>
    <col min="14853" max="14853" width="6.5703125" style="90" customWidth="1"/>
    <col min="14854" max="14854" width="6.7109375" style="90" customWidth="1"/>
    <col min="14855" max="14855" width="7.5703125" style="90" customWidth="1"/>
    <col min="14856" max="14856" width="9.28515625" style="90" customWidth="1"/>
    <col min="14857" max="14857" width="6.140625" style="90" customWidth="1"/>
    <col min="14858" max="14859" width="10.42578125" style="90" customWidth="1"/>
    <col min="14860" max="14860" width="13.140625" style="90" customWidth="1"/>
    <col min="14861" max="15104" width="9.140625" style="90"/>
    <col min="15105" max="15105" width="5.140625" style="90" customWidth="1"/>
    <col min="15106" max="15106" width="8.140625" style="90" customWidth="1"/>
    <col min="15107" max="15107" width="59.7109375" style="90" customWidth="1"/>
    <col min="15108" max="15108" width="5.140625" style="90" customWidth="1"/>
    <col min="15109" max="15109" width="6.5703125" style="90" customWidth="1"/>
    <col min="15110" max="15110" width="6.7109375" style="90" customWidth="1"/>
    <col min="15111" max="15111" width="7.5703125" style="90" customWidth="1"/>
    <col min="15112" max="15112" width="9.28515625" style="90" customWidth="1"/>
    <col min="15113" max="15113" width="6.140625" style="90" customWidth="1"/>
    <col min="15114" max="15115" width="10.42578125" style="90" customWidth="1"/>
    <col min="15116" max="15116" width="13.140625" style="90" customWidth="1"/>
    <col min="15117" max="15360" width="9.140625" style="90"/>
    <col min="15361" max="15361" width="5.140625" style="90" customWidth="1"/>
    <col min="15362" max="15362" width="8.140625" style="90" customWidth="1"/>
    <col min="15363" max="15363" width="59.7109375" style="90" customWidth="1"/>
    <col min="15364" max="15364" width="5.140625" style="90" customWidth="1"/>
    <col min="15365" max="15365" width="6.5703125" style="90" customWidth="1"/>
    <col min="15366" max="15366" width="6.7109375" style="90" customWidth="1"/>
    <col min="15367" max="15367" width="7.5703125" style="90" customWidth="1"/>
    <col min="15368" max="15368" width="9.28515625" style="90" customWidth="1"/>
    <col min="15369" max="15369" width="6.140625" style="90" customWidth="1"/>
    <col min="15370" max="15371" width="10.42578125" style="90" customWidth="1"/>
    <col min="15372" max="15372" width="13.140625" style="90" customWidth="1"/>
    <col min="15373" max="15616" width="9.140625" style="90"/>
    <col min="15617" max="15617" width="5.140625" style="90" customWidth="1"/>
    <col min="15618" max="15618" width="8.140625" style="90" customWidth="1"/>
    <col min="15619" max="15619" width="59.7109375" style="90" customWidth="1"/>
    <col min="15620" max="15620" width="5.140625" style="90" customWidth="1"/>
    <col min="15621" max="15621" width="6.5703125" style="90" customWidth="1"/>
    <col min="15622" max="15622" width="6.7109375" style="90" customWidth="1"/>
    <col min="15623" max="15623" width="7.5703125" style="90" customWidth="1"/>
    <col min="15624" max="15624" width="9.28515625" style="90" customWidth="1"/>
    <col min="15625" max="15625" width="6.140625" style="90" customWidth="1"/>
    <col min="15626" max="15627" width="10.42578125" style="90" customWidth="1"/>
    <col min="15628" max="15628" width="13.140625" style="90" customWidth="1"/>
    <col min="15629" max="15872" width="9.140625" style="90"/>
    <col min="15873" max="15873" width="5.140625" style="90" customWidth="1"/>
    <col min="15874" max="15874" width="8.140625" style="90" customWidth="1"/>
    <col min="15875" max="15875" width="59.7109375" style="90" customWidth="1"/>
    <col min="15876" max="15876" width="5.140625" style="90" customWidth="1"/>
    <col min="15877" max="15877" width="6.5703125" style="90" customWidth="1"/>
    <col min="15878" max="15878" width="6.7109375" style="90" customWidth="1"/>
    <col min="15879" max="15879" width="7.5703125" style="90" customWidth="1"/>
    <col min="15880" max="15880" width="9.28515625" style="90" customWidth="1"/>
    <col min="15881" max="15881" width="6.140625" style="90" customWidth="1"/>
    <col min="15882" max="15883" width="10.42578125" style="90" customWidth="1"/>
    <col min="15884" max="15884" width="13.140625" style="90" customWidth="1"/>
    <col min="15885" max="16128" width="9.140625" style="90"/>
    <col min="16129" max="16129" width="5.140625" style="90" customWidth="1"/>
    <col min="16130" max="16130" width="8.140625" style="90" customWidth="1"/>
    <col min="16131" max="16131" width="59.7109375" style="90" customWidth="1"/>
    <col min="16132" max="16132" width="5.140625" style="90" customWidth="1"/>
    <col min="16133" max="16133" width="6.5703125" style="90" customWidth="1"/>
    <col min="16134" max="16134" width="6.7109375" style="90" customWidth="1"/>
    <col min="16135" max="16135" width="7.5703125" style="90" customWidth="1"/>
    <col min="16136" max="16136" width="9.28515625" style="90" customWidth="1"/>
    <col min="16137" max="16137" width="6.140625" style="90" customWidth="1"/>
    <col min="16138" max="16139" width="10.42578125" style="90" customWidth="1"/>
    <col min="16140" max="16140" width="13.140625" style="90" customWidth="1"/>
    <col min="16141" max="16384" width="9.140625" style="90"/>
  </cols>
  <sheetData>
    <row r="2" spans="1:12" ht="15" x14ac:dyDescent="0.2">
      <c r="C2" s="106" t="s">
        <v>214</v>
      </c>
    </row>
    <row r="3" spans="1:12" ht="15.75" x14ac:dyDescent="0.2">
      <c r="A3" s="949" t="s">
        <v>215</v>
      </c>
      <c r="B3" s="949"/>
      <c r="C3" s="949"/>
      <c r="D3" s="949"/>
      <c r="E3" s="949"/>
      <c r="F3" s="949"/>
      <c r="G3" s="949"/>
      <c r="H3" s="949"/>
      <c r="I3" s="949"/>
    </row>
    <row r="4" spans="1:12" ht="15.75" x14ac:dyDescent="0.2">
      <c r="A4" s="204"/>
      <c r="B4" s="112"/>
      <c r="C4" s="112"/>
      <c r="D4" s="112"/>
      <c r="E4" s="112"/>
      <c r="F4" s="112"/>
      <c r="G4" s="112"/>
      <c r="H4" s="112"/>
      <c r="I4" s="112"/>
      <c r="L4" s="203" t="s">
        <v>91</v>
      </c>
    </row>
    <row r="5" spans="1:12" ht="25.5" x14ac:dyDescent="0.2">
      <c r="A5" s="104" t="s">
        <v>99</v>
      </c>
      <c r="B5" s="105" t="s">
        <v>216</v>
      </c>
      <c r="C5" s="113" t="s">
        <v>101</v>
      </c>
      <c r="D5" s="114" t="s">
        <v>102</v>
      </c>
      <c r="E5" s="107" t="s">
        <v>103</v>
      </c>
      <c r="F5" s="107" t="s">
        <v>104</v>
      </c>
      <c r="G5" s="107" t="s">
        <v>105</v>
      </c>
      <c r="H5" s="179" t="s">
        <v>106</v>
      </c>
      <c r="I5" s="109" t="s">
        <v>107</v>
      </c>
      <c r="J5" s="107" t="s">
        <v>108</v>
      </c>
      <c r="K5" s="205" t="s">
        <v>109</v>
      </c>
      <c r="L5" s="203" t="s">
        <v>95</v>
      </c>
    </row>
    <row r="6" spans="1:12" ht="42.75" customHeight="1" x14ac:dyDescent="0.2">
      <c r="A6" s="116">
        <v>1</v>
      </c>
      <c r="B6" s="206" t="s">
        <v>217</v>
      </c>
      <c r="C6" s="207" t="s">
        <v>218</v>
      </c>
      <c r="D6" s="119"/>
      <c r="E6" s="121"/>
      <c r="F6" s="121"/>
      <c r="G6" s="121"/>
      <c r="H6" s="208"/>
      <c r="I6" s="122"/>
      <c r="J6" s="209"/>
      <c r="K6" s="209"/>
      <c r="L6" s="210"/>
    </row>
    <row r="7" spans="1:12" x14ac:dyDescent="0.2">
      <c r="A7" s="124"/>
      <c r="B7" s="211"/>
      <c r="C7" s="132" t="s">
        <v>139</v>
      </c>
      <c r="D7" s="133">
        <v>56</v>
      </c>
      <c r="E7" s="134">
        <v>0.3</v>
      </c>
      <c r="F7" s="134">
        <v>0.6</v>
      </c>
      <c r="G7" s="134">
        <v>2.4</v>
      </c>
      <c r="H7" s="212">
        <f>G7*F7*E7*D7</f>
        <v>24.192</v>
      </c>
      <c r="I7" s="136"/>
      <c r="J7" s="213"/>
      <c r="K7" s="213"/>
      <c r="L7" s="214"/>
    </row>
    <row r="8" spans="1:12" x14ac:dyDescent="0.2">
      <c r="A8" s="124"/>
      <c r="B8" s="211"/>
      <c r="C8" s="132" t="s">
        <v>140</v>
      </c>
      <c r="D8" s="133">
        <v>12</v>
      </c>
      <c r="E8" s="134">
        <v>0.3</v>
      </c>
      <c r="F8" s="134">
        <v>0.5</v>
      </c>
      <c r="G8" s="134">
        <v>2.4</v>
      </c>
      <c r="H8" s="212">
        <f>G8*F8*E8*D8</f>
        <v>4.32</v>
      </c>
      <c r="I8" s="136"/>
      <c r="J8" s="213"/>
      <c r="K8" s="213"/>
      <c r="L8" s="214"/>
    </row>
    <row r="9" spans="1:12" x14ac:dyDescent="0.2">
      <c r="A9" s="139"/>
      <c r="B9" s="215"/>
      <c r="C9" s="141" t="s">
        <v>117</v>
      </c>
      <c r="D9" s="142">
        <f>SUM(D7:D8)</f>
        <v>68</v>
      </c>
      <c r="E9" s="143"/>
      <c r="F9" s="143"/>
      <c r="G9" s="143"/>
      <c r="H9" s="216">
        <v>28</v>
      </c>
      <c r="I9" s="141" t="s">
        <v>118</v>
      </c>
      <c r="J9" s="217">
        <v>10852.95</v>
      </c>
      <c r="K9" s="217">
        <f>J9*100/118</f>
        <v>9197.4152542372885</v>
      </c>
      <c r="L9" s="218">
        <f>K9*H9</f>
        <v>257527.62711864407</v>
      </c>
    </row>
    <row r="10" spans="1:12" ht="37.5" customHeight="1" x14ac:dyDescent="0.2">
      <c r="A10" s="116" t="s">
        <v>219</v>
      </c>
      <c r="B10" s="206">
        <v>5.3</v>
      </c>
      <c r="C10" s="219" t="s">
        <v>220</v>
      </c>
      <c r="D10" s="119"/>
      <c r="E10" s="121"/>
      <c r="F10" s="121"/>
      <c r="G10" s="121"/>
      <c r="H10" s="208"/>
      <c r="I10" s="122"/>
      <c r="J10" s="209"/>
      <c r="K10" s="217">
        <f t="shared" ref="K10:K73" si="0">J10*100/118</f>
        <v>0</v>
      </c>
      <c r="L10" s="218">
        <f t="shared" ref="L10:L73" si="1">K10*H10</f>
        <v>0</v>
      </c>
    </row>
    <row r="11" spans="1:12" x14ac:dyDescent="0.2">
      <c r="A11" s="124"/>
      <c r="B11" s="211"/>
      <c r="C11" s="187" t="s">
        <v>221</v>
      </c>
      <c r="D11" s="133"/>
      <c r="E11" s="135"/>
      <c r="F11" s="135"/>
      <c r="G11" s="135"/>
      <c r="H11" s="212"/>
      <c r="I11" s="136"/>
      <c r="J11" s="213"/>
      <c r="K11" s="217">
        <f t="shared" si="0"/>
        <v>0</v>
      </c>
      <c r="L11" s="218">
        <f t="shared" si="1"/>
        <v>0</v>
      </c>
    </row>
    <row r="12" spans="1:12" x14ac:dyDescent="0.2">
      <c r="A12" s="124"/>
      <c r="B12" s="211"/>
      <c r="C12" s="220" t="s">
        <v>222</v>
      </c>
      <c r="D12" s="133">
        <v>1</v>
      </c>
      <c r="E12" s="135">
        <f>0.9+0.125+0.125</f>
        <v>1.1499999999999999</v>
      </c>
      <c r="F12" s="135">
        <v>0.25</v>
      </c>
      <c r="G12" s="135">
        <v>0.15</v>
      </c>
      <c r="H12" s="134">
        <f>G12*F12*E12*D12</f>
        <v>4.3124999999999997E-2</v>
      </c>
      <c r="I12" s="136"/>
      <c r="J12" s="213"/>
      <c r="K12" s="217">
        <f t="shared" si="0"/>
        <v>0</v>
      </c>
      <c r="L12" s="218">
        <f t="shared" si="1"/>
        <v>0</v>
      </c>
    </row>
    <row r="13" spans="1:12" x14ac:dyDescent="0.2">
      <c r="A13" s="124"/>
      <c r="B13" s="211"/>
      <c r="C13" s="220" t="s">
        <v>223</v>
      </c>
      <c r="D13" s="133">
        <v>1</v>
      </c>
      <c r="E13" s="135">
        <f>0.75 + 0.125 + 0.125</f>
        <v>1</v>
      </c>
      <c r="F13" s="135">
        <v>0.125</v>
      </c>
      <c r="G13" s="135">
        <v>0.15</v>
      </c>
      <c r="H13" s="134">
        <f>G13*F13*E13*D13</f>
        <v>1.8749999999999999E-2</v>
      </c>
      <c r="I13" s="136"/>
      <c r="J13" s="213"/>
      <c r="K13" s="217">
        <f t="shared" si="0"/>
        <v>0</v>
      </c>
      <c r="L13" s="218">
        <f t="shared" si="1"/>
        <v>0</v>
      </c>
    </row>
    <row r="14" spans="1:12" x14ac:dyDescent="0.2">
      <c r="A14" s="124"/>
      <c r="B14" s="211"/>
      <c r="C14" s="187" t="s">
        <v>224</v>
      </c>
      <c r="D14" s="133"/>
      <c r="E14" s="135"/>
      <c r="F14" s="135"/>
      <c r="G14" s="135"/>
      <c r="H14" s="212"/>
      <c r="I14" s="136"/>
      <c r="J14" s="213"/>
      <c r="K14" s="217">
        <f t="shared" si="0"/>
        <v>0</v>
      </c>
      <c r="L14" s="218">
        <f t="shared" si="1"/>
        <v>0</v>
      </c>
    </row>
    <row r="15" spans="1:12" x14ac:dyDescent="0.2">
      <c r="A15" s="124"/>
      <c r="B15" s="211"/>
      <c r="C15" s="187" t="s">
        <v>225</v>
      </c>
      <c r="D15" s="133"/>
      <c r="E15" s="135"/>
      <c r="F15" s="135"/>
      <c r="G15" s="135"/>
      <c r="H15" s="212"/>
      <c r="I15" s="136"/>
      <c r="J15" s="213"/>
      <c r="K15" s="217">
        <f t="shared" si="0"/>
        <v>0</v>
      </c>
      <c r="L15" s="218">
        <f t="shared" si="1"/>
        <v>0</v>
      </c>
    </row>
    <row r="16" spans="1:12" s="111" customFormat="1" x14ac:dyDescent="0.2">
      <c r="A16" s="124"/>
      <c r="B16" s="125"/>
      <c r="C16" s="132" t="s">
        <v>144</v>
      </c>
      <c r="D16" s="133">
        <v>1</v>
      </c>
      <c r="E16" s="134">
        <f>0.475+8.85</f>
        <v>9.3249999999999993</v>
      </c>
      <c r="F16" s="134">
        <v>0.25</v>
      </c>
      <c r="G16" s="134">
        <f>0.6-0.135</f>
        <v>0.46499999999999997</v>
      </c>
      <c r="H16" s="135">
        <f t="shared" ref="H16:H58" si="2">G16*F16*E16*D16</f>
        <v>1.0840312499999998</v>
      </c>
      <c r="I16" s="136"/>
      <c r="J16" s="135"/>
      <c r="K16" s="217">
        <f t="shared" si="0"/>
        <v>0</v>
      </c>
      <c r="L16" s="218">
        <f t="shared" si="1"/>
        <v>0</v>
      </c>
    </row>
    <row r="17" spans="1:12" s="111" customFormat="1" x14ac:dyDescent="0.2">
      <c r="A17" s="124"/>
      <c r="B17" s="125"/>
      <c r="C17" s="132" t="s">
        <v>145</v>
      </c>
      <c r="D17" s="133">
        <v>1</v>
      </c>
      <c r="E17" s="134">
        <f>0.475+5.275</f>
        <v>5.75</v>
      </c>
      <c r="F17" s="134">
        <v>0.25</v>
      </c>
      <c r="G17" s="134">
        <f t="shared" ref="G17:G58" si="3">0.6-0.135</f>
        <v>0.46499999999999997</v>
      </c>
      <c r="H17" s="135">
        <f t="shared" si="2"/>
        <v>0.66843749999999991</v>
      </c>
      <c r="I17" s="136"/>
      <c r="J17" s="135"/>
      <c r="K17" s="217">
        <f t="shared" si="0"/>
        <v>0</v>
      </c>
      <c r="L17" s="218">
        <f t="shared" si="1"/>
        <v>0</v>
      </c>
    </row>
    <row r="18" spans="1:12" s="111" customFormat="1" x14ac:dyDescent="0.2">
      <c r="A18" s="124"/>
      <c r="B18" s="125"/>
      <c r="C18" s="132" t="s">
        <v>146</v>
      </c>
      <c r="D18" s="133">
        <v>1</v>
      </c>
      <c r="E18" s="134">
        <v>3.57</v>
      </c>
      <c r="F18" s="134">
        <v>0.25</v>
      </c>
      <c r="G18" s="134">
        <f t="shared" si="3"/>
        <v>0.46499999999999997</v>
      </c>
      <c r="H18" s="135">
        <f t="shared" si="2"/>
        <v>0.41501249999999995</v>
      </c>
      <c r="I18" s="136"/>
      <c r="J18" s="135"/>
      <c r="K18" s="217">
        <f t="shared" si="0"/>
        <v>0</v>
      </c>
      <c r="L18" s="218">
        <f t="shared" si="1"/>
        <v>0</v>
      </c>
    </row>
    <row r="19" spans="1:12" s="111" customFormat="1" x14ac:dyDescent="0.2">
      <c r="A19" s="124"/>
      <c r="B19" s="125"/>
      <c r="C19" s="132" t="s">
        <v>147</v>
      </c>
      <c r="D19" s="133">
        <v>1</v>
      </c>
      <c r="E19" s="134">
        <v>2.25</v>
      </c>
      <c r="F19" s="134">
        <v>0.25</v>
      </c>
      <c r="G19" s="134">
        <f t="shared" si="3"/>
        <v>0.46499999999999997</v>
      </c>
      <c r="H19" s="135">
        <f t="shared" si="2"/>
        <v>0.26156249999999998</v>
      </c>
      <c r="I19" s="136"/>
      <c r="J19" s="135"/>
      <c r="K19" s="217">
        <f t="shared" si="0"/>
        <v>0</v>
      </c>
      <c r="L19" s="218">
        <f t="shared" si="1"/>
        <v>0</v>
      </c>
    </row>
    <row r="20" spans="1:12" s="111" customFormat="1" x14ac:dyDescent="0.2">
      <c r="A20" s="124"/>
      <c r="B20" s="125"/>
      <c r="C20" s="132" t="s">
        <v>148</v>
      </c>
      <c r="D20" s="133">
        <v>2</v>
      </c>
      <c r="E20" s="134">
        <v>6.5750000000000002</v>
      </c>
      <c r="F20" s="134">
        <v>0.25</v>
      </c>
      <c r="G20" s="134">
        <f t="shared" si="3"/>
        <v>0.46499999999999997</v>
      </c>
      <c r="H20" s="135">
        <f t="shared" si="2"/>
        <v>1.5286875</v>
      </c>
      <c r="I20" s="136"/>
      <c r="J20" s="135"/>
      <c r="K20" s="217">
        <f t="shared" si="0"/>
        <v>0</v>
      </c>
      <c r="L20" s="218">
        <f t="shared" si="1"/>
        <v>0</v>
      </c>
    </row>
    <row r="21" spans="1:12" s="111" customFormat="1" x14ac:dyDescent="0.2">
      <c r="A21" s="124"/>
      <c r="B21" s="125"/>
      <c r="C21" s="132" t="s">
        <v>149</v>
      </c>
      <c r="D21" s="133">
        <v>1</v>
      </c>
      <c r="E21" s="134">
        <f>1.5+5.85</f>
        <v>7.35</v>
      </c>
      <c r="F21" s="134">
        <v>0.25</v>
      </c>
      <c r="G21" s="134">
        <f t="shared" si="3"/>
        <v>0.46499999999999997</v>
      </c>
      <c r="H21" s="135">
        <f t="shared" si="2"/>
        <v>0.85443749999999985</v>
      </c>
      <c r="I21" s="136"/>
      <c r="J21" s="135"/>
      <c r="K21" s="217">
        <f t="shared" si="0"/>
        <v>0</v>
      </c>
      <c r="L21" s="218">
        <f t="shared" si="1"/>
        <v>0</v>
      </c>
    </row>
    <row r="22" spans="1:12" s="111" customFormat="1" x14ac:dyDescent="0.2">
      <c r="A22" s="124"/>
      <c r="B22" s="125"/>
      <c r="C22" s="132" t="s">
        <v>150</v>
      </c>
      <c r="D22" s="133">
        <v>1</v>
      </c>
      <c r="E22" s="134">
        <f>1.5+26</f>
        <v>27.5</v>
      </c>
      <c r="F22" s="134">
        <v>0.25</v>
      </c>
      <c r="G22" s="134">
        <f t="shared" si="3"/>
        <v>0.46499999999999997</v>
      </c>
      <c r="H22" s="135">
        <f t="shared" si="2"/>
        <v>3.1968749999999999</v>
      </c>
      <c r="I22" s="136"/>
      <c r="J22" s="135"/>
      <c r="K22" s="217">
        <f t="shared" si="0"/>
        <v>0</v>
      </c>
      <c r="L22" s="218">
        <f t="shared" si="1"/>
        <v>0</v>
      </c>
    </row>
    <row r="23" spans="1:12" s="111" customFormat="1" x14ac:dyDescent="0.2">
      <c r="A23" s="124"/>
      <c r="B23" s="125"/>
      <c r="C23" s="132" t="s">
        <v>151</v>
      </c>
      <c r="D23" s="133">
        <v>1</v>
      </c>
      <c r="E23" s="134">
        <f>0.125+0.125+3.3</f>
        <v>3.55</v>
      </c>
      <c r="F23" s="134">
        <v>0.25</v>
      </c>
      <c r="G23" s="134">
        <f t="shared" si="3"/>
        <v>0.46499999999999997</v>
      </c>
      <c r="H23" s="135">
        <f t="shared" si="2"/>
        <v>0.41268749999999993</v>
      </c>
      <c r="I23" s="136"/>
      <c r="J23" s="135"/>
      <c r="K23" s="217">
        <f t="shared" si="0"/>
        <v>0</v>
      </c>
      <c r="L23" s="218">
        <f t="shared" si="1"/>
        <v>0</v>
      </c>
    </row>
    <row r="24" spans="1:12" s="111" customFormat="1" x14ac:dyDescent="0.2">
      <c r="A24" s="124"/>
      <c r="B24" s="125"/>
      <c r="C24" s="132" t="s">
        <v>152</v>
      </c>
      <c r="D24" s="133">
        <v>1</v>
      </c>
      <c r="E24" s="134">
        <f>1.5+3.975</f>
        <v>5.4749999999999996</v>
      </c>
      <c r="F24" s="134">
        <v>0.25</v>
      </c>
      <c r="G24" s="134">
        <f t="shared" si="3"/>
        <v>0.46499999999999997</v>
      </c>
      <c r="H24" s="135">
        <f t="shared" si="2"/>
        <v>0.63646874999999992</v>
      </c>
      <c r="I24" s="136"/>
      <c r="J24" s="135"/>
      <c r="K24" s="217">
        <f t="shared" si="0"/>
        <v>0</v>
      </c>
      <c r="L24" s="218">
        <f t="shared" si="1"/>
        <v>0</v>
      </c>
    </row>
    <row r="25" spans="1:12" s="111" customFormat="1" x14ac:dyDescent="0.2">
      <c r="A25" s="124"/>
      <c r="B25" s="125"/>
      <c r="C25" s="132" t="s">
        <v>153</v>
      </c>
      <c r="D25" s="133">
        <v>1</v>
      </c>
      <c r="E25" s="134">
        <f>1.5+7.2</f>
        <v>8.6999999999999993</v>
      </c>
      <c r="F25" s="134">
        <v>0.25</v>
      </c>
      <c r="G25" s="134">
        <f t="shared" si="3"/>
        <v>0.46499999999999997</v>
      </c>
      <c r="H25" s="135">
        <f t="shared" si="2"/>
        <v>1.0113749999999999</v>
      </c>
      <c r="I25" s="136"/>
      <c r="J25" s="135"/>
      <c r="K25" s="217">
        <f t="shared" si="0"/>
        <v>0</v>
      </c>
      <c r="L25" s="218">
        <f t="shared" si="1"/>
        <v>0</v>
      </c>
    </row>
    <row r="26" spans="1:12" s="111" customFormat="1" x14ac:dyDescent="0.2">
      <c r="A26" s="124"/>
      <c r="B26" s="125"/>
      <c r="C26" s="132" t="s">
        <v>154</v>
      </c>
      <c r="D26" s="133">
        <v>1</v>
      </c>
      <c r="E26" s="134">
        <f>3.05+6.05</f>
        <v>9.1</v>
      </c>
      <c r="F26" s="134">
        <v>0.25</v>
      </c>
      <c r="G26" s="134">
        <f t="shared" si="3"/>
        <v>0.46499999999999997</v>
      </c>
      <c r="H26" s="135">
        <f t="shared" si="2"/>
        <v>1.0578749999999999</v>
      </c>
      <c r="I26" s="136"/>
      <c r="J26" s="135"/>
      <c r="K26" s="217">
        <f t="shared" si="0"/>
        <v>0</v>
      </c>
      <c r="L26" s="218">
        <f t="shared" si="1"/>
        <v>0</v>
      </c>
    </row>
    <row r="27" spans="1:12" s="111" customFormat="1" x14ac:dyDescent="0.2">
      <c r="A27" s="124"/>
      <c r="B27" s="125"/>
      <c r="C27" s="132" t="s">
        <v>155</v>
      </c>
      <c r="D27" s="133">
        <v>1</v>
      </c>
      <c r="E27" s="134">
        <f>1.5+10.62</f>
        <v>12.12</v>
      </c>
      <c r="F27" s="134">
        <v>0.25</v>
      </c>
      <c r="G27" s="134">
        <f t="shared" si="3"/>
        <v>0.46499999999999997</v>
      </c>
      <c r="H27" s="135">
        <f t="shared" si="2"/>
        <v>1.4089499999999999</v>
      </c>
      <c r="I27" s="136"/>
      <c r="J27" s="135"/>
      <c r="K27" s="217">
        <f t="shared" si="0"/>
        <v>0</v>
      </c>
      <c r="L27" s="218">
        <f t="shared" si="1"/>
        <v>0</v>
      </c>
    </row>
    <row r="28" spans="1:12" s="111" customFormat="1" x14ac:dyDescent="0.2">
      <c r="A28" s="124"/>
      <c r="B28" s="125"/>
      <c r="C28" s="132" t="s">
        <v>156</v>
      </c>
      <c r="D28" s="180">
        <v>1</v>
      </c>
      <c r="E28" s="134">
        <f>1.5+4.1</f>
        <v>5.6</v>
      </c>
      <c r="F28" s="134">
        <v>0.25</v>
      </c>
      <c r="G28" s="134">
        <f t="shared" si="3"/>
        <v>0.46499999999999997</v>
      </c>
      <c r="H28" s="135">
        <f t="shared" si="2"/>
        <v>0.65099999999999991</v>
      </c>
      <c r="I28" s="136"/>
      <c r="J28" s="135"/>
      <c r="K28" s="217">
        <f t="shared" si="0"/>
        <v>0</v>
      </c>
      <c r="L28" s="218">
        <f t="shared" si="1"/>
        <v>0</v>
      </c>
    </row>
    <row r="29" spans="1:12" s="111" customFormat="1" x14ac:dyDescent="0.2">
      <c r="A29" s="124"/>
      <c r="B29" s="125"/>
      <c r="C29" s="132" t="s">
        <v>157</v>
      </c>
      <c r="D29" s="133">
        <v>1</v>
      </c>
      <c r="E29" s="134">
        <v>3.55</v>
      </c>
      <c r="F29" s="134">
        <v>0.25</v>
      </c>
      <c r="G29" s="134">
        <f t="shared" si="3"/>
        <v>0.46499999999999997</v>
      </c>
      <c r="H29" s="135">
        <f t="shared" si="2"/>
        <v>0.41268749999999993</v>
      </c>
      <c r="I29" s="136"/>
      <c r="J29" s="135"/>
      <c r="K29" s="217">
        <f t="shared" si="0"/>
        <v>0</v>
      </c>
      <c r="L29" s="218">
        <f t="shared" si="1"/>
        <v>0</v>
      </c>
    </row>
    <row r="30" spans="1:12" s="111" customFormat="1" x14ac:dyDescent="0.2">
      <c r="A30" s="124"/>
      <c r="B30" s="125"/>
      <c r="C30" s="132" t="s">
        <v>158</v>
      </c>
      <c r="D30" s="133">
        <v>1</v>
      </c>
      <c r="E30" s="134">
        <f>1.5+25.875</f>
        <v>27.375</v>
      </c>
      <c r="F30" s="134">
        <v>0.25</v>
      </c>
      <c r="G30" s="134">
        <f t="shared" si="3"/>
        <v>0.46499999999999997</v>
      </c>
      <c r="H30" s="135">
        <f t="shared" si="2"/>
        <v>3.1823437499999998</v>
      </c>
      <c r="I30" s="136"/>
      <c r="J30" s="135"/>
      <c r="K30" s="217">
        <f t="shared" si="0"/>
        <v>0</v>
      </c>
      <c r="L30" s="218">
        <f t="shared" si="1"/>
        <v>0</v>
      </c>
    </row>
    <row r="31" spans="1:12" s="111" customFormat="1" x14ac:dyDescent="0.2">
      <c r="A31" s="124"/>
      <c r="B31" s="125"/>
      <c r="C31" s="132" t="s">
        <v>159</v>
      </c>
      <c r="D31" s="133">
        <v>1</v>
      </c>
      <c r="E31" s="134">
        <f>1.5+5.85</f>
        <v>7.35</v>
      </c>
      <c r="F31" s="134">
        <v>0.25</v>
      </c>
      <c r="G31" s="134">
        <f t="shared" si="3"/>
        <v>0.46499999999999997</v>
      </c>
      <c r="H31" s="135">
        <f t="shared" si="2"/>
        <v>0.85443749999999985</v>
      </c>
      <c r="I31" s="136"/>
      <c r="J31" s="135"/>
      <c r="K31" s="217">
        <f t="shared" si="0"/>
        <v>0</v>
      </c>
      <c r="L31" s="218">
        <f t="shared" si="1"/>
        <v>0</v>
      </c>
    </row>
    <row r="32" spans="1:12" s="111" customFormat="1" x14ac:dyDescent="0.2">
      <c r="A32" s="124"/>
      <c r="B32" s="125"/>
      <c r="C32" s="132" t="s">
        <v>160</v>
      </c>
      <c r="D32" s="133">
        <v>1</v>
      </c>
      <c r="E32" s="134">
        <v>8.75</v>
      </c>
      <c r="F32" s="134">
        <v>0.25</v>
      </c>
      <c r="G32" s="134">
        <f t="shared" si="3"/>
        <v>0.46499999999999997</v>
      </c>
      <c r="H32" s="135">
        <f t="shared" si="2"/>
        <v>1.0171874999999999</v>
      </c>
      <c r="I32" s="136"/>
      <c r="J32" s="135"/>
      <c r="K32" s="217">
        <f t="shared" si="0"/>
        <v>0</v>
      </c>
      <c r="L32" s="218">
        <f t="shared" si="1"/>
        <v>0</v>
      </c>
    </row>
    <row r="33" spans="1:12" s="111" customFormat="1" x14ac:dyDescent="0.2">
      <c r="A33" s="124"/>
      <c r="B33" s="125"/>
      <c r="C33" s="132" t="s">
        <v>161</v>
      </c>
      <c r="D33" s="133">
        <v>1</v>
      </c>
      <c r="E33" s="134">
        <v>6.5750000000000002</v>
      </c>
      <c r="F33" s="134">
        <v>0.25</v>
      </c>
      <c r="G33" s="134">
        <f t="shared" si="3"/>
        <v>0.46499999999999997</v>
      </c>
      <c r="H33" s="135">
        <f t="shared" si="2"/>
        <v>0.76434374999999999</v>
      </c>
      <c r="I33" s="136"/>
      <c r="J33" s="135"/>
      <c r="K33" s="217">
        <f t="shared" si="0"/>
        <v>0</v>
      </c>
      <c r="L33" s="218">
        <f t="shared" si="1"/>
        <v>0</v>
      </c>
    </row>
    <row r="34" spans="1:12" s="111" customFormat="1" x14ac:dyDescent="0.2">
      <c r="A34" s="124"/>
      <c r="B34" s="125"/>
      <c r="C34" s="132" t="s">
        <v>162</v>
      </c>
      <c r="D34" s="133">
        <v>1</v>
      </c>
      <c r="E34" s="134">
        <v>2.52</v>
      </c>
      <c r="F34" s="134">
        <v>0.25</v>
      </c>
      <c r="G34" s="134">
        <f t="shared" si="3"/>
        <v>0.46499999999999997</v>
      </c>
      <c r="H34" s="135">
        <f t="shared" si="2"/>
        <v>0.29294999999999999</v>
      </c>
      <c r="I34" s="136"/>
      <c r="J34" s="135"/>
      <c r="K34" s="217">
        <f t="shared" si="0"/>
        <v>0</v>
      </c>
      <c r="L34" s="218">
        <f t="shared" si="1"/>
        <v>0</v>
      </c>
    </row>
    <row r="35" spans="1:12" s="111" customFormat="1" x14ac:dyDescent="0.2">
      <c r="A35" s="124"/>
      <c r="B35" s="125"/>
      <c r="C35" s="132" t="s">
        <v>163</v>
      </c>
      <c r="D35" s="133">
        <v>2</v>
      </c>
      <c r="E35" s="134">
        <f>1.5+8.85</f>
        <v>10.35</v>
      </c>
      <c r="F35" s="134">
        <v>0.25</v>
      </c>
      <c r="G35" s="134">
        <f t="shared" si="3"/>
        <v>0.46499999999999997</v>
      </c>
      <c r="H35" s="135">
        <f t="shared" si="2"/>
        <v>2.4063749999999997</v>
      </c>
      <c r="I35" s="136"/>
      <c r="J35" s="135"/>
      <c r="K35" s="217">
        <f t="shared" si="0"/>
        <v>0</v>
      </c>
      <c r="L35" s="218">
        <f t="shared" si="1"/>
        <v>0</v>
      </c>
    </row>
    <row r="36" spans="1:12" s="111" customFormat="1" x14ac:dyDescent="0.2">
      <c r="A36" s="124"/>
      <c r="B36" s="125"/>
      <c r="C36" s="132" t="s">
        <v>164</v>
      </c>
      <c r="D36" s="133">
        <v>1</v>
      </c>
      <c r="E36" s="134">
        <f>0.475+8.85</f>
        <v>9.3249999999999993</v>
      </c>
      <c r="F36" s="134">
        <v>0.25</v>
      </c>
      <c r="G36" s="134">
        <f t="shared" si="3"/>
        <v>0.46499999999999997</v>
      </c>
      <c r="H36" s="135">
        <f t="shared" si="2"/>
        <v>1.0840312499999998</v>
      </c>
      <c r="I36" s="136"/>
      <c r="J36" s="135"/>
      <c r="K36" s="217">
        <f t="shared" si="0"/>
        <v>0</v>
      </c>
      <c r="L36" s="218">
        <f t="shared" si="1"/>
        <v>0</v>
      </c>
    </row>
    <row r="37" spans="1:12" s="111" customFormat="1" x14ac:dyDescent="0.2">
      <c r="A37" s="124"/>
      <c r="B37" s="125"/>
      <c r="C37" s="132" t="s">
        <v>165</v>
      </c>
      <c r="D37" s="133">
        <v>1</v>
      </c>
      <c r="E37" s="134">
        <f>0.475+5.275</f>
        <v>5.75</v>
      </c>
      <c r="F37" s="134">
        <v>0.25</v>
      </c>
      <c r="G37" s="134">
        <f t="shared" si="3"/>
        <v>0.46499999999999997</v>
      </c>
      <c r="H37" s="135">
        <f t="shared" si="2"/>
        <v>0.66843749999999991</v>
      </c>
      <c r="I37" s="136"/>
      <c r="J37" s="135"/>
      <c r="K37" s="217">
        <f t="shared" si="0"/>
        <v>0</v>
      </c>
      <c r="L37" s="218">
        <f t="shared" si="1"/>
        <v>0</v>
      </c>
    </row>
    <row r="38" spans="1:12" s="111" customFormat="1" x14ac:dyDescent="0.2">
      <c r="A38" s="124"/>
      <c r="B38" s="125"/>
      <c r="C38" s="132" t="s">
        <v>166</v>
      </c>
      <c r="D38" s="133">
        <v>1</v>
      </c>
      <c r="E38" s="134">
        <v>3.5750000000000002</v>
      </c>
      <c r="F38" s="134">
        <v>0.25</v>
      </c>
      <c r="G38" s="134">
        <f t="shared" si="3"/>
        <v>0.46499999999999997</v>
      </c>
      <c r="H38" s="135">
        <f t="shared" si="2"/>
        <v>0.41559374999999998</v>
      </c>
      <c r="I38" s="136"/>
      <c r="J38" s="135"/>
      <c r="K38" s="217">
        <f t="shared" si="0"/>
        <v>0</v>
      </c>
      <c r="L38" s="218">
        <f t="shared" si="1"/>
        <v>0</v>
      </c>
    </row>
    <row r="39" spans="1:12" s="111" customFormat="1" x14ac:dyDescent="0.2">
      <c r="A39" s="124"/>
      <c r="B39" s="125"/>
      <c r="C39" s="132" t="s">
        <v>167</v>
      </c>
      <c r="D39" s="133">
        <v>2</v>
      </c>
      <c r="E39" s="134">
        <v>2.2519999999999998</v>
      </c>
      <c r="F39" s="134">
        <v>0.25</v>
      </c>
      <c r="G39" s="134">
        <f t="shared" si="3"/>
        <v>0.46499999999999997</v>
      </c>
      <c r="H39" s="135">
        <f t="shared" si="2"/>
        <v>0.52358999999999989</v>
      </c>
      <c r="I39" s="136"/>
      <c r="J39" s="135"/>
      <c r="K39" s="217">
        <f t="shared" si="0"/>
        <v>0</v>
      </c>
      <c r="L39" s="218">
        <f t="shared" si="1"/>
        <v>0</v>
      </c>
    </row>
    <row r="40" spans="1:12" s="111" customFormat="1" x14ac:dyDescent="0.2">
      <c r="A40" s="124"/>
      <c r="B40" s="125"/>
      <c r="C40" s="132" t="s">
        <v>168</v>
      </c>
      <c r="D40" s="133">
        <v>1</v>
      </c>
      <c r="E40" s="134">
        <v>6.5750000000000002</v>
      </c>
      <c r="F40" s="134">
        <v>0.25</v>
      </c>
      <c r="G40" s="134">
        <f t="shared" si="3"/>
        <v>0.46499999999999997</v>
      </c>
      <c r="H40" s="135">
        <f t="shared" si="2"/>
        <v>0.76434374999999999</v>
      </c>
      <c r="I40" s="136"/>
      <c r="J40" s="135"/>
      <c r="K40" s="217">
        <f t="shared" si="0"/>
        <v>0</v>
      </c>
      <c r="L40" s="218">
        <f t="shared" si="1"/>
        <v>0</v>
      </c>
    </row>
    <row r="41" spans="1:12" s="111" customFormat="1" x14ac:dyDescent="0.2">
      <c r="A41" s="124"/>
      <c r="B41" s="125"/>
      <c r="C41" s="132" t="s">
        <v>169</v>
      </c>
      <c r="D41" s="133">
        <v>1</v>
      </c>
      <c r="E41" s="134">
        <f>1.5+5.85</f>
        <v>7.35</v>
      </c>
      <c r="F41" s="134">
        <v>0.25</v>
      </c>
      <c r="G41" s="134">
        <f t="shared" si="3"/>
        <v>0.46499999999999997</v>
      </c>
      <c r="H41" s="135">
        <f t="shared" si="2"/>
        <v>0.85443749999999985</v>
      </c>
      <c r="I41" s="136"/>
      <c r="J41" s="135"/>
      <c r="K41" s="217">
        <f t="shared" si="0"/>
        <v>0</v>
      </c>
      <c r="L41" s="218">
        <f t="shared" si="1"/>
        <v>0</v>
      </c>
    </row>
    <row r="42" spans="1:12" s="111" customFormat="1" x14ac:dyDescent="0.2">
      <c r="A42" s="124"/>
      <c r="B42" s="125"/>
      <c r="C42" s="132" t="s">
        <v>170</v>
      </c>
      <c r="D42" s="133">
        <v>1</v>
      </c>
      <c r="E42" s="134">
        <v>20.85</v>
      </c>
      <c r="F42" s="134">
        <v>0.25</v>
      </c>
      <c r="G42" s="134">
        <f t="shared" si="3"/>
        <v>0.46499999999999997</v>
      </c>
      <c r="H42" s="135">
        <f t="shared" si="2"/>
        <v>2.4238124999999999</v>
      </c>
      <c r="I42" s="136"/>
      <c r="J42" s="135"/>
      <c r="K42" s="217">
        <f t="shared" si="0"/>
        <v>0</v>
      </c>
      <c r="L42" s="218">
        <f t="shared" si="1"/>
        <v>0</v>
      </c>
    </row>
    <row r="43" spans="1:12" s="111" customFormat="1" x14ac:dyDescent="0.2">
      <c r="A43" s="124"/>
      <c r="B43" s="125"/>
      <c r="C43" s="132" t="s">
        <v>171</v>
      </c>
      <c r="D43" s="133">
        <v>1</v>
      </c>
      <c r="E43" s="134">
        <v>9.1750000000000007</v>
      </c>
      <c r="F43" s="134">
        <v>0.25</v>
      </c>
      <c r="G43" s="134">
        <f t="shared" si="3"/>
        <v>0.46499999999999997</v>
      </c>
      <c r="H43" s="135">
        <f t="shared" si="2"/>
        <v>1.06659375</v>
      </c>
      <c r="I43" s="136"/>
      <c r="J43" s="135"/>
      <c r="K43" s="217">
        <f t="shared" si="0"/>
        <v>0</v>
      </c>
      <c r="L43" s="218">
        <f t="shared" si="1"/>
        <v>0</v>
      </c>
    </row>
    <row r="44" spans="1:12" s="111" customFormat="1" x14ac:dyDescent="0.2">
      <c r="A44" s="124"/>
      <c r="B44" s="125"/>
      <c r="C44" s="132" t="s">
        <v>172</v>
      </c>
      <c r="D44" s="133">
        <v>1</v>
      </c>
      <c r="E44" s="134">
        <v>8.85</v>
      </c>
      <c r="F44" s="134">
        <v>0.25</v>
      </c>
      <c r="G44" s="134">
        <f t="shared" si="3"/>
        <v>0.46499999999999997</v>
      </c>
      <c r="H44" s="135">
        <f t="shared" si="2"/>
        <v>1.0288124999999999</v>
      </c>
      <c r="I44" s="136"/>
      <c r="J44" s="135"/>
      <c r="K44" s="217">
        <f t="shared" si="0"/>
        <v>0</v>
      </c>
      <c r="L44" s="218">
        <f t="shared" si="1"/>
        <v>0</v>
      </c>
    </row>
    <row r="45" spans="1:12" s="111" customFormat="1" x14ac:dyDescent="0.2">
      <c r="A45" s="124"/>
      <c r="B45" s="125"/>
      <c r="C45" s="132" t="s">
        <v>173</v>
      </c>
      <c r="D45" s="133">
        <v>1</v>
      </c>
      <c r="E45" s="134">
        <f>1.5+4.1</f>
        <v>5.6</v>
      </c>
      <c r="F45" s="134">
        <v>0.25</v>
      </c>
      <c r="G45" s="134">
        <f t="shared" si="3"/>
        <v>0.46499999999999997</v>
      </c>
      <c r="H45" s="135">
        <f t="shared" si="2"/>
        <v>0.65099999999999991</v>
      </c>
      <c r="I45" s="136"/>
      <c r="J45" s="135"/>
      <c r="K45" s="217">
        <f t="shared" si="0"/>
        <v>0</v>
      </c>
      <c r="L45" s="218">
        <f t="shared" si="1"/>
        <v>0</v>
      </c>
    </row>
    <row r="46" spans="1:12" s="111" customFormat="1" x14ac:dyDescent="0.2">
      <c r="A46" s="124"/>
      <c r="B46" s="125"/>
      <c r="C46" s="132" t="s">
        <v>174</v>
      </c>
      <c r="D46" s="133">
        <v>1</v>
      </c>
      <c r="E46" s="134">
        <f>1.5+7.2</f>
        <v>8.6999999999999993</v>
      </c>
      <c r="F46" s="134">
        <v>0.25</v>
      </c>
      <c r="G46" s="134">
        <f t="shared" si="3"/>
        <v>0.46499999999999997</v>
      </c>
      <c r="H46" s="135">
        <f t="shared" si="2"/>
        <v>1.0113749999999999</v>
      </c>
      <c r="I46" s="136"/>
      <c r="J46" s="135"/>
      <c r="K46" s="217">
        <f t="shared" si="0"/>
        <v>0</v>
      </c>
      <c r="L46" s="218">
        <f t="shared" si="1"/>
        <v>0</v>
      </c>
    </row>
    <row r="47" spans="1:12" s="111" customFormat="1" x14ac:dyDescent="0.2">
      <c r="A47" s="124"/>
      <c r="B47" s="125"/>
      <c r="C47" s="132" t="s">
        <v>175</v>
      </c>
      <c r="D47" s="133">
        <v>1</v>
      </c>
      <c r="E47" s="134">
        <f>1.5+7.2</f>
        <v>8.6999999999999993</v>
      </c>
      <c r="F47" s="134">
        <v>0.25</v>
      </c>
      <c r="G47" s="134">
        <f t="shared" si="3"/>
        <v>0.46499999999999997</v>
      </c>
      <c r="H47" s="135">
        <f t="shared" si="2"/>
        <v>1.0113749999999999</v>
      </c>
      <c r="I47" s="136"/>
      <c r="J47" s="135"/>
      <c r="K47" s="217">
        <f t="shared" si="0"/>
        <v>0</v>
      </c>
      <c r="L47" s="218">
        <f t="shared" si="1"/>
        <v>0</v>
      </c>
    </row>
    <row r="48" spans="1:12" s="111" customFormat="1" x14ac:dyDescent="0.2">
      <c r="A48" s="124"/>
      <c r="B48" s="125"/>
      <c r="C48" s="132" t="s">
        <v>176</v>
      </c>
      <c r="D48" s="133">
        <v>1</v>
      </c>
      <c r="E48" s="134">
        <f>1.5+4.1</f>
        <v>5.6</v>
      </c>
      <c r="F48" s="134">
        <v>0.25</v>
      </c>
      <c r="G48" s="134">
        <f t="shared" si="3"/>
        <v>0.46499999999999997</v>
      </c>
      <c r="H48" s="135">
        <f t="shared" si="2"/>
        <v>0.65099999999999991</v>
      </c>
      <c r="I48" s="136"/>
      <c r="J48" s="135"/>
      <c r="K48" s="217">
        <f t="shared" si="0"/>
        <v>0</v>
      </c>
      <c r="L48" s="218">
        <f t="shared" si="1"/>
        <v>0</v>
      </c>
    </row>
    <row r="49" spans="1:12" s="111" customFormat="1" x14ac:dyDescent="0.2">
      <c r="A49" s="124"/>
      <c r="B49" s="125"/>
      <c r="C49" s="132" t="s">
        <v>177</v>
      </c>
      <c r="D49" s="133">
        <v>1</v>
      </c>
      <c r="E49" s="134">
        <v>9.1750000000000007</v>
      </c>
      <c r="F49" s="134">
        <v>0.25</v>
      </c>
      <c r="G49" s="134">
        <f t="shared" si="3"/>
        <v>0.46499999999999997</v>
      </c>
      <c r="H49" s="135">
        <f t="shared" si="2"/>
        <v>1.06659375</v>
      </c>
      <c r="I49" s="136"/>
      <c r="J49" s="135"/>
      <c r="K49" s="217">
        <f t="shared" si="0"/>
        <v>0</v>
      </c>
      <c r="L49" s="218">
        <f t="shared" si="1"/>
        <v>0</v>
      </c>
    </row>
    <row r="50" spans="1:12" s="111" customFormat="1" x14ac:dyDescent="0.2">
      <c r="A50" s="124"/>
      <c r="B50" s="125"/>
      <c r="C50" s="132" t="s">
        <v>178</v>
      </c>
      <c r="D50" s="133">
        <v>1</v>
      </c>
      <c r="E50" s="134">
        <f>1.5+19.35</f>
        <v>20.85</v>
      </c>
      <c r="F50" s="134">
        <v>0.25</v>
      </c>
      <c r="G50" s="134">
        <f t="shared" si="3"/>
        <v>0.46499999999999997</v>
      </c>
      <c r="H50" s="135">
        <f t="shared" si="2"/>
        <v>2.4238124999999999</v>
      </c>
      <c r="I50" s="136"/>
      <c r="J50" s="135"/>
      <c r="K50" s="217">
        <f t="shared" si="0"/>
        <v>0</v>
      </c>
      <c r="L50" s="218">
        <f t="shared" si="1"/>
        <v>0</v>
      </c>
    </row>
    <row r="51" spans="1:12" s="111" customFormat="1" x14ac:dyDescent="0.2">
      <c r="A51" s="124"/>
      <c r="B51" s="125"/>
      <c r="C51" s="132" t="s">
        <v>179</v>
      </c>
      <c r="D51" s="133">
        <v>1</v>
      </c>
      <c r="E51" s="134">
        <f>1.5+5.58</f>
        <v>7.08</v>
      </c>
      <c r="F51" s="134">
        <v>0.25</v>
      </c>
      <c r="G51" s="134">
        <f t="shared" si="3"/>
        <v>0.46499999999999997</v>
      </c>
      <c r="H51" s="135">
        <f t="shared" si="2"/>
        <v>0.82304999999999995</v>
      </c>
      <c r="I51" s="136"/>
      <c r="J51" s="135"/>
      <c r="K51" s="217">
        <f t="shared" si="0"/>
        <v>0</v>
      </c>
      <c r="L51" s="218">
        <f t="shared" si="1"/>
        <v>0</v>
      </c>
    </row>
    <row r="52" spans="1:12" s="111" customFormat="1" x14ac:dyDescent="0.2">
      <c r="A52" s="124"/>
      <c r="B52" s="125"/>
      <c r="C52" s="132" t="s">
        <v>180</v>
      </c>
      <c r="D52" s="133">
        <v>1</v>
      </c>
      <c r="E52" s="134">
        <v>6.5750000000000002</v>
      </c>
      <c r="F52" s="134">
        <v>0.25</v>
      </c>
      <c r="G52" s="134">
        <f t="shared" si="3"/>
        <v>0.46499999999999997</v>
      </c>
      <c r="H52" s="135">
        <f t="shared" si="2"/>
        <v>0.76434374999999999</v>
      </c>
      <c r="I52" s="136"/>
      <c r="J52" s="135"/>
      <c r="K52" s="217">
        <f t="shared" si="0"/>
        <v>0</v>
      </c>
      <c r="L52" s="218">
        <f t="shared" si="1"/>
        <v>0</v>
      </c>
    </row>
    <row r="53" spans="1:12" s="111" customFormat="1" x14ac:dyDescent="0.2">
      <c r="A53" s="124"/>
      <c r="B53" s="125"/>
      <c r="C53" s="132" t="s">
        <v>181</v>
      </c>
      <c r="D53" s="133">
        <v>1</v>
      </c>
      <c r="E53" s="134">
        <v>2.5249999999999999</v>
      </c>
      <c r="F53" s="134">
        <v>0.25</v>
      </c>
      <c r="G53" s="134">
        <f t="shared" si="3"/>
        <v>0.46499999999999997</v>
      </c>
      <c r="H53" s="135">
        <f t="shared" si="2"/>
        <v>0.29353124999999997</v>
      </c>
      <c r="I53" s="136"/>
      <c r="J53" s="135"/>
      <c r="K53" s="217">
        <f t="shared" si="0"/>
        <v>0</v>
      </c>
      <c r="L53" s="218">
        <f t="shared" si="1"/>
        <v>0</v>
      </c>
    </row>
    <row r="54" spans="1:12" s="111" customFormat="1" x14ac:dyDescent="0.2">
      <c r="A54" s="124"/>
      <c r="B54" s="125"/>
      <c r="C54" s="132" t="s">
        <v>182</v>
      </c>
      <c r="D54" s="133">
        <v>1</v>
      </c>
      <c r="E54" s="134">
        <v>3.5750000000000002</v>
      </c>
      <c r="F54" s="134">
        <v>0.25</v>
      </c>
      <c r="G54" s="134">
        <f t="shared" si="3"/>
        <v>0.46499999999999997</v>
      </c>
      <c r="H54" s="135">
        <f t="shared" si="2"/>
        <v>0.41559374999999998</v>
      </c>
      <c r="I54" s="136"/>
      <c r="J54" s="135"/>
      <c r="K54" s="217">
        <f t="shared" si="0"/>
        <v>0</v>
      </c>
      <c r="L54" s="218">
        <f t="shared" si="1"/>
        <v>0</v>
      </c>
    </row>
    <row r="55" spans="1:12" s="111" customFormat="1" x14ac:dyDescent="0.2">
      <c r="A55" s="124"/>
      <c r="B55" s="125"/>
      <c r="C55" s="132" t="s">
        <v>183</v>
      </c>
      <c r="D55" s="133">
        <v>1</v>
      </c>
      <c r="E55" s="134">
        <f>0.475+5.275</f>
        <v>5.75</v>
      </c>
      <c r="F55" s="134">
        <v>0.25</v>
      </c>
      <c r="G55" s="134">
        <f t="shared" si="3"/>
        <v>0.46499999999999997</v>
      </c>
      <c r="H55" s="135">
        <f t="shared" si="2"/>
        <v>0.66843749999999991</v>
      </c>
      <c r="I55" s="136"/>
      <c r="J55" s="135"/>
      <c r="K55" s="217">
        <f t="shared" si="0"/>
        <v>0</v>
      </c>
      <c r="L55" s="218">
        <f t="shared" si="1"/>
        <v>0</v>
      </c>
    </row>
    <row r="56" spans="1:12" s="111" customFormat="1" x14ac:dyDescent="0.2">
      <c r="A56" s="124"/>
      <c r="B56" s="125"/>
      <c r="C56" s="132" t="s">
        <v>184</v>
      </c>
      <c r="D56" s="133">
        <v>1</v>
      </c>
      <c r="E56" s="134">
        <f>0.475+8.85</f>
        <v>9.3249999999999993</v>
      </c>
      <c r="F56" s="134">
        <v>0.25</v>
      </c>
      <c r="G56" s="134">
        <f t="shared" si="3"/>
        <v>0.46499999999999997</v>
      </c>
      <c r="H56" s="135">
        <f t="shared" si="2"/>
        <v>1.0840312499999998</v>
      </c>
      <c r="I56" s="136"/>
      <c r="J56" s="135"/>
      <c r="K56" s="217">
        <f t="shared" si="0"/>
        <v>0</v>
      </c>
      <c r="L56" s="218">
        <f t="shared" si="1"/>
        <v>0</v>
      </c>
    </row>
    <row r="57" spans="1:12" s="111" customFormat="1" x14ac:dyDescent="0.2">
      <c r="A57" s="124"/>
      <c r="B57" s="125"/>
      <c r="C57" s="132" t="s">
        <v>185</v>
      </c>
      <c r="D57" s="180">
        <v>4</v>
      </c>
      <c r="E57" s="134">
        <f>1.6*4</f>
        <v>6.4</v>
      </c>
      <c r="F57" s="134">
        <v>0.125</v>
      </c>
      <c r="G57" s="134">
        <f t="shared" si="3"/>
        <v>0.46499999999999997</v>
      </c>
      <c r="H57" s="135">
        <f t="shared" si="2"/>
        <v>1.488</v>
      </c>
      <c r="I57" s="136"/>
      <c r="J57" s="135"/>
      <c r="K57" s="217">
        <f t="shared" si="0"/>
        <v>0</v>
      </c>
      <c r="L57" s="218">
        <f t="shared" si="1"/>
        <v>0</v>
      </c>
    </row>
    <row r="58" spans="1:12" s="111" customFormat="1" x14ac:dyDescent="0.2">
      <c r="A58" s="124"/>
      <c r="B58" s="125"/>
      <c r="C58" s="132" t="s">
        <v>226</v>
      </c>
      <c r="D58" s="133">
        <v>8</v>
      </c>
      <c r="E58" s="134">
        <v>3.3</v>
      </c>
      <c r="F58" s="134">
        <v>0.125</v>
      </c>
      <c r="G58" s="134">
        <f t="shared" si="3"/>
        <v>0.46499999999999997</v>
      </c>
      <c r="H58" s="135">
        <f t="shared" si="2"/>
        <v>1.5344999999999998</v>
      </c>
      <c r="I58" s="136"/>
      <c r="J58" s="135"/>
      <c r="K58" s="217">
        <f t="shared" si="0"/>
        <v>0</v>
      </c>
      <c r="L58" s="218">
        <f t="shared" si="1"/>
        <v>0</v>
      </c>
    </row>
    <row r="59" spans="1:12" s="111" customFormat="1" x14ac:dyDescent="0.2">
      <c r="A59" s="124"/>
      <c r="B59" s="125"/>
      <c r="C59" s="132"/>
      <c r="D59" s="133"/>
      <c r="E59" s="134"/>
      <c r="F59" s="134"/>
      <c r="G59" s="134"/>
      <c r="H59" s="135"/>
      <c r="I59" s="136"/>
      <c r="J59" s="135"/>
      <c r="K59" s="217">
        <f t="shared" si="0"/>
        <v>0</v>
      </c>
      <c r="L59" s="218">
        <f t="shared" si="1"/>
        <v>0</v>
      </c>
    </row>
    <row r="60" spans="1:12" x14ac:dyDescent="0.2">
      <c r="A60" s="124"/>
      <c r="B60" s="211"/>
      <c r="C60" s="221" t="s">
        <v>117</v>
      </c>
      <c r="D60" s="142"/>
      <c r="E60" s="145"/>
      <c r="F60" s="145"/>
      <c r="G60" s="145"/>
      <c r="H60" s="222">
        <v>44</v>
      </c>
      <c r="I60" s="141" t="s">
        <v>118</v>
      </c>
      <c r="J60" s="217">
        <v>11505.5</v>
      </c>
      <c r="K60" s="217">
        <f t="shared" si="0"/>
        <v>9750.4237288135591</v>
      </c>
      <c r="L60" s="218">
        <f t="shared" si="1"/>
        <v>429018.64406779659</v>
      </c>
    </row>
    <row r="61" spans="1:12" x14ac:dyDescent="0.2">
      <c r="A61" s="124"/>
      <c r="B61" s="211"/>
      <c r="C61" s="223" t="s">
        <v>227</v>
      </c>
      <c r="D61" s="133"/>
      <c r="E61" s="135">
        <f>SUM(E16*D16+E17*D17+E18*D18+D19*E19+D20*E20+D21*E21+D22*E22+D23*E23+D24*E24+D25*E25+D26*E26+D27*E27+D28*E28+D29*E29+D30*E30+D31*E31+D32*E32+D33*E33+D34*E34+D35*E35+D36*E36+D37*E37+D38*E38+D39*E39+D40*E40+D41*E41+D42*E42+D43*E43+D44*E44+D45*E45+D46*E46+D47*E47+D48*E48+D49*E49+D50*E50+D51*E51+D52*E52+D53*E53+D54*E54+D55*E55+D56*E56)</f>
        <v>359.66899999999993</v>
      </c>
      <c r="F61" s="135"/>
      <c r="G61" s="135"/>
      <c r="H61" s="224"/>
      <c r="I61" s="136"/>
      <c r="J61" s="213"/>
      <c r="K61" s="217">
        <f t="shared" si="0"/>
        <v>0</v>
      </c>
      <c r="L61" s="218">
        <f t="shared" si="1"/>
        <v>0</v>
      </c>
    </row>
    <row r="62" spans="1:12" x14ac:dyDescent="0.2">
      <c r="A62" s="124"/>
      <c r="B62" s="211"/>
      <c r="C62" s="223" t="s">
        <v>228</v>
      </c>
      <c r="D62" s="133"/>
      <c r="E62" s="135">
        <f>SUM(D57*E57+D58*E58)</f>
        <v>52</v>
      </c>
      <c r="F62" s="135"/>
      <c r="G62" s="135"/>
      <c r="H62" s="224"/>
      <c r="I62" s="136"/>
      <c r="J62" s="213"/>
      <c r="K62" s="217">
        <f t="shared" si="0"/>
        <v>0</v>
      </c>
      <c r="L62" s="218">
        <f t="shared" si="1"/>
        <v>0</v>
      </c>
    </row>
    <row r="63" spans="1:12" x14ac:dyDescent="0.2">
      <c r="A63" s="139"/>
      <c r="B63" s="215"/>
      <c r="C63" s="223"/>
      <c r="D63" s="133"/>
      <c r="E63" s="135"/>
      <c r="F63" s="135"/>
      <c r="G63" s="135"/>
      <c r="H63" s="224"/>
      <c r="I63" s="136"/>
      <c r="J63" s="213"/>
      <c r="K63" s="217">
        <f t="shared" si="0"/>
        <v>0</v>
      </c>
      <c r="L63" s="218">
        <f t="shared" si="1"/>
        <v>0</v>
      </c>
    </row>
    <row r="64" spans="1:12" ht="33.75" customHeight="1" x14ac:dyDescent="0.2">
      <c r="A64" s="116" t="s">
        <v>229</v>
      </c>
      <c r="B64" s="206">
        <v>5.3</v>
      </c>
      <c r="C64" s="219" t="s">
        <v>230</v>
      </c>
      <c r="D64" s="119"/>
      <c r="E64" s="121"/>
      <c r="F64" s="121"/>
      <c r="G64" s="121"/>
      <c r="H64" s="208"/>
      <c r="I64" s="122"/>
      <c r="J64" s="209"/>
      <c r="K64" s="217">
        <f t="shared" si="0"/>
        <v>0</v>
      </c>
      <c r="L64" s="218">
        <f t="shared" si="1"/>
        <v>0</v>
      </c>
    </row>
    <row r="65" spans="1:12" x14ac:dyDescent="0.2">
      <c r="A65" s="124"/>
      <c r="B65" s="211"/>
      <c r="C65" s="225" t="s">
        <v>231</v>
      </c>
      <c r="D65" s="226">
        <v>4</v>
      </c>
      <c r="E65" s="227">
        <v>5.85</v>
      </c>
      <c r="F65" s="227">
        <v>8.85</v>
      </c>
      <c r="G65" s="227">
        <v>0.13</v>
      </c>
      <c r="H65" s="135">
        <f t="shared" ref="H65:H73" si="4">G65*F65*E65*D65</f>
        <v>26.921700000000001</v>
      </c>
      <c r="I65" s="136"/>
      <c r="J65" s="213"/>
      <c r="K65" s="217">
        <f t="shared" si="0"/>
        <v>0</v>
      </c>
      <c r="L65" s="218">
        <f t="shared" si="1"/>
        <v>0</v>
      </c>
    </row>
    <row r="66" spans="1:12" x14ac:dyDescent="0.2">
      <c r="A66" s="124"/>
      <c r="B66" s="211"/>
      <c r="C66" s="225"/>
      <c r="D66" s="226">
        <v>4</v>
      </c>
      <c r="E66" s="227">
        <v>4.6500000000000004</v>
      </c>
      <c r="F66" s="227">
        <v>6.5750000000000002</v>
      </c>
      <c r="G66" s="227">
        <v>0.13</v>
      </c>
      <c r="H66" s="135">
        <f t="shared" si="4"/>
        <v>15.898350000000001</v>
      </c>
      <c r="I66" s="136"/>
      <c r="J66" s="213"/>
      <c r="K66" s="217">
        <f t="shared" si="0"/>
        <v>0</v>
      </c>
      <c r="L66" s="218">
        <f t="shared" si="1"/>
        <v>0</v>
      </c>
    </row>
    <row r="67" spans="1:12" x14ac:dyDescent="0.2">
      <c r="A67" s="124"/>
      <c r="B67" s="211"/>
      <c r="C67" s="225" t="s">
        <v>232</v>
      </c>
      <c r="D67" s="226">
        <v>1</v>
      </c>
      <c r="E67" s="950">
        <v>93.33</v>
      </c>
      <c r="F67" s="951"/>
      <c r="G67" s="227">
        <v>1.1299999999999999</v>
      </c>
      <c r="H67" s="135">
        <f>D67*E67*G67</f>
        <v>105.46289999999999</v>
      </c>
      <c r="I67" s="136"/>
      <c r="J67" s="213"/>
      <c r="K67" s="217">
        <f t="shared" si="0"/>
        <v>0</v>
      </c>
      <c r="L67" s="218">
        <f t="shared" si="1"/>
        <v>0</v>
      </c>
    </row>
    <row r="68" spans="1:12" x14ac:dyDescent="0.2">
      <c r="A68" s="124"/>
      <c r="B68" s="211"/>
      <c r="C68" s="225" t="s">
        <v>233</v>
      </c>
      <c r="D68" s="226">
        <v>4</v>
      </c>
      <c r="E68" s="227">
        <v>4.0999999999999996</v>
      </c>
      <c r="F68" s="227">
        <v>0.47499999999999998</v>
      </c>
      <c r="G68" s="227">
        <v>0.13</v>
      </c>
      <c r="H68" s="135">
        <f t="shared" si="4"/>
        <v>1.0126999999999999</v>
      </c>
      <c r="I68" s="136"/>
      <c r="J68" s="213"/>
      <c r="K68" s="217">
        <f t="shared" si="0"/>
        <v>0</v>
      </c>
      <c r="L68" s="218">
        <f t="shared" si="1"/>
        <v>0</v>
      </c>
    </row>
    <row r="69" spans="1:12" x14ac:dyDescent="0.2">
      <c r="A69" s="124"/>
      <c r="B69" s="211"/>
      <c r="C69" s="225" t="s">
        <v>234</v>
      </c>
      <c r="D69" s="226">
        <v>4</v>
      </c>
      <c r="E69" s="227">
        <v>4.0999999999999996</v>
      </c>
      <c r="F69" s="227">
        <v>0.47499999999999998</v>
      </c>
      <c r="G69" s="227">
        <v>0.13</v>
      </c>
      <c r="H69" s="135">
        <f>G69*F69*E69*D69</f>
        <v>1.0126999999999999</v>
      </c>
      <c r="I69" s="136"/>
      <c r="J69" s="213"/>
      <c r="K69" s="217">
        <f t="shared" si="0"/>
        <v>0</v>
      </c>
      <c r="L69" s="218">
        <f t="shared" si="1"/>
        <v>0</v>
      </c>
    </row>
    <row r="70" spans="1:12" x14ac:dyDescent="0.2">
      <c r="A70" s="124"/>
      <c r="B70" s="211"/>
      <c r="C70" s="225" t="s">
        <v>235</v>
      </c>
      <c r="D70" s="226">
        <v>8</v>
      </c>
      <c r="E70" s="227">
        <v>3.6749999999999998</v>
      </c>
      <c r="F70" s="227">
        <v>1.5</v>
      </c>
      <c r="G70" s="227">
        <v>0.15</v>
      </c>
      <c r="H70" s="135">
        <f t="shared" si="4"/>
        <v>6.6149999999999993</v>
      </c>
      <c r="I70" s="136"/>
      <c r="J70" s="213"/>
      <c r="K70" s="217">
        <f t="shared" si="0"/>
        <v>0</v>
      </c>
      <c r="L70" s="218">
        <f t="shared" si="1"/>
        <v>0</v>
      </c>
    </row>
    <row r="71" spans="1:12" x14ac:dyDescent="0.2">
      <c r="A71" s="124"/>
      <c r="B71" s="211"/>
      <c r="C71" s="225" t="s">
        <v>236</v>
      </c>
      <c r="D71" s="226">
        <v>2</v>
      </c>
      <c r="E71" s="227">
        <f>0.9+0.3</f>
        <v>1.2</v>
      </c>
      <c r="F71" s="227">
        <v>0.6</v>
      </c>
      <c r="G71" s="227">
        <v>7.4999999999999997E-2</v>
      </c>
      <c r="H71" s="135">
        <f>G71*F71*E71*D71</f>
        <v>0.108</v>
      </c>
      <c r="I71" s="136"/>
      <c r="J71" s="213"/>
      <c r="K71" s="217">
        <f t="shared" si="0"/>
        <v>0</v>
      </c>
      <c r="L71" s="218">
        <f t="shared" si="1"/>
        <v>0</v>
      </c>
    </row>
    <row r="72" spans="1:12" x14ac:dyDescent="0.2">
      <c r="A72" s="124"/>
      <c r="B72" s="211"/>
      <c r="C72" s="225" t="s">
        <v>237</v>
      </c>
      <c r="D72" s="226">
        <v>-1</v>
      </c>
      <c r="E72" s="227">
        <v>2.5499999999999998</v>
      </c>
      <c r="F72" s="227">
        <v>3.45</v>
      </c>
      <c r="G72" s="227">
        <v>0.13</v>
      </c>
      <c r="H72" s="135">
        <f t="shared" si="4"/>
        <v>-1.143675</v>
      </c>
      <c r="I72" s="136"/>
      <c r="J72" s="213"/>
      <c r="K72" s="217">
        <f t="shared" si="0"/>
        <v>0</v>
      </c>
      <c r="L72" s="218">
        <f t="shared" si="1"/>
        <v>0</v>
      </c>
    </row>
    <row r="73" spans="1:12" x14ac:dyDescent="0.2">
      <c r="A73" s="124"/>
      <c r="B73" s="211"/>
      <c r="C73" s="230" t="s">
        <v>238</v>
      </c>
      <c r="D73" s="231">
        <v>-1</v>
      </c>
      <c r="E73" s="232">
        <v>2.0499999999999998</v>
      </c>
      <c r="F73" s="232">
        <v>2.0499999999999998</v>
      </c>
      <c r="G73" s="232">
        <v>0.13</v>
      </c>
      <c r="H73" s="145">
        <f t="shared" si="4"/>
        <v>-0.54632499999999984</v>
      </c>
      <c r="I73" s="141"/>
      <c r="J73" s="217"/>
      <c r="K73" s="217">
        <f t="shared" si="0"/>
        <v>0</v>
      </c>
      <c r="L73" s="218">
        <f t="shared" si="1"/>
        <v>0</v>
      </c>
    </row>
    <row r="74" spans="1:12" x14ac:dyDescent="0.2">
      <c r="A74" s="139"/>
      <c r="B74" s="215"/>
      <c r="C74" s="233" t="s">
        <v>117</v>
      </c>
      <c r="D74" s="142"/>
      <c r="E74" s="143"/>
      <c r="F74" s="143"/>
      <c r="G74" s="143"/>
      <c r="H74" s="222">
        <v>155</v>
      </c>
      <c r="I74" s="141" t="s">
        <v>118</v>
      </c>
      <c r="J74" s="217">
        <f>J60</f>
        <v>11505.5</v>
      </c>
      <c r="K74" s="217">
        <f t="shared" ref="K74:K137" si="5">J74*100/118</f>
        <v>9750.4237288135591</v>
      </c>
      <c r="L74" s="218">
        <f t="shared" ref="L74:L137" si="6">K74*H74</f>
        <v>1511315.6779661016</v>
      </c>
    </row>
    <row r="75" spans="1:12" ht="25.5" x14ac:dyDescent="0.2">
      <c r="A75" s="139" t="s">
        <v>239</v>
      </c>
      <c r="B75" s="188">
        <v>5.3</v>
      </c>
      <c r="C75" s="220" t="s">
        <v>240</v>
      </c>
      <c r="D75" s="119"/>
      <c r="E75" s="121"/>
      <c r="F75" s="121"/>
      <c r="G75" s="121"/>
      <c r="H75" s="208"/>
      <c r="I75" s="122"/>
      <c r="J75" s="234"/>
      <c r="K75" s="217">
        <f t="shared" si="5"/>
        <v>0</v>
      </c>
      <c r="L75" s="218">
        <f t="shared" si="6"/>
        <v>0</v>
      </c>
    </row>
    <row r="76" spans="1:12" x14ac:dyDescent="0.2">
      <c r="A76" s="124"/>
      <c r="B76" s="211"/>
      <c r="C76" s="235" t="s">
        <v>241</v>
      </c>
      <c r="D76" s="133">
        <v>2</v>
      </c>
      <c r="E76" s="135">
        <v>3</v>
      </c>
      <c r="F76" s="135">
        <v>1.2</v>
      </c>
      <c r="G76" s="135">
        <v>0.15</v>
      </c>
      <c r="H76" s="134">
        <f>G76*F76*E76*D76</f>
        <v>1.08</v>
      </c>
      <c r="I76" s="136"/>
      <c r="J76" s="236"/>
      <c r="K76" s="217">
        <f t="shared" si="5"/>
        <v>0</v>
      </c>
      <c r="L76" s="218">
        <f t="shared" si="6"/>
        <v>0</v>
      </c>
    </row>
    <row r="77" spans="1:12" x14ac:dyDescent="0.2">
      <c r="A77" s="124"/>
      <c r="B77" s="211"/>
      <c r="C77" s="132" t="s">
        <v>242</v>
      </c>
      <c r="D77" s="133">
        <v>1</v>
      </c>
      <c r="E77" s="135">
        <v>1.45</v>
      </c>
      <c r="F77" s="135">
        <v>2.5499999999999998</v>
      </c>
      <c r="G77" s="135">
        <v>0.15</v>
      </c>
      <c r="H77" s="135">
        <f>G77*F77*E77*D77</f>
        <v>0.55462499999999992</v>
      </c>
      <c r="I77" s="136"/>
      <c r="J77" s="236"/>
      <c r="K77" s="217">
        <f t="shared" si="5"/>
        <v>0</v>
      </c>
      <c r="L77" s="218">
        <f t="shared" si="6"/>
        <v>0</v>
      </c>
    </row>
    <row r="78" spans="1:12" x14ac:dyDescent="0.2">
      <c r="A78" s="124"/>
      <c r="B78" s="211"/>
      <c r="C78" s="237" t="s">
        <v>243</v>
      </c>
      <c r="D78" s="133">
        <v>20</v>
      </c>
      <c r="E78" s="135">
        <v>1.2</v>
      </c>
      <c r="F78" s="135">
        <v>0.25</v>
      </c>
      <c r="G78" s="135">
        <f>0.15/2</f>
        <v>7.4999999999999997E-2</v>
      </c>
      <c r="H78" s="134">
        <f>G78*F78*E78*D78</f>
        <v>0.44999999999999996</v>
      </c>
      <c r="I78" s="136"/>
      <c r="J78" s="236"/>
      <c r="K78" s="217">
        <f t="shared" si="5"/>
        <v>0</v>
      </c>
      <c r="L78" s="218">
        <f t="shared" si="6"/>
        <v>0</v>
      </c>
    </row>
    <row r="79" spans="1:12" x14ac:dyDescent="0.2">
      <c r="A79" s="139"/>
      <c r="B79" s="215"/>
      <c r="C79" s="221" t="s">
        <v>117</v>
      </c>
      <c r="D79" s="142"/>
      <c r="E79" s="145"/>
      <c r="F79" s="145"/>
      <c r="G79" s="145"/>
      <c r="H79" s="216">
        <v>2</v>
      </c>
      <c r="I79" s="141" t="s">
        <v>118</v>
      </c>
      <c r="J79" s="217">
        <f>J74</f>
        <v>11505.5</v>
      </c>
      <c r="K79" s="217">
        <f t="shared" si="5"/>
        <v>9750.4237288135591</v>
      </c>
      <c r="L79" s="218">
        <f t="shared" si="6"/>
        <v>19500.847457627118</v>
      </c>
    </row>
    <row r="80" spans="1:12" ht="39" customHeight="1" x14ac:dyDescent="0.2">
      <c r="A80" s="116">
        <v>3</v>
      </c>
      <c r="B80" s="206">
        <v>5.22</v>
      </c>
      <c r="C80" s="219" t="s">
        <v>244</v>
      </c>
      <c r="D80" s="119"/>
      <c r="E80" s="121"/>
      <c r="F80" s="121"/>
      <c r="G80" s="121"/>
      <c r="H80" s="208"/>
      <c r="I80" s="122"/>
      <c r="J80" s="209"/>
      <c r="K80" s="217">
        <f t="shared" si="5"/>
        <v>0</v>
      </c>
      <c r="L80" s="218">
        <f t="shared" si="6"/>
        <v>0</v>
      </c>
    </row>
    <row r="81" spans="1:12" ht="24.75" customHeight="1" x14ac:dyDescent="0.2">
      <c r="A81" s="124"/>
      <c r="B81" s="211" t="s">
        <v>193</v>
      </c>
      <c r="C81" s="238" t="s">
        <v>245</v>
      </c>
      <c r="D81" s="127"/>
      <c r="E81" s="138"/>
      <c r="F81" s="129"/>
      <c r="G81" s="129"/>
      <c r="H81" s="239"/>
      <c r="I81" s="130"/>
      <c r="J81" s="240"/>
      <c r="K81" s="217">
        <f t="shared" si="5"/>
        <v>0</v>
      </c>
      <c r="L81" s="218">
        <f t="shared" si="6"/>
        <v>0</v>
      </c>
    </row>
    <row r="82" spans="1:12" x14ac:dyDescent="0.2">
      <c r="A82" s="124"/>
      <c r="B82" s="211"/>
      <c r="C82" s="187" t="s">
        <v>191</v>
      </c>
      <c r="D82" s="241"/>
      <c r="E82" s="190">
        <f>H9+H60+H74+H79</f>
        <v>229</v>
      </c>
      <c r="F82" s="190"/>
      <c r="G82" s="135"/>
      <c r="H82" s="212"/>
      <c r="I82" s="136"/>
      <c r="J82" s="213"/>
      <c r="K82" s="217">
        <f t="shared" si="5"/>
        <v>0</v>
      </c>
      <c r="L82" s="218">
        <f t="shared" si="6"/>
        <v>0</v>
      </c>
    </row>
    <row r="83" spans="1:12" x14ac:dyDescent="0.2">
      <c r="A83" s="139"/>
      <c r="B83" s="215"/>
      <c r="C83" s="220" t="s">
        <v>246</v>
      </c>
      <c r="D83" s="133">
        <v>120</v>
      </c>
      <c r="E83" s="190"/>
      <c r="F83" s="135"/>
      <c r="G83" s="135"/>
      <c r="H83" s="242">
        <v>27000</v>
      </c>
      <c r="I83" s="136" t="s">
        <v>195</v>
      </c>
      <c r="J83" s="213">
        <v>107.85</v>
      </c>
      <c r="K83" s="217">
        <f t="shared" si="5"/>
        <v>91.398305084745758</v>
      </c>
      <c r="L83" s="218">
        <f t="shared" si="6"/>
        <v>2467754.2372881356</v>
      </c>
    </row>
    <row r="84" spans="1:12" ht="25.5" x14ac:dyDescent="0.2">
      <c r="A84" s="116">
        <v>4</v>
      </c>
      <c r="B84" s="206">
        <v>5.9</v>
      </c>
      <c r="C84" s="182" t="s">
        <v>247</v>
      </c>
      <c r="D84" s="119"/>
      <c r="E84" s="121"/>
      <c r="F84" s="121"/>
      <c r="G84" s="121"/>
      <c r="H84" s="208"/>
      <c r="I84" s="122"/>
      <c r="J84" s="209"/>
      <c r="K84" s="217">
        <f t="shared" si="5"/>
        <v>0</v>
      </c>
      <c r="L84" s="218">
        <f t="shared" si="6"/>
        <v>0</v>
      </c>
    </row>
    <row r="85" spans="1:12" ht="30" customHeight="1" x14ac:dyDescent="0.2">
      <c r="A85" s="243" t="s">
        <v>248</v>
      </c>
      <c r="B85" s="188" t="s">
        <v>249</v>
      </c>
      <c r="C85" s="244" t="s">
        <v>250</v>
      </c>
      <c r="D85" s="127"/>
      <c r="E85" s="129"/>
      <c r="F85" s="129"/>
      <c r="G85" s="129"/>
      <c r="H85" s="239"/>
      <c r="I85" s="130"/>
      <c r="J85" s="240"/>
      <c r="K85" s="217">
        <f t="shared" si="5"/>
        <v>0</v>
      </c>
      <c r="L85" s="218">
        <f t="shared" si="6"/>
        <v>0</v>
      </c>
    </row>
    <row r="86" spans="1:12" x14ac:dyDescent="0.2">
      <c r="A86" s="124"/>
      <c r="B86" s="211"/>
      <c r="C86" s="225" t="s">
        <v>231</v>
      </c>
      <c r="D86" s="226">
        <f t="shared" ref="D86:F94" si="7">D65</f>
        <v>4</v>
      </c>
      <c r="E86" s="227">
        <f t="shared" si="7"/>
        <v>5.85</v>
      </c>
      <c r="F86" s="227">
        <f t="shared" si="7"/>
        <v>8.85</v>
      </c>
      <c r="G86" s="227"/>
      <c r="H86" s="212">
        <f>E86*F86</f>
        <v>51.772499999999994</v>
      </c>
      <c r="I86" s="136"/>
      <c r="J86" s="213"/>
      <c r="K86" s="217">
        <f t="shared" si="5"/>
        <v>0</v>
      </c>
      <c r="L86" s="218">
        <f t="shared" si="6"/>
        <v>0</v>
      </c>
    </row>
    <row r="87" spans="1:12" x14ac:dyDescent="0.2">
      <c r="A87" s="124"/>
      <c r="B87" s="211"/>
      <c r="C87" s="225"/>
      <c r="D87" s="226">
        <f t="shared" si="7"/>
        <v>4</v>
      </c>
      <c r="E87" s="227">
        <f t="shared" si="7"/>
        <v>4.6500000000000004</v>
      </c>
      <c r="F87" s="227">
        <f t="shared" si="7"/>
        <v>6.5750000000000002</v>
      </c>
      <c r="G87" s="227"/>
      <c r="H87" s="212">
        <f>E87*F87</f>
        <v>30.573750000000004</v>
      </c>
      <c r="I87" s="136"/>
      <c r="J87" s="213"/>
      <c r="K87" s="217">
        <f t="shared" si="5"/>
        <v>0</v>
      </c>
      <c r="L87" s="218">
        <f t="shared" si="6"/>
        <v>0</v>
      </c>
    </row>
    <row r="88" spans="1:12" x14ac:dyDescent="0.2">
      <c r="A88" s="124"/>
      <c r="B88" s="211"/>
      <c r="C88" s="225" t="s">
        <v>232</v>
      </c>
      <c r="D88" s="226">
        <f t="shared" si="7"/>
        <v>1</v>
      </c>
      <c r="E88" s="950">
        <f t="shared" si="7"/>
        <v>93.33</v>
      </c>
      <c r="F88" s="951"/>
      <c r="G88" s="227"/>
      <c r="H88" s="212">
        <f>D88*E88</f>
        <v>93.33</v>
      </c>
      <c r="I88" s="136"/>
      <c r="J88" s="213"/>
      <c r="K88" s="217">
        <f t="shared" si="5"/>
        <v>0</v>
      </c>
      <c r="L88" s="218">
        <f t="shared" si="6"/>
        <v>0</v>
      </c>
    </row>
    <row r="89" spans="1:12" x14ac:dyDescent="0.2">
      <c r="A89" s="124"/>
      <c r="B89" s="211"/>
      <c r="C89" s="225" t="s">
        <v>233</v>
      </c>
      <c r="D89" s="226">
        <f t="shared" si="7"/>
        <v>4</v>
      </c>
      <c r="E89" s="227">
        <f t="shared" si="7"/>
        <v>4.0999999999999996</v>
      </c>
      <c r="F89" s="227">
        <f t="shared" si="7"/>
        <v>0.47499999999999998</v>
      </c>
      <c r="G89" s="135"/>
      <c r="H89" s="212">
        <f t="shared" ref="H89:H94" si="8">F89*E89*D89</f>
        <v>7.7899999999999991</v>
      </c>
      <c r="I89" s="136"/>
      <c r="J89" s="213"/>
      <c r="K89" s="217">
        <f t="shared" si="5"/>
        <v>0</v>
      </c>
      <c r="L89" s="218">
        <f t="shared" si="6"/>
        <v>0</v>
      </c>
    </row>
    <row r="90" spans="1:12" x14ac:dyDescent="0.2">
      <c r="A90" s="124"/>
      <c r="B90" s="211"/>
      <c r="C90" s="225" t="s">
        <v>234</v>
      </c>
      <c r="D90" s="226">
        <f t="shared" si="7"/>
        <v>4</v>
      </c>
      <c r="E90" s="227">
        <f t="shared" si="7"/>
        <v>4.0999999999999996</v>
      </c>
      <c r="F90" s="227">
        <f t="shared" si="7"/>
        <v>0.47499999999999998</v>
      </c>
      <c r="G90" s="135"/>
      <c r="H90" s="212">
        <f t="shared" si="8"/>
        <v>7.7899999999999991</v>
      </c>
      <c r="I90" s="136"/>
      <c r="J90" s="213"/>
      <c r="K90" s="217">
        <f t="shared" si="5"/>
        <v>0</v>
      </c>
      <c r="L90" s="218">
        <f t="shared" si="6"/>
        <v>0</v>
      </c>
    </row>
    <row r="91" spans="1:12" x14ac:dyDescent="0.2">
      <c r="A91" s="124"/>
      <c r="B91" s="211"/>
      <c r="C91" s="225" t="s">
        <v>235</v>
      </c>
      <c r="D91" s="226">
        <f t="shared" si="7"/>
        <v>8</v>
      </c>
      <c r="E91" s="227">
        <f t="shared" si="7"/>
        <v>3.6749999999999998</v>
      </c>
      <c r="F91" s="227">
        <f t="shared" si="7"/>
        <v>1.5</v>
      </c>
      <c r="G91" s="135"/>
      <c r="H91" s="212">
        <f t="shared" si="8"/>
        <v>44.099999999999994</v>
      </c>
      <c r="I91" s="136"/>
      <c r="J91" s="213"/>
      <c r="K91" s="217">
        <f t="shared" si="5"/>
        <v>0</v>
      </c>
      <c r="L91" s="218">
        <f t="shared" si="6"/>
        <v>0</v>
      </c>
    </row>
    <row r="92" spans="1:12" x14ac:dyDescent="0.2">
      <c r="A92" s="124"/>
      <c r="B92" s="211"/>
      <c r="C92" s="225" t="str">
        <f>C71</f>
        <v>Chajja W3</v>
      </c>
      <c r="D92" s="226">
        <f t="shared" si="7"/>
        <v>2</v>
      </c>
      <c r="E92" s="227">
        <f t="shared" si="7"/>
        <v>1.2</v>
      </c>
      <c r="F92" s="227">
        <f t="shared" si="7"/>
        <v>0.6</v>
      </c>
      <c r="G92" s="135"/>
      <c r="H92" s="212">
        <f t="shared" si="8"/>
        <v>1.44</v>
      </c>
      <c r="I92" s="136"/>
      <c r="J92" s="213"/>
      <c r="K92" s="217">
        <f t="shared" si="5"/>
        <v>0</v>
      </c>
      <c r="L92" s="218">
        <f t="shared" si="6"/>
        <v>0</v>
      </c>
    </row>
    <row r="93" spans="1:12" x14ac:dyDescent="0.2">
      <c r="A93" s="124"/>
      <c r="B93" s="211"/>
      <c r="C93" s="225" t="s">
        <v>237</v>
      </c>
      <c r="D93" s="226">
        <v>-1</v>
      </c>
      <c r="E93" s="227">
        <f>E72</f>
        <v>2.5499999999999998</v>
      </c>
      <c r="F93" s="227">
        <f t="shared" si="7"/>
        <v>3.45</v>
      </c>
      <c r="G93" s="135"/>
      <c r="H93" s="212">
        <f t="shared" si="8"/>
        <v>-8.7974999999999994</v>
      </c>
      <c r="I93" s="136"/>
      <c r="J93" s="213"/>
      <c r="K93" s="217">
        <f t="shared" si="5"/>
        <v>0</v>
      </c>
      <c r="L93" s="218">
        <f t="shared" si="6"/>
        <v>0</v>
      </c>
    </row>
    <row r="94" spans="1:12" x14ac:dyDescent="0.2">
      <c r="A94" s="124"/>
      <c r="B94" s="211"/>
      <c r="C94" s="230" t="s">
        <v>251</v>
      </c>
      <c r="D94" s="231">
        <v>-1</v>
      </c>
      <c r="E94" s="227">
        <f>E73</f>
        <v>2.0499999999999998</v>
      </c>
      <c r="F94" s="227">
        <f t="shared" si="7"/>
        <v>2.0499999999999998</v>
      </c>
      <c r="G94" s="135"/>
      <c r="H94" s="212">
        <f t="shared" si="8"/>
        <v>-4.2024999999999997</v>
      </c>
      <c r="I94" s="136"/>
      <c r="J94" s="213"/>
      <c r="K94" s="217">
        <f t="shared" si="5"/>
        <v>0</v>
      </c>
      <c r="L94" s="218">
        <f t="shared" si="6"/>
        <v>0</v>
      </c>
    </row>
    <row r="95" spans="1:12" x14ac:dyDescent="0.2">
      <c r="A95" s="124"/>
      <c r="B95" s="211"/>
      <c r="C95" s="180" t="s">
        <v>117</v>
      </c>
      <c r="D95" s="133"/>
      <c r="E95" s="135"/>
      <c r="F95" s="135"/>
      <c r="G95" s="135"/>
      <c r="H95" s="242">
        <v>220</v>
      </c>
      <c r="I95" s="136" t="s">
        <v>128</v>
      </c>
      <c r="J95" s="213">
        <v>927.25</v>
      </c>
      <c r="K95" s="217">
        <f t="shared" si="5"/>
        <v>785.80508474576266</v>
      </c>
      <c r="L95" s="218">
        <f t="shared" si="6"/>
        <v>172877.11864406778</v>
      </c>
    </row>
    <row r="96" spans="1:12" ht="24" customHeight="1" x14ac:dyDescent="0.2">
      <c r="A96" s="243" t="s">
        <v>252</v>
      </c>
      <c r="B96" s="188" t="s">
        <v>199</v>
      </c>
      <c r="C96" s="245" t="s">
        <v>253</v>
      </c>
      <c r="D96" s="127"/>
      <c r="E96" s="129"/>
      <c r="F96" s="129"/>
      <c r="G96" s="129"/>
      <c r="H96" s="239"/>
      <c r="I96" s="130"/>
      <c r="J96" s="240"/>
      <c r="K96" s="217">
        <f t="shared" si="5"/>
        <v>0</v>
      </c>
      <c r="L96" s="218">
        <f t="shared" si="6"/>
        <v>0</v>
      </c>
    </row>
    <row r="97" spans="1:19" x14ac:dyDescent="0.2">
      <c r="A97" s="124"/>
      <c r="B97" s="211"/>
      <c r="C97" s="220" t="s">
        <v>222</v>
      </c>
      <c r="D97" s="133">
        <f>D12</f>
        <v>1</v>
      </c>
      <c r="E97" s="135">
        <f>E12</f>
        <v>1.1499999999999999</v>
      </c>
      <c r="F97" s="135">
        <f>2*G12+F12</f>
        <v>0.55000000000000004</v>
      </c>
      <c r="G97" s="135"/>
      <c r="H97" s="134">
        <f>D97*E97*F97</f>
        <v>0.63249999999999995</v>
      </c>
      <c r="I97" s="136"/>
      <c r="J97" s="213"/>
      <c r="K97" s="217">
        <f t="shared" si="5"/>
        <v>0</v>
      </c>
      <c r="L97" s="218">
        <f t="shared" si="6"/>
        <v>0</v>
      </c>
    </row>
    <row r="98" spans="1:19" x14ac:dyDescent="0.2">
      <c r="A98" s="124"/>
      <c r="B98" s="211"/>
      <c r="C98" s="220" t="s">
        <v>223</v>
      </c>
      <c r="D98" s="133">
        <f>D13</f>
        <v>1</v>
      </c>
      <c r="E98" s="135">
        <f>E13</f>
        <v>1</v>
      </c>
      <c r="F98" s="135">
        <f>2*G13+F13</f>
        <v>0.42499999999999999</v>
      </c>
      <c r="G98" s="135"/>
      <c r="H98" s="134">
        <f>D98*E98*F98</f>
        <v>0.42499999999999999</v>
      </c>
      <c r="I98" s="136"/>
      <c r="J98" s="213"/>
      <c r="K98" s="217">
        <f t="shared" si="5"/>
        <v>0</v>
      </c>
      <c r="L98" s="218">
        <f t="shared" si="6"/>
        <v>0</v>
      </c>
    </row>
    <row r="99" spans="1:19" x14ac:dyDescent="0.2">
      <c r="A99" s="124"/>
      <c r="B99" s="211"/>
      <c r="C99" s="187" t="s">
        <v>254</v>
      </c>
      <c r="D99" s="133"/>
      <c r="E99" s="135"/>
      <c r="F99" s="135"/>
      <c r="G99" s="135"/>
      <c r="H99" s="212"/>
      <c r="I99" s="136"/>
      <c r="J99" s="213"/>
      <c r="K99" s="217">
        <f t="shared" si="5"/>
        <v>0</v>
      </c>
      <c r="L99" s="218">
        <f t="shared" si="6"/>
        <v>0</v>
      </c>
    </row>
    <row r="100" spans="1:19" x14ac:dyDescent="0.2">
      <c r="A100" s="124"/>
      <c r="B100" s="211"/>
      <c r="C100" s="220" t="s">
        <v>255</v>
      </c>
      <c r="D100" s="133">
        <v>1</v>
      </c>
      <c r="E100" s="135">
        <f>E61</f>
        <v>359.66899999999993</v>
      </c>
      <c r="F100" s="135">
        <f>2*F16+G16</f>
        <v>0.96499999999999997</v>
      </c>
      <c r="G100" s="135"/>
      <c r="H100" s="212">
        <f>D100*E100*F100</f>
        <v>347.08058499999993</v>
      </c>
      <c r="I100" s="136"/>
      <c r="J100" s="213"/>
      <c r="K100" s="217">
        <f t="shared" si="5"/>
        <v>0</v>
      </c>
      <c r="L100" s="218">
        <f t="shared" si="6"/>
        <v>0</v>
      </c>
    </row>
    <row r="101" spans="1:19" x14ac:dyDescent="0.2">
      <c r="A101" s="124"/>
      <c r="B101" s="211"/>
      <c r="C101" s="220" t="s">
        <v>256</v>
      </c>
      <c r="D101" s="133">
        <v>1</v>
      </c>
      <c r="E101" s="135">
        <f>E62</f>
        <v>52</v>
      </c>
      <c r="F101" s="135">
        <f>2*F57+G57</f>
        <v>0.71499999999999997</v>
      </c>
      <c r="G101" s="135"/>
      <c r="H101" s="212">
        <f>D101*E101*F101</f>
        <v>37.18</v>
      </c>
      <c r="I101" s="136"/>
      <c r="J101" s="213"/>
      <c r="K101" s="217">
        <f t="shared" si="5"/>
        <v>0</v>
      </c>
      <c r="L101" s="218">
        <f t="shared" si="6"/>
        <v>0</v>
      </c>
    </row>
    <row r="102" spans="1:19" x14ac:dyDescent="0.2">
      <c r="A102" s="124"/>
      <c r="B102" s="211"/>
      <c r="C102" s="223" t="s">
        <v>117</v>
      </c>
      <c r="D102" s="133"/>
      <c r="E102" s="135"/>
      <c r="F102" s="135"/>
      <c r="G102" s="135"/>
      <c r="H102" s="242">
        <v>385</v>
      </c>
      <c r="I102" s="136" t="s">
        <v>128</v>
      </c>
      <c r="J102" s="213">
        <v>736.4</v>
      </c>
      <c r="K102" s="217">
        <f t="shared" si="5"/>
        <v>624.06779661016947</v>
      </c>
      <c r="L102" s="218">
        <f t="shared" si="6"/>
        <v>240266.10169491524</v>
      </c>
    </row>
    <row r="103" spans="1:19" ht="24" customHeight="1" x14ac:dyDescent="0.2">
      <c r="A103" s="243" t="s">
        <v>257</v>
      </c>
      <c r="B103" s="188" t="s">
        <v>258</v>
      </c>
      <c r="C103" s="246" t="s">
        <v>259</v>
      </c>
      <c r="D103" s="247"/>
      <c r="E103" s="248"/>
      <c r="F103" s="248"/>
      <c r="G103" s="129"/>
      <c r="H103" s="239"/>
      <c r="I103" s="130"/>
      <c r="J103" s="240"/>
      <c r="K103" s="217">
        <f t="shared" si="5"/>
        <v>0</v>
      </c>
      <c r="L103" s="218">
        <f t="shared" si="6"/>
        <v>0</v>
      </c>
      <c r="P103" s="108"/>
      <c r="Q103" s="108"/>
      <c r="R103" s="108"/>
      <c r="S103" s="108"/>
    </row>
    <row r="104" spans="1:19" x14ac:dyDescent="0.2">
      <c r="A104" s="124"/>
      <c r="B104" s="211"/>
      <c r="C104" s="236" t="s">
        <v>260</v>
      </c>
      <c r="D104" s="226">
        <v>2</v>
      </c>
      <c r="E104" s="227">
        <f>1.2+0.15</f>
        <v>1.3499999999999999</v>
      </c>
      <c r="F104" s="227">
        <v>0.6</v>
      </c>
      <c r="G104" s="135"/>
      <c r="H104" s="212">
        <f>F104*E104*D104</f>
        <v>1.6199999999999999</v>
      </c>
      <c r="I104" s="136"/>
      <c r="J104" s="213"/>
      <c r="K104" s="217">
        <f t="shared" si="5"/>
        <v>0</v>
      </c>
      <c r="L104" s="218">
        <f t="shared" si="6"/>
        <v>0</v>
      </c>
      <c r="P104" s="108"/>
      <c r="Q104" s="108"/>
      <c r="R104" s="108"/>
      <c r="S104" s="108"/>
    </row>
    <row r="105" spans="1:19" x14ac:dyDescent="0.2">
      <c r="A105" s="124"/>
      <c r="B105" s="249"/>
      <c r="C105" s="180" t="s">
        <v>117</v>
      </c>
      <c r="D105" s="133"/>
      <c r="E105" s="135"/>
      <c r="F105" s="135"/>
      <c r="G105" s="135"/>
      <c r="H105" s="242">
        <f>SUM(H104:H104)</f>
        <v>1.6199999999999999</v>
      </c>
      <c r="I105" s="136" t="s">
        <v>128</v>
      </c>
      <c r="J105" s="213">
        <v>951.1</v>
      </c>
      <c r="K105" s="217">
        <f t="shared" si="5"/>
        <v>806.01694915254234</v>
      </c>
      <c r="L105" s="218">
        <f t="shared" si="6"/>
        <v>1305.7474576271186</v>
      </c>
    </row>
    <row r="106" spans="1:19" ht="21" customHeight="1" x14ac:dyDescent="0.2">
      <c r="A106" s="243" t="s">
        <v>261</v>
      </c>
      <c r="B106" s="188" t="s">
        <v>203</v>
      </c>
      <c r="C106" s="250" t="s">
        <v>262</v>
      </c>
      <c r="D106" s="127"/>
      <c r="E106" s="129"/>
      <c r="F106" s="129"/>
      <c r="G106" s="129"/>
      <c r="H106" s="239"/>
      <c r="I106" s="130"/>
      <c r="J106" s="240"/>
      <c r="K106" s="217">
        <f t="shared" si="5"/>
        <v>0</v>
      </c>
      <c r="L106" s="218">
        <f t="shared" si="6"/>
        <v>0</v>
      </c>
    </row>
    <row r="107" spans="1:19" x14ac:dyDescent="0.2">
      <c r="A107" s="124"/>
      <c r="B107" s="211"/>
      <c r="C107" s="132" t="s">
        <v>139</v>
      </c>
      <c r="D107" s="133">
        <f>D7</f>
        <v>56</v>
      </c>
      <c r="E107" s="134">
        <f>2*(E7+F7)</f>
        <v>1.7999999999999998</v>
      </c>
      <c r="F107" s="134"/>
      <c r="G107" s="134">
        <f>G7</f>
        <v>2.4</v>
      </c>
      <c r="H107" s="212">
        <f>G107*E107*D107</f>
        <v>241.91999999999996</v>
      </c>
      <c r="I107" s="136"/>
      <c r="J107" s="213"/>
      <c r="K107" s="217">
        <f t="shared" si="5"/>
        <v>0</v>
      </c>
      <c r="L107" s="218">
        <f t="shared" si="6"/>
        <v>0</v>
      </c>
    </row>
    <row r="108" spans="1:19" x14ac:dyDescent="0.2">
      <c r="A108" s="124"/>
      <c r="B108" s="211"/>
      <c r="C108" s="132" t="s">
        <v>140</v>
      </c>
      <c r="D108" s="133">
        <f>D8</f>
        <v>12</v>
      </c>
      <c r="E108" s="134">
        <f>2*(E8+F8)</f>
        <v>1.6</v>
      </c>
      <c r="F108" s="134"/>
      <c r="G108" s="134">
        <f>G8</f>
        <v>2.4</v>
      </c>
      <c r="H108" s="212">
        <f>G108*E108*D108</f>
        <v>46.08</v>
      </c>
      <c r="I108" s="136"/>
      <c r="J108" s="213"/>
      <c r="K108" s="217">
        <f t="shared" si="5"/>
        <v>0</v>
      </c>
      <c r="L108" s="218">
        <f t="shared" si="6"/>
        <v>0</v>
      </c>
    </row>
    <row r="109" spans="1:19" x14ac:dyDescent="0.2">
      <c r="A109" s="124"/>
      <c r="B109" s="211"/>
      <c r="C109" s="223" t="s">
        <v>117</v>
      </c>
      <c r="D109" s="133"/>
      <c r="E109" s="135"/>
      <c r="F109" s="135"/>
      <c r="G109" s="135"/>
      <c r="H109" s="242">
        <f>SUM(H107:H108)</f>
        <v>287.99999999999994</v>
      </c>
      <c r="I109" s="136" t="s">
        <v>128</v>
      </c>
      <c r="J109" s="213">
        <v>961.3</v>
      </c>
      <c r="K109" s="217">
        <f t="shared" si="5"/>
        <v>814.66101694915255</v>
      </c>
      <c r="L109" s="218">
        <f t="shared" si="6"/>
        <v>234622.3728813559</v>
      </c>
    </row>
    <row r="110" spans="1:19" ht="21.75" customHeight="1" x14ac:dyDescent="0.2">
      <c r="A110" s="243" t="s">
        <v>263</v>
      </c>
      <c r="B110" s="188" t="s">
        <v>264</v>
      </c>
      <c r="C110" s="245" t="s">
        <v>265</v>
      </c>
      <c r="D110" s="127"/>
      <c r="E110" s="129"/>
      <c r="F110" s="129"/>
      <c r="G110" s="129"/>
      <c r="H110" s="239"/>
      <c r="I110" s="130"/>
      <c r="J110" s="240"/>
      <c r="K110" s="217">
        <f t="shared" si="5"/>
        <v>0</v>
      </c>
      <c r="L110" s="218">
        <f t="shared" si="6"/>
        <v>0</v>
      </c>
    </row>
    <row r="111" spans="1:19" x14ac:dyDescent="0.2">
      <c r="A111" s="124"/>
      <c r="B111" s="211"/>
      <c r="C111" s="220" t="s">
        <v>241</v>
      </c>
      <c r="D111" s="133">
        <v>2</v>
      </c>
      <c r="E111" s="135">
        <v>3</v>
      </c>
      <c r="F111" s="135">
        <v>1.2</v>
      </c>
      <c r="G111" s="135"/>
      <c r="H111" s="212">
        <f>F111*E111*D111</f>
        <v>7.1999999999999993</v>
      </c>
      <c r="I111" s="136"/>
      <c r="J111" s="213"/>
      <c r="K111" s="217">
        <f t="shared" si="5"/>
        <v>0</v>
      </c>
      <c r="L111" s="218">
        <f t="shared" si="6"/>
        <v>0</v>
      </c>
    </row>
    <row r="112" spans="1:19" x14ac:dyDescent="0.2">
      <c r="A112" s="124"/>
      <c r="B112" s="211"/>
      <c r="C112" s="220" t="s">
        <v>242</v>
      </c>
      <c r="D112" s="133">
        <v>1</v>
      </c>
      <c r="E112" s="135">
        <v>1.2</v>
      </c>
      <c r="F112" s="135">
        <v>2.5499999999999998</v>
      </c>
      <c r="G112" s="134"/>
      <c r="H112" s="212">
        <f>F112*E112*D112</f>
        <v>3.0599999999999996</v>
      </c>
      <c r="I112" s="136"/>
      <c r="J112" s="213"/>
      <c r="K112" s="217">
        <f t="shared" si="5"/>
        <v>0</v>
      </c>
      <c r="L112" s="218">
        <f t="shared" si="6"/>
        <v>0</v>
      </c>
    </row>
    <row r="113" spans="1:12" x14ac:dyDescent="0.2">
      <c r="A113" s="124"/>
      <c r="B113" s="211"/>
      <c r="C113" s="220" t="s">
        <v>266</v>
      </c>
      <c r="D113" s="133">
        <v>2</v>
      </c>
      <c r="E113" s="135">
        <v>3</v>
      </c>
      <c r="F113" s="135">
        <v>0.3</v>
      </c>
      <c r="G113" s="134"/>
      <c r="H113" s="212">
        <f>F113*E113*D113</f>
        <v>1.7999999999999998</v>
      </c>
      <c r="I113" s="136"/>
      <c r="J113" s="213"/>
      <c r="K113" s="217">
        <f t="shared" si="5"/>
        <v>0</v>
      </c>
      <c r="L113" s="218">
        <f t="shared" si="6"/>
        <v>0</v>
      </c>
    </row>
    <row r="114" spans="1:12" x14ac:dyDescent="0.2">
      <c r="A114" s="124"/>
      <c r="B114" s="211"/>
      <c r="C114" s="220" t="s">
        <v>243</v>
      </c>
      <c r="D114" s="133">
        <v>20</v>
      </c>
      <c r="E114" s="135">
        <v>1.2</v>
      </c>
      <c r="F114" s="135">
        <v>0.25</v>
      </c>
      <c r="G114" s="134"/>
      <c r="H114" s="212">
        <f>F114*E114*D114</f>
        <v>6</v>
      </c>
      <c r="I114" s="136"/>
      <c r="J114" s="213"/>
      <c r="K114" s="217">
        <f t="shared" si="5"/>
        <v>0</v>
      </c>
      <c r="L114" s="218">
        <f t="shared" si="6"/>
        <v>0</v>
      </c>
    </row>
    <row r="115" spans="1:12" x14ac:dyDescent="0.2">
      <c r="A115" s="139"/>
      <c r="B115" s="215"/>
      <c r="C115" s="221" t="s">
        <v>117</v>
      </c>
      <c r="D115" s="142"/>
      <c r="E115" s="145"/>
      <c r="F115" s="145"/>
      <c r="G115" s="145"/>
      <c r="H115" s="216">
        <v>18</v>
      </c>
      <c r="I115" s="141" t="s">
        <v>128</v>
      </c>
      <c r="J115" s="217">
        <v>764.95</v>
      </c>
      <c r="K115" s="217">
        <f t="shared" si="5"/>
        <v>648.26271186440681</v>
      </c>
      <c r="L115" s="218">
        <f t="shared" si="6"/>
        <v>11668.728813559323</v>
      </c>
    </row>
    <row r="116" spans="1:12" s="256" customFormat="1" ht="38.25" x14ac:dyDescent="0.2">
      <c r="A116" s="116">
        <v>5</v>
      </c>
      <c r="B116" s="117">
        <v>6.4</v>
      </c>
      <c r="C116" s="251" t="s">
        <v>267</v>
      </c>
      <c r="D116" s="116"/>
      <c r="E116" s="252"/>
      <c r="F116" s="252"/>
      <c r="G116" s="252"/>
      <c r="H116" s="253"/>
      <c r="I116" s="254"/>
      <c r="J116" s="255"/>
      <c r="K116" s="217">
        <f t="shared" si="5"/>
        <v>0</v>
      </c>
      <c r="L116" s="218">
        <f t="shared" si="6"/>
        <v>0</v>
      </c>
    </row>
    <row r="117" spans="1:12" s="256" customFormat="1" ht="30" customHeight="1" x14ac:dyDescent="0.2">
      <c r="A117" s="124"/>
      <c r="B117" s="125" t="s">
        <v>268</v>
      </c>
      <c r="C117" s="257" t="s">
        <v>269</v>
      </c>
      <c r="D117" s="124"/>
      <c r="E117" s="258"/>
      <c r="F117" s="258"/>
      <c r="G117" s="258"/>
      <c r="H117" s="259"/>
      <c r="I117" s="260"/>
      <c r="J117" s="261"/>
      <c r="K117" s="217">
        <f t="shared" si="5"/>
        <v>0</v>
      </c>
      <c r="L117" s="218">
        <f t="shared" si="6"/>
        <v>0</v>
      </c>
    </row>
    <row r="118" spans="1:12" x14ac:dyDescent="0.2">
      <c r="A118" s="124"/>
      <c r="B118" s="125"/>
      <c r="C118" s="262" t="s">
        <v>270</v>
      </c>
      <c r="D118" s="133">
        <v>1</v>
      </c>
      <c r="E118" s="135">
        <f>3.8*2+3.05+2.05*4+3.67+4.1*2+2.52+1.75*2</f>
        <v>36.739999999999995</v>
      </c>
      <c r="F118" s="135">
        <v>0.25</v>
      </c>
      <c r="G118" s="135">
        <f>3-0.6</f>
        <v>2.4</v>
      </c>
      <c r="H118" s="212">
        <f>G118*F118*E118*D118</f>
        <v>22.043999999999997</v>
      </c>
      <c r="I118" s="136"/>
      <c r="J118" s="213"/>
      <c r="K118" s="217">
        <f t="shared" si="5"/>
        <v>0</v>
      </c>
      <c r="L118" s="218">
        <f t="shared" si="6"/>
        <v>0</v>
      </c>
    </row>
    <row r="119" spans="1:12" x14ac:dyDescent="0.2">
      <c r="A119" s="124"/>
      <c r="B119" s="211"/>
      <c r="C119" s="191" t="s">
        <v>271</v>
      </c>
      <c r="D119" s="133"/>
      <c r="E119" s="134"/>
      <c r="F119" s="134"/>
      <c r="G119" s="134"/>
      <c r="H119" s="212"/>
      <c r="I119" s="136"/>
      <c r="J119" s="236"/>
      <c r="K119" s="217">
        <f t="shared" si="5"/>
        <v>0</v>
      </c>
      <c r="L119" s="218">
        <f t="shared" si="6"/>
        <v>0</v>
      </c>
    </row>
    <row r="120" spans="1:12" x14ac:dyDescent="0.2">
      <c r="A120" s="124"/>
      <c r="B120" s="211"/>
      <c r="C120" s="183" t="s">
        <v>272</v>
      </c>
      <c r="D120" s="133">
        <v>-4</v>
      </c>
      <c r="E120" s="135">
        <v>0.6</v>
      </c>
      <c r="F120" s="135">
        <v>0.25</v>
      </c>
      <c r="G120" s="135">
        <v>2.1</v>
      </c>
      <c r="H120" s="212">
        <f>G120*F120*E120*D120</f>
        <v>-1.26</v>
      </c>
      <c r="I120" s="136"/>
      <c r="J120" s="236"/>
      <c r="K120" s="217">
        <f t="shared" si="5"/>
        <v>0</v>
      </c>
      <c r="L120" s="218">
        <f t="shared" si="6"/>
        <v>0</v>
      </c>
    </row>
    <row r="121" spans="1:12" x14ac:dyDescent="0.2">
      <c r="A121" s="124"/>
      <c r="B121" s="211"/>
      <c r="C121" s="220" t="s">
        <v>260</v>
      </c>
      <c r="D121" s="133">
        <v>-2</v>
      </c>
      <c r="E121" s="135">
        <v>1.2</v>
      </c>
      <c r="F121" s="135">
        <v>0.25</v>
      </c>
      <c r="G121" s="135">
        <v>1.5</v>
      </c>
      <c r="H121" s="212">
        <f>G121*F121*E121*D121</f>
        <v>-0.89999999999999991</v>
      </c>
      <c r="I121" s="136"/>
      <c r="J121" s="236"/>
      <c r="K121" s="217">
        <f t="shared" si="5"/>
        <v>0</v>
      </c>
      <c r="L121" s="218">
        <f t="shared" si="6"/>
        <v>0</v>
      </c>
    </row>
    <row r="122" spans="1:12" x14ac:dyDescent="0.2">
      <c r="A122" s="124"/>
      <c r="B122" s="211"/>
      <c r="C122" s="220" t="s">
        <v>273</v>
      </c>
      <c r="D122" s="133">
        <v>-1</v>
      </c>
      <c r="E122" s="135">
        <v>0.6</v>
      </c>
      <c r="F122" s="135">
        <v>0.25</v>
      </c>
      <c r="G122" s="135">
        <v>1.05</v>
      </c>
      <c r="H122" s="212">
        <f>G122*F122*E122*D122</f>
        <v>-0.1575</v>
      </c>
      <c r="I122" s="136"/>
      <c r="J122" s="236"/>
      <c r="K122" s="217">
        <f t="shared" si="5"/>
        <v>0</v>
      </c>
      <c r="L122" s="218">
        <f t="shared" si="6"/>
        <v>0</v>
      </c>
    </row>
    <row r="123" spans="1:12" x14ac:dyDescent="0.2">
      <c r="A123" s="139"/>
      <c r="B123" s="215"/>
      <c r="C123" s="221" t="s">
        <v>117</v>
      </c>
      <c r="D123" s="142"/>
      <c r="E123" s="145"/>
      <c r="F123" s="145"/>
      <c r="G123" s="145"/>
      <c r="H123" s="216">
        <v>19</v>
      </c>
      <c r="I123" s="141" t="s">
        <v>118</v>
      </c>
      <c r="J123" s="217">
        <v>9105.9500000000007</v>
      </c>
      <c r="K123" s="217">
        <f t="shared" si="5"/>
        <v>7716.9067796610179</v>
      </c>
      <c r="L123" s="218">
        <f t="shared" si="6"/>
        <v>146621.22881355934</v>
      </c>
    </row>
    <row r="124" spans="1:12" ht="38.25" x14ac:dyDescent="0.2">
      <c r="A124" s="116">
        <v>6</v>
      </c>
      <c r="B124" s="117">
        <v>6.13</v>
      </c>
      <c r="C124" s="251" t="s">
        <v>274</v>
      </c>
      <c r="D124" s="119"/>
      <c r="E124" s="121"/>
      <c r="F124" s="121"/>
      <c r="G124" s="121"/>
      <c r="H124" s="263"/>
      <c r="I124" s="122"/>
      <c r="J124" s="209"/>
      <c r="K124" s="217">
        <f t="shared" si="5"/>
        <v>0</v>
      </c>
      <c r="L124" s="218">
        <f t="shared" si="6"/>
        <v>0</v>
      </c>
    </row>
    <row r="125" spans="1:12" ht="27" customHeight="1" x14ac:dyDescent="0.2">
      <c r="A125" s="124"/>
      <c r="B125" s="125" t="s">
        <v>275</v>
      </c>
      <c r="C125" s="257" t="s">
        <v>276</v>
      </c>
      <c r="D125" s="127"/>
      <c r="E125" s="129"/>
      <c r="F125" s="129"/>
      <c r="G125" s="129"/>
      <c r="H125" s="264"/>
      <c r="I125" s="130"/>
      <c r="J125" s="240"/>
      <c r="K125" s="217">
        <f t="shared" si="5"/>
        <v>0</v>
      </c>
      <c r="L125" s="218">
        <f t="shared" si="6"/>
        <v>0</v>
      </c>
    </row>
    <row r="126" spans="1:12" x14ac:dyDescent="0.2">
      <c r="A126" s="124"/>
      <c r="B126" s="211"/>
      <c r="C126" s="187" t="s">
        <v>277</v>
      </c>
      <c r="D126" s="180">
        <v>1</v>
      </c>
      <c r="E126" s="135">
        <f>3.4+2.95+1.65+2.55</f>
        <v>10.55</v>
      </c>
      <c r="F126" s="135"/>
      <c r="G126" s="135">
        <f>3-0.45</f>
        <v>2.5499999999999998</v>
      </c>
      <c r="H126" s="212">
        <f>D126*E126*G126</f>
        <v>26.9025</v>
      </c>
      <c r="I126" s="136"/>
      <c r="J126" s="213"/>
      <c r="K126" s="217">
        <f t="shared" si="5"/>
        <v>0</v>
      </c>
      <c r="L126" s="218">
        <f t="shared" si="6"/>
        <v>0</v>
      </c>
    </row>
    <row r="127" spans="1:12" x14ac:dyDescent="0.2">
      <c r="A127" s="124"/>
      <c r="B127" s="211"/>
      <c r="C127" s="191" t="s">
        <v>271</v>
      </c>
      <c r="D127" s="133"/>
      <c r="E127" s="135"/>
      <c r="F127" s="135"/>
      <c r="G127" s="135"/>
      <c r="H127" s="212"/>
      <c r="I127" s="136"/>
      <c r="J127" s="213"/>
      <c r="K127" s="217">
        <f t="shared" si="5"/>
        <v>0</v>
      </c>
      <c r="L127" s="218">
        <f t="shared" si="6"/>
        <v>0</v>
      </c>
    </row>
    <row r="128" spans="1:12" x14ac:dyDescent="0.2">
      <c r="A128" s="124"/>
      <c r="B128" s="211"/>
      <c r="C128" s="183" t="s">
        <v>222</v>
      </c>
      <c r="D128" s="133">
        <v>-1</v>
      </c>
      <c r="E128" s="135">
        <v>1</v>
      </c>
      <c r="F128" s="135"/>
      <c r="G128" s="135">
        <v>2.1</v>
      </c>
      <c r="H128" s="212">
        <f>D128*E128*G128</f>
        <v>-2.1</v>
      </c>
      <c r="I128" s="136"/>
      <c r="J128" s="213"/>
      <c r="K128" s="217">
        <f t="shared" si="5"/>
        <v>0</v>
      </c>
      <c r="L128" s="218">
        <f t="shared" si="6"/>
        <v>0</v>
      </c>
    </row>
    <row r="129" spans="1:12" x14ac:dyDescent="0.2">
      <c r="A129" s="139"/>
      <c r="B129" s="215"/>
      <c r="C129" s="221" t="s">
        <v>117</v>
      </c>
      <c r="D129" s="142"/>
      <c r="E129" s="145"/>
      <c r="F129" s="145"/>
      <c r="G129" s="145"/>
      <c r="H129" s="216">
        <v>24</v>
      </c>
      <c r="I129" s="141" t="s">
        <v>278</v>
      </c>
      <c r="J129" s="217">
        <v>1123.8</v>
      </c>
      <c r="K129" s="217">
        <f t="shared" si="5"/>
        <v>952.37288135593224</v>
      </c>
      <c r="L129" s="218">
        <f t="shared" si="6"/>
        <v>22856.949152542373</v>
      </c>
    </row>
    <row r="130" spans="1:12" x14ac:dyDescent="0.2">
      <c r="A130" s="116">
        <v>7</v>
      </c>
      <c r="B130" s="206">
        <v>13.16</v>
      </c>
      <c r="C130" s="265" t="s">
        <v>279</v>
      </c>
      <c r="D130" s="119"/>
      <c r="E130" s="121"/>
      <c r="F130" s="121"/>
      <c r="G130" s="121"/>
      <c r="H130" s="263"/>
      <c r="I130" s="122"/>
      <c r="J130" s="209"/>
      <c r="K130" s="217">
        <f t="shared" si="5"/>
        <v>0</v>
      </c>
      <c r="L130" s="218">
        <f t="shared" si="6"/>
        <v>0</v>
      </c>
    </row>
    <row r="131" spans="1:12" x14ac:dyDescent="0.2">
      <c r="A131" s="124"/>
      <c r="B131" s="211" t="s">
        <v>280</v>
      </c>
      <c r="C131" s="266" t="s">
        <v>281</v>
      </c>
      <c r="D131" s="127"/>
      <c r="E131" s="129"/>
      <c r="F131" s="129"/>
      <c r="G131" s="129"/>
      <c r="H131" s="239"/>
      <c r="I131" s="130"/>
      <c r="J131" s="240"/>
      <c r="K131" s="217">
        <f t="shared" si="5"/>
        <v>0</v>
      </c>
      <c r="L131" s="218">
        <f t="shared" si="6"/>
        <v>0</v>
      </c>
    </row>
    <row r="132" spans="1:12" x14ac:dyDescent="0.2">
      <c r="A132" s="124"/>
      <c r="B132" s="211"/>
      <c r="C132" s="225" t="s">
        <v>231</v>
      </c>
      <c r="D132" s="226">
        <v>4</v>
      </c>
      <c r="E132" s="227">
        <v>5.85</v>
      </c>
      <c r="F132" s="227">
        <v>8.85</v>
      </c>
      <c r="G132" s="227"/>
      <c r="H132" s="227">
        <f t="shared" ref="H132:H141" si="9">D132*E132*F132</f>
        <v>207.08999999999997</v>
      </c>
      <c r="I132" s="136"/>
      <c r="J132" s="213"/>
      <c r="K132" s="217">
        <f t="shared" si="5"/>
        <v>0</v>
      </c>
      <c r="L132" s="218">
        <f t="shared" si="6"/>
        <v>0</v>
      </c>
    </row>
    <row r="133" spans="1:12" x14ac:dyDescent="0.2">
      <c r="A133" s="124"/>
      <c r="B133" s="211"/>
      <c r="C133" s="225"/>
      <c r="D133" s="226">
        <v>4</v>
      </c>
      <c r="E133" s="227">
        <v>4.6500000000000004</v>
      </c>
      <c r="F133" s="227">
        <v>6.5750000000000002</v>
      </c>
      <c r="G133" s="227"/>
      <c r="H133" s="227">
        <f t="shared" si="9"/>
        <v>122.29500000000002</v>
      </c>
      <c r="I133" s="136"/>
      <c r="J133" s="213"/>
      <c r="K133" s="217">
        <f t="shared" si="5"/>
        <v>0</v>
      </c>
      <c r="L133" s="218">
        <f t="shared" si="6"/>
        <v>0</v>
      </c>
    </row>
    <row r="134" spans="1:12" x14ac:dyDescent="0.2">
      <c r="A134" s="124"/>
      <c r="B134" s="211"/>
      <c r="C134" s="225" t="s">
        <v>232</v>
      </c>
      <c r="D134" s="226">
        <v>1</v>
      </c>
      <c r="E134" s="950">
        <v>93.33</v>
      </c>
      <c r="F134" s="951"/>
      <c r="G134" s="227"/>
      <c r="H134" s="227">
        <f>D134*E134</f>
        <v>93.33</v>
      </c>
      <c r="I134" s="136"/>
      <c r="J134" s="213"/>
      <c r="K134" s="217">
        <f t="shared" si="5"/>
        <v>0</v>
      </c>
      <c r="L134" s="218">
        <f t="shared" si="6"/>
        <v>0</v>
      </c>
    </row>
    <row r="135" spans="1:12" x14ac:dyDescent="0.2">
      <c r="A135" s="124"/>
      <c r="B135" s="211"/>
      <c r="C135" s="225" t="s">
        <v>233</v>
      </c>
      <c r="D135" s="226">
        <v>4</v>
      </c>
      <c r="E135" s="227">
        <v>4.0999999999999996</v>
      </c>
      <c r="F135" s="227">
        <v>0.47499999999999998</v>
      </c>
      <c r="G135" s="227"/>
      <c r="H135" s="227">
        <f t="shared" si="9"/>
        <v>7.7899999999999991</v>
      </c>
      <c r="I135" s="136"/>
      <c r="J135" s="213"/>
      <c r="K135" s="217">
        <f t="shared" si="5"/>
        <v>0</v>
      </c>
      <c r="L135" s="218">
        <f t="shared" si="6"/>
        <v>0</v>
      </c>
    </row>
    <row r="136" spans="1:12" x14ac:dyDescent="0.2">
      <c r="A136" s="124"/>
      <c r="B136" s="211"/>
      <c r="C136" s="225" t="s">
        <v>234</v>
      </c>
      <c r="D136" s="226">
        <v>4</v>
      </c>
      <c r="E136" s="227">
        <v>4.0999999999999996</v>
      </c>
      <c r="F136" s="227">
        <v>0.47499999999999998</v>
      </c>
      <c r="G136" s="227"/>
      <c r="H136" s="227">
        <f t="shared" si="9"/>
        <v>7.7899999999999991</v>
      </c>
      <c r="I136" s="136"/>
      <c r="J136" s="213"/>
      <c r="K136" s="217">
        <f t="shared" si="5"/>
        <v>0</v>
      </c>
      <c r="L136" s="218">
        <f t="shared" si="6"/>
        <v>0</v>
      </c>
    </row>
    <row r="137" spans="1:12" x14ac:dyDescent="0.2">
      <c r="A137" s="124"/>
      <c r="B137" s="211"/>
      <c r="C137" s="225" t="s">
        <v>235</v>
      </c>
      <c r="D137" s="226">
        <v>8</v>
      </c>
      <c r="E137" s="227">
        <v>3.6749999999999998</v>
      </c>
      <c r="F137" s="227">
        <v>1.5</v>
      </c>
      <c r="G137" s="227"/>
      <c r="H137" s="227">
        <f t="shared" si="9"/>
        <v>44.099999999999994</v>
      </c>
      <c r="I137" s="136"/>
      <c r="J137" s="213"/>
      <c r="K137" s="217">
        <f t="shared" si="5"/>
        <v>0</v>
      </c>
      <c r="L137" s="218">
        <f t="shared" si="6"/>
        <v>0</v>
      </c>
    </row>
    <row r="138" spans="1:12" x14ac:dyDescent="0.2">
      <c r="A138" s="124"/>
      <c r="B138" s="211"/>
      <c r="C138" s="225" t="s">
        <v>236</v>
      </c>
      <c r="D138" s="226">
        <v>2</v>
      </c>
      <c r="E138" s="227">
        <f>0.9+0.3</f>
        <v>1.2</v>
      </c>
      <c r="F138" s="227">
        <v>0.6</v>
      </c>
      <c r="G138" s="227"/>
      <c r="H138" s="227">
        <f t="shared" si="9"/>
        <v>1.44</v>
      </c>
      <c r="I138" s="136"/>
      <c r="J138" s="213"/>
      <c r="K138" s="217">
        <f t="shared" ref="K138:K201" si="10">J138*100/118</f>
        <v>0</v>
      </c>
      <c r="L138" s="218">
        <f t="shared" ref="L138:L201" si="11">K138*H138</f>
        <v>0</v>
      </c>
    </row>
    <row r="139" spans="1:12" x14ac:dyDescent="0.2">
      <c r="A139" s="124"/>
      <c r="B139" s="211"/>
      <c r="C139" s="225" t="s">
        <v>282</v>
      </c>
      <c r="D139" s="226">
        <v>1</v>
      </c>
      <c r="E139" s="227">
        <v>0.6</v>
      </c>
      <c r="F139" s="227">
        <v>0.6</v>
      </c>
      <c r="G139" s="227"/>
      <c r="H139" s="227">
        <f t="shared" si="9"/>
        <v>0.36</v>
      </c>
      <c r="I139" s="136"/>
      <c r="J139" s="213"/>
      <c r="K139" s="217">
        <f t="shared" si="10"/>
        <v>0</v>
      </c>
      <c r="L139" s="218">
        <f t="shared" si="11"/>
        <v>0</v>
      </c>
    </row>
    <row r="140" spans="1:12" x14ac:dyDescent="0.2">
      <c r="A140" s="124"/>
      <c r="B140" s="211"/>
      <c r="C140" s="225" t="s">
        <v>237</v>
      </c>
      <c r="D140" s="226">
        <v>-1</v>
      </c>
      <c r="E140" s="227">
        <v>2.5499999999999998</v>
      </c>
      <c r="F140" s="227">
        <v>3.45</v>
      </c>
      <c r="G140" s="227"/>
      <c r="H140" s="227">
        <f t="shared" si="9"/>
        <v>-8.7974999999999994</v>
      </c>
      <c r="I140" s="136"/>
      <c r="J140" s="213"/>
      <c r="K140" s="217">
        <f t="shared" si="10"/>
        <v>0</v>
      </c>
      <c r="L140" s="218">
        <f t="shared" si="11"/>
        <v>0</v>
      </c>
    </row>
    <row r="141" spans="1:12" x14ac:dyDescent="0.2">
      <c r="A141" s="124"/>
      <c r="B141" s="211"/>
      <c r="C141" s="230" t="s">
        <v>238</v>
      </c>
      <c r="D141" s="231">
        <v>-1</v>
      </c>
      <c r="E141" s="232">
        <v>2.0499999999999998</v>
      </c>
      <c r="F141" s="232">
        <v>2.0499999999999998</v>
      </c>
      <c r="G141" s="232"/>
      <c r="H141" s="227">
        <f t="shared" si="9"/>
        <v>-4.2024999999999997</v>
      </c>
      <c r="I141" s="141"/>
      <c r="J141" s="217"/>
      <c r="K141" s="217">
        <f t="shared" si="10"/>
        <v>0</v>
      </c>
      <c r="L141" s="218">
        <f t="shared" si="11"/>
        <v>0</v>
      </c>
    </row>
    <row r="142" spans="1:12" x14ac:dyDescent="0.2">
      <c r="A142" s="139"/>
      <c r="B142" s="215"/>
      <c r="C142" s="221" t="s">
        <v>117</v>
      </c>
      <c r="D142" s="142"/>
      <c r="E142" s="233"/>
      <c r="F142" s="145"/>
      <c r="G142" s="145"/>
      <c r="H142" s="267">
        <v>470</v>
      </c>
      <c r="I142" s="268" t="s">
        <v>128</v>
      </c>
      <c r="J142" s="269">
        <v>300.45</v>
      </c>
      <c r="K142" s="217">
        <f t="shared" si="10"/>
        <v>254.61864406779662</v>
      </c>
      <c r="L142" s="218">
        <f t="shared" si="11"/>
        <v>119670.76271186442</v>
      </c>
    </row>
    <row r="143" spans="1:12" x14ac:dyDescent="0.2">
      <c r="A143" s="116">
        <v>8</v>
      </c>
      <c r="B143" s="206" t="s">
        <v>283</v>
      </c>
      <c r="C143" s="219" t="s">
        <v>284</v>
      </c>
      <c r="D143" s="119"/>
      <c r="E143" s="121"/>
      <c r="F143" s="121"/>
      <c r="G143" s="121"/>
      <c r="H143" s="208"/>
      <c r="I143" s="122"/>
      <c r="J143" s="209"/>
      <c r="K143" s="217">
        <f t="shared" si="10"/>
        <v>0</v>
      </c>
      <c r="L143" s="218">
        <f t="shared" si="11"/>
        <v>0</v>
      </c>
    </row>
    <row r="144" spans="1:12" x14ac:dyDescent="0.2">
      <c r="A144" s="124"/>
      <c r="B144" s="211"/>
      <c r="C144" s="220" t="s">
        <v>285</v>
      </c>
      <c r="D144" s="133" t="s">
        <v>91</v>
      </c>
      <c r="E144" s="135" t="s">
        <v>91</v>
      </c>
      <c r="F144" s="135"/>
      <c r="G144" s="135" t="s">
        <v>91</v>
      </c>
      <c r="H144" s="212" t="s">
        <v>91</v>
      </c>
      <c r="I144" s="136"/>
      <c r="J144" s="213"/>
      <c r="K144" s="217">
        <f t="shared" si="10"/>
        <v>0</v>
      </c>
      <c r="L144" s="218">
        <v>0</v>
      </c>
    </row>
    <row r="145" spans="1:12" x14ac:dyDescent="0.2">
      <c r="A145" s="124"/>
      <c r="B145" s="211"/>
      <c r="C145" s="220" t="s">
        <v>286</v>
      </c>
      <c r="D145" s="133">
        <v>1</v>
      </c>
      <c r="E145" s="135">
        <f>3.425*2+3.75*2+0.45*2</f>
        <v>15.25</v>
      </c>
      <c r="F145" s="135"/>
      <c r="G145" s="135">
        <f>3-0.13</f>
        <v>2.87</v>
      </c>
      <c r="H145" s="134">
        <f t="shared" ref="H145:H152" si="12">D145*E145*G145</f>
        <v>43.767499999999998</v>
      </c>
      <c r="I145" s="136"/>
      <c r="J145" s="213"/>
      <c r="K145" s="217">
        <f t="shared" si="10"/>
        <v>0</v>
      </c>
      <c r="L145" s="218">
        <f t="shared" si="11"/>
        <v>0</v>
      </c>
    </row>
    <row r="146" spans="1:12" x14ac:dyDescent="0.2">
      <c r="A146" s="124"/>
      <c r="B146" s="211"/>
      <c r="C146" s="220" t="s">
        <v>287</v>
      </c>
      <c r="D146" s="133">
        <v>1</v>
      </c>
      <c r="E146" s="135">
        <f>2.075*2+1.625*2</f>
        <v>7.4</v>
      </c>
      <c r="F146" s="135"/>
      <c r="G146" s="135">
        <f>3-0.45</f>
        <v>2.5499999999999998</v>
      </c>
      <c r="H146" s="134">
        <f t="shared" si="12"/>
        <v>18.87</v>
      </c>
      <c r="I146" s="136"/>
      <c r="J146" s="213"/>
      <c r="K146" s="217">
        <f t="shared" si="10"/>
        <v>0</v>
      </c>
      <c r="L146" s="218">
        <f t="shared" si="11"/>
        <v>0</v>
      </c>
    </row>
    <row r="147" spans="1:12" x14ac:dyDescent="0.2">
      <c r="A147" s="124"/>
      <c r="B147" s="211"/>
      <c r="C147" s="220" t="s">
        <v>288</v>
      </c>
      <c r="D147" s="133">
        <v>1</v>
      </c>
      <c r="E147" s="135">
        <f>(1.95+1.975)*2*2</f>
        <v>15.7</v>
      </c>
      <c r="F147" s="135"/>
      <c r="G147" s="135">
        <v>3</v>
      </c>
      <c r="H147" s="134">
        <f t="shared" si="12"/>
        <v>47.099999999999994</v>
      </c>
      <c r="I147" s="136"/>
      <c r="J147" s="213"/>
      <c r="K147" s="217">
        <f t="shared" si="10"/>
        <v>0</v>
      </c>
      <c r="L147" s="218">
        <f t="shared" si="11"/>
        <v>0</v>
      </c>
    </row>
    <row r="148" spans="1:12" x14ac:dyDescent="0.2">
      <c r="A148" s="124"/>
      <c r="B148" s="211"/>
      <c r="C148" s="220" t="s">
        <v>289</v>
      </c>
      <c r="D148" s="133">
        <v>1</v>
      </c>
      <c r="E148" s="135">
        <f>3.8*2+2.55</f>
        <v>10.149999999999999</v>
      </c>
      <c r="F148" s="135"/>
      <c r="G148" s="135">
        <f>3-0.15</f>
        <v>2.85</v>
      </c>
      <c r="H148" s="134">
        <f t="shared" si="12"/>
        <v>28.927499999999998</v>
      </c>
      <c r="I148" s="136"/>
      <c r="J148" s="213"/>
      <c r="K148" s="217">
        <f t="shared" si="10"/>
        <v>0</v>
      </c>
      <c r="L148" s="218">
        <f t="shared" si="11"/>
        <v>0</v>
      </c>
    </row>
    <row r="149" spans="1:12" x14ac:dyDescent="0.2">
      <c r="A149" s="124"/>
      <c r="B149" s="211"/>
      <c r="C149" s="220" t="s">
        <v>290</v>
      </c>
      <c r="D149" s="133">
        <f>D7</f>
        <v>56</v>
      </c>
      <c r="E149" s="135">
        <f>(0.3+0.6)*2</f>
        <v>1.7999999999999998</v>
      </c>
      <c r="F149" s="135"/>
      <c r="G149" s="135">
        <v>2.4</v>
      </c>
      <c r="H149" s="134">
        <f t="shared" si="12"/>
        <v>241.91999999999996</v>
      </c>
      <c r="I149" s="136"/>
      <c r="J149" s="213"/>
      <c r="K149" s="217">
        <f t="shared" si="10"/>
        <v>0</v>
      </c>
      <c r="L149" s="218">
        <f t="shared" si="11"/>
        <v>0</v>
      </c>
    </row>
    <row r="150" spans="1:12" x14ac:dyDescent="0.2">
      <c r="A150" s="124"/>
      <c r="B150" s="211"/>
      <c r="C150" s="220" t="s">
        <v>291</v>
      </c>
      <c r="D150" s="133">
        <f>D8</f>
        <v>12</v>
      </c>
      <c r="E150" s="135">
        <f>(0.3+0.75)*2</f>
        <v>2.1</v>
      </c>
      <c r="F150" s="135"/>
      <c r="G150" s="135">
        <v>2.4</v>
      </c>
      <c r="H150" s="134">
        <f t="shared" si="12"/>
        <v>60.480000000000004</v>
      </c>
      <c r="I150" s="136"/>
      <c r="J150" s="213"/>
      <c r="K150" s="217">
        <f t="shared" si="10"/>
        <v>0</v>
      </c>
      <c r="L150" s="218">
        <f t="shared" si="11"/>
        <v>0</v>
      </c>
    </row>
    <row r="151" spans="1:12" x14ac:dyDescent="0.2">
      <c r="A151" s="124"/>
      <c r="B151" s="211"/>
      <c r="C151" s="220" t="s">
        <v>292</v>
      </c>
      <c r="D151" s="133">
        <v>1</v>
      </c>
      <c r="E151" s="135">
        <f>E61</f>
        <v>359.66899999999993</v>
      </c>
      <c r="F151" s="135"/>
      <c r="G151" s="135">
        <f>(0.6-0.13)+0.25</f>
        <v>0.72</v>
      </c>
      <c r="H151" s="134">
        <f t="shared" si="12"/>
        <v>258.96167999999994</v>
      </c>
      <c r="I151" s="136"/>
      <c r="J151" s="213"/>
      <c r="K151" s="217">
        <f t="shared" si="10"/>
        <v>0</v>
      </c>
      <c r="L151" s="218">
        <f t="shared" si="11"/>
        <v>0</v>
      </c>
    </row>
    <row r="152" spans="1:12" x14ac:dyDescent="0.2">
      <c r="A152" s="124"/>
      <c r="B152" s="211"/>
      <c r="C152" s="183" t="s">
        <v>293</v>
      </c>
      <c r="D152" s="133">
        <v>-1</v>
      </c>
      <c r="E152" s="135">
        <v>1</v>
      </c>
      <c r="F152" s="135"/>
      <c r="G152" s="135">
        <v>2.1</v>
      </c>
      <c r="H152" s="134">
        <f t="shared" si="12"/>
        <v>-2.1</v>
      </c>
      <c r="I152" s="136"/>
      <c r="J152" s="213"/>
      <c r="K152" s="217">
        <f t="shared" si="10"/>
        <v>0</v>
      </c>
      <c r="L152" s="218">
        <f t="shared" si="11"/>
        <v>0</v>
      </c>
    </row>
    <row r="153" spans="1:12" x14ac:dyDescent="0.2">
      <c r="A153" s="124"/>
      <c r="B153" s="211"/>
      <c r="C153" s="183" t="s">
        <v>272</v>
      </c>
      <c r="D153" s="133">
        <v>-1</v>
      </c>
      <c r="E153" s="135">
        <v>0.8</v>
      </c>
      <c r="F153" s="135"/>
      <c r="G153" s="135">
        <v>2.1</v>
      </c>
      <c r="H153" s="134">
        <f>D153*E153*G153</f>
        <v>-1.6800000000000002</v>
      </c>
      <c r="I153" s="136"/>
      <c r="J153" s="213"/>
      <c r="K153" s="217">
        <f t="shared" si="10"/>
        <v>0</v>
      </c>
      <c r="L153" s="218">
        <f t="shared" si="11"/>
        <v>0</v>
      </c>
    </row>
    <row r="154" spans="1:12" x14ac:dyDescent="0.2">
      <c r="A154" s="124"/>
      <c r="B154" s="211"/>
      <c r="C154" s="220" t="s">
        <v>260</v>
      </c>
      <c r="D154" s="133">
        <v>-2</v>
      </c>
      <c r="E154" s="135">
        <v>1.2</v>
      </c>
      <c r="F154" s="135"/>
      <c r="G154" s="135">
        <v>1.65</v>
      </c>
      <c r="H154" s="134">
        <f>D154*E154*G154</f>
        <v>-3.9599999999999995</v>
      </c>
      <c r="I154" s="136"/>
      <c r="J154" s="213"/>
      <c r="K154" s="217">
        <f t="shared" si="10"/>
        <v>0</v>
      </c>
      <c r="L154" s="218">
        <f t="shared" si="11"/>
        <v>0</v>
      </c>
    </row>
    <row r="155" spans="1:12" x14ac:dyDescent="0.2">
      <c r="A155" s="124"/>
      <c r="B155" s="211"/>
      <c r="C155" s="220" t="s">
        <v>273</v>
      </c>
      <c r="D155" s="133">
        <v>-1</v>
      </c>
      <c r="E155" s="135">
        <v>0.6</v>
      </c>
      <c r="F155" s="135"/>
      <c r="G155" s="135">
        <v>1.05</v>
      </c>
      <c r="H155" s="134">
        <f>D155*E155*G155</f>
        <v>-0.63</v>
      </c>
      <c r="I155" s="136"/>
      <c r="J155" s="213"/>
      <c r="K155" s="217">
        <f t="shared" si="10"/>
        <v>0</v>
      </c>
      <c r="L155" s="218">
        <f t="shared" si="11"/>
        <v>0</v>
      </c>
    </row>
    <row r="156" spans="1:12" x14ac:dyDescent="0.2">
      <c r="A156" s="124"/>
      <c r="B156" s="211"/>
      <c r="C156" s="220" t="s">
        <v>294</v>
      </c>
      <c r="D156" s="133" t="s">
        <v>91</v>
      </c>
      <c r="E156" s="135"/>
      <c r="F156" s="135"/>
      <c r="G156" s="135"/>
      <c r="H156" s="134">
        <f xml:space="preserve"> -H165</f>
        <v>-143.99999999999997</v>
      </c>
      <c r="I156" s="136"/>
      <c r="J156" s="213"/>
      <c r="K156" s="217">
        <f t="shared" si="10"/>
        <v>0</v>
      </c>
      <c r="L156" s="218">
        <f t="shared" si="11"/>
        <v>0</v>
      </c>
    </row>
    <row r="157" spans="1:12" x14ac:dyDescent="0.2">
      <c r="A157" s="124"/>
      <c r="B157" s="211"/>
      <c r="C157" s="223" t="s">
        <v>207</v>
      </c>
      <c r="D157" s="133"/>
      <c r="E157" s="135"/>
      <c r="F157" s="135"/>
      <c r="G157" s="135"/>
      <c r="H157" s="134">
        <f>SUM(H144:H156)</f>
        <v>547.65667999999994</v>
      </c>
      <c r="I157" s="136"/>
      <c r="J157" s="213"/>
      <c r="K157" s="217">
        <f t="shared" si="10"/>
        <v>0</v>
      </c>
      <c r="L157" s="218">
        <f t="shared" si="11"/>
        <v>0</v>
      </c>
    </row>
    <row r="158" spans="1:12" x14ac:dyDescent="0.2">
      <c r="A158" s="139"/>
      <c r="B158" s="215"/>
      <c r="C158" s="221" t="s">
        <v>295</v>
      </c>
      <c r="D158" s="142"/>
      <c r="E158" s="233"/>
      <c r="F158" s="145"/>
      <c r="G158" s="145"/>
      <c r="H158" s="267">
        <v>540</v>
      </c>
      <c r="I158" s="268" t="s">
        <v>128</v>
      </c>
      <c r="J158" s="269">
        <v>343.65</v>
      </c>
      <c r="K158" s="217">
        <f t="shared" si="10"/>
        <v>291.22881355932202</v>
      </c>
      <c r="L158" s="218">
        <f t="shared" si="11"/>
        <v>157263.55932203389</v>
      </c>
    </row>
    <row r="159" spans="1:12" ht="25.5" x14ac:dyDescent="0.2">
      <c r="A159" s="116">
        <v>9</v>
      </c>
      <c r="B159" s="206" t="s">
        <v>296</v>
      </c>
      <c r="C159" s="270" t="s">
        <v>297</v>
      </c>
      <c r="D159" s="119"/>
      <c r="E159" s="271"/>
      <c r="F159" s="121"/>
      <c r="G159" s="121"/>
      <c r="H159" s="272"/>
      <c r="I159" s="254"/>
      <c r="J159" s="255"/>
      <c r="K159" s="217">
        <f t="shared" si="10"/>
        <v>0</v>
      </c>
      <c r="L159" s="218">
        <f t="shared" si="11"/>
        <v>0</v>
      </c>
    </row>
    <row r="160" spans="1:12" x14ac:dyDescent="0.2">
      <c r="A160" s="124"/>
      <c r="B160" s="211"/>
      <c r="C160" s="223" t="s">
        <v>298</v>
      </c>
      <c r="D160" s="133">
        <v>1</v>
      </c>
      <c r="E160" s="135">
        <f>E62</f>
        <v>52</v>
      </c>
      <c r="F160" s="135"/>
      <c r="G160" s="135">
        <f>3-0.6</f>
        <v>2.4</v>
      </c>
      <c r="H160" s="212">
        <f>SUM(G160*E160*D160)</f>
        <v>124.8</v>
      </c>
      <c r="I160" s="273"/>
      <c r="J160" s="274"/>
      <c r="K160" s="217">
        <f t="shared" si="10"/>
        <v>0</v>
      </c>
      <c r="L160" s="218">
        <f t="shared" si="11"/>
        <v>0</v>
      </c>
    </row>
    <row r="161" spans="1:12" x14ac:dyDescent="0.2">
      <c r="A161" s="139"/>
      <c r="B161" s="215"/>
      <c r="C161" s="223" t="s">
        <v>207</v>
      </c>
      <c r="D161" s="133"/>
      <c r="E161" s="135"/>
      <c r="F161" s="135"/>
      <c r="G161" s="135"/>
      <c r="H161" s="242">
        <v>120</v>
      </c>
      <c r="I161" s="136" t="s">
        <v>278</v>
      </c>
      <c r="J161" s="275">
        <v>395.35</v>
      </c>
      <c r="K161" s="217">
        <f t="shared" si="10"/>
        <v>335.04237288135596</v>
      </c>
      <c r="L161" s="218">
        <f t="shared" si="11"/>
        <v>40205.084745762717</v>
      </c>
    </row>
    <row r="162" spans="1:12" ht="27.75" customHeight="1" x14ac:dyDescent="0.2">
      <c r="A162" s="124">
        <v>10</v>
      </c>
      <c r="B162" s="211" t="s">
        <v>299</v>
      </c>
      <c r="C162" s="276" t="s">
        <v>300</v>
      </c>
      <c r="D162" s="127"/>
      <c r="E162" s="129"/>
      <c r="F162" s="129"/>
      <c r="G162" s="129"/>
      <c r="H162" s="264"/>
      <c r="I162" s="130"/>
      <c r="J162" s="240"/>
      <c r="K162" s="217">
        <f t="shared" si="10"/>
        <v>0</v>
      </c>
      <c r="L162" s="218">
        <f t="shared" si="11"/>
        <v>0</v>
      </c>
    </row>
    <row r="163" spans="1:12" x14ac:dyDescent="0.2">
      <c r="A163" s="124"/>
      <c r="B163" s="211"/>
      <c r="C163" s="225" t="s">
        <v>301</v>
      </c>
      <c r="D163" s="133">
        <v>1</v>
      </c>
      <c r="E163" s="135">
        <f>3.95+5.1+2.55</f>
        <v>11.600000000000001</v>
      </c>
      <c r="F163" s="135"/>
      <c r="G163" s="135">
        <v>3</v>
      </c>
      <c r="H163" s="134">
        <f>G163*E163*D163</f>
        <v>34.800000000000004</v>
      </c>
      <c r="I163" s="180"/>
      <c r="J163" s="213"/>
      <c r="K163" s="217">
        <f t="shared" si="10"/>
        <v>0</v>
      </c>
      <c r="L163" s="218">
        <f t="shared" si="11"/>
        <v>0</v>
      </c>
    </row>
    <row r="164" spans="1:12" x14ac:dyDescent="0.2">
      <c r="A164" s="124"/>
      <c r="B164" s="211"/>
      <c r="C164" s="225" t="s">
        <v>302</v>
      </c>
      <c r="D164" s="133">
        <v>1</v>
      </c>
      <c r="E164" s="135">
        <f>E61</f>
        <v>359.66899999999993</v>
      </c>
      <c r="F164" s="135"/>
      <c r="G164" s="135">
        <v>0.6</v>
      </c>
      <c r="H164" s="134">
        <f>G164*E164*D164</f>
        <v>215.80139999999994</v>
      </c>
      <c r="I164" s="180"/>
      <c r="J164" s="213"/>
      <c r="K164" s="217">
        <f t="shared" si="10"/>
        <v>0</v>
      </c>
      <c r="L164" s="218">
        <f t="shared" si="11"/>
        <v>0</v>
      </c>
    </row>
    <row r="165" spans="1:12" x14ac:dyDescent="0.2">
      <c r="A165" s="124"/>
      <c r="B165" s="211"/>
      <c r="C165" s="230" t="s">
        <v>303</v>
      </c>
      <c r="D165" s="142">
        <v>1</v>
      </c>
      <c r="E165" s="145">
        <f>(0.3+0.5)*12+(0.3+0.6)*56</f>
        <v>59.999999999999993</v>
      </c>
      <c r="F165" s="145"/>
      <c r="G165" s="145">
        <v>2.4</v>
      </c>
      <c r="H165" s="134">
        <f>G165*E165*D165</f>
        <v>143.99999999999997</v>
      </c>
      <c r="I165" s="233"/>
      <c r="J165" s="217"/>
      <c r="K165" s="217">
        <f t="shared" si="10"/>
        <v>0</v>
      </c>
      <c r="L165" s="218">
        <f t="shared" si="11"/>
        <v>0</v>
      </c>
    </row>
    <row r="166" spans="1:12" x14ac:dyDescent="0.2">
      <c r="A166" s="139"/>
      <c r="B166" s="215"/>
      <c r="C166" s="221" t="s">
        <v>117</v>
      </c>
      <c r="D166" s="142"/>
      <c r="E166" s="143"/>
      <c r="F166" s="143"/>
      <c r="G166" s="143"/>
      <c r="H166" s="222">
        <v>390</v>
      </c>
      <c r="I166" s="233" t="s">
        <v>128</v>
      </c>
      <c r="J166" s="217">
        <v>466.05</v>
      </c>
      <c r="K166" s="217">
        <f t="shared" si="10"/>
        <v>394.95762711864404</v>
      </c>
      <c r="L166" s="218">
        <f t="shared" si="11"/>
        <v>154033.47457627117</v>
      </c>
    </row>
    <row r="167" spans="1:12" ht="71.25" x14ac:dyDescent="0.2">
      <c r="A167" s="124">
        <v>11</v>
      </c>
      <c r="B167" s="211">
        <v>13.73</v>
      </c>
      <c r="C167" s="118" t="s">
        <v>304</v>
      </c>
      <c r="D167" s="127"/>
      <c r="E167" s="128"/>
      <c r="F167" s="128"/>
      <c r="G167" s="128"/>
      <c r="H167" s="264"/>
      <c r="I167" s="249"/>
      <c r="J167" s="240"/>
      <c r="K167" s="217">
        <f t="shared" si="10"/>
        <v>0</v>
      </c>
      <c r="L167" s="218">
        <f t="shared" si="11"/>
        <v>0</v>
      </c>
    </row>
    <row r="168" spans="1:12" ht="23.25" customHeight="1" x14ac:dyDescent="0.2">
      <c r="A168" s="124"/>
      <c r="B168" s="211" t="s">
        <v>305</v>
      </c>
      <c r="C168" s="118" t="s">
        <v>306</v>
      </c>
      <c r="D168" s="127"/>
      <c r="E168" s="128">
        <v>150</v>
      </c>
      <c r="F168" s="128"/>
      <c r="G168" s="128"/>
      <c r="H168" s="264"/>
      <c r="I168" s="249" t="s">
        <v>307</v>
      </c>
      <c r="J168" s="240">
        <v>75.8</v>
      </c>
      <c r="K168" s="217">
        <f t="shared" si="10"/>
        <v>64.237288135593218</v>
      </c>
      <c r="L168" s="218">
        <f t="shared" si="11"/>
        <v>0</v>
      </c>
    </row>
    <row r="169" spans="1:12" ht="75.75" customHeight="1" x14ac:dyDescent="0.2">
      <c r="A169" s="116">
        <v>12</v>
      </c>
      <c r="B169" s="277" t="s">
        <v>308</v>
      </c>
      <c r="C169" s="118" t="s">
        <v>309</v>
      </c>
      <c r="D169" s="119"/>
      <c r="E169" s="271"/>
      <c r="F169" s="121"/>
      <c r="G169" s="121"/>
      <c r="H169" s="272"/>
      <c r="I169" s="254"/>
      <c r="J169" s="255"/>
      <c r="K169" s="217">
        <f t="shared" si="10"/>
        <v>0</v>
      </c>
      <c r="L169" s="218">
        <f t="shared" si="11"/>
        <v>0</v>
      </c>
    </row>
    <row r="170" spans="1:12" ht="14.25" x14ac:dyDescent="0.2">
      <c r="A170" s="124"/>
      <c r="B170" s="176"/>
      <c r="C170" s="236" t="s">
        <v>310</v>
      </c>
      <c r="D170" s="133">
        <v>18</v>
      </c>
      <c r="E170" s="135">
        <v>1.2</v>
      </c>
      <c r="F170" s="135">
        <v>0.25</v>
      </c>
      <c r="G170" s="135"/>
      <c r="H170" s="242">
        <f>D170*E170*F170</f>
        <v>5.3999999999999995</v>
      </c>
      <c r="I170" s="273"/>
      <c r="J170" s="274"/>
      <c r="K170" s="217">
        <f t="shared" si="10"/>
        <v>0</v>
      </c>
      <c r="L170" s="218">
        <f t="shared" si="11"/>
        <v>0</v>
      </c>
    </row>
    <row r="171" spans="1:12" ht="14.25" x14ac:dyDescent="0.2">
      <c r="A171" s="124"/>
      <c r="B171" s="176"/>
      <c r="C171" s="278" t="s">
        <v>311</v>
      </c>
      <c r="D171" s="133">
        <v>1</v>
      </c>
      <c r="E171" s="135">
        <v>2.5499999999999998</v>
      </c>
      <c r="F171" s="135">
        <v>1.2</v>
      </c>
      <c r="G171" s="135"/>
      <c r="H171" s="242">
        <f>D171*E171*F171</f>
        <v>3.0599999999999996</v>
      </c>
      <c r="I171" s="273"/>
      <c r="J171" s="274"/>
      <c r="K171" s="217">
        <f t="shared" si="10"/>
        <v>0</v>
      </c>
      <c r="L171" s="218">
        <f t="shared" si="11"/>
        <v>0</v>
      </c>
    </row>
    <row r="172" spans="1:12" ht="14.25" x14ac:dyDescent="0.2">
      <c r="A172" s="124"/>
      <c r="B172" s="176"/>
      <c r="C172" s="279" t="s">
        <v>312</v>
      </c>
      <c r="D172" s="142">
        <v>1</v>
      </c>
      <c r="E172" s="145">
        <v>2.5499999999999998</v>
      </c>
      <c r="F172" s="145">
        <v>3.8</v>
      </c>
      <c r="G172" s="145"/>
      <c r="H172" s="242">
        <f>D172*E172*F172</f>
        <v>9.69</v>
      </c>
      <c r="I172" s="268"/>
      <c r="J172" s="269"/>
      <c r="K172" s="217">
        <f t="shared" si="10"/>
        <v>0</v>
      </c>
      <c r="L172" s="218">
        <f t="shared" si="11"/>
        <v>0</v>
      </c>
    </row>
    <row r="173" spans="1:12" ht="14.25" x14ac:dyDescent="0.2">
      <c r="A173" s="124"/>
      <c r="B173" s="280"/>
      <c r="C173" s="281" t="s">
        <v>207</v>
      </c>
      <c r="D173" s="142"/>
      <c r="E173" s="233"/>
      <c r="F173" s="145"/>
      <c r="G173" s="145"/>
      <c r="H173" s="282">
        <v>18</v>
      </c>
      <c r="I173" s="268" t="s">
        <v>278</v>
      </c>
      <c r="J173" s="269">
        <v>1948.25</v>
      </c>
      <c r="K173" s="217">
        <f t="shared" si="10"/>
        <v>1651.0593220338983</v>
      </c>
      <c r="L173" s="218">
        <f t="shared" si="11"/>
        <v>29719.067796610168</v>
      </c>
    </row>
    <row r="174" spans="1:12" ht="71.25" x14ac:dyDescent="0.2">
      <c r="A174" s="116">
        <v>13</v>
      </c>
      <c r="B174" s="283">
        <v>11.2</v>
      </c>
      <c r="C174" s="284" t="s">
        <v>313</v>
      </c>
      <c r="D174" s="133"/>
      <c r="E174" s="180"/>
      <c r="F174" s="135"/>
      <c r="G174" s="135"/>
      <c r="H174" s="285"/>
      <c r="I174" s="273"/>
      <c r="J174" s="274"/>
      <c r="K174" s="217"/>
      <c r="L174" s="218">
        <f t="shared" si="11"/>
        <v>0</v>
      </c>
    </row>
    <row r="175" spans="1:12" ht="28.5" x14ac:dyDescent="0.2">
      <c r="A175" s="124"/>
      <c r="B175" s="286" t="s">
        <v>314</v>
      </c>
      <c r="C175" s="284" t="s">
        <v>315</v>
      </c>
      <c r="D175" s="133"/>
      <c r="E175" s="180"/>
      <c r="F175" s="135"/>
      <c r="G175" s="135"/>
      <c r="H175" s="285"/>
      <c r="I175" s="273" t="s">
        <v>91</v>
      </c>
      <c r="J175" s="274" t="s">
        <v>91</v>
      </c>
      <c r="K175" s="217"/>
      <c r="L175" s="218">
        <f t="shared" si="11"/>
        <v>0</v>
      </c>
    </row>
    <row r="176" spans="1:12" ht="14.25" x14ac:dyDescent="0.2">
      <c r="A176" s="124"/>
      <c r="B176" s="286"/>
      <c r="C176" s="287" t="s">
        <v>316</v>
      </c>
      <c r="D176" s="133"/>
      <c r="E176" s="180"/>
      <c r="F176" s="135"/>
      <c r="G176" s="135"/>
      <c r="H176" s="285">
        <f>'Tower-I Plinth'!E39-H173</f>
        <v>396</v>
      </c>
      <c r="I176" s="273" t="s">
        <v>91</v>
      </c>
      <c r="J176" s="274" t="s">
        <v>91</v>
      </c>
      <c r="K176" s="217"/>
      <c r="L176" s="218">
        <f t="shared" si="11"/>
        <v>0</v>
      </c>
    </row>
    <row r="177" spans="1:12" ht="14.25" x14ac:dyDescent="0.2">
      <c r="A177" s="139"/>
      <c r="B177" s="286"/>
      <c r="C177" s="287" t="s">
        <v>117</v>
      </c>
      <c r="D177" s="133"/>
      <c r="E177" s="180"/>
      <c r="F177" s="135"/>
      <c r="G177" s="135"/>
      <c r="H177" s="285">
        <f>SUM(H176)</f>
        <v>396</v>
      </c>
      <c r="I177" s="273" t="s">
        <v>278</v>
      </c>
      <c r="J177" s="274">
        <v>1328.35</v>
      </c>
      <c r="K177" s="217">
        <f t="shared" si="10"/>
        <v>1125.7203389830509</v>
      </c>
      <c r="L177" s="218">
        <f t="shared" si="11"/>
        <v>445785.25423728814</v>
      </c>
    </row>
    <row r="178" spans="1:12" ht="108.75" customHeight="1" x14ac:dyDescent="0.2">
      <c r="A178" s="124">
        <v>14</v>
      </c>
      <c r="B178" s="206">
        <v>11.41</v>
      </c>
      <c r="C178" s="288" t="s">
        <v>317</v>
      </c>
      <c r="D178" s="119"/>
      <c r="E178" s="121"/>
      <c r="F178" s="121"/>
      <c r="G178" s="121"/>
      <c r="H178" s="208"/>
      <c r="I178" s="122"/>
      <c r="J178" s="209"/>
      <c r="K178" s="217">
        <f t="shared" si="10"/>
        <v>0</v>
      </c>
      <c r="L178" s="218">
        <f t="shared" si="11"/>
        <v>0</v>
      </c>
    </row>
    <row r="179" spans="1:12" ht="35.25" customHeight="1" x14ac:dyDescent="0.2">
      <c r="A179" s="124"/>
      <c r="B179" s="211" t="s">
        <v>318</v>
      </c>
      <c r="C179" s="289" t="s">
        <v>319</v>
      </c>
      <c r="D179" s="127"/>
      <c r="E179" s="129"/>
      <c r="F179" s="129"/>
      <c r="G179" s="129"/>
      <c r="H179" s="239"/>
      <c r="I179" s="130"/>
      <c r="J179" s="240"/>
      <c r="K179" s="217">
        <f t="shared" si="10"/>
        <v>0</v>
      </c>
      <c r="L179" s="218">
        <f t="shared" si="11"/>
        <v>0</v>
      </c>
    </row>
    <row r="180" spans="1:12" ht="15.75" customHeight="1" x14ac:dyDescent="0.2">
      <c r="A180" s="124"/>
      <c r="B180" s="211"/>
      <c r="C180" s="225" t="s">
        <v>320</v>
      </c>
      <c r="D180" s="226">
        <v>1</v>
      </c>
      <c r="E180" s="227">
        <v>4.0999999999999996</v>
      </c>
      <c r="F180" s="227">
        <v>3.6</v>
      </c>
      <c r="G180" s="227"/>
      <c r="H180" s="227">
        <f>D180*E180*F180</f>
        <v>14.76</v>
      </c>
      <c r="I180" s="136"/>
      <c r="J180" s="213"/>
      <c r="K180" s="217">
        <f t="shared" si="10"/>
        <v>0</v>
      </c>
      <c r="L180" s="218">
        <f t="shared" si="11"/>
        <v>0</v>
      </c>
    </row>
    <row r="181" spans="1:12" ht="16.5" customHeight="1" x14ac:dyDescent="0.2">
      <c r="A181" s="124"/>
      <c r="B181" s="211"/>
      <c r="C181" s="221" t="s">
        <v>117</v>
      </c>
      <c r="D181" s="142"/>
      <c r="E181" s="144"/>
      <c r="F181" s="144"/>
      <c r="G181" s="145"/>
      <c r="H181" s="216">
        <v>14</v>
      </c>
      <c r="I181" s="141" t="s">
        <v>128</v>
      </c>
      <c r="J181" s="217">
        <v>1553.45</v>
      </c>
      <c r="K181" s="217">
        <f t="shared" si="10"/>
        <v>1316.4830508474577</v>
      </c>
      <c r="L181" s="218">
        <f t="shared" si="11"/>
        <v>18430.762711864409</v>
      </c>
    </row>
    <row r="182" spans="1:12" ht="25.5" x14ac:dyDescent="0.2">
      <c r="A182" s="116">
        <v>15</v>
      </c>
      <c r="B182" s="206">
        <v>11.37</v>
      </c>
      <c r="C182" s="207" t="s">
        <v>321</v>
      </c>
      <c r="D182" s="119"/>
      <c r="E182" s="121"/>
      <c r="F182" s="121"/>
      <c r="G182" s="121"/>
      <c r="H182" s="263"/>
      <c r="I182" s="122"/>
      <c r="J182" s="209"/>
      <c r="K182" s="217">
        <f t="shared" si="10"/>
        <v>0</v>
      </c>
      <c r="L182" s="218">
        <f t="shared" si="11"/>
        <v>0</v>
      </c>
    </row>
    <row r="183" spans="1:12" x14ac:dyDescent="0.2">
      <c r="A183" s="124"/>
      <c r="B183" s="211"/>
      <c r="C183" s="220" t="s">
        <v>322</v>
      </c>
      <c r="D183" s="133">
        <v>1</v>
      </c>
      <c r="E183" s="135">
        <v>1.6</v>
      </c>
      <c r="F183" s="135">
        <v>2.1</v>
      </c>
      <c r="G183" s="135"/>
      <c r="H183" s="212">
        <f>F183*E183*D183</f>
        <v>3.3600000000000003</v>
      </c>
      <c r="I183" s="136"/>
      <c r="J183" s="213"/>
      <c r="K183" s="217">
        <f t="shared" si="10"/>
        <v>0</v>
      </c>
      <c r="L183" s="218">
        <f t="shared" si="11"/>
        <v>0</v>
      </c>
    </row>
    <row r="184" spans="1:12" x14ac:dyDescent="0.2">
      <c r="A184" s="124"/>
      <c r="B184" s="215"/>
      <c r="C184" s="221" t="s">
        <v>117</v>
      </c>
      <c r="D184" s="142"/>
      <c r="E184" s="145"/>
      <c r="F184" s="145"/>
      <c r="G184" s="145"/>
      <c r="H184" s="216">
        <v>3</v>
      </c>
      <c r="I184" s="141" t="s">
        <v>128</v>
      </c>
      <c r="J184" s="217">
        <v>1096.55</v>
      </c>
      <c r="K184" s="217">
        <f t="shared" si="10"/>
        <v>929.27966101694915</v>
      </c>
      <c r="L184" s="218">
        <f t="shared" si="11"/>
        <v>2787.8389830508477</v>
      </c>
    </row>
    <row r="185" spans="1:12" ht="72.75" x14ac:dyDescent="0.2">
      <c r="A185" s="116">
        <v>16</v>
      </c>
      <c r="B185" s="211">
        <v>11.23</v>
      </c>
      <c r="C185" s="290" t="s">
        <v>323</v>
      </c>
      <c r="D185" s="133"/>
      <c r="E185" s="135"/>
      <c r="F185" s="135"/>
      <c r="G185" s="135"/>
      <c r="H185" s="242"/>
      <c r="I185" s="136"/>
      <c r="J185" s="213"/>
      <c r="K185" s="217">
        <f t="shared" si="10"/>
        <v>0</v>
      </c>
      <c r="L185" s="218">
        <f t="shared" si="11"/>
        <v>0</v>
      </c>
    </row>
    <row r="186" spans="1:12" x14ac:dyDescent="0.2">
      <c r="A186" s="124"/>
      <c r="B186" s="211"/>
      <c r="C186" s="223" t="s">
        <v>324</v>
      </c>
      <c r="D186" s="133">
        <v>1</v>
      </c>
      <c r="E186" s="135">
        <v>4.8</v>
      </c>
      <c r="F186" s="135">
        <v>2.8</v>
      </c>
      <c r="G186" s="135"/>
      <c r="H186" s="212">
        <f>F186*E186*D186</f>
        <v>13.44</v>
      </c>
      <c r="I186" s="136"/>
      <c r="J186" s="213"/>
      <c r="K186" s="217">
        <f t="shared" si="10"/>
        <v>0</v>
      </c>
      <c r="L186" s="218">
        <f t="shared" si="11"/>
        <v>0</v>
      </c>
    </row>
    <row r="187" spans="1:12" x14ac:dyDescent="0.2">
      <c r="A187" s="139"/>
      <c r="B187" s="211"/>
      <c r="C187" s="223" t="s">
        <v>117</v>
      </c>
      <c r="D187" s="133"/>
      <c r="E187" s="135"/>
      <c r="F187" s="135"/>
      <c r="G187" s="135"/>
      <c r="H187" s="216">
        <v>13</v>
      </c>
      <c r="I187" s="141" t="s">
        <v>128</v>
      </c>
      <c r="J187" s="217">
        <v>3000.2</v>
      </c>
      <c r="K187" s="217">
        <f t="shared" si="10"/>
        <v>2542.5423728813557</v>
      </c>
      <c r="L187" s="218">
        <f t="shared" si="11"/>
        <v>33053.050847457627</v>
      </c>
    </row>
    <row r="188" spans="1:12" ht="47.25" customHeight="1" x14ac:dyDescent="0.2">
      <c r="A188" s="116">
        <v>17</v>
      </c>
      <c r="B188" s="291">
        <v>8.9</v>
      </c>
      <c r="C188" s="292" t="s">
        <v>325</v>
      </c>
      <c r="D188" s="119"/>
      <c r="E188" s="121"/>
      <c r="F188" s="121"/>
      <c r="G188" s="121"/>
      <c r="H188" s="263"/>
      <c r="I188" s="122"/>
      <c r="J188" s="209"/>
      <c r="K188" s="217">
        <f t="shared" si="10"/>
        <v>0</v>
      </c>
      <c r="L188" s="218">
        <f t="shared" si="11"/>
        <v>0</v>
      </c>
    </row>
    <row r="189" spans="1:12" ht="14.25" x14ac:dyDescent="0.2">
      <c r="A189" s="124"/>
      <c r="B189" s="293" t="s">
        <v>326</v>
      </c>
      <c r="C189" s="294" t="s">
        <v>327</v>
      </c>
      <c r="D189" s="127"/>
      <c r="E189" s="129"/>
      <c r="F189" s="129"/>
      <c r="G189" s="129"/>
      <c r="H189" s="264"/>
      <c r="I189" s="130"/>
      <c r="J189" s="240"/>
      <c r="K189" s="217">
        <f t="shared" si="10"/>
        <v>0</v>
      </c>
      <c r="L189" s="218">
        <f t="shared" si="11"/>
        <v>0</v>
      </c>
    </row>
    <row r="190" spans="1:12" ht="14.25" x14ac:dyDescent="0.2">
      <c r="A190" s="124"/>
      <c r="B190" s="293" t="s">
        <v>328</v>
      </c>
      <c r="C190" s="294" t="s">
        <v>329</v>
      </c>
      <c r="D190" s="127" t="s">
        <v>91</v>
      </c>
      <c r="E190" s="129" t="s">
        <v>91</v>
      </c>
      <c r="F190" s="129"/>
      <c r="G190" s="129" t="s">
        <v>91</v>
      </c>
      <c r="H190" s="264" t="s">
        <v>91</v>
      </c>
      <c r="I190" s="130"/>
      <c r="J190" s="240"/>
      <c r="K190" s="217">
        <f t="shared" si="10"/>
        <v>0</v>
      </c>
      <c r="L190" s="218">
        <v>0</v>
      </c>
    </row>
    <row r="191" spans="1:12" ht="14.25" x14ac:dyDescent="0.2">
      <c r="A191" s="124"/>
      <c r="B191" s="293"/>
      <c r="C191" s="278" t="s">
        <v>330</v>
      </c>
      <c r="D191" s="133">
        <v>1</v>
      </c>
      <c r="E191" s="135">
        <f xml:space="preserve"> 4.8*2+2.8</f>
        <v>12.399999999999999</v>
      </c>
      <c r="F191" s="135"/>
      <c r="G191" s="135">
        <v>0.15</v>
      </c>
      <c r="H191" s="242">
        <f>D191*E191*G191</f>
        <v>1.8599999999999997</v>
      </c>
      <c r="I191" s="136"/>
      <c r="J191" s="213"/>
      <c r="K191" s="217">
        <f t="shared" si="10"/>
        <v>0</v>
      </c>
      <c r="L191" s="218">
        <f t="shared" si="11"/>
        <v>0</v>
      </c>
    </row>
    <row r="192" spans="1:12" ht="14.25" x14ac:dyDescent="0.2">
      <c r="A192" s="124"/>
      <c r="B192" s="293"/>
      <c r="C192" s="279" t="s">
        <v>331</v>
      </c>
      <c r="D192" s="142">
        <v>56</v>
      </c>
      <c r="E192" s="145">
        <f>(0.3+0.6)*2</f>
        <v>1.7999999999999998</v>
      </c>
      <c r="F192" s="145"/>
      <c r="G192" s="135">
        <v>0.15</v>
      </c>
      <c r="H192" s="242">
        <f>D192*E192*G192</f>
        <v>15.119999999999997</v>
      </c>
      <c r="I192" s="141"/>
      <c r="J192" s="217"/>
      <c r="K192" s="217">
        <f t="shared" si="10"/>
        <v>0</v>
      </c>
      <c r="L192" s="218">
        <f t="shared" si="11"/>
        <v>0</v>
      </c>
    </row>
    <row r="193" spans="1:12" ht="14.25" x14ac:dyDescent="0.2">
      <c r="A193" s="124"/>
      <c r="B193" s="293"/>
      <c r="C193" s="279" t="s">
        <v>332</v>
      </c>
      <c r="D193" s="142">
        <v>12</v>
      </c>
      <c r="E193" s="145">
        <f>(0.3+0.5)*2</f>
        <v>1.6</v>
      </c>
      <c r="F193" s="145"/>
      <c r="G193" s="135">
        <v>0.15</v>
      </c>
      <c r="H193" s="242">
        <f>D193*E193*G193</f>
        <v>2.8800000000000003</v>
      </c>
      <c r="I193" s="141"/>
      <c r="J193" s="217"/>
      <c r="K193" s="217">
        <f t="shared" si="10"/>
        <v>0</v>
      </c>
      <c r="L193" s="218">
        <f t="shared" si="11"/>
        <v>0</v>
      </c>
    </row>
    <row r="194" spans="1:12" ht="14.25" x14ac:dyDescent="0.2">
      <c r="A194" s="124"/>
      <c r="B194" s="293"/>
      <c r="C194" s="279" t="s">
        <v>333</v>
      </c>
      <c r="D194" s="142">
        <v>56</v>
      </c>
      <c r="E194" s="145">
        <f xml:space="preserve"> 0.3 +0.6</f>
        <v>0.89999999999999991</v>
      </c>
      <c r="F194" s="145"/>
      <c r="G194" s="135">
        <v>0.15</v>
      </c>
      <c r="H194" s="242">
        <f>D194*E194*G194</f>
        <v>7.5599999999999987</v>
      </c>
      <c r="I194" s="141"/>
      <c r="J194" s="217"/>
      <c r="K194" s="217">
        <f t="shared" si="10"/>
        <v>0</v>
      </c>
      <c r="L194" s="218">
        <f t="shared" si="11"/>
        <v>0</v>
      </c>
    </row>
    <row r="195" spans="1:12" ht="14.25" x14ac:dyDescent="0.2">
      <c r="A195" s="124"/>
      <c r="B195" s="295"/>
      <c r="C195" s="296" t="s">
        <v>117</v>
      </c>
      <c r="D195" s="142"/>
      <c r="E195" s="145"/>
      <c r="F195" s="145"/>
      <c r="G195" s="145"/>
      <c r="H195" s="216">
        <v>27</v>
      </c>
      <c r="I195" s="141" t="s">
        <v>334</v>
      </c>
      <c r="J195" s="217">
        <v>3190.3</v>
      </c>
      <c r="K195" s="217">
        <f t="shared" si="10"/>
        <v>2703.6440677966102</v>
      </c>
      <c r="L195" s="218">
        <f t="shared" si="11"/>
        <v>72998.389830508473</v>
      </c>
    </row>
    <row r="196" spans="1:12" ht="42.75" x14ac:dyDescent="0.2">
      <c r="A196" s="116">
        <v>17</v>
      </c>
      <c r="B196" s="291">
        <v>8.9</v>
      </c>
      <c r="C196" s="292" t="s">
        <v>325</v>
      </c>
      <c r="D196" s="119"/>
      <c r="E196" s="121"/>
      <c r="F196" s="121"/>
      <c r="G196" s="121"/>
      <c r="H196" s="263"/>
      <c r="I196" s="122"/>
      <c r="J196" s="209"/>
      <c r="K196" s="217">
        <f t="shared" si="10"/>
        <v>0</v>
      </c>
      <c r="L196" s="218">
        <f t="shared" si="11"/>
        <v>0</v>
      </c>
    </row>
    <row r="197" spans="1:12" ht="22.5" customHeight="1" x14ac:dyDescent="0.2">
      <c r="A197" s="124" t="s">
        <v>91</v>
      </c>
      <c r="B197" s="293" t="s">
        <v>326</v>
      </c>
      <c r="C197" s="294" t="s">
        <v>327</v>
      </c>
      <c r="D197" s="127"/>
      <c r="E197" s="129"/>
      <c r="F197" s="129"/>
      <c r="G197" s="129"/>
      <c r="H197" s="264"/>
      <c r="I197" s="130"/>
      <c r="J197" s="240"/>
      <c r="K197" s="217">
        <f t="shared" si="10"/>
        <v>0</v>
      </c>
      <c r="L197" s="218">
        <f t="shared" si="11"/>
        <v>0</v>
      </c>
    </row>
    <row r="198" spans="1:12" ht="14.25" x14ac:dyDescent="0.2">
      <c r="A198" s="124"/>
      <c r="B198" s="293" t="s">
        <v>335</v>
      </c>
      <c r="C198" s="294" t="s">
        <v>336</v>
      </c>
      <c r="D198" s="127" t="s">
        <v>91</v>
      </c>
      <c r="E198" s="129" t="s">
        <v>91</v>
      </c>
      <c r="F198" s="129"/>
      <c r="G198" s="129" t="s">
        <v>91</v>
      </c>
      <c r="H198" s="264" t="s">
        <v>91</v>
      </c>
      <c r="I198" s="130"/>
      <c r="J198" s="240"/>
      <c r="K198" s="217">
        <f t="shared" si="10"/>
        <v>0</v>
      </c>
      <c r="L198" s="218">
        <v>0</v>
      </c>
    </row>
    <row r="199" spans="1:12" ht="14.25" x14ac:dyDescent="0.2">
      <c r="A199" s="124"/>
      <c r="B199" s="293"/>
      <c r="C199" s="278" t="s">
        <v>337</v>
      </c>
      <c r="D199" s="133">
        <v>1</v>
      </c>
      <c r="E199" s="135">
        <f>0.575*2</f>
        <v>1.1499999999999999</v>
      </c>
      <c r="F199" s="135"/>
      <c r="G199" s="135">
        <v>2.1</v>
      </c>
      <c r="H199" s="242">
        <f>D199*E199*G199</f>
        <v>2.415</v>
      </c>
      <c r="I199" s="136"/>
      <c r="J199" s="213"/>
      <c r="K199" s="217">
        <f t="shared" si="10"/>
        <v>0</v>
      </c>
      <c r="L199" s="218">
        <f t="shared" si="11"/>
        <v>0</v>
      </c>
    </row>
    <row r="200" spans="1:12" ht="14.25" x14ac:dyDescent="0.2">
      <c r="A200" s="139"/>
      <c r="B200" s="295"/>
      <c r="C200" s="296" t="s">
        <v>117</v>
      </c>
      <c r="D200" s="142"/>
      <c r="E200" s="145"/>
      <c r="F200" s="145"/>
      <c r="G200" s="145"/>
      <c r="H200" s="216">
        <f>SUM(H198:H199)</f>
        <v>2.415</v>
      </c>
      <c r="I200" s="141" t="s">
        <v>334</v>
      </c>
      <c r="J200" s="217">
        <v>3617.55</v>
      </c>
      <c r="K200" s="217">
        <f t="shared" si="10"/>
        <v>3065.7203389830506</v>
      </c>
      <c r="L200" s="218">
        <f t="shared" si="11"/>
        <v>7403.7146186440677</v>
      </c>
    </row>
    <row r="201" spans="1:12" ht="71.25" x14ac:dyDescent="0.2">
      <c r="A201" s="116">
        <v>18</v>
      </c>
      <c r="B201" s="175">
        <v>11.27</v>
      </c>
      <c r="C201" s="118" t="s">
        <v>338</v>
      </c>
      <c r="D201" s="119"/>
      <c r="E201" s="271"/>
      <c r="F201" s="121"/>
      <c r="G201" s="121"/>
      <c r="H201" s="272"/>
      <c r="I201" s="254"/>
      <c r="J201" s="255"/>
      <c r="K201" s="217">
        <f t="shared" si="10"/>
        <v>0</v>
      </c>
      <c r="L201" s="218">
        <f t="shared" si="11"/>
        <v>0</v>
      </c>
    </row>
    <row r="202" spans="1:12" ht="14.25" x14ac:dyDescent="0.2">
      <c r="A202" s="124" t="s">
        <v>91</v>
      </c>
      <c r="B202" s="176"/>
      <c r="C202" s="287" t="s">
        <v>339</v>
      </c>
      <c r="D202" s="133">
        <v>20</v>
      </c>
      <c r="E202" s="135">
        <v>1.2</v>
      </c>
      <c r="F202" s="135"/>
      <c r="G202" s="135">
        <v>0.15</v>
      </c>
      <c r="H202" s="242">
        <f>D202*E202*G202</f>
        <v>3.5999999999999996</v>
      </c>
      <c r="I202" s="273"/>
      <c r="J202" s="274"/>
      <c r="K202" s="217">
        <f t="shared" ref="K202:K265" si="13">J202*100/118</f>
        <v>0</v>
      </c>
      <c r="L202" s="218">
        <f t="shared" ref="L202:L265" si="14">K202*H202</f>
        <v>0</v>
      </c>
    </row>
    <row r="203" spans="1:12" ht="14.25" x14ac:dyDescent="0.2">
      <c r="A203" s="124"/>
      <c r="B203" s="176"/>
      <c r="C203" s="177" t="s">
        <v>340</v>
      </c>
      <c r="D203" s="133">
        <v>1</v>
      </c>
      <c r="E203" s="135">
        <v>2.5499999999999998</v>
      </c>
      <c r="F203" s="135"/>
      <c r="G203" s="135">
        <v>0.15</v>
      </c>
      <c r="H203" s="242">
        <f>D203*E203*G203</f>
        <v>0.38249999999999995</v>
      </c>
      <c r="I203" s="273"/>
      <c r="J203" s="274"/>
      <c r="K203" s="217">
        <f t="shared" si="13"/>
        <v>0</v>
      </c>
      <c r="L203" s="218">
        <f t="shared" si="14"/>
        <v>0</v>
      </c>
    </row>
    <row r="204" spans="1:12" ht="14.25" x14ac:dyDescent="0.2">
      <c r="A204" s="124"/>
      <c r="B204" s="176"/>
      <c r="C204" s="177" t="s">
        <v>340</v>
      </c>
      <c r="D204" s="133">
        <v>2</v>
      </c>
      <c r="E204" s="135">
        <v>1.2</v>
      </c>
      <c r="F204" s="135"/>
      <c r="G204" s="135">
        <v>0.15</v>
      </c>
      <c r="H204" s="242">
        <f>D204*E204*G204</f>
        <v>0.36</v>
      </c>
      <c r="I204" s="273"/>
      <c r="J204" s="274"/>
      <c r="K204" s="217">
        <f t="shared" si="13"/>
        <v>0</v>
      </c>
      <c r="L204" s="218">
        <f t="shared" si="14"/>
        <v>0</v>
      </c>
    </row>
    <row r="205" spans="1:12" ht="14.25" x14ac:dyDescent="0.2">
      <c r="A205" s="124"/>
      <c r="B205" s="176"/>
      <c r="C205" s="177" t="s">
        <v>341</v>
      </c>
      <c r="D205" s="133">
        <v>2</v>
      </c>
      <c r="E205" s="135">
        <v>4</v>
      </c>
      <c r="F205" s="135"/>
      <c r="G205" s="135">
        <v>0.15</v>
      </c>
      <c r="H205" s="242">
        <f>D205*E205*G205</f>
        <v>1.2</v>
      </c>
      <c r="I205" s="273"/>
      <c r="J205" s="274"/>
      <c r="K205" s="217">
        <f t="shared" si="13"/>
        <v>0</v>
      </c>
      <c r="L205" s="218">
        <f t="shared" si="14"/>
        <v>0</v>
      </c>
    </row>
    <row r="206" spans="1:12" ht="14.25" x14ac:dyDescent="0.2">
      <c r="A206" s="124"/>
      <c r="B206" s="176"/>
      <c r="C206" s="297" t="s">
        <v>342</v>
      </c>
      <c r="D206" s="142">
        <v>1</v>
      </c>
      <c r="E206" s="145">
        <f>3.7*2+2.55</f>
        <v>9.9499999999999993</v>
      </c>
      <c r="F206" s="145"/>
      <c r="G206" s="135">
        <v>0.1</v>
      </c>
      <c r="H206" s="242">
        <f>D206*E206*G206</f>
        <v>0.995</v>
      </c>
      <c r="I206" s="268"/>
      <c r="J206" s="269"/>
      <c r="K206" s="217">
        <f t="shared" si="13"/>
        <v>0</v>
      </c>
      <c r="L206" s="218">
        <f t="shared" si="14"/>
        <v>0</v>
      </c>
    </row>
    <row r="207" spans="1:12" ht="14.25" x14ac:dyDescent="0.2">
      <c r="A207" s="124"/>
      <c r="B207" s="280"/>
      <c r="C207" s="281" t="s">
        <v>207</v>
      </c>
      <c r="D207" s="142"/>
      <c r="E207" s="233"/>
      <c r="F207" s="145"/>
      <c r="G207" s="145"/>
      <c r="H207" s="282">
        <v>6</v>
      </c>
      <c r="I207" s="268" t="s">
        <v>278</v>
      </c>
      <c r="J207" s="269">
        <v>2354.6999999999998</v>
      </c>
      <c r="K207" s="217">
        <f t="shared" si="13"/>
        <v>1995.5084745762708</v>
      </c>
      <c r="L207" s="218">
        <f t="shared" si="14"/>
        <v>11973.050847457625</v>
      </c>
    </row>
    <row r="208" spans="1:12" ht="25.5" x14ac:dyDescent="0.2">
      <c r="A208" s="116">
        <v>19</v>
      </c>
      <c r="B208" s="206" t="s">
        <v>343</v>
      </c>
      <c r="C208" s="207" t="s">
        <v>344</v>
      </c>
      <c r="D208" s="127"/>
      <c r="E208" s="249"/>
      <c r="F208" s="129"/>
      <c r="G208" s="129"/>
      <c r="H208" s="298"/>
      <c r="I208" s="260"/>
      <c r="J208" s="261"/>
      <c r="K208" s="217">
        <f t="shared" si="13"/>
        <v>0</v>
      </c>
      <c r="L208" s="218">
        <f t="shared" si="14"/>
        <v>0</v>
      </c>
    </row>
    <row r="209" spans="1:12" ht="14.25" x14ac:dyDescent="0.2">
      <c r="A209" s="124"/>
      <c r="B209" s="176"/>
      <c r="C209" s="177" t="s">
        <v>286</v>
      </c>
      <c r="D209" s="133">
        <v>1</v>
      </c>
      <c r="E209" s="135">
        <f>(4.1+3.6)*2-1</f>
        <v>14.399999999999999</v>
      </c>
      <c r="F209" s="135"/>
      <c r="G209" s="135">
        <v>0.1</v>
      </c>
      <c r="H209" s="242">
        <f>D209*E209*G209</f>
        <v>1.44</v>
      </c>
      <c r="I209" s="273"/>
      <c r="J209" s="274"/>
      <c r="K209" s="217">
        <f t="shared" si="13"/>
        <v>0</v>
      </c>
      <c r="L209" s="218">
        <f t="shared" si="14"/>
        <v>0</v>
      </c>
    </row>
    <row r="210" spans="1:12" ht="14.25" x14ac:dyDescent="0.2">
      <c r="A210" s="124"/>
      <c r="B210" s="176"/>
      <c r="C210" s="299" t="s">
        <v>207</v>
      </c>
      <c r="D210" s="142"/>
      <c r="E210" s="145"/>
      <c r="F210" s="145"/>
      <c r="G210" s="145"/>
      <c r="H210" s="216">
        <f>SUM(H209)</f>
        <v>1.44</v>
      </c>
      <c r="I210" s="268" t="s">
        <v>334</v>
      </c>
      <c r="J210" s="269">
        <v>1623.05</v>
      </c>
      <c r="K210" s="217">
        <f t="shared" si="13"/>
        <v>1375.4661016949153</v>
      </c>
      <c r="L210" s="218">
        <f t="shared" si="14"/>
        <v>1980.671186440678</v>
      </c>
    </row>
    <row r="211" spans="1:12" ht="14.25" x14ac:dyDescent="0.2">
      <c r="A211" s="139"/>
      <c r="B211" s="176"/>
      <c r="C211" s="300"/>
      <c r="D211" s="127"/>
      <c r="E211" s="249"/>
      <c r="F211" s="129"/>
      <c r="G211" s="129"/>
      <c r="H211" s="298"/>
      <c r="I211" s="260"/>
      <c r="J211" s="261"/>
      <c r="K211" s="217">
        <f t="shared" si="13"/>
        <v>0</v>
      </c>
      <c r="L211" s="218">
        <f t="shared" si="14"/>
        <v>0</v>
      </c>
    </row>
    <row r="212" spans="1:12" ht="25.5" x14ac:dyDescent="0.2">
      <c r="A212" s="124">
        <v>20</v>
      </c>
      <c r="B212" s="206">
        <v>8.31</v>
      </c>
      <c r="C212" s="219" t="s">
        <v>345</v>
      </c>
      <c r="D212" s="119"/>
      <c r="E212" s="121"/>
      <c r="F212" s="121"/>
      <c r="G212" s="121"/>
      <c r="H212" s="208"/>
      <c r="I212" s="122"/>
      <c r="J212" s="209"/>
      <c r="K212" s="217">
        <f t="shared" si="13"/>
        <v>0</v>
      </c>
      <c r="L212" s="218">
        <f t="shared" si="14"/>
        <v>0</v>
      </c>
    </row>
    <row r="213" spans="1:12" x14ac:dyDescent="0.2">
      <c r="A213" s="124"/>
      <c r="B213" s="211"/>
      <c r="C213" s="220" t="s">
        <v>287</v>
      </c>
      <c r="D213" s="243">
        <v>1</v>
      </c>
      <c r="E213" s="301">
        <f>(1.63+2.1)*2-0.75</f>
        <v>6.71</v>
      </c>
      <c r="F213" s="301"/>
      <c r="G213" s="301">
        <v>2.1</v>
      </c>
      <c r="H213" s="302">
        <f>D213*E213*G213</f>
        <v>14.091000000000001</v>
      </c>
      <c r="I213" s="136"/>
      <c r="J213" s="213"/>
      <c r="K213" s="217">
        <f t="shared" si="13"/>
        <v>0</v>
      </c>
      <c r="L213" s="218">
        <f t="shared" si="14"/>
        <v>0</v>
      </c>
    </row>
    <row r="214" spans="1:12" x14ac:dyDescent="0.2">
      <c r="A214" s="139"/>
      <c r="B214" s="215"/>
      <c r="C214" s="141" t="s">
        <v>117</v>
      </c>
      <c r="D214" s="142"/>
      <c r="E214" s="145"/>
      <c r="F214" s="145"/>
      <c r="G214" s="145"/>
      <c r="H214" s="216">
        <v>14</v>
      </c>
      <c r="I214" s="141" t="s">
        <v>128</v>
      </c>
      <c r="J214" s="217">
        <v>1267.95</v>
      </c>
      <c r="K214" s="217">
        <f t="shared" si="13"/>
        <v>1074.5338983050847</v>
      </c>
      <c r="L214" s="218">
        <f t="shared" si="14"/>
        <v>15043.474576271186</v>
      </c>
    </row>
    <row r="215" spans="1:12" ht="38.25" x14ac:dyDescent="0.2">
      <c r="A215" s="124">
        <v>21</v>
      </c>
      <c r="B215" s="206">
        <v>9.1</v>
      </c>
      <c r="C215" s="219" t="s">
        <v>346</v>
      </c>
      <c r="D215" s="119"/>
      <c r="E215" s="121"/>
      <c r="F215" s="121"/>
      <c r="G215" s="121"/>
      <c r="H215" s="208"/>
      <c r="I215" s="122"/>
      <c r="J215" s="209"/>
      <c r="K215" s="217">
        <f t="shared" si="13"/>
        <v>0</v>
      </c>
      <c r="L215" s="218">
        <f t="shared" si="14"/>
        <v>0</v>
      </c>
    </row>
    <row r="216" spans="1:12" x14ac:dyDescent="0.2">
      <c r="A216" s="124"/>
      <c r="B216" s="211"/>
      <c r="C216" s="266" t="s">
        <v>347</v>
      </c>
      <c r="D216" s="127"/>
      <c r="E216" s="129"/>
      <c r="F216" s="129"/>
      <c r="G216" s="129"/>
      <c r="H216" s="239"/>
      <c r="I216" s="130"/>
      <c r="J216" s="240"/>
      <c r="K216" s="217">
        <f t="shared" si="13"/>
        <v>0</v>
      </c>
      <c r="L216" s="218">
        <f t="shared" si="14"/>
        <v>0</v>
      </c>
    </row>
    <row r="217" spans="1:12" ht="25.5" x14ac:dyDescent="0.2">
      <c r="A217" s="124"/>
      <c r="B217" s="211" t="s">
        <v>348</v>
      </c>
      <c r="C217" s="289" t="s">
        <v>349</v>
      </c>
      <c r="D217" s="127"/>
      <c r="E217" s="129"/>
      <c r="F217" s="129"/>
      <c r="G217" s="129"/>
      <c r="H217" s="239"/>
      <c r="I217" s="130"/>
      <c r="J217" s="240"/>
      <c r="K217" s="217">
        <f t="shared" si="13"/>
        <v>0</v>
      </c>
      <c r="L217" s="218">
        <f t="shared" si="14"/>
        <v>0</v>
      </c>
    </row>
    <row r="218" spans="1:12" x14ac:dyDescent="0.2">
      <c r="A218" s="124" t="s">
        <v>91</v>
      </c>
      <c r="B218" s="211"/>
      <c r="C218" s="220" t="s">
        <v>222</v>
      </c>
      <c r="D218" s="133">
        <v>1</v>
      </c>
      <c r="E218" s="135">
        <f>2.1*2+1</f>
        <v>5.2</v>
      </c>
      <c r="F218" s="135">
        <v>0.125</v>
      </c>
      <c r="G218" s="135">
        <v>6.25E-2</v>
      </c>
      <c r="H218" s="303">
        <f>G218*F218*E218*D218</f>
        <v>4.0625000000000001E-2</v>
      </c>
      <c r="I218" s="136"/>
      <c r="J218" s="213"/>
      <c r="K218" s="217">
        <f t="shared" si="13"/>
        <v>0</v>
      </c>
      <c r="L218" s="218">
        <f t="shared" si="14"/>
        <v>0</v>
      </c>
    </row>
    <row r="219" spans="1:12" ht="20.25" customHeight="1" x14ac:dyDescent="0.2">
      <c r="A219" s="124"/>
      <c r="B219" s="211"/>
      <c r="C219" s="220" t="s">
        <v>350</v>
      </c>
      <c r="D219" s="133">
        <v>1</v>
      </c>
      <c r="E219" s="135">
        <f>2.1*2+0.75</f>
        <v>4.95</v>
      </c>
      <c r="F219" s="135">
        <v>0.125</v>
      </c>
      <c r="G219" s="135">
        <v>6.25E-2</v>
      </c>
      <c r="H219" s="303">
        <f>G219*F219*E219*D219</f>
        <v>3.8671875000000001E-2</v>
      </c>
      <c r="I219" s="136"/>
      <c r="J219" s="213"/>
      <c r="K219" s="217">
        <f t="shared" si="13"/>
        <v>0</v>
      </c>
      <c r="L219" s="218">
        <f t="shared" si="14"/>
        <v>0</v>
      </c>
    </row>
    <row r="220" spans="1:12" x14ac:dyDescent="0.2">
      <c r="A220" s="139"/>
      <c r="B220" s="215"/>
      <c r="C220" s="141" t="s">
        <v>117</v>
      </c>
      <c r="D220" s="142"/>
      <c r="E220" s="145"/>
      <c r="F220" s="145"/>
      <c r="G220" s="145"/>
      <c r="H220" s="216">
        <f>SUM(H218:H219)</f>
        <v>7.9296875000000003E-2</v>
      </c>
      <c r="I220" s="141" t="s">
        <v>118</v>
      </c>
      <c r="J220" s="217">
        <v>116520.3</v>
      </c>
      <c r="K220" s="217">
        <f t="shared" si="13"/>
        <v>98746.016949152545</v>
      </c>
      <c r="L220" s="218">
        <f t="shared" si="14"/>
        <v>7830.2505627648306</v>
      </c>
    </row>
    <row r="221" spans="1:12" ht="156.75" x14ac:dyDescent="0.2">
      <c r="A221" s="124">
        <v>22</v>
      </c>
      <c r="B221" s="206">
        <v>9.1310000000000002</v>
      </c>
      <c r="C221" s="288" t="s">
        <v>351</v>
      </c>
      <c r="D221" s="119"/>
      <c r="E221" s="121"/>
      <c r="F221" s="121"/>
      <c r="G221" s="121"/>
      <c r="H221" s="208"/>
      <c r="I221" s="122"/>
      <c r="J221" s="209"/>
      <c r="K221" s="217">
        <f t="shared" si="13"/>
        <v>0</v>
      </c>
      <c r="L221" s="218">
        <f t="shared" si="14"/>
        <v>0</v>
      </c>
    </row>
    <row r="222" spans="1:12" x14ac:dyDescent="0.2">
      <c r="A222" s="124"/>
      <c r="B222" s="211" t="s">
        <v>352</v>
      </c>
      <c r="C222" s="289" t="s">
        <v>353</v>
      </c>
      <c r="D222" s="127"/>
      <c r="E222" s="129"/>
      <c r="F222" s="129"/>
      <c r="G222" s="129"/>
      <c r="H222" s="239"/>
      <c r="I222" s="130"/>
      <c r="J222" s="240"/>
      <c r="K222" s="217">
        <f t="shared" si="13"/>
        <v>0</v>
      </c>
      <c r="L222" s="218">
        <f t="shared" si="14"/>
        <v>0</v>
      </c>
    </row>
    <row r="223" spans="1:12" x14ac:dyDescent="0.2">
      <c r="A223" s="124"/>
      <c r="B223" s="211"/>
      <c r="C223" s="220" t="s">
        <v>350</v>
      </c>
      <c r="D223" s="133">
        <v>1</v>
      </c>
      <c r="E223" s="135">
        <v>0.75</v>
      </c>
      <c r="F223" s="135"/>
      <c r="G223" s="135">
        <v>2.1</v>
      </c>
      <c r="H223" s="303">
        <f>D223*E223*G223</f>
        <v>1.5750000000000002</v>
      </c>
      <c r="I223" s="136"/>
      <c r="J223" s="213"/>
      <c r="K223" s="217">
        <f t="shared" si="13"/>
        <v>0</v>
      </c>
      <c r="L223" s="218">
        <f t="shared" si="14"/>
        <v>0</v>
      </c>
    </row>
    <row r="224" spans="1:12" ht="18" customHeight="1" x14ac:dyDescent="0.2">
      <c r="A224" s="139" t="s">
        <v>91</v>
      </c>
      <c r="B224" s="215"/>
      <c r="C224" s="141" t="s">
        <v>117</v>
      </c>
      <c r="D224" s="142"/>
      <c r="E224" s="145"/>
      <c r="F224" s="145"/>
      <c r="G224" s="145"/>
      <c r="H224" s="216">
        <v>1</v>
      </c>
      <c r="I224" s="141" t="s">
        <v>334</v>
      </c>
      <c r="J224" s="217">
        <v>1801.6</v>
      </c>
      <c r="K224" s="217">
        <f t="shared" si="13"/>
        <v>1526.7796610169491</v>
      </c>
      <c r="L224" s="218">
        <f t="shared" si="14"/>
        <v>1526.7796610169491</v>
      </c>
    </row>
    <row r="225" spans="1:12" ht="38.25" x14ac:dyDescent="0.2">
      <c r="A225" s="124">
        <v>23</v>
      </c>
      <c r="B225" s="206">
        <v>9.1319999999999997</v>
      </c>
      <c r="C225" s="304" t="s">
        <v>354</v>
      </c>
      <c r="D225" s="119"/>
      <c r="E225" s="121"/>
      <c r="F225" s="121"/>
      <c r="G225" s="121"/>
      <c r="H225" s="263"/>
      <c r="I225" s="122"/>
      <c r="J225" s="209"/>
      <c r="K225" s="217">
        <f t="shared" si="13"/>
        <v>0</v>
      </c>
      <c r="L225" s="218">
        <f t="shared" si="14"/>
        <v>0</v>
      </c>
    </row>
    <row r="226" spans="1:12" x14ac:dyDescent="0.2">
      <c r="A226" s="124"/>
      <c r="B226" s="211"/>
      <c r="C226" s="220" t="s">
        <v>350</v>
      </c>
      <c r="D226" s="133">
        <v>1</v>
      </c>
      <c r="E226" s="135">
        <v>4.95</v>
      </c>
      <c r="F226" s="135"/>
      <c r="G226" s="135"/>
      <c r="H226" s="134">
        <f>D226*E226</f>
        <v>4.95</v>
      </c>
      <c r="I226" s="136"/>
      <c r="J226" s="213"/>
      <c r="K226" s="217">
        <f t="shared" si="13"/>
        <v>0</v>
      </c>
      <c r="L226" s="218">
        <f t="shared" si="14"/>
        <v>0</v>
      </c>
    </row>
    <row r="227" spans="1:12" x14ac:dyDescent="0.2">
      <c r="A227" s="124"/>
      <c r="B227" s="215"/>
      <c r="C227" s="141" t="s">
        <v>117</v>
      </c>
      <c r="D227" s="142">
        <f>SUM(D226:D226)</f>
        <v>1</v>
      </c>
      <c r="E227" s="145"/>
      <c r="F227" s="145"/>
      <c r="G227" s="145"/>
      <c r="H227" s="216">
        <v>2</v>
      </c>
      <c r="I227" s="141" t="s">
        <v>355</v>
      </c>
      <c r="J227" s="217" t="s">
        <v>356</v>
      </c>
      <c r="K227" s="217"/>
      <c r="L227" s="218">
        <f t="shared" si="14"/>
        <v>0</v>
      </c>
    </row>
    <row r="228" spans="1:12" ht="71.25" x14ac:dyDescent="0.2">
      <c r="A228" s="116">
        <v>24</v>
      </c>
      <c r="B228" s="211">
        <v>9.2100000000000009</v>
      </c>
      <c r="C228" s="290" t="s">
        <v>357</v>
      </c>
      <c r="D228" s="133"/>
      <c r="E228" s="135"/>
      <c r="F228" s="135"/>
      <c r="G228" s="135"/>
      <c r="H228" s="242"/>
      <c r="I228" s="136"/>
      <c r="J228" s="213"/>
      <c r="K228" s="217">
        <f t="shared" si="13"/>
        <v>0</v>
      </c>
      <c r="L228" s="218">
        <f t="shared" si="14"/>
        <v>0</v>
      </c>
    </row>
    <row r="229" spans="1:12" ht="25.5" x14ac:dyDescent="0.2">
      <c r="A229" s="124"/>
      <c r="B229" s="211" t="s">
        <v>358</v>
      </c>
      <c r="C229" s="305" t="s">
        <v>359</v>
      </c>
      <c r="D229" s="133"/>
      <c r="E229" s="135"/>
      <c r="F229" s="135"/>
      <c r="G229" s="135"/>
      <c r="H229" s="242"/>
      <c r="I229" s="136"/>
      <c r="J229" s="213"/>
      <c r="K229" s="217">
        <f t="shared" si="13"/>
        <v>0</v>
      </c>
      <c r="L229" s="218">
        <f t="shared" si="14"/>
        <v>0</v>
      </c>
    </row>
    <row r="230" spans="1:12" x14ac:dyDescent="0.2">
      <c r="A230" s="124"/>
      <c r="B230" s="211"/>
      <c r="C230" s="305" t="s">
        <v>222</v>
      </c>
      <c r="D230" s="133">
        <v>1</v>
      </c>
      <c r="E230" s="135">
        <v>1</v>
      </c>
      <c r="F230" s="135"/>
      <c r="G230" s="135">
        <v>2.1</v>
      </c>
      <c r="H230" s="303">
        <f>D230*E230*G230</f>
        <v>2.1</v>
      </c>
      <c r="I230" s="141"/>
      <c r="J230" s="217"/>
      <c r="K230" s="217">
        <f t="shared" si="13"/>
        <v>0</v>
      </c>
      <c r="L230" s="218">
        <f t="shared" si="14"/>
        <v>0</v>
      </c>
    </row>
    <row r="231" spans="1:12" x14ac:dyDescent="0.2">
      <c r="A231" s="139"/>
      <c r="B231" s="211"/>
      <c r="C231" s="192"/>
      <c r="D231" s="127"/>
      <c r="E231" s="129"/>
      <c r="F231" s="129"/>
      <c r="G231" s="129"/>
      <c r="H231" s="264">
        <v>2</v>
      </c>
      <c r="I231" s="130" t="s">
        <v>334</v>
      </c>
      <c r="J231" s="240">
        <v>2392.65</v>
      </c>
      <c r="K231" s="217">
        <f t="shared" si="13"/>
        <v>2027.6694915254238</v>
      </c>
      <c r="L231" s="218">
        <f t="shared" si="14"/>
        <v>4055.3389830508477</v>
      </c>
    </row>
    <row r="232" spans="1:12" ht="315.75" customHeight="1" x14ac:dyDescent="0.2">
      <c r="A232" s="116">
        <v>25</v>
      </c>
      <c r="B232" s="206" t="s">
        <v>360</v>
      </c>
      <c r="C232" s="290" t="s">
        <v>361</v>
      </c>
      <c r="D232" s="116"/>
      <c r="E232" s="252"/>
      <c r="F232" s="252"/>
      <c r="G232" s="252"/>
      <c r="H232" s="272"/>
      <c r="I232" s="254"/>
      <c r="J232" s="255"/>
      <c r="K232" s="217">
        <f t="shared" si="13"/>
        <v>0</v>
      </c>
      <c r="L232" s="218">
        <f t="shared" si="14"/>
        <v>0</v>
      </c>
    </row>
    <row r="233" spans="1:12" ht="173.25" customHeight="1" x14ac:dyDescent="0.2">
      <c r="A233" s="306"/>
      <c r="B233" s="211"/>
      <c r="C233" s="307" t="s">
        <v>362</v>
      </c>
      <c r="D233" s="127"/>
      <c r="E233" s="129"/>
      <c r="F233" s="129"/>
      <c r="G233" s="129"/>
      <c r="H233" s="239"/>
      <c r="I233" s="260"/>
      <c r="J233" s="261"/>
      <c r="K233" s="217">
        <f t="shared" si="13"/>
        <v>0</v>
      </c>
      <c r="L233" s="218">
        <f t="shared" si="14"/>
        <v>0</v>
      </c>
    </row>
    <row r="234" spans="1:12" ht="76.5" customHeight="1" x14ac:dyDescent="0.2">
      <c r="A234" s="116">
        <v>26</v>
      </c>
      <c r="B234" s="117" t="s">
        <v>363</v>
      </c>
      <c r="C234" s="288" t="s">
        <v>364</v>
      </c>
      <c r="D234" s="119"/>
      <c r="E234" s="121"/>
      <c r="F234" s="121"/>
      <c r="G234" s="121"/>
      <c r="H234" s="263"/>
      <c r="I234" s="122"/>
      <c r="J234" s="209"/>
      <c r="K234" s="217">
        <f t="shared" si="13"/>
        <v>0</v>
      </c>
      <c r="L234" s="218">
        <f t="shared" si="14"/>
        <v>0</v>
      </c>
    </row>
    <row r="235" spans="1:12" x14ac:dyDescent="0.2">
      <c r="A235" s="124"/>
      <c r="B235" s="211"/>
      <c r="C235" s="220" t="s">
        <v>260</v>
      </c>
      <c r="D235" s="133">
        <v>1</v>
      </c>
      <c r="E235" s="135">
        <v>0.6</v>
      </c>
      <c r="F235" s="135"/>
      <c r="G235" s="135">
        <v>1.4</v>
      </c>
      <c r="H235" s="212">
        <f>D235*E235*G235</f>
        <v>0.84</v>
      </c>
      <c r="I235" s="136"/>
      <c r="J235" s="213"/>
      <c r="K235" s="217">
        <f t="shared" si="13"/>
        <v>0</v>
      </c>
      <c r="L235" s="218">
        <f t="shared" si="14"/>
        <v>0</v>
      </c>
    </row>
    <row r="236" spans="1:12" x14ac:dyDescent="0.2">
      <c r="A236" s="124"/>
      <c r="B236" s="211"/>
      <c r="C236" s="220" t="s">
        <v>365</v>
      </c>
      <c r="D236" s="133">
        <v>2</v>
      </c>
      <c r="E236" s="135">
        <v>1.2</v>
      </c>
      <c r="F236" s="135"/>
      <c r="G236" s="135">
        <v>1.05</v>
      </c>
      <c r="H236" s="212">
        <f>D236*E236*G236</f>
        <v>2.52</v>
      </c>
      <c r="I236" s="136"/>
      <c r="J236" s="213"/>
      <c r="K236" s="217">
        <f t="shared" si="13"/>
        <v>0</v>
      </c>
      <c r="L236" s="218">
        <f t="shared" si="14"/>
        <v>0</v>
      </c>
    </row>
    <row r="237" spans="1:12" x14ac:dyDescent="0.2">
      <c r="A237" s="139"/>
      <c r="B237" s="215"/>
      <c r="C237" s="141" t="s">
        <v>117</v>
      </c>
      <c r="D237" s="142"/>
      <c r="E237" s="145"/>
      <c r="F237" s="145"/>
      <c r="G237" s="145"/>
      <c r="H237" s="216">
        <v>3</v>
      </c>
      <c r="I237" s="141" t="s">
        <v>128</v>
      </c>
      <c r="J237" s="217">
        <v>9628.6</v>
      </c>
      <c r="K237" s="217">
        <f t="shared" si="13"/>
        <v>8159.8305084745762</v>
      </c>
      <c r="L237" s="218">
        <f t="shared" si="14"/>
        <v>24479.491525423728</v>
      </c>
    </row>
    <row r="238" spans="1:12" x14ac:dyDescent="0.2">
      <c r="A238" s="124"/>
      <c r="B238" s="211"/>
      <c r="C238" s="130"/>
      <c r="D238" s="127"/>
      <c r="E238" s="129"/>
      <c r="F238" s="129"/>
      <c r="G238" s="129"/>
      <c r="H238" s="264"/>
      <c r="I238" s="130"/>
      <c r="J238" s="240"/>
      <c r="K238" s="217">
        <f t="shared" si="13"/>
        <v>0</v>
      </c>
      <c r="L238" s="218">
        <f t="shared" si="14"/>
        <v>0</v>
      </c>
    </row>
    <row r="239" spans="1:12" ht="57" x14ac:dyDescent="0.2">
      <c r="A239" s="124">
        <v>27</v>
      </c>
      <c r="B239" s="206">
        <v>9.9600000000000009</v>
      </c>
      <c r="C239" s="308" t="s">
        <v>366</v>
      </c>
      <c r="D239" s="119"/>
      <c r="E239" s="121"/>
      <c r="F239" s="121"/>
      <c r="G239" s="121"/>
      <c r="H239" s="263"/>
      <c r="I239" s="122"/>
      <c r="J239" s="209"/>
      <c r="K239" s="217">
        <f t="shared" si="13"/>
        <v>0</v>
      </c>
      <c r="L239" s="218">
        <f t="shared" si="14"/>
        <v>0</v>
      </c>
    </row>
    <row r="240" spans="1:12" ht="18.75" customHeight="1" x14ac:dyDescent="0.2">
      <c r="A240" s="124" t="s">
        <v>91</v>
      </c>
      <c r="B240" s="211" t="s">
        <v>367</v>
      </c>
      <c r="C240" s="294" t="s">
        <v>368</v>
      </c>
      <c r="D240" s="142">
        <v>1</v>
      </c>
      <c r="E240" s="145"/>
      <c r="F240" s="145"/>
      <c r="G240" s="145"/>
      <c r="H240" s="216">
        <f>D240</f>
        <v>1</v>
      </c>
      <c r="I240" s="141" t="s">
        <v>369</v>
      </c>
      <c r="J240" s="217">
        <v>303.25</v>
      </c>
      <c r="K240" s="217">
        <f t="shared" si="13"/>
        <v>256.99152542372883</v>
      </c>
      <c r="L240" s="218">
        <f t="shared" si="14"/>
        <v>256.99152542372883</v>
      </c>
    </row>
    <row r="241" spans="1:12" x14ac:dyDescent="0.2">
      <c r="A241" s="139"/>
      <c r="B241" s="215" t="s">
        <v>370</v>
      </c>
      <c r="C241" s="184" t="s">
        <v>371</v>
      </c>
      <c r="D241" s="142">
        <v>1</v>
      </c>
      <c r="E241" s="145"/>
      <c r="F241" s="145"/>
      <c r="G241" s="145"/>
      <c r="H241" s="216">
        <f>D241</f>
        <v>1</v>
      </c>
      <c r="I241" s="141" t="s">
        <v>369</v>
      </c>
      <c r="J241" s="217">
        <v>260.60000000000002</v>
      </c>
      <c r="K241" s="217">
        <f t="shared" si="13"/>
        <v>220.84745762711867</v>
      </c>
      <c r="L241" s="218">
        <f t="shared" si="14"/>
        <v>220.84745762711867</v>
      </c>
    </row>
    <row r="242" spans="1:12" ht="57" x14ac:dyDescent="0.2">
      <c r="A242" s="124">
        <v>28</v>
      </c>
      <c r="B242" s="206">
        <v>9.9700000000000006</v>
      </c>
      <c r="C242" s="308" t="s">
        <v>372</v>
      </c>
      <c r="D242" s="119"/>
      <c r="E242" s="121"/>
      <c r="F242" s="121"/>
      <c r="G242" s="121"/>
      <c r="H242" s="263"/>
      <c r="I242" s="122"/>
      <c r="J242" s="209"/>
      <c r="K242" s="217">
        <f t="shared" si="13"/>
        <v>0</v>
      </c>
      <c r="L242" s="218">
        <f t="shared" si="14"/>
        <v>0</v>
      </c>
    </row>
    <row r="243" spans="1:12" ht="21" customHeight="1" x14ac:dyDescent="0.2">
      <c r="A243" s="124" t="s">
        <v>91</v>
      </c>
      <c r="B243" s="215" t="s">
        <v>373</v>
      </c>
      <c r="C243" s="309" t="s">
        <v>374</v>
      </c>
      <c r="D243" s="142">
        <v>1</v>
      </c>
      <c r="E243" s="145"/>
      <c r="F243" s="145"/>
      <c r="G243" s="310"/>
      <c r="H243" s="282">
        <f>D243</f>
        <v>1</v>
      </c>
      <c r="I243" s="268" t="s">
        <v>369</v>
      </c>
      <c r="J243" s="269">
        <v>130.1</v>
      </c>
      <c r="K243" s="217">
        <f t="shared" si="13"/>
        <v>110.2542372881356</v>
      </c>
      <c r="L243" s="218">
        <f t="shared" si="14"/>
        <v>110.2542372881356</v>
      </c>
    </row>
    <row r="244" spans="1:12" s="256" customFormat="1" ht="21" customHeight="1" x14ac:dyDescent="0.2">
      <c r="A244" s="139"/>
      <c r="B244" s="215" t="s">
        <v>375</v>
      </c>
      <c r="C244" s="311" t="s">
        <v>376</v>
      </c>
      <c r="D244" s="139">
        <v>1</v>
      </c>
      <c r="E244" s="310"/>
      <c r="F244" s="310"/>
      <c r="G244" s="310"/>
      <c r="H244" s="282">
        <f>D244</f>
        <v>1</v>
      </c>
      <c r="I244" s="268" t="s">
        <v>369</v>
      </c>
      <c r="J244" s="269">
        <v>115.15</v>
      </c>
      <c r="K244" s="217">
        <f t="shared" si="13"/>
        <v>97.584745762711862</v>
      </c>
      <c r="L244" s="218">
        <f t="shared" si="14"/>
        <v>97.584745762711862</v>
      </c>
    </row>
    <row r="245" spans="1:12" ht="28.5" customHeight="1" x14ac:dyDescent="0.2">
      <c r="A245" s="116">
        <v>29</v>
      </c>
      <c r="B245" s="211">
        <v>9.98</v>
      </c>
      <c r="C245" s="312" t="s">
        <v>377</v>
      </c>
      <c r="D245" s="142">
        <v>1</v>
      </c>
      <c r="E245" s="145"/>
      <c r="F245" s="145"/>
      <c r="G245" s="310"/>
      <c r="H245" s="282">
        <f>D245</f>
        <v>1</v>
      </c>
      <c r="I245" s="268" t="s">
        <v>378</v>
      </c>
      <c r="J245" s="269">
        <v>100.8</v>
      </c>
      <c r="K245" s="217">
        <f t="shared" si="13"/>
        <v>85.423728813559322</v>
      </c>
      <c r="L245" s="218">
        <f t="shared" si="14"/>
        <v>85.423728813559322</v>
      </c>
    </row>
    <row r="246" spans="1:12" ht="57" x14ac:dyDescent="0.2">
      <c r="A246" s="116">
        <v>30</v>
      </c>
      <c r="B246" s="313">
        <v>9.1</v>
      </c>
      <c r="C246" s="118" t="s">
        <v>379</v>
      </c>
      <c r="D246" s="119"/>
      <c r="E246" s="121"/>
      <c r="F246" s="121"/>
      <c r="G246" s="121"/>
      <c r="H246" s="263"/>
      <c r="I246" s="122"/>
      <c r="J246" s="209"/>
      <c r="K246" s="217">
        <f t="shared" si="13"/>
        <v>0</v>
      </c>
      <c r="L246" s="218">
        <f t="shared" si="14"/>
        <v>0</v>
      </c>
    </row>
    <row r="247" spans="1:12" ht="14.25" x14ac:dyDescent="0.2">
      <c r="A247" s="124" t="s">
        <v>91</v>
      </c>
      <c r="B247" s="286" t="s">
        <v>380</v>
      </c>
      <c r="C247" s="177" t="s">
        <v>381</v>
      </c>
      <c r="D247" s="133">
        <v>2</v>
      </c>
      <c r="E247" s="135"/>
      <c r="F247" s="135"/>
      <c r="G247" s="135"/>
      <c r="H247" s="242">
        <v>2</v>
      </c>
      <c r="I247" s="136" t="s">
        <v>382</v>
      </c>
      <c r="J247" s="213">
        <v>66.25</v>
      </c>
      <c r="K247" s="217">
        <f t="shared" si="13"/>
        <v>56.144067796610166</v>
      </c>
      <c r="L247" s="218">
        <f t="shared" si="14"/>
        <v>112.28813559322033</v>
      </c>
    </row>
    <row r="248" spans="1:12" ht="14.25" x14ac:dyDescent="0.2">
      <c r="A248" s="139"/>
      <c r="B248" s="286" t="s">
        <v>383</v>
      </c>
      <c r="C248" s="177" t="s">
        <v>384</v>
      </c>
      <c r="D248" s="133">
        <v>2</v>
      </c>
      <c r="E248" s="135"/>
      <c r="F248" s="135"/>
      <c r="G248" s="135"/>
      <c r="H248" s="242">
        <v>4</v>
      </c>
      <c r="I248" s="136" t="s">
        <v>382</v>
      </c>
      <c r="J248" s="213">
        <v>59.55</v>
      </c>
      <c r="K248" s="217">
        <f t="shared" si="13"/>
        <v>50.466101694915253</v>
      </c>
      <c r="L248" s="218">
        <f t="shared" si="14"/>
        <v>201.86440677966101</v>
      </c>
    </row>
    <row r="249" spans="1:12" ht="57" x14ac:dyDescent="0.2">
      <c r="A249" s="116">
        <v>31</v>
      </c>
      <c r="B249" s="175">
        <v>9.1010000000000009</v>
      </c>
      <c r="C249" s="118" t="s">
        <v>385</v>
      </c>
      <c r="D249" s="119"/>
      <c r="E249" s="121"/>
      <c r="F249" s="121"/>
      <c r="G249" s="121"/>
      <c r="H249" s="263"/>
      <c r="I249" s="122"/>
      <c r="J249" s="209"/>
      <c r="K249" s="217">
        <f t="shared" si="13"/>
        <v>0</v>
      </c>
      <c r="L249" s="218">
        <f t="shared" si="14"/>
        <v>0</v>
      </c>
    </row>
    <row r="250" spans="1:12" ht="14.25" x14ac:dyDescent="0.2">
      <c r="A250" s="124"/>
      <c r="B250" s="280" t="s">
        <v>386</v>
      </c>
      <c r="C250" s="297" t="s">
        <v>387</v>
      </c>
      <c r="D250" s="142">
        <v>1</v>
      </c>
      <c r="E250" s="145"/>
      <c r="F250" s="145"/>
      <c r="G250" s="145"/>
      <c r="H250" s="216">
        <v>1</v>
      </c>
      <c r="I250" s="314" t="s">
        <v>382</v>
      </c>
      <c r="J250" s="315">
        <v>72.349999999999994</v>
      </c>
      <c r="K250" s="217">
        <f t="shared" si="13"/>
        <v>61.313559322033889</v>
      </c>
      <c r="L250" s="218">
        <f t="shared" si="14"/>
        <v>61.313559322033889</v>
      </c>
    </row>
    <row r="251" spans="1:12" ht="25.5" x14ac:dyDescent="0.2">
      <c r="A251" s="116">
        <v>32</v>
      </c>
      <c r="B251" s="206">
        <v>10.28</v>
      </c>
      <c r="C251" s="207" t="s">
        <v>388</v>
      </c>
      <c r="D251" s="119"/>
      <c r="E251" s="120"/>
      <c r="F251" s="120"/>
      <c r="G251" s="120"/>
      <c r="H251" s="208"/>
      <c r="I251" s="122"/>
      <c r="J251" s="209"/>
      <c r="K251" s="217">
        <f t="shared" si="13"/>
        <v>0</v>
      </c>
      <c r="L251" s="218">
        <f t="shared" si="14"/>
        <v>0</v>
      </c>
    </row>
    <row r="252" spans="1:12" x14ac:dyDescent="0.2">
      <c r="A252" s="124"/>
      <c r="B252" s="211"/>
      <c r="C252" s="183" t="s">
        <v>389</v>
      </c>
      <c r="D252" s="133">
        <v>2</v>
      </c>
      <c r="E252" s="135">
        <v>3.76</v>
      </c>
      <c r="F252" s="135"/>
      <c r="G252" s="135"/>
      <c r="H252" s="212">
        <f>E252*D252</f>
        <v>7.52</v>
      </c>
      <c r="I252" s="136"/>
      <c r="J252" s="213"/>
      <c r="K252" s="217">
        <f t="shared" si="13"/>
        <v>0</v>
      </c>
      <c r="L252" s="218">
        <f t="shared" si="14"/>
        <v>0</v>
      </c>
    </row>
    <row r="253" spans="1:12" x14ac:dyDescent="0.2">
      <c r="A253" s="124"/>
      <c r="B253" s="215"/>
      <c r="C253" s="180" t="s">
        <v>117</v>
      </c>
      <c r="D253" s="133"/>
      <c r="E253" s="135"/>
      <c r="F253" s="135"/>
      <c r="G253" s="135"/>
      <c r="H253" s="242">
        <v>37</v>
      </c>
      <c r="I253" s="136" t="s">
        <v>195</v>
      </c>
      <c r="J253" s="213">
        <v>772.4</v>
      </c>
      <c r="K253" s="217">
        <f t="shared" si="13"/>
        <v>654.57627118644064</v>
      </c>
      <c r="L253" s="218">
        <f t="shared" si="14"/>
        <v>24219.322033898305</v>
      </c>
    </row>
    <row r="254" spans="1:12" ht="25.5" x14ac:dyDescent="0.2">
      <c r="A254" s="116">
        <v>33</v>
      </c>
      <c r="B254" s="117">
        <v>13.26</v>
      </c>
      <c r="C254" s="219" t="s">
        <v>390</v>
      </c>
      <c r="D254" s="119"/>
      <c r="E254" s="120"/>
      <c r="F254" s="120"/>
      <c r="G254" s="120"/>
      <c r="H254" s="208"/>
      <c r="I254" s="122"/>
      <c r="J254" s="209"/>
      <c r="K254" s="217"/>
      <c r="L254" s="218">
        <f t="shared" si="14"/>
        <v>0</v>
      </c>
    </row>
    <row r="255" spans="1:12" ht="16.5" customHeight="1" x14ac:dyDescent="0.2">
      <c r="A255" s="124" t="s">
        <v>91</v>
      </c>
      <c r="B255" s="125"/>
      <c r="C255" s="220" t="s">
        <v>391</v>
      </c>
      <c r="D255" s="133"/>
      <c r="E255" s="134"/>
      <c r="F255" s="134"/>
      <c r="G255" s="134"/>
      <c r="H255" s="242">
        <f>H161</f>
        <v>120</v>
      </c>
      <c r="I255" s="136" t="s">
        <v>91</v>
      </c>
      <c r="J255" s="213" t="s">
        <v>91</v>
      </c>
      <c r="K255" s="217"/>
      <c r="L255" s="218">
        <f t="shared" si="14"/>
        <v>0</v>
      </c>
    </row>
    <row r="256" spans="1:12" ht="16.5" customHeight="1" x14ac:dyDescent="0.2">
      <c r="A256" s="124" t="s">
        <v>91</v>
      </c>
      <c r="B256" s="125"/>
      <c r="C256" s="220" t="s">
        <v>392</v>
      </c>
      <c r="D256" s="133"/>
      <c r="E256" s="134"/>
      <c r="F256" s="134"/>
      <c r="G256" s="134"/>
      <c r="H256" s="242">
        <f>H164</f>
        <v>215.80139999999994</v>
      </c>
      <c r="I256" s="136"/>
      <c r="J256" s="213"/>
      <c r="K256" s="217"/>
      <c r="L256" s="218">
        <f t="shared" si="14"/>
        <v>0</v>
      </c>
    </row>
    <row r="257" spans="1:12" ht="16.5" customHeight="1" x14ac:dyDescent="0.2">
      <c r="A257" s="124"/>
      <c r="B257" s="125"/>
      <c r="C257" s="220" t="s">
        <v>393</v>
      </c>
      <c r="D257" s="133"/>
      <c r="E257" s="134"/>
      <c r="F257" s="134"/>
      <c r="G257" s="134"/>
      <c r="H257" s="242">
        <f>H142</f>
        <v>470</v>
      </c>
      <c r="I257" s="136"/>
      <c r="J257" s="213"/>
      <c r="K257" s="217"/>
      <c r="L257" s="218">
        <f t="shared" si="14"/>
        <v>0</v>
      </c>
    </row>
    <row r="258" spans="1:12" x14ac:dyDescent="0.2">
      <c r="A258" s="124" t="s">
        <v>91</v>
      </c>
      <c r="B258" s="125"/>
      <c r="C258" s="220" t="s">
        <v>394</v>
      </c>
      <c r="D258" s="133" t="s">
        <v>91</v>
      </c>
      <c r="E258" s="134"/>
      <c r="F258" s="134"/>
      <c r="G258" s="134"/>
      <c r="H258" s="242">
        <f>-H214</f>
        <v>-14</v>
      </c>
      <c r="I258" s="136"/>
      <c r="J258" s="213"/>
      <c r="K258" s="217"/>
      <c r="L258" s="218">
        <f t="shared" si="14"/>
        <v>0</v>
      </c>
    </row>
    <row r="259" spans="1:12" ht="12.75" customHeight="1" x14ac:dyDescent="0.2">
      <c r="A259" s="215"/>
      <c r="B259" s="140"/>
      <c r="C259" s="221" t="s">
        <v>207</v>
      </c>
      <c r="D259" s="142"/>
      <c r="E259" s="143"/>
      <c r="F259" s="143"/>
      <c r="G259" s="143"/>
      <c r="H259" s="216">
        <v>785</v>
      </c>
      <c r="I259" s="141" t="s">
        <v>128</v>
      </c>
      <c r="J259" s="217">
        <v>262.7</v>
      </c>
      <c r="K259" s="217">
        <f t="shared" si="13"/>
        <v>222.62711864406779</v>
      </c>
      <c r="L259" s="218">
        <f t="shared" si="14"/>
        <v>174762.2881355932</v>
      </c>
    </row>
    <row r="260" spans="1:12" ht="16.5" customHeight="1" x14ac:dyDescent="0.2">
      <c r="A260" s="206">
        <v>36</v>
      </c>
      <c r="B260" s="206" t="s">
        <v>395</v>
      </c>
      <c r="C260" s="207" t="s">
        <v>396</v>
      </c>
      <c r="D260" s="119"/>
      <c r="E260" s="120"/>
      <c r="F260" s="120"/>
      <c r="G260" s="120"/>
      <c r="H260" s="208"/>
      <c r="I260" s="122"/>
      <c r="J260" s="209"/>
      <c r="K260" s="217">
        <f t="shared" si="13"/>
        <v>0</v>
      </c>
      <c r="L260" s="218">
        <f t="shared" si="14"/>
        <v>0</v>
      </c>
    </row>
    <row r="261" spans="1:12" ht="19.5" customHeight="1" x14ac:dyDescent="0.2">
      <c r="A261" s="215"/>
      <c r="B261" s="140"/>
      <c r="C261" s="316" t="s">
        <v>397</v>
      </c>
      <c r="D261" s="142"/>
      <c r="E261" s="143"/>
      <c r="F261" s="143"/>
      <c r="G261" s="143"/>
      <c r="H261" s="216">
        <f>H259</f>
        <v>785</v>
      </c>
      <c r="I261" s="141" t="s">
        <v>128</v>
      </c>
      <c r="J261" s="217">
        <v>142.80000000000001</v>
      </c>
      <c r="K261" s="217">
        <f t="shared" si="13"/>
        <v>121.0169491525424</v>
      </c>
      <c r="L261" s="218">
        <f t="shared" si="14"/>
        <v>94998.305084745778</v>
      </c>
    </row>
    <row r="262" spans="1:12" ht="24.95" customHeight="1" x14ac:dyDescent="0.2">
      <c r="A262" s="201">
        <v>37</v>
      </c>
      <c r="B262" s="117">
        <v>13.47</v>
      </c>
      <c r="C262" s="219" t="s">
        <v>398</v>
      </c>
      <c r="D262" s="119"/>
      <c r="E262" s="120"/>
      <c r="F262" s="120"/>
      <c r="G262" s="120"/>
      <c r="H262" s="208"/>
      <c r="I262" s="122"/>
      <c r="J262" s="209"/>
      <c r="K262" s="217">
        <f t="shared" si="13"/>
        <v>0</v>
      </c>
      <c r="L262" s="218">
        <f t="shared" si="14"/>
        <v>0</v>
      </c>
    </row>
    <row r="263" spans="1:12" ht="38.25" x14ac:dyDescent="0.2">
      <c r="B263" s="125" t="s">
        <v>399</v>
      </c>
      <c r="C263" s="238" t="s">
        <v>400</v>
      </c>
      <c r="D263" s="127"/>
      <c r="E263" s="128"/>
      <c r="F263" s="128"/>
      <c r="G263" s="128"/>
      <c r="H263" s="239"/>
      <c r="I263" s="130"/>
      <c r="J263" s="240"/>
      <c r="K263" s="217">
        <f t="shared" si="13"/>
        <v>0</v>
      </c>
      <c r="L263" s="218">
        <f t="shared" si="14"/>
        <v>0</v>
      </c>
    </row>
    <row r="264" spans="1:12" x14ac:dyDescent="0.2">
      <c r="B264" s="140"/>
      <c r="C264" s="316" t="s">
        <v>401</v>
      </c>
      <c r="D264" s="142"/>
      <c r="E264" s="143"/>
      <c r="F264" s="143"/>
      <c r="G264" s="143"/>
      <c r="H264" s="216">
        <f>H166</f>
        <v>390</v>
      </c>
      <c r="I264" s="141" t="s">
        <v>128</v>
      </c>
      <c r="J264" s="217">
        <v>171.1</v>
      </c>
      <c r="K264" s="217">
        <f t="shared" si="13"/>
        <v>145</v>
      </c>
      <c r="L264" s="218">
        <f t="shared" si="14"/>
        <v>56550</v>
      </c>
    </row>
    <row r="265" spans="1:12" ht="25.5" x14ac:dyDescent="0.2">
      <c r="A265" s="206">
        <v>38</v>
      </c>
      <c r="B265" s="117">
        <v>13.61</v>
      </c>
      <c r="C265" s="219" t="s">
        <v>402</v>
      </c>
      <c r="D265" s="119"/>
      <c r="E265" s="120"/>
      <c r="F265" s="120"/>
      <c r="G265" s="120"/>
      <c r="H265" s="263"/>
      <c r="I265" s="122"/>
      <c r="J265" s="209"/>
      <c r="K265" s="217">
        <f t="shared" si="13"/>
        <v>0</v>
      </c>
      <c r="L265" s="218">
        <f t="shared" si="14"/>
        <v>0</v>
      </c>
    </row>
    <row r="266" spans="1:12" x14ac:dyDescent="0.2">
      <c r="B266" s="125" t="s">
        <v>403</v>
      </c>
      <c r="C266" s="238" t="s">
        <v>404</v>
      </c>
      <c r="D266" s="127"/>
      <c r="E266" s="128"/>
      <c r="F266" s="128"/>
      <c r="G266" s="128"/>
      <c r="H266" s="264"/>
      <c r="I266" s="130"/>
      <c r="J266" s="240"/>
      <c r="K266" s="217">
        <f t="shared" ref="K266:K273" si="15">J266*100/118</f>
        <v>0</v>
      </c>
      <c r="L266" s="218">
        <f t="shared" ref="L266:L273" si="16">K266*H266</f>
        <v>0</v>
      </c>
    </row>
    <row r="267" spans="1:12" x14ac:dyDescent="0.2">
      <c r="B267" s="211"/>
      <c r="C267" s="317" t="s">
        <v>91</v>
      </c>
      <c r="D267" s="127">
        <v>1</v>
      </c>
      <c r="E267" s="129">
        <f>H231+E272+H273</f>
        <v>23.36</v>
      </c>
      <c r="F267" s="129">
        <v>2.5</v>
      </c>
      <c r="G267" s="129"/>
      <c r="H267" s="264">
        <v>58</v>
      </c>
      <c r="I267" s="130" t="s">
        <v>128</v>
      </c>
      <c r="J267" s="240">
        <v>155.9</v>
      </c>
      <c r="K267" s="217">
        <f t="shared" si="15"/>
        <v>132.11864406779662</v>
      </c>
      <c r="L267" s="218">
        <f t="shared" si="16"/>
        <v>7662.8813559322043</v>
      </c>
    </row>
    <row r="268" spans="1:12" ht="20.25" customHeight="1" x14ac:dyDescent="0.2">
      <c r="A268" s="188">
        <v>39</v>
      </c>
      <c r="B268" s="188">
        <v>10.18</v>
      </c>
      <c r="C268" s="220" t="s">
        <v>405</v>
      </c>
      <c r="D268" s="243">
        <v>16</v>
      </c>
      <c r="E268" s="301"/>
      <c r="F268" s="301"/>
      <c r="G268" s="301"/>
      <c r="H268" s="214">
        <f>D268</f>
        <v>16</v>
      </c>
      <c r="I268" s="273" t="s">
        <v>406</v>
      </c>
      <c r="J268" s="274">
        <v>220.65</v>
      </c>
      <c r="K268" s="217">
        <f t="shared" si="15"/>
        <v>186.9915254237288</v>
      </c>
      <c r="L268" s="218">
        <f t="shared" si="16"/>
        <v>2991.8644067796608</v>
      </c>
    </row>
    <row r="269" spans="1:12" ht="25.5" x14ac:dyDescent="0.2">
      <c r="A269" s="206">
        <v>40</v>
      </c>
      <c r="B269" s="206">
        <v>9.4700000000000006</v>
      </c>
      <c r="C269" s="318" t="s">
        <v>407</v>
      </c>
      <c r="D269" s="133"/>
      <c r="E269" s="135" t="s">
        <v>91</v>
      </c>
      <c r="F269" s="135"/>
      <c r="G269" s="135"/>
      <c r="H269" s="212" t="s">
        <v>91</v>
      </c>
      <c r="I269" s="136"/>
      <c r="J269" s="213"/>
      <c r="K269" s="217">
        <f t="shared" si="15"/>
        <v>0</v>
      </c>
      <c r="L269" s="218">
        <v>0</v>
      </c>
    </row>
    <row r="270" spans="1:12" x14ac:dyDescent="0.2">
      <c r="A270" s="215"/>
      <c r="B270" s="188" t="s">
        <v>408</v>
      </c>
      <c r="C270" s="220" t="s">
        <v>409</v>
      </c>
      <c r="D270" s="133"/>
      <c r="E270" s="135">
        <f>1</f>
        <v>1</v>
      </c>
      <c r="F270" s="135"/>
      <c r="G270" s="135"/>
      <c r="H270" s="212">
        <f>SUM(E270:G270)</f>
        <v>1</v>
      </c>
      <c r="I270" s="136" t="s">
        <v>307</v>
      </c>
      <c r="J270" s="213">
        <v>175</v>
      </c>
      <c r="K270" s="217">
        <f t="shared" si="15"/>
        <v>148.30508474576271</v>
      </c>
      <c r="L270" s="218">
        <f t="shared" si="16"/>
        <v>148.30508474576271</v>
      </c>
    </row>
    <row r="271" spans="1:12" ht="38.25" x14ac:dyDescent="0.2">
      <c r="A271" s="206">
        <v>41</v>
      </c>
      <c r="B271" s="188">
        <v>9.48</v>
      </c>
      <c r="C271" s="220" t="s">
        <v>410</v>
      </c>
      <c r="D271" s="133"/>
      <c r="E271" s="135"/>
      <c r="F271" s="135"/>
      <c r="G271" s="135"/>
      <c r="H271" s="212"/>
      <c r="I271" s="136"/>
      <c r="J271" s="213"/>
      <c r="K271" s="217">
        <f t="shared" si="15"/>
        <v>0</v>
      </c>
      <c r="L271" s="218">
        <f t="shared" si="16"/>
        <v>0</v>
      </c>
    </row>
    <row r="272" spans="1:12" ht="25.5" x14ac:dyDescent="0.2">
      <c r="A272" s="215"/>
      <c r="B272" s="188" t="s">
        <v>411</v>
      </c>
      <c r="C272" s="220" t="s">
        <v>412</v>
      </c>
      <c r="D272" s="133"/>
      <c r="E272" s="301">
        <f>H237</f>
        <v>3</v>
      </c>
      <c r="F272" s="301"/>
      <c r="G272" s="301"/>
      <c r="H272" s="302">
        <v>79</v>
      </c>
      <c r="I272" s="273" t="s">
        <v>413</v>
      </c>
      <c r="J272" s="274">
        <v>238.35</v>
      </c>
      <c r="K272" s="217">
        <f t="shared" si="15"/>
        <v>201.9915254237288</v>
      </c>
      <c r="L272" s="218">
        <f t="shared" si="16"/>
        <v>15957.330508474575</v>
      </c>
    </row>
    <row r="273" spans="1:15" ht="72" customHeight="1" x14ac:dyDescent="0.2">
      <c r="A273" s="188">
        <v>42</v>
      </c>
      <c r="B273" s="188">
        <v>10.3</v>
      </c>
      <c r="C273" s="290" t="s">
        <v>414</v>
      </c>
      <c r="D273" s="142" t="s">
        <v>91</v>
      </c>
      <c r="E273" s="310">
        <f>2.55+2.55*2</f>
        <v>7.6499999999999995</v>
      </c>
      <c r="F273" s="310"/>
      <c r="G273" s="310">
        <v>2.4</v>
      </c>
      <c r="H273" s="218">
        <f>SUM(G273*E273)</f>
        <v>18.36</v>
      </c>
      <c r="I273" s="260" t="s">
        <v>334</v>
      </c>
      <c r="J273" s="261">
        <v>11439.6</v>
      </c>
      <c r="K273" s="217">
        <f t="shared" si="15"/>
        <v>9694.5762711864409</v>
      </c>
      <c r="L273" s="218">
        <f t="shared" si="16"/>
        <v>177992.42033898304</v>
      </c>
    </row>
    <row r="274" spans="1:15" ht="15" x14ac:dyDescent="0.25">
      <c r="A274" s="188"/>
      <c r="B274" s="236"/>
      <c r="C274" s="319" t="s">
        <v>415</v>
      </c>
      <c r="D274" s="320"/>
      <c r="E274" s="320"/>
      <c r="F274" s="320"/>
      <c r="G274" s="320"/>
      <c r="H274" s="321"/>
      <c r="I274" s="952" t="s">
        <v>91</v>
      </c>
      <c r="J274" s="952"/>
      <c r="K274" s="322"/>
      <c r="L274" s="323">
        <f>SUM(L8:L273)</f>
        <v>7220004.5838254709</v>
      </c>
      <c r="O274" s="102"/>
    </row>
    <row r="276" spans="1:15" x14ac:dyDescent="0.2">
      <c r="L276" s="203" t="s">
        <v>91</v>
      </c>
    </row>
    <row r="277" spans="1:15" x14ac:dyDescent="0.2">
      <c r="L277" s="203" t="s">
        <v>91</v>
      </c>
    </row>
    <row r="278" spans="1:15" ht="14.25" x14ac:dyDescent="0.2">
      <c r="L278" s="324" t="s">
        <v>91</v>
      </c>
    </row>
    <row r="281" spans="1:15" x14ac:dyDescent="0.2">
      <c r="L281" s="203" t="s">
        <v>91</v>
      </c>
    </row>
  </sheetData>
  <sheetProtection algorithmName="SHA-512" hashValue="dLDlthICugHjCrrxo24Qn5yE0PL/zL5qT2aKN/Zs89w0p0JBqpinCLjkAFljt5VJWYXnNBF1QylY2x0SKg7uuw==" saltValue="KTN//kRnpT0N4sLnc1R/bQ==" spinCount="100000" sheet="1" objects="1" scenarios="1" selectLockedCells="1" selectUnlockedCells="1"/>
  <mergeCells count="5">
    <mergeCell ref="A3:I3"/>
    <mergeCell ref="E67:F67"/>
    <mergeCell ref="E88:F88"/>
    <mergeCell ref="E134:F134"/>
    <mergeCell ref="I274:J274"/>
  </mergeCells>
  <pageMargins left="0.5" right="0.5" top="1" bottom="0.5" header="0.5" footer="0.5"/>
  <pageSetup scale="70" orientation="portrait" horizontalDpi="4294967293"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96D22-1ABD-4F09-B3DE-FA2299D9CDCA}">
  <dimension ref="A2:S419"/>
  <sheetViews>
    <sheetView topLeftCell="A403" zoomScaleNormal="100" workbookViewId="0">
      <selection activeCell="C12" sqref="C12"/>
    </sheetView>
  </sheetViews>
  <sheetFormatPr defaultRowHeight="12.75" x14ac:dyDescent="0.2"/>
  <cols>
    <col min="1" max="1" width="5.140625" style="90" customWidth="1"/>
    <col min="2" max="2" width="7.42578125" style="90" customWidth="1"/>
    <col min="3" max="3" width="57" style="90" customWidth="1"/>
    <col min="4" max="4" width="5.140625" style="90" customWidth="1"/>
    <col min="5" max="5" width="6.5703125" style="90" customWidth="1"/>
    <col min="6" max="6" width="6.7109375" style="90" customWidth="1"/>
    <col min="7" max="7" width="7.5703125" style="90" customWidth="1"/>
    <col min="8" max="8" width="8.140625" style="90" customWidth="1"/>
    <col min="9" max="9" width="6.140625" style="90" customWidth="1"/>
    <col min="10" max="11" width="11" style="202" customWidth="1"/>
    <col min="12" max="12" width="13" style="203" customWidth="1"/>
    <col min="13" max="256" width="9.140625" style="90"/>
    <col min="257" max="257" width="5.140625" style="90" customWidth="1"/>
    <col min="258" max="258" width="7.42578125" style="90" customWidth="1"/>
    <col min="259" max="259" width="57" style="90" customWidth="1"/>
    <col min="260" max="260" width="5.140625" style="90" customWidth="1"/>
    <col min="261" max="261" width="6.5703125" style="90" customWidth="1"/>
    <col min="262" max="262" width="6.7109375" style="90" customWidth="1"/>
    <col min="263" max="263" width="7.5703125" style="90" customWidth="1"/>
    <col min="264" max="264" width="8.140625" style="90" customWidth="1"/>
    <col min="265" max="265" width="6.140625" style="90" customWidth="1"/>
    <col min="266" max="267" width="11" style="90" customWidth="1"/>
    <col min="268" max="268" width="13" style="90" customWidth="1"/>
    <col min="269" max="512" width="9.140625" style="90"/>
    <col min="513" max="513" width="5.140625" style="90" customWidth="1"/>
    <col min="514" max="514" width="7.42578125" style="90" customWidth="1"/>
    <col min="515" max="515" width="57" style="90" customWidth="1"/>
    <col min="516" max="516" width="5.140625" style="90" customWidth="1"/>
    <col min="517" max="517" width="6.5703125" style="90" customWidth="1"/>
    <col min="518" max="518" width="6.7109375" style="90" customWidth="1"/>
    <col min="519" max="519" width="7.5703125" style="90" customWidth="1"/>
    <col min="520" max="520" width="8.140625" style="90" customWidth="1"/>
    <col min="521" max="521" width="6.140625" style="90" customWidth="1"/>
    <col min="522" max="523" width="11" style="90" customWidth="1"/>
    <col min="524" max="524" width="13" style="90" customWidth="1"/>
    <col min="525" max="768" width="9.140625" style="90"/>
    <col min="769" max="769" width="5.140625" style="90" customWidth="1"/>
    <col min="770" max="770" width="7.42578125" style="90" customWidth="1"/>
    <col min="771" max="771" width="57" style="90" customWidth="1"/>
    <col min="772" max="772" width="5.140625" style="90" customWidth="1"/>
    <col min="773" max="773" width="6.5703125" style="90" customWidth="1"/>
    <col min="774" max="774" width="6.7109375" style="90" customWidth="1"/>
    <col min="775" max="775" width="7.5703125" style="90" customWidth="1"/>
    <col min="776" max="776" width="8.140625" style="90" customWidth="1"/>
    <col min="777" max="777" width="6.140625" style="90" customWidth="1"/>
    <col min="778" max="779" width="11" style="90" customWidth="1"/>
    <col min="780" max="780" width="13" style="90" customWidth="1"/>
    <col min="781" max="1024" width="9.140625" style="90"/>
    <col min="1025" max="1025" width="5.140625" style="90" customWidth="1"/>
    <col min="1026" max="1026" width="7.42578125" style="90" customWidth="1"/>
    <col min="1027" max="1027" width="57" style="90" customWidth="1"/>
    <col min="1028" max="1028" width="5.140625" style="90" customWidth="1"/>
    <col min="1029" max="1029" width="6.5703125" style="90" customWidth="1"/>
    <col min="1030" max="1030" width="6.7109375" style="90" customWidth="1"/>
    <col min="1031" max="1031" width="7.5703125" style="90" customWidth="1"/>
    <col min="1032" max="1032" width="8.140625" style="90" customWidth="1"/>
    <col min="1033" max="1033" width="6.140625" style="90" customWidth="1"/>
    <col min="1034" max="1035" width="11" style="90" customWidth="1"/>
    <col min="1036" max="1036" width="13" style="90" customWidth="1"/>
    <col min="1037" max="1280" width="9.140625" style="90"/>
    <col min="1281" max="1281" width="5.140625" style="90" customWidth="1"/>
    <col min="1282" max="1282" width="7.42578125" style="90" customWidth="1"/>
    <col min="1283" max="1283" width="57" style="90" customWidth="1"/>
    <col min="1284" max="1284" width="5.140625" style="90" customWidth="1"/>
    <col min="1285" max="1285" width="6.5703125" style="90" customWidth="1"/>
    <col min="1286" max="1286" width="6.7109375" style="90" customWidth="1"/>
    <col min="1287" max="1287" width="7.5703125" style="90" customWidth="1"/>
    <col min="1288" max="1288" width="8.140625" style="90" customWidth="1"/>
    <col min="1289" max="1289" width="6.140625" style="90" customWidth="1"/>
    <col min="1290" max="1291" width="11" style="90" customWidth="1"/>
    <col min="1292" max="1292" width="13" style="90" customWidth="1"/>
    <col min="1293" max="1536" width="9.140625" style="90"/>
    <col min="1537" max="1537" width="5.140625" style="90" customWidth="1"/>
    <col min="1538" max="1538" width="7.42578125" style="90" customWidth="1"/>
    <col min="1539" max="1539" width="57" style="90" customWidth="1"/>
    <col min="1540" max="1540" width="5.140625" style="90" customWidth="1"/>
    <col min="1541" max="1541" width="6.5703125" style="90" customWidth="1"/>
    <col min="1542" max="1542" width="6.7109375" style="90" customWidth="1"/>
    <col min="1543" max="1543" width="7.5703125" style="90" customWidth="1"/>
    <col min="1544" max="1544" width="8.140625" style="90" customWidth="1"/>
    <col min="1545" max="1545" width="6.140625" style="90" customWidth="1"/>
    <col min="1546" max="1547" width="11" style="90" customWidth="1"/>
    <col min="1548" max="1548" width="13" style="90" customWidth="1"/>
    <col min="1549" max="1792" width="9.140625" style="90"/>
    <col min="1793" max="1793" width="5.140625" style="90" customWidth="1"/>
    <col min="1794" max="1794" width="7.42578125" style="90" customWidth="1"/>
    <col min="1795" max="1795" width="57" style="90" customWidth="1"/>
    <col min="1796" max="1796" width="5.140625" style="90" customWidth="1"/>
    <col min="1797" max="1797" width="6.5703125" style="90" customWidth="1"/>
    <col min="1798" max="1798" width="6.7109375" style="90" customWidth="1"/>
    <col min="1799" max="1799" width="7.5703125" style="90" customWidth="1"/>
    <col min="1800" max="1800" width="8.140625" style="90" customWidth="1"/>
    <col min="1801" max="1801" width="6.140625" style="90" customWidth="1"/>
    <col min="1802" max="1803" width="11" style="90" customWidth="1"/>
    <col min="1804" max="1804" width="13" style="90" customWidth="1"/>
    <col min="1805" max="2048" width="9.140625" style="90"/>
    <col min="2049" max="2049" width="5.140625" style="90" customWidth="1"/>
    <col min="2050" max="2050" width="7.42578125" style="90" customWidth="1"/>
    <col min="2051" max="2051" width="57" style="90" customWidth="1"/>
    <col min="2052" max="2052" width="5.140625" style="90" customWidth="1"/>
    <col min="2053" max="2053" width="6.5703125" style="90" customWidth="1"/>
    <col min="2054" max="2054" width="6.7109375" style="90" customWidth="1"/>
    <col min="2055" max="2055" width="7.5703125" style="90" customWidth="1"/>
    <col min="2056" max="2056" width="8.140625" style="90" customWidth="1"/>
    <col min="2057" max="2057" width="6.140625" style="90" customWidth="1"/>
    <col min="2058" max="2059" width="11" style="90" customWidth="1"/>
    <col min="2060" max="2060" width="13" style="90" customWidth="1"/>
    <col min="2061" max="2304" width="9.140625" style="90"/>
    <col min="2305" max="2305" width="5.140625" style="90" customWidth="1"/>
    <col min="2306" max="2306" width="7.42578125" style="90" customWidth="1"/>
    <col min="2307" max="2307" width="57" style="90" customWidth="1"/>
    <col min="2308" max="2308" width="5.140625" style="90" customWidth="1"/>
    <col min="2309" max="2309" width="6.5703125" style="90" customWidth="1"/>
    <col min="2310" max="2310" width="6.7109375" style="90" customWidth="1"/>
    <col min="2311" max="2311" width="7.5703125" style="90" customWidth="1"/>
    <col min="2312" max="2312" width="8.140625" style="90" customWidth="1"/>
    <col min="2313" max="2313" width="6.140625" style="90" customWidth="1"/>
    <col min="2314" max="2315" width="11" style="90" customWidth="1"/>
    <col min="2316" max="2316" width="13" style="90" customWidth="1"/>
    <col min="2317" max="2560" width="9.140625" style="90"/>
    <col min="2561" max="2561" width="5.140625" style="90" customWidth="1"/>
    <col min="2562" max="2562" width="7.42578125" style="90" customWidth="1"/>
    <col min="2563" max="2563" width="57" style="90" customWidth="1"/>
    <col min="2564" max="2564" width="5.140625" style="90" customWidth="1"/>
    <col min="2565" max="2565" width="6.5703125" style="90" customWidth="1"/>
    <col min="2566" max="2566" width="6.7109375" style="90" customWidth="1"/>
    <col min="2567" max="2567" width="7.5703125" style="90" customWidth="1"/>
    <col min="2568" max="2568" width="8.140625" style="90" customWidth="1"/>
    <col min="2569" max="2569" width="6.140625" style="90" customWidth="1"/>
    <col min="2570" max="2571" width="11" style="90" customWidth="1"/>
    <col min="2572" max="2572" width="13" style="90" customWidth="1"/>
    <col min="2573" max="2816" width="9.140625" style="90"/>
    <col min="2817" max="2817" width="5.140625" style="90" customWidth="1"/>
    <col min="2818" max="2818" width="7.42578125" style="90" customWidth="1"/>
    <col min="2819" max="2819" width="57" style="90" customWidth="1"/>
    <col min="2820" max="2820" width="5.140625" style="90" customWidth="1"/>
    <col min="2821" max="2821" width="6.5703125" style="90" customWidth="1"/>
    <col min="2822" max="2822" width="6.7109375" style="90" customWidth="1"/>
    <col min="2823" max="2823" width="7.5703125" style="90" customWidth="1"/>
    <col min="2824" max="2824" width="8.140625" style="90" customWidth="1"/>
    <col min="2825" max="2825" width="6.140625" style="90" customWidth="1"/>
    <col min="2826" max="2827" width="11" style="90" customWidth="1"/>
    <col min="2828" max="2828" width="13" style="90" customWidth="1"/>
    <col min="2829" max="3072" width="9.140625" style="90"/>
    <col min="3073" max="3073" width="5.140625" style="90" customWidth="1"/>
    <col min="3074" max="3074" width="7.42578125" style="90" customWidth="1"/>
    <col min="3075" max="3075" width="57" style="90" customWidth="1"/>
    <col min="3076" max="3076" width="5.140625" style="90" customWidth="1"/>
    <col min="3077" max="3077" width="6.5703125" style="90" customWidth="1"/>
    <col min="3078" max="3078" width="6.7109375" style="90" customWidth="1"/>
    <col min="3079" max="3079" width="7.5703125" style="90" customWidth="1"/>
    <col min="3080" max="3080" width="8.140625" style="90" customWidth="1"/>
    <col min="3081" max="3081" width="6.140625" style="90" customWidth="1"/>
    <col min="3082" max="3083" width="11" style="90" customWidth="1"/>
    <col min="3084" max="3084" width="13" style="90" customWidth="1"/>
    <col min="3085" max="3328" width="9.140625" style="90"/>
    <col min="3329" max="3329" width="5.140625" style="90" customWidth="1"/>
    <col min="3330" max="3330" width="7.42578125" style="90" customWidth="1"/>
    <col min="3331" max="3331" width="57" style="90" customWidth="1"/>
    <col min="3332" max="3332" width="5.140625" style="90" customWidth="1"/>
    <col min="3333" max="3333" width="6.5703125" style="90" customWidth="1"/>
    <col min="3334" max="3334" width="6.7109375" style="90" customWidth="1"/>
    <col min="3335" max="3335" width="7.5703125" style="90" customWidth="1"/>
    <col min="3336" max="3336" width="8.140625" style="90" customWidth="1"/>
    <col min="3337" max="3337" width="6.140625" style="90" customWidth="1"/>
    <col min="3338" max="3339" width="11" style="90" customWidth="1"/>
    <col min="3340" max="3340" width="13" style="90" customWidth="1"/>
    <col min="3341" max="3584" width="9.140625" style="90"/>
    <col min="3585" max="3585" width="5.140625" style="90" customWidth="1"/>
    <col min="3586" max="3586" width="7.42578125" style="90" customWidth="1"/>
    <col min="3587" max="3587" width="57" style="90" customWidth="1"/>
    <col min="3588" max="3588" width="5.140625" style="90" customWidth="1"/>
    <col min="3589" max="3589" width="6.5703125" style="90" customWidth="1"/>
    <col min="3590" max="3590" width="6.7109375" style="90" customWidth="1"/>
    <col min="3591" max="3591" width="7.5703125" style="90" customWidth="1"/>
    <col min="3592" max="3592" width="8.140625" style="90" customWidth="1"/>
    <col min="3593" max="3593" width="6.140625" style="90" customWidth="1"/>
    <col min="3594" max="3595" width="11" style="90" customWidth="1"/>
    <col min="3596" max="3596" width="13" style="90" customWidth="1"/>
    <col min="3597" max="3840" width="9.140625" style="90"/>
    <col min="3841" max="3841" width="5.140625" style="90" customWidth="1"/>
    <col min="3842" max="3842" width="7.42578125" style="90" customWidth="1"/>
    <col min="3843" max="3843" width="57" style="90" customWidth="1"/>
    <col min="3844" max="3844" width="5.140625" style="90" customWidth="1"/>
    <col min="3845" max="3845" width="6.5703125" style="90" customWidth="1"/>
    <col min="3846" max="3846" width="6.7109375" style="90" customWidth="1"/>
    <col min="3847" max="3847" width="7.5703125" style="90" customWidth="1"/>
    <col min="3848" max="3848" width="8.140625" style="90" customWidth="1"/>
    <col min="3849" max="3849" width="6.140625" style="90" customWidth="1"/>
    <col min="3850" max="3851" width="11" style="90" customWidth="1"/>
    <col min="3852" max="3852" width="13" style="90" customWidth="1"/>
    <col min="3853" max="4096" width="9.140625" style="90"/>
    <col min="4097" max="4097" width="5.140625" style="90" customWidth="1"/>
    <col min="4098" max="4098" width="7.42578125" style="90" customWidth="1"/>
    <col min="4099" max="4099" width="57" style="90" customWidth="1"/>
    <col min="4100" max="4100" width="5.140625" style="90" customWidth="1"/>
    <col min="4101" max="4101" width="6.5703125" style="90" customWidth="1"/>
    <col min="4102" max="4102" width="6.7109375" style="90" customWidth="1"/>
    <col min="4103" max="4103" width="7.5703125" style="90" customWidth="1"/>
    <col min="4104" max="4104" width="8.140625" style="90" customWidth="1"/>
    <col min="4105" max="4105" width="6.140625" style="90" customWidth="1"/>
    <col min="4106" max="4107" width="11" style="90" customWidth="1"/>
    <col min="4108" max="4108" width="13" style="90" customWidth="1"/>
    <col min="4109" max="4352" width="9.140625" style="90"/>
    <col min="4353" max="4353" width="5.140625" style="90" customWidth="1"/>
    <col min="4354" max="4354" width="7.42578125" style="90" customWidth="1"/>
    <col min="4355" max="4355" width="57" style="90" customWidth="1"/>
    <col min="4356" max="4356" width="5.140625" style="90" customWidth="1"/>
    <col min="4357" max="4357" width="6.5703125" style="90" customWidth="1"/>
    <col min="4358" max="4358" width="6.7109375" style="90" customWidth="1"/>
    <col min="4359" max="4359" width="7.5703125" style="90" customWidth="1"/>
    <col min="4360" max="4360" width="8.140625" style="90" customWidth="1"/>
    <col min="4361" max="4361" width="6.140625" style="90" customWidth="1"/>
    <col min="4362" max="4363" width="11" style="90" customWidth="1"/>
    <col min="4364" max="4364" width="13" style="90" customWidth="1"/>
    <col min="4365" max="4608" width="9.140625" style="90"/>
    <col min="4609" max="4609" width="5.140625" style="90" customWidth="1"/>
    <col min="4610" max="4610" width="7.42578125" style="90" customWidth="1"/>
    <col min="4611" max="4611" width="57" style="90" customWidth="1"/>
    <col min="4612" max="4612" width="5.140625" style="90" customWidth="1"/>
    <col min="4613" max="4613" width="6.5703125" style="90" customWidth="1"/>
    <col min="4614" max="4614" width="6.7109375" style="90" customWidth="1"/>
    <col min="4615" max="4615" width="7.5703125" style="90" customWidth="1"/>
    <col min="4616" max="4616" width="8.140625" style="90" customWidth="1"/>
    <col min="4617" max="4617" width="6.140625" style="90" customWidth="1"/>
    <col min="4618" max="4619" width="11" style="90" customWidth="1"/>
    <col min="4620" max="4620" width="13" style="90" customWidth="1"/>
    <col min="4621" max="4864" width="9.140625" style="90"/>
    <col min="4865" max="4865" width="5.140625" style="90" customWidth="1"/>
    <col min="4866" max="4866" width="7.42578125" style="90" customWidth="1"/>
    <col min="4867" max="4867" width="57" style="90" customWidth="1"/>
    <col min="4868" max="4868" width="5.140625" style="90" customWidth="1"/>
    <col min="4869" max="4869" width="6.5703125" style="90" customWidth="1"/>
    <col min="4870" max="4870" width="6.7109375" style="90" customWidth="1"/>
    <col min="4871" max="4871" width="7.5703125" style="90" customWidth="1"/>
    <col min="4872" max="4872" width="8.140625" style="90" customWidth="1"/>
    <col min="4873" max="4873" width="6.140625" style="90" customWidth="1"/>
    <col min="4874" max="4875" width="11" style="90" customWidth="1"/>
    <col min="4876" max="4876" width="13" style="90" customWidth="1"/>
    <col min="4877" max="5120" width="9.140625" style="90"/>
    <col min="5121" max="5121" width="5.140625" style="90" customWidth="1"/>
    <col min="5122" max="5122" width="7.42578125" style="90" customWidth="1"/>
    <col min="5123" max="5123" width="57" style="90" customWidth="1"/>
    <col min="5124" max="5124" width="5.140625" style="90" customWidth="1"/>
    <col min="5125" max="5125" width="6.5703125" style="90" customWidth="1"/>
    <col min="5126" max="5126" width="6.7109375" style="90" customWidth="1"/>
    <col min="5127" max="5127" width="7.5703125" style="90" customWidth="1"/>
    <col min="5128" max="5128" width="8.140625" style="90" customWidth="1"/>
    <col min="5129" max="5129" width="6.140625" style="90" customWidth="1"/>
    <col min="5130" max="5131" width="11" style="90" customWidth="1"/>
    <col min="5132" max="5132" width="13" style="90" customWidth="1"/>
    <col min="5133" max="5376" width="9.140625" style="90"/>
    <col min="5377" max="5377" width="5.140625" style="90" customWidth="1"/>
    <col min="5378" max="5378" width="7.42578125" style="90" customWidth="1"/>
    <col min="5379" max="5379" width="57" style="90" customWidth="1"/>
    <col min="5380" max="5380" width="5.140625" style="90" customWidth="1"/>
    <col min="5381" max="5381" width="6.5703125" style="90" customWidth="1"/>
    <col min="5382" max="5382" width="6.7109375" style="90" customWidth="1"/>
    <col min="5383" max="5383" width="7.5703125" style="90" customWidth="1"/>
    <col min="5384" max="5384" width="8.140625" style="90" customWidth="1"/>
    <col min="5385" max="5385" width="6.140625" style="90" customWidth="1"/>
    <col min="5386" max="5387" width="11" style="90" customWidth="1"/>
    <col min="5388" max="5388" width="13" style="90" customWidth="1"/>
    <col min="5389" max="5632" width="9.140625" style="90"/>
    <col min="5633" max="5633" width="5.140625" style="90" customWidth="1"/>
    <col min="5634" max="5634" width="7.42578125" style="90" customWidth="1"/>
    <col min="5635" max="5635" width="57" style="90" customWidth="1"/>
    <col min="5636" max="5636" width="5.140625" style="90" customWidth="1"/>
    <col min="5637" max="5637" width="6.5703125" style="90" customWidth="1"/>
    <col min="5638" max="5638" width="6.7109375" style="90" customWidth="1"/>
    <col min="5639" max="5639" width="7.5703125" style="90" customWidth="1"/>
    <col min="5640" max="5640" width="8.140625" style="90" customWidth="1"/>
    <col min="5641" max="5641" width="6.140625" style="90" customWidth="1"/>
    <col min="5642" max="5643" width="11" style="90" customWidth="1"/>
    <col min="5644" max="5644" width="13" style="90" customWidth="1"/>
    <col min="5645" max="5888" width="9.140625" style="90"/>
    <col min="5889" max="5889" width="5.140625" style="90" customWidth="1"/>
    <col min="5890" max="5890" width="7.42578125" style="90" customWidth="1"/>
    <col min="5891" max="5891" width="57" style="90" customWidth="1"/>
    <col min="5892" max="5892" width="5.140625" style="90" customWidth="1"/>
    <col min="5893" max="5893" width="6.5703125" style="90" customWidth="1"/>
    <col min="5894" max="5894" width="6.7109375" style="90" customWidth="1"/>
    <col min="5895" max="5895" width="7.5703125" style="90" customWidth="1"/>
    <col min="5896" max="5896" width="8.140625" style="90" customWidth="1"/>
    <col min="5897" max="5897" width="6.140625" style="90" customWidth="1"/>
    <col min="5898" max="5899" width="11" style="90" customWidth="1"/>
    <col min="5900" max="5900" width="13" style="90" customWidth="1"/>
    <col min="5901" max="6144" width="9.140625" style="90"/>
    <col min="6145" max="6145" width="5.140625" style="90" customWidth="1"/>
    <col min="6146" max="6146" width="7.42578125" style="90" customWidth="1"/>
    <col min="6147" max="6147" width="57" style="90" customWidth="1"/>
    <col min="6148" max="6148" width="5.140625" style="90" customWidth="1"/>
    <col min="6149" max="6149" width="6.5703125" style="90" customWidth="1"/>
    <col min="6150" max="6150" width="6.7109375" style="90" customWidth="1"/>
    <col min="6151" max="6151" width="7.5703125" style="90" customWidth="1"/>
    <col min="6152" max="6152" width="8.140625" style="90" customWidth="1"/>
    <col min="6153" max="6153" width="6.140625" style="90" customWidth="1"/>
    <col min="6154" max="6155" width="11" style="90" customWidth="1"/>
    <col min="6156" max="6156" width="13" style="90" customWidth="1"/>
    <col min="6157" max="6400" width="9.140625" style="90"/>
    <col min="6401" max="6401" width="5.140625" style="90" customWidth="1"/>
    <col min="6402" max="6402" width="7.42578125" style="90" customWidth="1"/>
    <col min="6403" max="6403" width="57" style="90" customWidth="1"/>
    <col min="6404" max="6404" width="5.140625" style="90" customWidth="1"/>
    <col min="6405" max="6405" width="6.5703125" style="90" customWidth="1"/>
    <col min="6406" max="6406" width="6.7109375" style="90" customWidth="1"/>
    <col min="6407" max="6407" width="7.5703125" style="90" customWidth="1"/>
    <col min="6408" max="6408" width="8.140625" style="90" customWidth="1"/>
    <col min="6409" max="6409" width="6.140625" style="90" customWidth="1"/>
    <col min="6410" max="6411" width="11" style="90" customWidth="1"/>
    <col min="6412" max="6412" width="13" style="90" customWidth="1"/>
    <col min="6413" max="6656" width="9.140625" style="90"/>
    <col min="6657" max="6657" width="5.140625" style="90" customWidth="1"/>
    <col min="6658" max="6658" width="7.42578125" style="90" customWidth="1"/>
    <col min="6659" max="6659" width="57" style="90" customWidth="1"/>
    <col min="6660" max="6660" width="5.140625" style="90" customWidth="1"/>
    <col min="6661" max="6661" width="6.5703125" style="90" customWidth="1"/>
    <col min="6662" max="6662" width="6.7109375" style="90" customWidth="1"/>
    <col min="6663" max="6663" width="7.5703125" style="90" customWidth="1"/>
    <col min="6664" max="6664" width="8.140625" style="90" customWidth="1"/>
    <col min="6665" max="6665" width="6.140625" style="90" customWidth="1"/>
    <col min="6666" max="6667" width="11" style="90" customWidth="1"/>
    <col min="6668" max="6668" width="13" style="90" customWidth="1"/>
    <col min="6669" max="6912" width="9.140625" style="90"/>
    <col min="6913" max="6913" width="5.140625" style="90" customWidth="1"/>
    <col min="6914" max="6914" width="7.42578125" style="90" customWidth="1"/>
    <col min="6915" max="6915" width="57" style="90" customWidth="1"/>
    <col min="6916" max="6916" width="5.140625" style="90" customWidth="1"/>
    <col min="6917" max="6917" width="6.5703125" style="90" customWidth="1"/>
    <col min="6918" max="6918" width="6.7109375" style="90" customWidth="1"/>
    <col min="6919" max="6919" width="7.5703125" style="90" customWidth="1"/>
    <col min="6920" max="6920" width="8.140625" style="90" customWidth="1"/>
    <col min="6921" max="6921" width="6.140625" style="90" customWidth="1"/>
    <col min="6922" max="6923" width="11" style="90" customWidth="1"/>
    <col min="6924" max="6924" width="13" style="90" customWidth="1"/>
    <col min="6925" max="7168" width="9.140625" style="90"/>
    <col min="7169" max="7169" width="5.140625" style="90" customWidth="1"/>
    <col min="7170" max="7170" width="7.42578125" style="90" customWidth="1"/>
    <col min="7171" max="7171" width="57" style="90" customWidth="1"/>
    <col min="7172" max="7172" width="5.140625" style="90" customWidth="1"/>
    <col min="7173" max="7173" width="6.5703125" style="90" customWidth="1"/>
    <col min="7174" max="7174" width="6.7109375" style="90" customWidth="1"/>
    <col min="7175" max="7175" width="7.5703125" style="90" customWidth="1"/>
    <col min="7176" max="7176" width="8.140625" style="90" customWidth="1"/>
    <col min="7177" max="7177" width="6.140625" style="90" customWidth="1"/>
    <col min="7178" max="7179" width="11" style="90" customWidth="1"/>
    <col min="7180" max="7180" width="13" style="90" customWidth="1"/>
    <col min="7181" max="7424" width="9.140625" style="90"/>
    <col min="7425" max="7425" width="5.140625" style="90" customWidth="1"/>
    <col min="7426" max="7426" width="7.42578125" style="90" customWidth="1"/>
    <col min="7427" max="7427" width="57" style="90" customWidth="1"/>
    <col min="7428" max="7428" width="5.140625" style="90" customWidth="1"/>
    <col min="7429" max="7429" width="6.5703125" style="90" customWidth="1"/>
    <col min="7430" max="7430" width="6.7109375" style="90" customWidth="1"/>
    <col min="7431" max="7431" width="7.5703125" style="90" customWidth="1"/>
    <col min="7432" max="7432" width="8.140625" style="90" customWidth="1"/>
    <col min="7433" max="7433" width="6.140625" style="90" customWidth="1"/>
    <col min="7434" max="7435" width="11" style="90" customWidth="1"/>
    <col min="7436" max="7436" width="13" style="90" customWidth="1"/>
    <col min="7437" max="7680" width="9.140625" style="90"/>
    <col min="7681" max="7681" width="5.140625" style="90" customWidth="1"/>
    <col min="7682" max="7682" width="7.42578125" style="90" customWidth="1"/>
    <col min="7683" max="7683" width="57" style="90" customWidth="1"/>
    <col min="7684" max="7684" width="5.140625" style="90" customWidth="1"/>
    <col min="7685" max="7685" width="6.5703125" style="90" customWidth="1"/>
    <col min="7686" max="7686" width="6.7109375" style="90" customWidth="1"/>
    <col min="7687" max="7687" width="7.5703125" style="90" customWidth="1"/>
    <col min="7688" max="7688" width="8.140625" style="90" customWidth="1"/>
    <col min="7689" max="7689" width="6.140625" style="90" customWidth="1"/>
    <col min="7690" max="7691" width="11" style="90" customWidth="1"/>
    <col min="7692" max="7692" width="13" style="90" customWidth="1"/>
    <col min="7693" max="7936" width="9.140625" style="90"/>
    <col min="7937" max="7937" width="5.140625" style="90" customWidth="1"/>
    <col min="7938" max="7938" width="7.42578125" style="90" customWidth="1"/>
    <col min="7939" max="7939" width="57" style="90" customWidth="1"/>
    <col min="7940" max="7940" width="5.140625" style="90" customWidth="1"/>
    <col min="7941" max="7941" width="6.5703125" style="90" customWidth="1"/>
    <col min="7942" max="7942" width="6.7109375" style="90" customWidth="1"/>
    <col min="7943" max="7943" width="7.5703125" style="90" customWidth="1"/>
    <col min="7944" max="7944" width="8.140625" style="90" customWidth="1"/>
    <col min="7945" max="7945" width="6.140625" style="90" customWidth="1"/>
    <col min="7946" max="7947" width="11" style="90" customWidth="1"/>
    <col min="7948" max="7948" width="13" style="90" customWidth="1"/>
    <col min="7949" max="8192" width="9.140625" style="90"/>
    <col min="8193" max="8193" width="5.140625" style="90" customWidth="1"/>
    <col min="8194" max="8194" width="7.42578125" style="90" customWidth="1"/>
    <col min="8195" max="8195" width="57" style="90" customWidth="1"/>
    <col min="8196" max="8196" width="5.140625" style="90" customWidth="1"/>
    <col min="8197" max="8197" width="6.5703125" style="90" customWidth="1"/>
    <col min="8198" max="8198" width="6.7109375" style="90" customWidth="1"/>
    <col min="8199" max="8199" width="7.5703125" style="90" customWidth="1"/>
    <col min="8200" max="8200" width="8.140625" style="90" customWidth="1"/>
    <col min="8201" max="8201" width="6.140625" style="90" customWidth="1"/>
    <col min="8202" max="8203" width="11" style="90" customWidth="1"/>
    <col min="8204" max="8204" width="13" style="90" customWidth="1"/>
    <col min="8205" max="8448" width="9.140625" style="90"/>
    <col min="8449" max="8449" width="5.140625" style="90" customWidth="1"/>
    <col min="8450" max="8450" width="7.42578125" style="90" customWidth="1"/>
    <col min="8451" max="8451" width="57" style="90" customWidth="1"/>
    <col min="8452" max="8452" width="5.140625" style="90" customWidth="1"/>
    <col min="8453" max="8453" width="6.5703125" style="90" customWidth="1"/>
    <col min="8454" max="8454" width="6.7109375" style="90" customWidth="1"/>
    <col min="8455" max="8455" width="7.5703125" style="90" customWidth="1"/>
    <col min="8456" max="8456" width="8.140625" style="90" customWidth="1"/>
    <col min="8457" max="8457" width="6.140625" style="90" customWidth="1"/>
    <col min="8458" max="8459" width="11" style="90" customWidth="1"/>
    <col min="8460" max="8460" width="13" style="90" customWidth="1"/>
    <col min="8461" max="8704" width="9.140625" style="90"/>
    <col min="8705" max="8705" width="5.140625" style="90" customWidth="1"/>
    <col min="8706" max="8706" width="7.42578125" style="90" customWidth="1"/>
    <col min="8707" max="8707" width="57" style="90" customWidth="1"/>
    <col min="8708" max="8708" width="5.140625" style="90" customWidth="1"/>
    <col min="8709" max="8709" width="6.5703125" style="90" customWidth="1"/>
    <col min="8710" max="8710" width="6.7109375" style="90" customWidth="1"/>
    <col min="8711" max="8711" width="7.5703125" style="90" customWidth="1"/>
    <col min="8712" max="8712" width="8.140625" style="90" customWidth="1"/>
    <col min="8713" max="8713" width="6.140625" style="90" customWidth="1"/>
    <col min="8714" max="8715" width="11" style="90" customWidth="1"/>
    <col min="8716" max="8716" width="13" style="90" customWidth="1"/>
    <col min="8717" max="8960" width="9.140625" style="90"/>
    <col min="8961" max="8961" width="5.140625" style="90" customWidth="1"/>
    <col min="8962" max="8962" width="7.42578125" style="90" customWidth="1"/>
    <col min="8963" max="8963" width="57" style="90" customWidth="1"/>
    <col min="8964" max="8964" width="5.140625" style="90" customWidth="1"/>
    <col min="8965" max="8965" width="6.5703125" style="90" customWidth="1"/>
    <col min="8966" max="8966" width="6.7109375" style="90" customWidth="1"/>
    <col min="8967" max="8967" width="7.5703125" style="90" customWidth="1"/>
    <col min="8968" max="8968" width="8.140625" style="90" customWidth="1"/>
    <col min="8969" max="8969" width="6.140625" style="90" customWidth="1"/>
    <col min="8970" max="8971" width="11" style="90" customWidth="1"/>
    <col min="8972" max="8972" width="13" style="90" customWidth="1"/>
    <col min="8973" max="9216" width="9.140625" style="90"/>
    <col min="9217" max="9217" width="5.140625" style="90" customWidth="1"/>
    <col min="9218" max="9218" width="7.42578125" style="90" customWidth="1"/>
    <col min="9219" max="9219" width="57" style="90" customWidth="1"/>
    <col min="9220" max="9220" width="5.140625" style="90" customWidth="1"/>
    <col min="9221" max="9221" width="6.5703125" style="90" customWidth="1"/>
    <col min="9222" max="9222" width="6.7109375" style="90" customWidth="1"/>
    <col min="9223" max="9223" width="7.5703125" style="90" customWidth="1"/>
    <col min="9224" max="9224" width="8.140625" style="90" customWidth="1"/>
    <col min="9225" max="9225" width="6.140625" style="90" customWidth="1"/>
    <col min="9226" max="9227" width="11" style="90" customWidth="1"/>
    <col min="9228" max="9228" width="13" style="90" customWidth="1"/>
    <col min="9229" max="9472" width="9.140625" style="90"/>
    <col min="9473" max="9473" width="5.140625" style="90" customWidth="1"/>
    <col min="9474" max="9474" width="7.42578125" style="90" customWidth="1"/>
    <col min="9475" max="9475" width="57" style="90" customWidth="1"/>
    <col min="9476" max="9476" width="5.140625" style="90" customWidth="1"/>
    <col min="9477" max="9477" width="6.5703125" style="90" customWidth="1"/>
    <col min="9478" max="9478" width="6.7109375" style="90" customWidth="1"/>
    <col min="9479" max="9479" width="7.5703125" style="90" customWidth="1"/>
    <col min="9480" max="9480" width="8.140625" style="90" customWidth="1"/>
    <col min="9481" max="9481" width="6.140625" style="90" customWidth="1"/>
    <col min="9482" max="9483" width="11" style="90" customWidth="1"/>
    <col min="9484" max="9484" width="13" style="90" customWidth="1"/>
    <col min="9485" max="9728" width="9.140625" style="90"/>
    <col min="9729" max="9729" width="5.140625" style="90" customWidth="1"/>
    <col min="9730" max="9730" width="7.42578125" style="90" customWidth="1"/>
    <col min="9731" max="9731" width="57" style="90" customWidth="1"/>
    <col min="9732" max="9732" width="5.140625" style="90" customWidth="1"/>
    <col min="9733" max="9733" width="6.5703125" style="90" customWidth="1"/>
    <col min="9734" max="9734" width="6.7109375" style="90" customWidth="1"/>
    <col min="9735" max="9735" width="7.5703125" style="90" customWidth="1"/>
    <col min="9736" max="9736" width="8.140625" style="90" customWidth="1"/>
    <col min="9737" max="9737" width="6.140625" style="90" customWidth="1"/>
    <col min="9738" max="9739" width="11" style="90" customWidth="1"/>
    <col min="9740" max="9740" width="13" style="90" customWidth="1"/>
    <col min="9741" max="9984" width="9.140625" style="90"/>
    <col min="9985" max="9985" width="5.140625" style="90" customWidth="1"/>
    <col min="9986" max="9986" width="7.42578125" style="90" customWidth="1"/>
    <col min="9987" max="9987" width="57" style="90" customWidth="1"/>
    <col min="9988" max="9988" width="5.140625" style="90" customWidth="1"/>
    <col min="9989" max="9989" width="6.5703125" style="90" customWidth="1"/>
    <col min="9990" max="9990" width="6.7109375" style="90" customWidth="1"/>
    <col min="9991" max="9991" width="7.5703125" style="90" customWidth="1"/>
    <col min="9992" max="9992" width="8.140625" style="90" customWidth="1"/>
    <col min="9993" max="9993" width="6.140625" style="90" customWidth="1"/>
    <col min="9994" max="9995" width="11" style="90" customWidth="1"/>
    <col min="9996" max="9996" width="13" style="90" customWidth="1"/>
    <col min="9997" max="10240" width="9.140625" style="90"/>
    <col min="10241" max="10241" width="5.140625" style="90" customWidth="1"/>
    <col min="10242" max="10242" width="7.42578125" style="90" customWidth="1"/>
    <col min="10243" max="10243" width="57" style="90" customWidth="1"/>
    <col min="10244" max="10244" width="5.140625" style="90" customWidth="1"/>
    <col min="10245" max="10245" width="6.5703125" style="90" customWidth="1"/>
    <col min="10246" max="10246" width="6.7109375" style="90" customWidth="1"/>
    <col min="10247" max="10247" width="7.5703125" style="90" customWidth="1"/>
    <col min="10248" max="10248" width="8.140625" style="90" customWidth="1"/>
    <col min="10249" max="10249" width="6.140625" style="90" customWidth="1"/>
    <col min="10250" max="10251" width="11" style="90" customWidth="1"/>
    <col min="10252" max="10252" width="13" style="90" customWidth="1"/>
    <col min="10253" max="10496" width="9.140625" style="90"/>
    <col min="10497" max="10497" width="5.140625" style="90" customWidth="1"/>
    <col min="10498" max="10498" width="7.42578125" style="90" customWidth="1"/>
    <col min="10499" max="10499" width="57" style="90" customWidth="1"/>
    <col min="10500" max="10500" width="5.140625" style="90" customWidth="1"/>
    <col min="10501" max="10501" width="6.5703125" style="90" customWidth="1"/>
    <col min="10502" max="10502" width="6.7109375" style="90" customWidth="1"/>
    <col min="10503" max="10503" width="7.5703125" style="90" customWidth="1"/>
    <col min="10504" max="10504" width="8.140625" style="90" customWidth="1"/>
    <col min="10505" max="10505" width="6.140625" style="90" customWidth="1"/>
    <col min="10506" max="10507" width="11" style="90" customWidth="1"/>
    <col min="10508" max="10508" width="13" style="90" customWidth="1"/>
    <col min="10509" max="10752" width="9.140625" style="90"/>
    <col min="10753" max="10753" width="5.140625" style="90" customWidth="1"/>
    <col min="10754" max="10754" width="7.42578125" style="90" customWidth="1"/>
    <col min="10755" max="10755" width="57" style="90" customWidth="1"/>
    <col min="10756" max="10756" width="5.140625" style="90" customWidth="1"/>
    <col min="10757" max="10757" width="6.5703125" style="90" customWidth="1"/>
    <col min="10758" max="10758" width="6.7109375" style="90" customWidth="1"/>
    <col min="10759" max="10759" width="7.5703125" style="90" customWidth="1"/>
    <col min="10760" max="10760" width="8.140625" style="90" customWidth="1"/>
    <col min="10761" max="10761" width="6.140625" style="90" customWidth="1"/>
    <col min="10762" max="10763" width="11" style="90" customWidth="1"/>
    <col min="10764" max="10764" width="13" style="90" customWidth="1"/>
    <col min="10765" max="11008" width="9.140625" style="90"/>
    <col min="11009" max="11009" width="5.140625" style="90" customWidth="1"/>
    <col min="11010" max="11010" width="7.42578125" style="90" customWidth="1"/>
    <col min="11011" max="11011" width="57" style="90" customWidth="1"/>
    <col min="11012" max="11012" width="5.140625" style="90" customWidth="1"/>
    <col min="11013" max="11013" width="6.5703125" style="90" customWidth="1"/>
    <col min="11014" max="11014" width="6.7109375" style="90" customWidth="1"/>
    <col min="11015" max="11015" width="7.5703125" style="90" customWidth="1"/>
    <col min="11016" max="11016" width="8.140625" style="90" customWidth="1"/>
    <col min="11017" max="11017" width="6.140625" style="90" customWidth="1"/>
    <col min="11018" max="11019" width="11" style="90" customWidth="1"/>
    <col min="11020" max="11020" width="13" style="90" customWidth="1"/>
    <col min="11021" max="11264" width="9.140625" style="90"/>
    <col min="11265" max="11265" width="5.140625" style="90" customWidth="1"/>
    <col min="11266" max="11266" width="7.42578125" style="90" customWidth="1"/>
    <col min="11267" max="11267" width="57" style="90" customWidth="1"/>
    <col min="11268" max="11268" width="5.140625" style="90" customWidth="1"/>
    <col min="11269" max="11269" width="6.5703125" style="90" customWidth="1"/>
    <col min="11270" max="11270" width="6.7109375" style="90" customWidth="1"/>
    <col min="11271" max="11271" width="7.5703125" style="90" customWidth="1"/>
    <col min="11272" max="11272" width="8.140625" style="90" customWidth="1"/>
    <col min="11273" max="11273" width="6.140625" style="90" customWidth="1"/>
    <col min="11274" max="11275" width="11" style="90" customWidth="1"/>
    <col min="11276" max="11276" width="13" style="90" customWidth="1"/>
    <col min="11277" max="11520" width="9.140625" style="90"/>
    <col min="11521" max="11521" width="5.140625" style="90" customWidth="1"/>
    <col min="11522" max="11522" width="7.42578125" style="90" customWidth="1"/>
    <col min="11523" max="11523" width="57" style="90" customWidth="1"/>
    <col min="11524" max="11524" width="5.140625" style="90" customWidth="1"/>
    <col min="11525" max="11525" width="6.5703125" style="90" customWidth="1"/>
    <col min="11526" max="11526" width="6.7109375" style="90" customWidth="1"/>
    <col min="11527" max="11527" width="7.5703125" style="90" customWidth="1"/>
    <col min="11528" max="11528" width="8.140625" style="90" customWidth="1"/>
    <col min="11529" max="11529" width="6.140625" style="90" customWidth="1"/>
    <col min="11530" max="11531" width="11" style="90" customWidth="1"/>
    <col min="11532" max="11532" width="13" style="90" customWidth="1"/>
    <col min="11533" max="11776" width="9.140625" style="90"/>
    <col min="11777" max="11777" width="5.140625" style="90" customWidth="1"/>
    <col min="11778" max="11778" width="7.42578125" style="90" customWidth="1"/>
    <col min="11779" max="11779" width="57" style="90" customWidth="1"/>
    <col min="11780" max="11780" width="5.140625" style="90" customWidth="1"/>
    <col min="11781" max="11781" width="6.5703125" style="90" customWidth="1"/>
    <col min="11782" max="11782" width="6.7109375" style="90" customWidth="1"/>
    <col min="11783" max="11783" width="7.5703125" style="90" customWidth="1"/>
    <col min="11784" max="11784" width="8.140625" style="90" customWidth="1"/>
    <col min="11785" max="11785" width="6.140625" style="90" customWidth="1"/>
    <col min="11786" max="11787" width="11" style="90" customWidth="1"/>
    <col min="11788" max="11788" width="13" style="90" customWidth="1"/>
    <col min="11789" max="12032" width="9.140625" style="90"/>
    <col min="12033" max="12033" width="5.140625" style="90" customWidth="1"/>
    <col min="12034" max="12034" width="7.42578125" style="90" customWidth="1"/>
    <col min="12035" max="12035" width="57" style="90" customWidth="1"/>
    <col min="12036" max="12036" width="5.140625" style="90" customWidth="1"/>
    <col min="12037" max="12037" width="6.5703125" style="90" customWidth="1"/>
    <col min="12038" max="12038" width="6.7109375" style="90" customWidth="1"/>
    <col min="12039" max="12039" width="7.5703125" style="90" customWidth="1"/>
    <col min="12040" max="12040" width="8.140625" style="90" customWidth="1"/>
    <col min="12041" max="12041" width="6.140625" style="90" customWidth="1"/>
    <col min="12042" max="12043" width="11" style="90" customWidth="1"/>
    <col min="12044" max="12044" width="13" style="90" customWidth="1"/>
    <col min="12045" max="12288" width="9.140625" style="90"/>
    <col min="12289" max="12289" width="5.140625" style="90" customWidth="1"/>
    <col min="12290" max="12290" width="7.42578125" style="90" customWidth="1"/>
    <col min="12291" max="12291" width="57" style="90" customWidth="1"/>
    <col min="12292" max="12292" width="5.140625" style="90" customWidth="1"/>
    <col min="12293" max="12293" width="6.5703125" style="90" customWidth="1"/>
    <col min="12294" max="12294" width="6.7109375" style="90" customWidth="1"/>
    <col min="12295" max="12295" width="7.5703125" style="90" customWidth="1"/>
    <col min="12296" max="12296" width="8.140625" style="90" customWidth="1"/>
    <col min="12297" max="12297" width="6.140625" style="90" customWidth="1"/>
    <col min="12298" max="12299" width="11" style="90" customWidth="1"/>
    <col min="12300" max="12300" width="13" style="90" customWidth="1"/>
    <col min="12301" max="12544" width="9.140625" style="90"/>
    <col min="12545" max="12545" width="5.140625" style="90" customWidth="1"/>
    <col min="12546" max="12546" width="7.42578125" style="90" customWidth="1"/>
    <col min="12547" max="12547" width="57" style="90" customWidth="1"/>
    <col min="12548" max="12548" width="5.140625" style="90" customWidth="1"/>
    <col min="12549" max="12549" width="6.5703125" style="90" customWidth="1"/>
    <col min="12550" max="12550" width="6.7109375" style="90" customWidth="1"/>
    <col min="12551" max="12551" width="7.5703125" style="90" customWidth="1"/>
    <col min="12552" max="12552" width="8.140625" style="90" customWidth="1"/>
    <col min="12553" max="12553" width="6.140625" style="90" customWidth="1"/>
    <col min="12554" max="12555" width="11" style="90" customWidth="1"/>
    <col min="12556" max="12556" width="13" style="90" customWidth="1"/>
    <col min="12557" max="12800" width="9.140625" style="90"/>
    <col min="12801" max="12801" width="5.140625" style="90" customWidth="1"/>
    <col min="12802" max="12802" width="7.42578125" style="90" customWidth="1"/>
    <col min="12803" max="12803" width="57" style="90" customWidth="1"/>
    <col min="12804" max="12804" width="5.140625" style="90" customWidth="1"/>
    <col min="12805" max="12805" width="6.5703125" style="90" customWidth="1"/>
    <col min="12806" max="12806" width="6.7109375" style="90" customWidth="1"/>
    <col min="12807" max="12807" width="7.5703125" style="90" customWidth="1"/>
    <col min="12808" max="12808" width="8.140625" style="90" customWidth="1"/>
    <col min="12809" max="12809" width="6.140625" style="90" customWidth="1"/>
    <col min="12810" max="12811" width="11" style="90" customWidth="1"/>
    <col min="12812" max="12812" width="13" style="90" customWidth="1"/>
    <col min="12813" max="13056" width="9.140625" style="90"/>
    <col min="13057" max="13057" width="5.140625" style="90" customWidth="1"/>
    <col min="13058" max="13058" width="7.42578125" style="90" customWidth="1"/>
    <col min="13059" max="13059" width="57" style="90" customWidth="1"/>
    <col min="13060" max="13060" width="5.140625" style="90" customWidth="1"/>
    <col min="13061" max="13061" width="6.5703125" style="90" customWidth="1"/>
    <col min="13062" max="13062" width="6.7109375" style="90" customWidth="1"/>
    <col min="13063" max="13063" width="7.5703125" style="90" customWidth="1"/>
    <col min="13064" max="13064" width="8.140625" style="90" customWidth="1"/>
    <col min="13065" max="13065" width="6.140625" style="90" customWidth="1"/>
    <col min="13066" max="13067" width="11" style="90" customWidth="1"/>
    <col min="13068" max="13068" width="13" style="90" customWidth="1"/>
    <col min="13069" max="13312" width="9.140625" style="90"/>
    <col min="13313" max="13313" width="5.140625" style="90" customWidth="1"/>
    <col min="13314" max="13314" width="7.42578125" style="90" customWidth="1"/>
    <col min="13315" max="13315" width="57" style="90" customWidth="1"/>
    <col min="13316" max="13316" width="5.140625" style="90" customWidth="1"/>
    <col min="13317" max="13317" width="6.5703125" style="90" customWidth="1"/>
    <col min="13318" max="13318" width="6.7109375" style="90" customWidth="1"/>
    <col min="13319" max="13319" width="7.5703125" style="90" customWidth="1"/>
    <col min="13320" max="13320" width="8.140625" style="90" customWidth="1"/>
    <col min="13321" max="13321" width="6.140625" style="90" customWidth="1"/>
    <col min="13322" max="13323" width="11" style="90" customWidth="1"/>
    <col min="13324" max="13324" width="13" style="90" customWidth="1"/>
    <col min="13325" max="13568" width="9.140625" style="90"/>
    <col min="13569" max="13569" width="5.140625" style="90" customWidth="1"/>
    <col min="13570" max="13570" width="7.42578125" style="90" customWidth="1"/>
    <col min="13571" max="13571" width="57" style="90" customWidth="1"/>
    <col min="13572" max="13572" width="5.140625" style="90" customWidth="1"/>
    <col min="13573" max="13573" width="6.5703125" style="90" customWidth="1"/>
    <col min="13574" max="13574" width="6.7109375" style="90" customWidth="1"/>
    <col min="13575" max="13575" width="7.5703125" style="90" customWidth="1"/>
    <col min="13576" max="13576" width="8.140625" style="90" customWidth="1"/>
    <col min="13577" max="13577" width="6.140625" style="90" customWidth="1"/>
    <col min="13578" max="13579" width="11" style="90" customWidth="1"/>
    <col min="13580" max="13580" width="13" style="90" customWidth="1"/>
    <col min="13581" max="13824" width="9.140625" style="90"/>
    <col min="13825" max="13825" width="5.140625" style="90" customWidth="1"/>
    <col min="13826" max="13826" width="7.42578125" style="90" customWidth="1"/>
    <col min="13827" max="13827" width="57" style="90" customWidth="1"/>
    <col min="13828" max="13828" width="5.140625" style="90" customWidth="1"/>
    <col min="13829" max="13829" width="6.5703125" style="90" customWidth="1"/>
    <col min="13830" max="13830" width="6.7109375" style="90" customWidth="1"/>
    <col min="13831" max="13831" width="7.5703125" style="90" customWidth="1"/>
    <col min="13832" max="13832" width="8.140625" style="90" customWidth="1"/>
    <col min="13833" max="13833" width="6.140625" style="90" customWidth="1"/>
    <col min="13834" max="13835" width="11" style="90" customWidth="1"/>
    <col min="13836" max="13836" width="13" style="90" customWidth="1"/>
    <col min="13837" max="14080" width="9.140625" style="90"/>
    <col min="14081" max="14081" width="5.140625" style="90" customWidth="1"/>
    <col min="14082" max="14082" width="7.42578125" style="90" customWidth="1"/>
    <col min="14083" max="14083" width="57" style="90" customWidth="1"/>
    <col min="14084" max="14084" width="5.140625" style="90" customWidth="1"/>
    <col min="14085" max="14085" width="6.5703125" style="90" customWidth="1"/>
    <col min="14086" max="14086" width="6.7109375" style="90" customWidth="1"/>
    <col min="14087" max="14087" width="7.5703125" style="90" customWidth="1"/>
    <col min="14088" max="14088" width="8.140625" style="90" customWidth="1"/>
    <col min="14089" max="14089" width="6.140625" style="90" customWidth="1"/>
    <col min="14090" max="14091" width="11" style="90" customWidth="1"/>
    <col min="14092" max="14092" width="13" style="90" customWidth="1"/>
    <col min="14093" max="14336" width="9.140625" style="90"/>
    <col min="14337" max="14337" width="5.140625" style="90" customWidth="1"/>
    <col min="14338" max="14338" width="7.42578125" style="90" customWidth="1"/>
    <col min="14339" max="14339" width="57" style="90" customWidth="1"/>
    <col min="14340" max="14340" width="5.140625" style="90" customWidth="1"/>
    <col min="14341" max="14341" width="6.5703125" style="90" customWidth="1"/>
    <col min="14342" max="14342" width="6.7109375" style="90" customWidth="1"/>
    <col min="14343" max="14343" width="7.5703125" style="90" customWidth="1"/>
    <col min="14344" max="14344" width="8.140625" style="90" customWidth="1"/>
    <col min="14345" max="14345" width="6.140625" style="90" customWidth="1"/>
    <col min="14346" max="14347" width="11" style="90" customWidth="1"/>
    <col min="14348" max="14348" width="13" style="90" customWidth="1"/>
    <col min="14349" max="14592" width="9.140625" style="90"/>
    <col min="14593" max="14593" width="5.140625" style="90" customWidth="1"/>
    <col min="14594" max="14594" width="7.42578125" style="90" customWidth="1"/>
    <col min="14595" max="14595" width="57" style="90" customWidth="1"/>
    <col min="14596" max="14596" width="5.140625" style="90" customWidth="1"/>
    <col min="14597" max="14597" width="6.5703125" style="90" customWidth="1"/>
    <col min="14598" max="14598" width="6.7109375" style="90" customWidth="1"/>
    <col min="14599" max="14599" width="7.5703125" style="90" customWidth="1"/>
    <col min="14600" max="14600" width="8.140625" style="90" customWidth="1"/>
    <col min="14601" max="14601" width="6.140625" style="90" customWidth="1"/>
    <col min="14602" max="14603" width="11" style="90" customWidth="1"/>
    <col min="14604" max="14604" width="13" style="90" customWidth="1"/>
    <col min="14605" max="14848" width="9.140625" style="90"/>
    <col min="14849" max="14849" width="5.140625" style="90" customWidth="1"/>
    <col min="14850" max="14850" width="7.42578125" style="90" customWidth="1"/>
    <col min="14851" max="14851" width="57" style="90" customWidth="1"/>
    <col min="14852" max="14852" width="5.140625" style="90" customWidth="1"/>
    <col min="14853" max="14853" width="6.5703125" style="90" customWidth="1"/>
    <col min="14854" max="14854" width="6.7109375" style="90" customWidth="1"/>
    <col min="14855" max="14855" width="7.5703125" style="90" customWidth="1"/>
    <col min="14856" max="14856" width="8.140625" style="90" customWidth="1"/>
    <col min="14857" max="14857" width="6.140625" style="90" customWidth="1"/>
    <col min="14858" max="14859" width="11" style="90" customWidth="1"/>
    <col min="14860" max="14860" width="13" style="90" customWidth="1"/>
    <col min="14861" max="15104" width="9.140625" style="90"/>
    <col min="15105" max="15105" width="5.140625" style="90" customWidth="1"/>
    <col min="15106" max="15106" width="7.42578125" style="90" customWidth="1"/>
    <col min="15107" max="15107" width="57" style="90" customWidth="1"/>
    <col min="15108" max="15108" width="5.140625" style="90" customWidth="1"/>
    <col min="15109" max="15109" width="6.5703125" style="90" customWidth="1"/>
    <col min="15110" max="15110" width="6.7109375" style="90" customWidth="1"/>
    <col min="15111" max="15111" width="7.5703125" style="90" customWidth="1"/>
    <col min="15112" max="15112" width="8.140625" style="90" customWidth="1"/>
    <col min="15113" max="15113" width="6.140625" style="90" customWidth="1"/>
    <col min="15114" max="15115" width="11" style="90" customWidth="1"/>
    <col min="15116" max="15116" width="13" style="90" customWidth="1"/>
    <col min="15117" max="15360" width="9.140625" style="90"/>
    <col min="15361" max="15361" width="5.140625" style="90" customWidth="1"/>
    <col min="15362" max="15362" width="7.42578125" style="90" customWidth="1"/>
    <col min="15363" max="15363" width="57" style="90" customWidth="1"/>
    <col min="15364" max="15364" width="5.140625" style="90" customWidth="1"/>
    <col min="15365" max="15365" width="6.5703125" style="90" customWidth="1"/>
    <col min="15366" max="15366" width="6.7109375" style="90" customWidth="1"/>
    <col min="15367" max="15367" width="7.5703125" style="90" customWidth="1"/>
    <col min="15368" max="15368" width="8.140625" style="90" customWidth="1"/>
    <col min="15369" max="15369" width="6.140625" style="90" customWidth="1"/>
    <col min="15370" max="15371" width="11" style="90" customWidth="1"/>
    <col min="15372" max="15372" width="13" style="90" customWidth="1"/>
    <col min="15373" max="15616" width="9.140625" style="90"/>
    <col min="15617" max="15617" width="5.140625" style="90" customWidth="1"/>
    <col min="15618" max="15618" width="7.42578125" style="90" customWidth="1"/>
    <col min="15619" max="15619" width="57" style="90" customWidth="1"/>
    <col min="15620" max="15620" width="5.140625" style="90" customWidth="1"/>
    <col min="15621" max="15621" width="6.5703125" style="90" customWidth="1"/>
    <col min="15622" max="15622" width="6.7109375" style="90" customWidth="1"/>
    <col min="15623" max="15623" width="7.5703125" style="90" customWidth="1"/>
    <col min="15624" max="15624" width="8.140625" style="90" customWidth="1"/>
    <col min="15625" max="15625" width="6.140625" style="90" customWidth="1"/>
    <col min="15626" max="15627" width="11" style="90" customWidth="1"/>
    <col min="15628" max="15628" width="13" style="90" customWidth="1"/>
    <col min="15629" max="15872" width="9.140625" style="90"/>
    <col min="15873" max="15873" width="5.140625" style="90" customWidth="1"/>
    <col min="15874" max="15874" width="7.42578125" style="90" customWidth="1"/>
    <col min="15875" max="15875" width="57" style="90" customWidth="1"/>
    <col min="15876" max="15876" width="5.140625" style="90" customWidth="1"/>
    <col min="15877" max="15877" width="6.5703125" style="90" customWidth="1"/>
    <col min="15878" max="15878" width="6.7109375" style="90" customWidth="1"/>
    <col min="15879" max="15879" width="7.5703125" style="90" customWidth="1"/>
    <col min="15880" max="15880" width="8.140625" style="90" customWidth="1"/>
    <col min="15881" max="15881" width="6.140625" style="90" customWidth="1"/>
    <col min="15882" max="15883" width="11" style="90" customWidth="1"/>
    <col min="15884" max="15884" width="13" style="90" customWidth="1"/>
    <col min="15885" max="16128" width="9.140625" style="90"/>
    <col min="16129" max="16129" width="5.140625" style="90" customWidth="1"/>
    <col min="16130" max="16130" width="7.42578125" style="90" customWidth="1"/>
    <col min="16131" max="16131" width="57" style="90" customWidth="1"/>
    <col min="16132" max="16132" width="5.140625" style="90" customWidth="1"/>
    <col min="16133" max="16133" width="6.5703125" style="90" customWidth="1"/>
    <col min="16134" max="16134" width="6.7109375" style="90" customWidth="1"/>
    <col min="16135" max="16135" width="7.5703125" style="90" customWidth="1"/>
    <col min="16136" max="16136" width="8.140625" style="90" customWidth="1"/>
    <col min="16137" max="16137" width="6.140625" style="90" customWidth="1"/>
    <col min="16138" max="16139" width="11" style="90" customWidth="1"/>
    <col min="16140" max="16140" width="13" style="90" customWidth="1"/>
    <col min="16141" max="16384" width="9.140625" style="90"/>
  </cols>
  <sheetData>
    <row r="2" spans="1:12" ht="15" x14ac:dyDescent="0.2">
      <c r="C2" s="106" t="s">
        <v>416</v>
      </c>
    </row>
    <row r="3" spans="1:12" ht="15.75" x14ac:dyDescent="0.2">
      <c r="A3" s="949" t="s">
        <v>417</v>
      </c>
      <c r="B3" s="949"/>
      <c r="C3" s="949"/>
      <c r="D3" s="949"/>
      <c r="E3" s="949"/>
      <c r="F3" s="949"/>
      <c r="G3" s="949"/>
      <c r="H3" s="949"/>
      <c r="I3" s="949"/>
    </row>
    <row r="4" spans="1:12" ht="15.75" x14ac:dyDescent="0.2">
      <c r="A4" s="112"/>
      <c r="B4" s="112"/>
      <c r="C4" s="112"/>
      <c r="D4" s="112"/>
      <c r="E4" s="112"/>
      <c r="F4" s="112"/>
      <c r="G4" s="112"/>
      <c r="H4" s="112"/>
      <c r="I4" s="112"/>
    </row>
    <row r="5" spans="1:12" ht="25.5" x14ac:dyDescent="0.2">
      <c r="A5" s="104" t="s">
        <v>99</v>
      </c>
      <c r="B5" s="105" t="s">
        <v>216</v>
      </c>
      <c r="C5" s="113" t="s">
        <v>101</v>
      </c>
      <c r="D5" s="114" t="s">
        <v>102</v>
      </c>
      <c r="E5" s="107" t="s">
        <v>103</v>
      </c>
      <c r="F5" s="107" t="s">
        <v>104</v>
      </c>
      <c r="G5" s="107" t="s">
        <v>105</v>
      </c>
      <c r="H5" s="179" t="s">
        <v>106</v>
      </c>
      <c r="I5" s="109" t="s">
        <v>107</v>
      </c>
      <c r="J5" s="107" t="s">
        <v>108</v>
      </c>
      <c r="K5" s="107" t="s">
        <v>109</v>
      </c>
      <c r="L5" s="203" t="s">
        <v>95</v>
      </c>
    </row>
    <row r="6" spans="1:12" ht="42.75" customHeight="1" x14ac:dyDescent="0.2">
      <c r="A6" s="116">
        <v>1</v>
      </c>
      <c r="B6" s="206" t="s">
        <v>217</v>
      </c>
      <c r="C6" s="207" t="s">
        <v>218</v>
      </c>
      <c r="D6" s="119"/>
      <c r="E6" s="121"/>
      <c r="F6" s="121"/>
      <c r="G6" s="121"/>
      <c r="H6" s="208"/>
      <c r="I6" s="122"/>
      <c r="J6" s="209"/>
      <c r="K6" s="209"/>
      <c r="L6" s="210"/>
    </row>
    <row r="7" spans="1:12" x14ac:dyDescent="0.2">
      <c r="A7" s="124"/>
      <c r="B7" s="211"/>
      <c r="C7" s="132" t="s">
        <v>139</v>
      </c>
      <c r="D7" s="133">
        <v>56</v>
      </c>
      <c r="E7" s="134">
        <v>0.3</v>
      </c>
      <c r="F7" s="134">
        <v>0.6</v>
      </c>
      <c r="G7" s="134">
        <v>2.4</v>
      </c>
      <c r="H7" s="212">
        <f>G7*F7*E7*D7</f>
        <v>24.192</v>
      </c>
      <c r="I7" s="136"/>
      <c r="J7" s="213"/>
      <c r="K7" s="213"/>
      <c r="L7" s="214"/>
    </row>
    <row r="8" spans="1:12" x14ac:dyDescent="0.2">
      <c r="A8" s="124"/>
      <c r="B8" s="211"/>
      <c r="C8" s="132" t="s">
        <v>140</v>
      </c>
      <c r="D8" s="133">
        <v>12</v>
      </c>
      <c r="E8" s="134">
        <v>0.3</v>
      </c>
      <c r="F8" s="134">
        <v>0.5</v>
      </c>
      <c r="G8" s="134">
        <v>2.4</v>
      </c>
      <c r="H8" s="212">
        <f>G8*F8*E8*D8</f>
        <v>4.32</v>
      </c>
      <c r="I8" s="136"/>
      <c r="J8" s="213"/>
      <c r="K8" s="213"/>
      <c r="L8" s="214"/>
    </row>
    <row r="9" spans="1:12" x14ac:dyDescent="0.2">
      <c r="A9" s="139"/>
      <c r="B9" s="215"/>
      <c r="C9" s="141" t="s">
        <v>117</v>
      </c>
      <c r="D9" s="142">
        <f>SUM(D7:D8)</f>
        <v>68</v>
      </c>
      <c r="E9" s="143"/>
      <c r="F9" s="143"/>
      <c r="G9" s="143"/>
      <c r="H9" s="216">
        <v>28</v>
      </c>
      <c r="I9" s="141" t="s">
        <v>118</v>
      </c>
      <c r="J9" s="217">
        <v>10852.95</v>
      </c>
      <c r="K9" s="217">
        <f>J9*100/118</f>
        <v>9197.4152542372885</v>
      </c>
      <c r="L9" s="218">
        <f>K9*H9</f>
        <v>257527.62711864407</v>
      </c>
    </row>
    <row r="10" spans="1:12" ht="37.5" customHeight="1" x14ac:dyDescent="0.2">
      <c r="A10" s="116" t="s">
        <v>219</v>
      </c>
      <c r="B10" s="206">
        <v>5.3</v>
      </c>
      <c r="C10" s="219" t="s">
        <v>220</v>
      </c>
      <c r="D10" s="119"/>
      <c r="E10" s="121"/>
      <c r="F10" s="121"/>
      <c r="G10" s="121"/>
      <c r="H10" s="208"/>
      <c r="I10" s="122"/>
      <c r="J10" s="209"/>
      <c r="K10" s="217">
        <f t="shared" ref="K10:K73" si="0">J10*100/118</f>
        <v>0</v>
      </c>
      <c r="L10" s="218">
        <f t="shared" ref="L10:L73" si="1">K10*H10</f>
        <v>0</v>
      </c>
    </row>
    <row r="11" spans="1:12" x14ac:dyDescent="0.2">
      <c r="A11" s="124"/>
      <c r="B11" s="211"/>
      <c r="C11" s="187" t="s">
        <v>221</v>
      </c>
      <c r="D11" s="133" t="s">
        <v>91</v>
      </c>
      <c r="E11" s="135" t="s">
        <v>91</v>
      </c>
      <c r="F11" s="135" t="s">
        <v>91</v>
      </c>
      <c r="G11" s="135" t="s">
        <v>91</v>
      </c>
      <c r="H11" s="134" t="s">
        <v>91</v>
      </c>
      <c r="I11" s="136"/>
      <c r="J11" s="213"/>
      <c r="K11" s="217">
        <f t="shared" si="0"/>
        <v>0</v>
      </c>
      <c r="L11" s="218">
        <v>0</v>
      </c>
    </row>
    <row r="12" spans="1:12" x14ac:dyDescent="0.2">
      <c r="A12" s="124"/>
      <c r="B12" s="211"/>
      <c r="C12" s="187" t="s">
        <v>418</v>
      </c>
      <c r="D12" s="133">
        <v>0</v>
      </c>
      <c r="E12" s="135">
        <f>1.05</f>
        <v>1.05</v>
      </c>
      <c r="F12" s="135">
        <v>0.125</v>
      </c>
      <c r="G12" s="135">
        <v>0.15</v>
      </c>
      <c r="H12" s="134">
        <f>G12*F12*E12*D12</f>
        <v>0</v>
      </c>
      <c r="I12" s="136"/>
      <c r="J12" s="213"/>
      <c r="K12" s="217">
        <f t="shared" si="0"/>
        <v>0</v>
      </c>
      <c r="L12" s="218">
        <f t="shared" si="1"/>
        <v>0</v>
      </c>
    </row>
    <row r="13" spans="1:12" x14ac:dyDescent="0.2">
      <c r="A13" s="124"/>
      <c r="B13" s="211"/>
      <c r="C13" s="187" t="s">
        <v>293</v>
      </c>
      <c r="D13" s="133">
        <v>8</v>
      </c>
      <c r="E13" s="135">
        <f>1+0.125+0.125</f>
        <v>1.25</v>
      </c>
      <c r="F13" s="135">
        <v>0.25</v>
      </c>
      <c r="G13" s="135">
        <v>0.15</v>
      </c>
      <c r="H13" s="134">
        <f>G13*F13*E13*D13</f>
        <v>0.375</v>
      </c>
      <c r="I13" s="136"/>
      <c r="J13" s="213"/>
      <c r="K13" s="217">
        <f t="shared" si="0"/>
        <v>0</v>
      </c>
      <c r="L13" s="218">
        <f t="shared" si="1"/>
        <v>0</v>
      </c>
    </row>
    <row r="14" spans="1:12" x14ac:dyDescent="0.2">
      <c r="A14" s="124"/>
      <c r="B14" s="211"/>
      <c r="C14" s="187" t="s">
        <v>222</v>
      </c>
      <c r="D14" s="133">
        <v>4</v>
      </c>
      <c r="E14" s="135">
        <f>0.9+0.125+0.125</f>
        <v>1.1499999999999999</v>
      </c>
      <c r="F14" s="135">
        <v>0.25</v>
      </c>
      <c r="G14" s="135">
        <v>0.15</v>
      </c>
      <c r="H14" s="134">
        <f>G14*F14*E14*D14</f>
        <v>0.17249999999999999</v>
      </c>
      <c r="I14" s="136"/>
      <c r="J14" s="213"/>
      <c r="K14" s="217">
        <f t="shared" si="0"/>
        <v>0</v>
      </c>
      <c r="L14" s="218">
        <f t="shared" si="1"/>
        <v>0</v>
      </c>
    </row>
    <row r="15" spans="1:12" x14ac:dyDescent="0.2">
      <c r="A15" s="124"/>
      <c r="B15" s="211"/>
      <c r="C15" s="220" t="s">
        <v>223</v>
      </c>
      <c r="D15" s="133">
        <v>8</v>
      </c>
      <c r="E15" s="135">
        <f>0.75 + 0.125 + 0.125</f>
        <v>1</v>
      </c>
      <c r="F15" s="135">
        <v>0.125</v>
      </c>
      <c r="G15" s="135">
        <v>0.15</v>
      </c>
      <c r="H15" s="134">
        <f>G15*F15*E15*D15</f>
        <v>0.15</v>
      </c>
      <c r="I15" s="136"/>
      <c r="J15" s="213"/>
      <c r="K15" s="217">
        <f t="shared" si="0"/>
        <v>0</v>
      </c>
      <c r="L15" s="218">
        <f t="shared" si="1"/>
        <v>0</v>
      </c>
    </row>
    <row r="16" spans="1:12" x14ac:dyDescent="0.2">
      <c r="A16" s="124"/>
      <c r="B16" s="211"/>
      <c r="C16" s="220" t="s">
        <v>419</v>
      </c>
      <c r="D16" s="133">
        <v>0</v>
      </c>
      <c r="E16" s="135">
        <f>0.9</f>
        <v>0.9</v>
      </c>
      <c r="F16" s="135">
        <v>0.125</v>
      </c>
      <c r="G16" s="135">
        <v>0.15</v>
      </c>
      <c r="H16" s="134">
        <f>G16*F16*E16*D16</f>
        <v>0</v>
      </c>
      <c r="I16" s="136"/>
      <c r="J16" s="213"/>
      <c r="K16" s="217">
        <f t="shared" si="0"/>
        <v>0</v>
      </c>
      <c r="L16" s="218">
        <f t="shared" si="1"/>
        <v>0</v>
      </c>
    </row>
    <row r="17" spans="1:12" x14ac:dyDescent="0.2">
      <c r="A17" s="124"/>
      <c r="B17" s="211"/>
      <c r="C17" s="187" t="s">
        <v>224</v>
      </c>
      <c r="D17" s="133"/>
      <c r="E17" s="135"/>
      <c r="F17" s="135"/>
      <c r="G17" s="135"/>
      <c r="H17" s="212"/>
      <c r="I17" s="136"/>
      <c r="J17" s="213"/>
      <c r="K17" s="217">
        <f t="shared" si="0"/>
        <v>0</v>
      </c>
      <c r="L17" s="218">
        <f t="shared" si="1"/>
        <v>0</v>
      </c>
    </row>
    <row r="18" spans="1:12" x14ac:dyDescent="0.2">
      <c r="A18" s="124"/>
      <c r="B18" s="211"/>
      <c r="C18" s="187" t="s">
        <v>225</v>
      </c>
      <c r="D18" s="133"/>
      <c r="E18" s="135"/>
      <c r="F18" s="135"/>
      <c r="G18" s="135"/>
      <c r="H18" s="212"/>
      <c r="I18" s="136"/>
      <c r="J18" s="213"/>
      <c r="K18" s="217">
        <f t="shared" si="0"/>
        <v>0</v>
      </c>
      <c r="L18" s="218">
        <f t="shared" si="1"/>
        <v>0</v>
      </c>
    </row>
    <row r="19" spans="1:12" s="111" customFormat="1" x14ac:dyDescent="0.2">
      <c r="A19" s="124"/>
      <c r="B19" s="125"/>
      <c r="C19" s="132" t="s">
        <v>144</v>
      </c>
      <c r="D19" s="133">
        <v>1</v>
      </c>
      <c r="E19" s="134">
        <f>0.475+8.85</f>
        <v>9.3249999999999993</v>
      </c>
      <c r="F19" s="134">
        <v>0.25</v>
      </c>
      <c r="G19" s="134">
        <f>0.6-0.135</f>
        <v>0.46499999999999997</v>
      </c>
      <c r="H19" s="135">
        <f t="shared" ref="H19:H61" si="2">G19*F19*E19*D19</f>
        <v>1.0840312499999998</v>
      </c>
      <c r="I19" s="136"/>
      <c r="J19" s="135"/>
      <c r="K19" s="217">
        <f t="shared" si="0"/>
        <v>0</v>
      </c>
      <c r="L19" s="218">
        <f t="shared" si="1"/>
        <v>0</v>
      </c>
    </row>
    <row r="20" spans="1:12" s="111" customFormat="1" x14ac:dyDescent="0.2">
      <c r="A20" s="124"/>
      <c r="B20" s="125"/>
      <c r="C20" s="132" t="s">
        <v>145</v>
      </c>
      <c r="D20" s="133">
        <v>1</v>
      </c>
      <c r="E20" s="134">
        <f>0.475+5.275</f>
        <v>5.75</v>
      </c>
      <c r="F20" s="134">
        <v>0.25</v>
      </c>
      <c r="G20" s="134">
        <f t="shared" ref="G20:G61" si="3">0.6-0.135</f>
        <v>0.46499999999999997</v>
      </c>
      <c r="H20" s="135">
        <f t="shared" si="2"/>
        <v>0.66843749999999991</v>
      </c>
      <c r="I20" s="136"/>
      <c r="J20" s="135"/>
      <c r="K20" s="217">
        <f t="shared" si="0"/>
        <v>0</v>
      </c>
      <c r="L20" s="218">
        <f t="shared" si="1"/>
        <v>0</v>
      </c>
    </row>
    <row r="21" spans="1:12" s="111" customFormat="1" x14ac:dyDescent="0.2">
      <c r="A21" s="124"/>
      <c r="B21" s="125"/>
      <c r="C21" s="132" t="s">
        <v>146</v>
      </c>
      <c r="D21" s="133">
        <v>1</v>
      </c>
      <c r="E21" s="134">
        <v>3.57</v>
      </c>
      <c r="F21" s="134">
        <v>0.25</v>
      </c>
      <c r="G21" s="134">
        <f t="shared" si="3"/>
        <v>0.46499999999999997</v>
      </c>
      <c r="H21" s="135">
        <f t="shared" si="2"/>
        <v>0.41501249999999995</v>
      </c>
      <c r="I21" s="136"/>
      <c r="J21" s="135"/>
      <c r="K21" s="217">
        <f t="shared" si="0"/>
        <v>0</v>
      </c>
      <c r="L21" s="218">
        <f t="shared" si="1"/>
        <v>0</v>
      </c>
    </row>
    <row r="22" spans="1:12" s="111" customFormat="1" x14ac:dyDescent="0.2">
      <c r="A22" s="124"/>
      <c r="B22" s="125"/>
      <c r="C22" s="132" t="s">
        <v>147</v>
      </c>
      <c r="D22" s="133">
        <v>1</v>
      </c>
      <c r="E22" s="134">
        <v>2.25</v>
      </c>
      <c r="F22" s="134">
        <v>0.25</v>
      </c>
      <c r="G22" s="134">
        <f t="shared" si="3"/>
        <v>0.46499999999999997</v>
      </c>
      <c r="H22" s="135">
        <f t="shared" si="2"/>
        <v>0.26156249999999998</v>
      </c>
      <c r="I22" s="136"/>
      <c r="J22" s="135"/>
      <c r="K22" s="217">
        <f t="shared" si="0"/>
        <v>0</v>
      </c>
      <c r="L22" s="218">
        <f t="shared" si="1"/>
        <v>0</v>
      </c>
    </row>
    <row r="23" spans="1:12" s="111" customFormat="1" x14ac:dyDescent="0.2">
      <c r="A23" s="124"/>
      <c r="B23" s="125"/>
      <c r="C23" s="132" t="s">
        <v>148</v>
      </c>
      <c r="D23" s="133">
        <v>2</v>
      </c>
      <c r="E23" s="134">
        <v>6.5750000000000002</v>
      </c>
      <c r="F23" s="134">
        <v>0.25</v>
      </c>
      <c r="G23" s="134">
        <f t="shared" si="3"/>
        <v>0.46499999999999997</v>
      </c>
      <c r="H23" s="135">
        <f t="shared" si="2"/>
        <v>1.5286875</v>
      </c>
      <c r="I23" s="136"/>
      <c r="J23" s="135"/>
      <c r="K23" s="217">
        <f t="shared" si="0"/>
        <v>0</v>
      </c>
      <c r="L23" s="218">
        <f t="shared" si="1"/>
        <v>0</v>
      </c>
    </row>
    <row r="24" spans="1:12" s="111" customFormat="1" x14ac:dyDescent="0.2">
      <c r="A24" s="124"/>
      <c r="B24" s="125"/>
      <c r="C24" s="132" t="s">
        <v>149</v>
      </c>
      <c r="D24" s="133">
        <v>1</v>
      </c>
      <c r="E24" s="134">
        <f>1.5+5.85</f>
        <v>7.35</v>
      </c>
      <c r="F24" s="134">
        <v>0.25</v>
      </c>
      <c r="G24" s="134">
        <f t="shared" si="3"/>
        <v>0.46499999999999997</v>
      </c>
      <c r="H24" s="135">
        <f t="shared" si="2"/>
        <v>0.85443749999999985</v>
      </c>
      <c r="I24" s="136"/>
      <c r="J24" s="135"/>
      <c r="K24" s="217">
        <f t="shared" si="0"/>
        <v>0</v>
      </c>
      <c r="L24" s="218">
        <f t="shared" si="1"/>
        <v>0</v>
      </c>
    </row>
    <row r="25" spans="1:12" s="111" customFormat="1" x14ac:dyDescent="0.2">
      <c r="A25" s="124"/>
      <c r="B25" s="125"/>
      <c r="C25" s="132" t="s">
        <v>150</v>
      </c>
      <c r="D25" s="133">
        <v>1</v>
      </c>
      <c r="E25" s="134">
        <f>1.5+26</f>
        <v>27.5</v>
      </c>
      <c r="F25" s="134">
        <v>0.25</v>
      </c>
      <c r="G25" s="134">
        <f t="shared" si="3"/>
        <v>0.46499999999999997</v>
      </c>
      <c r="H25" s="135">
        <f t="shared" si="2"/>
        <v>3.1968749999999999</v>
      </c>
      <c r="I25" s="136"/>
      <c r="J25" s="135"/>
      <c r="K25" s="217">
        <f t="shared" si="0"/>
        <v>0</v>
      </c>
      <c r="L25" s="218">
        <f t="shared" si="1"/>
        <v>0</v>
      </c>
    </row>
    <row r="26" spans="1:12" s="111" customFormat="1" x14ac:dyDescent="0.2">
      <c r="A26" s="124"/>
      <c r="B26" s="125"/>
      <c r="C26" s="132" t="s">
        <v>151</v>
      </c>
      <c r="D26" s="133">
        <v>1</v>
      </c>
      <c r="E26" s="134">
        <f>0.125+0.125+3.3</f>
        <v>3.55</v>
      </c>
      <c r="F26" s="134">
        <v>0.25</v>
      </c>
      <c r="G26" s="134">
        <f t="shared" si="3"/>
        <v>0.46499999999999997</v>
      </c>
      <c r="H26" s="135">
        <f t="shared" si="2"/>
        <v>0.41268749999999993</v>
      </c>
      <c r="I26" s="136"/>
      <c r="J26" s="135"/>
      <c r="K26" s="217">
        <f t="shared" si="0"/>
        <v>0</v>
      </c>
      <c r="L26" s="218">
        <f t="shared" si="1"/>
        <v>0</v>
      </c>
    </row>
    <row r="27" spans="1:12" s="111" customFormat="1" x14ac:dyDescent="0.2">
      <c r="A27" s="124"/>
      <c r="B27" s="125"/>
      <c r="C27" s="132" t="s">
        <v>152</v>
      </c>
      <c r="D27" s="133">
        <v>1</v>
      </c>
      <c r="E27" s="134">
        <f>1.5+3.975</f>
        <v>5.4749999999999996</v>
      </c>
      <c r="F27" s="134">
        <v>0.25</v>
      </c>
      <c r="G27" s="134">
        <f t="shared" si="3"/>
        <v>0.46499999999999997</v>
      </c>
      <c r="H27" s="135">
        <f t="shared" si="2"/>
        <v>0.63646874999999992</v>
      </c>
      <c r="I27" s="136"/>
      <c r="J27" s="135"/>
      <c r="K27" s="217">
        <f t="shared" si="0"/>
        <v>0</v>
      </c>
      <c r="L27" s="218">
        <f t="shared" si="1"/>
        <v>0</v>
      </c>
    </row>
    <row r="28" spans="1:12" s="111" customFormat="1" x14ac:dyDescent="0.2">
      <c r="A28" s="124"/>
      <c r="B28" s="125"/>
      <c r="C28" s="132" t="s">
        <v>153</v>
      </c>
      <c r="D28" s="133">
        <v>1</v>
      </c>
      <c r="E28" s="134">
        <f>1.5+7.2</f>
        <v>8.6999999999999993</v>
      </c>
      <c r="F28" s="134">
        <v>0.25</v>
      </c>
      <c r="G28" s="134">
        <f t="shared" si="3"/>
        <v>0.46499999999999997</v>
      </c>
      <c r="H28" s="135">
        <f t="shared" si="2"/>
        <v>1.0113749999999999</v>
      </c>
      <c r="I28" s="136"/>
      <c r="J28" s="135"/>
      <c r="K28" s="217">
        <f t="shared" si="0"/>
        <v>0</v>
      </c>
      <c r="L28" s="218">
        <f t="shared" si="1"/>
        <v>0</v>
      </c>
    </row>
    <row r="29" spans="1:12" s="111" customFormat="1" x14ac:dyDescent="0.2">
      <c r="A29" s="124"/>
      <c r="B29" s="125"/>
      <c r="C29" s="132" t="s">
        <v>154</v>
      </c>
      <c r="D29" s="133">
        <v>1</v>
      </c>
      <c r="E29" s="134">
        <f>3.05+6.05</f>
        <v>9.1</v>
      </c>
      <c r="F29" s="134">
        <v>0.25</v>
      </c>
      <c r="G29" s="134">
        <f t="shared" si="3"/>
        <v>0.46499999999999997</v>
      </c>
      <c r="H29" s="135">
        <f t="shared" si="2"/>
        <v>1.0578749999999999</v>
      </c>
      <c r="I29" s="136"/>
      <c r="J29" s="135"/>
      <c r="K29" s="217">
        <f t="shared" si="0"/>
        <v>0</v>
      </c>
      <c r="L29" s="218">
        <f t="shared" si="1"/>
        <v>0</v>
      </c>
    </row>
    <row r="30" spans="1:12" s="111" customFormat="1" x14ac:dyDescent="0.2">
      <c r="A30" s="124"/>
      <c r="B30" s="125"/>
      <c r="C30" s="132" t="s">
        <v>155</v>
      </c>
      <c r="D30" s="133">
        <v>1</v>
      </c>
      <c r="E30" s="134">
        <f>1.5+10.62</f>
        <v>12.12</v>
      </c>
      <c r="F30" s="134">
        <v>0.25</v>
      </c>
      <c r="G30" s="134">
        <f t="shared" si="3"/>
        <v>0.46499999999999997</v>
      </c>
      <c r="H30" s="135">
        <f t="shared" si="2"/>
        <v>1.4089499999999999</v>
      </c>
      <c r="I30" s="136"/>
      <c r="J30" s="135"/>
      <c r="K30" s="217">
        <f t="shared" si="0"/>
        <v>0</v>
      </c>
      <c r="L30" s="218">
        <f t="shared" si="1"/>
        <v>0</v>
      </c>
    </row>
    <row r="31" spans="1:12" s="111" customFormat="1" x14ac:dyDescent="0.2">
      <c r="A31" s="124"/>
      <c r="B31" s="125"/>
      <c r="C31" s="132" t="s">
        <v>156</v>
      </c>
      <c r="D31" s="180">
        <v>1</v>
      </c>
      <c r="E31" s="134">
        <f>1.5+4.1</f>
        <v>5.6</v>
      </c>
      <c r="F31" s="134">
        <v>0.25</v>
      </c>
      <c r="G31" s="134">
        <f t="shared" si="3"/>
        <v>0.46499999999999997</v>
      </c>
      <c r="H31" s="135">
        <f t="shared" si="2"/>
        <v>0.65099999999999991</v>
      </c>
      <c r="I31" s="136"/>
      <c r="J31" s="135"/>
      <c r="K31" s="217">
        <f t="shared" si="0"/>
        <v>0</v>
      </c>
      <c r="L31" s="218">
        <f t="shared" si="1"/>
        <v>0</v>
      </c>
    </row>
    <row r="32" spans="1:12" s="111" customFormat="1" x14ac:dyDescent="0.2">
      <c r="A32" s="124"/>
      <c r="B32" s="125"/>
      <c r="C32" s="132" t="s">
        <v>157</v>
      </c>
      <c r="D32" s="133">
        <v>1</v>
      </c>
      <c r="E32" s="134">
        <v>3.55</v>
      </c>
      <c r="F32" s="134">
        <v>0.25</v>
      </c>
      <c r="G32" s="134">
        <f t="shared" si="3"/>
        <v>0.46499999999999997</v>
      </c>
      <c r="H32" s="135">
        <f t="shared" si="2"/>
        <v>0.41268749999999993</v>
      </c>
      <c r="I32" s="136"/>
      <c r="J32" s="135"/>
      <c r="K32" s="217">
        <f t="shared" si="0"/>
        <v>0</v>
      </c>
      <c r="L32" s="218">
        <f t="shared" si="1"/>
        <v>0</v>
      </c>
    </row>
    <row r="33" spans="1:12" s="111" customFormat="1" x14ac:dyDescent="0.2">
      <c r="A33" s="124"/>
      <c r="B33" s="125"/>
      <c r="C33" s="132" t="s">
        <v>158</v>
      </c>
      <c r="D33" s="133">
        <v>1</v>
      </c>
      <c r="E33" s="134">
        <f>1.5+25.875</f>
        <v>27.375</v>
      </c>
      <c r="F33" s="134">
        <v>0.25</v>
      </c>
      <c r="G33" s="134">
        <f t="shared" si="3"/>
        <v>0.46499999999999997</v>
      </c>
      <c r="H33" s="135">
        <f t="shared" si="2"/>
        <v>3.1823437499999998</v>
      </c>
      <c r="I33" s="136"/>
      <c r="J33" s="135"/>
      <c r="K33" s="217">
        <f t="shared" si="0"/>
        <v>0</v>
      </c>
      <c r="L33" s="218">
        <f t="shared" si="1"/>
        <v>0</v>
      </c>
    </row>
    <row r="34" spans="1:12" s="111" customFormat="1" x14ac:dyDescent="0.2">
      <c r="A34" s="124"/>
      <c r="B34" s="125"/>
      <c r="C34" s="132" t="s">
        <v>159</v>
      </c>
      <c r="D34" s="133">
        <v>1</v>
      </c>
      <c r="E34" s="134">
        <f>1.5+5.85</f>
        <v>7.35</v>
      </c>
      <c r="F34" s="134">
        <v>0.25</v>
      </c>
      <c r="G34" s="134">
        <f t="shared" si="3"/>
        <v>0.46499999999999997</v>
      </c>
      <c r="H34" s="135">
        <f t="shared" si="2"/>
        <v>0.85443749999999985</v>
      </c>
      <c r="I34" s="136"/>
      <c r="J34" s="135"/>
      <c r="K34" s="217">
        <f t="shared" si="0"/>
        <v>0</v>
      </c>
      <c r="L34" s="218">
        <f t="shared" si="1"/>
        <v>0</v>
      </c>
    </row>
    <row r="35" spans="1:12" s="111" customFormat="1" x14ac:dyDescent="0.2">
      <c r="A35" s="124"/>
      <c r="B35" s="125"/>
      <c r="C35" s="132" t="s">
        <v>160</v>
      </c>
      <c r="D35" s="133">
        <v>1</v>
      </c>
      <c r="E35" s="134">
        <v>8.75</v>
      </c>
      <c r="F35" s="134">
        <v>0.25</v>
      </c>
      <c r="G35" s="134">
        <f t="shared" si="3"/>
        <v>0.46499999999999997</v>
      </c>
      <c r="H35" s="135">
        <f t="shared" si="2"/>
        <v>1.0171874999999999</v>
      </c>
      <c r="I35" s="136"/>
      <c r="J35" s="135"/>
      <c r="K35" s="217">
        <f t="shared" si="0"/>
        <v>0</v>
      </c>
      <c r="L35" s="218">
        <f t="shared" si="1"/>
        <v>0</v>
      </c>
    </row>
    <row r="36" spans="1:12" s="111" customFormat="1" x14ac:dyDescent="0.2">
      <c r="A36" s="124"/>
      <c r="B36" s="125"/>
      <c r="C36" s="132" t="s">
        <v>161</v>
      </c>
      <c r="D36" s="133">
        <v>1</v>
      </c>
      <c r="E36" s="134">
        <v>6.5750000000000002</v>
      </c>
      <c r="F36" s="134">
        <v>0.25</v>
      </c>
      <c r="G36" s="134">
        <f t="shared" si="3"/>
        <v>0.46499999999999997</v>
      </c>
      <c r="H36" s="135">
        <f t="shared" si="2"/>
        <v>0.76434374999999999</v>
      </c>
      <c r="I36" s="136"/>
      <c r="J36" s="135"/>
      <c r="K36" s="217">
        <f t="shared" si="0"/>
        <v>0</v>
      </c>
      <c r="L36" s="218">
        <f t="shared" si="1"/>
        <v>0</v>
      </c>
    </row>
    <row r="37" spans="1:12" s="111" customFormat="1" x14ac:dyDescent="0.2">
      <c r="A37" s="124"/>
      <c r="B37" s="125"/>
      <c r="C37" s="132" t="s">
        <v>162</v>
      </c>
      <c r="D37" s="133">
        <v>1</v>
      </c>
      <c r="E37" s="134">
        <v>2.52</v>
      </c>
      <c r="F37" s="134">
        <v>0.25</v>
      </c>
      <c r="G37" s="134">
        <f t="shared" si="3"/>
        <v>0.46499999999999997</v>
      </c>
      <c r="H37" s="135">
        <f t="shared" si="2"/>
        <v>0.29294999999999999</v>
      </c>
      <c r="I37" s="136"/>
      <c r="J37" s="135"/>
      <c r="K37" s="217">
        <f t="shared" si="0"/>
        <v>0</v>
      </c>
      <c r="L37" s="218">
        <f t="shared" si="1"/>
        <v>0</v>
      </c>
    </row>
    <row r="38" spans="1:12" s="111" customFormat="1" x14ac:dyDescent="0.2">
      <c r="A38" s="124"/>
      <c r="B38" s="125"/>
      <c r="C38" s="132" t="s">
        <v>163</v>
      </c>
      <c r="D38" s="133">
        <v>2</v>
      </c>
      <c r="E38" s="134">
        <f>1.5+8.85</f>
        <v>10.35</v>
      </c>
      <c r="F38" s="134">
        <v>0.25</v>
      </c>
      <c r="G38" s="134">
        <f t="shared" si="3"/>
        <v>0.46499999999999997</v>
      </c>
      <c r="H38" s="135">
        <f t="shared" si="2"/>
        <v>2.4063749999999997</v>
      </c>
      <c r="I38" s="136"/>
      <c r="J38" s="135"/>
      <c r="K38" s="217">
        <f t="shared" si="0"/>
        <v>0</v>
      </c>
      <c r="L38" s="218">
        <f t="shared" si="1"/>
        <v>0</v>
      </c>
    </row>
    <row r="39" spans="1:12" s="111" customFormat="1" x14ac:dyDescent="0.2">
      <c r="A39" s="124"/>
      <c r="B39" s="125"/>
      <c r="C39" s="132" t="s">
        <v>164</v>
      </c>
      <c r="D39" s="133">
        <v>1</v>
      </c>
      <c r="E39" s="134">
        <f>0.475+8.85</f>
        <v>9.3249999999999993</v>
      </c>
      <c r="F39" s="134">
        <v>0.25</v>
      </c>
      <c r="G39" s="134">
        <f t="shared" si="3"/>
        <v>0.46499999999999997</v>
      </c>
      <c r="H39" s="135">
        <f t="shared" si="2"/>
        <v>1.0840312499999998</v>
      </c>
      <c r="I39" s="136"/>
      <c r="J39" s="135"/>
      <c r="K39" s="217">
        <f t="shared" si="0"/>
        <v>0</v>
      </c>
      <c r="L39" s="218">
        <f t="shared" si="1"/>
        <v>0</v>
      </c>
    </row>
    <row r="40" spans="1:12" s="111" customFormat="1" x14ac:dyDescent="0.2">
      <c r="A40" s="124"/>
      <c r="B40" s="125"/>
      <c r="C40" s="132" t="s">
        <v>165</v>
      </c>
      <c r="D40" s="133">
        <v>1</v>
      </c>
      <c r="E40" s="134">
        <f>0.475+5.275</f>
        <v>5.75</v>
      </c>
      <c r="F40" s="134">
        <v>0.25</v>
      </c>
      <c r="G40" s="134">
        <f t="shared" si="3"/>
        <v>0.46499999999999997</v>
      </c>
      <c r="H40" s="135">
        <f t="shared" si="2"/>
        <v>0.66843749999999991</v>
      </c>
      <c r="I40" s="136"/>
      <c r="J40" s="135"/>
      <c r="K40" s="217">
        <f t="shared" si="0"/>
        <v>0</v>
      </c>
      <c r="L40" s="218">
        <f t="shared" si="1"/>
        <v>0</v>
      </c>
    </row>
    <row r="41" spans="1:12" s="111" customFormat="1" x14ac:dyDescent="0.2">
      <c r="A41" s="124"/>
      <c r="B41" s="125"/>
      <c r="C41" s="132" t="s">
        <v>166</v>
      </c>
      <c r="D41" s="133">
        <v>1</v>
      </c>
      <c r="E41" s="134">
        <v>3.5750000000000002</v>
      </c>
      <c r="F41" s="134">
        <v>0.25</v>
      </c>
      <c r="G41" s="134">
        <f t="shared" si="3"/>
        <v>0.46499999999999997</v>
      </c>
      <c r="H41" s="135">
        <f t="shared" si="2"/>
        <v>0.41559374999999998</v>
      </c>
      <c r="I41" s="136"/>
      <c r="J41" s="135"/>
      <c r="K41" s="217">
        <f t="shared" si="0"/>
        <v>0</v>
      </c>
      <c r="L41" s="218">
        <f t="shared" si="1"/>
        <v>0</v>
      </c>
    </row>
    <row r="42" spans="1:12" s="111" customFormat="1" x14ac:dyDescent="0.2">
      <c r="A42" s="124"/>
      <c r="B42" s="125"/>
      <c r="C42" s="132" t="s">
        <v>167</v>
      </c>
      <c r="D42" s="133">
        <v>2</v>
      </c>
      <c r="E42" s="134">
        <v>2.2519999999999998</v>
      </c>
      <c r="F42" s="134">
        <v>0.25</v>
      </c>
      <c r="G42" s="134">
        <f t="shared" si="3"/>
        <v>0.46499999999999997</v>
      </c>
      <c r="H42" s="135">
        <f t="shared" si="2"/>
        <v>0.52358999999999989</v>
      </c>
      <c r="I42" s="136"/>
      <c r="J42" s="135"/>
      <c r="K42" s="217">
        <f t="shared" si="0"/>
        <v>0</v>
      </c>
      <c r="L42" s="218">
        <f t="shared" si="1"/>
        <v>0</v>
      </c>
    </row>
    <row r="43" spans="1:12" s="111" customFormat="1" x14ac:dyDescent="0.2">
      <c r="A43" s="124"/>
      <c r="B43" s="125"/>
      <c r="C43" s="132" t="s">
        <v>168</v>
      </c>
      <c r="D43" s="133">
        <v>1</v>
      </c>
      <c r="E43" s="134">
        <v>6.5750000000000002</v>
      </c>
      <c r="F43" s="134">
        <v>0.25</v>
      </c>
      <c r="G43" s="134">
        <f t="shared" si="3"/>
        <v>0.46499999999999997</v>
      </c>
      <c r="H43" s="135">
        <f t="shared" si="2"/>
        <v>0.76434374999999999</v>
      </c>
      <c r="I43" s="136"/>
      <c r="J43" s="135"/>
      <c r="K43" s="217">
        <f t="shared" si="0"/>
        <v>0</v>
      </c>
      <c r="L43" s="218">
        <f t="shared" si="1"/>
        <v>0</v>
      </c>
    </row>
    <row r="44" spans="1:12" s="111" customFormat="1" x14ac:dyDescent="0.2">
      <c r="A44" s="124"/>
      <c r="B44" s="125"/>
      <c r="C44" s="132" t="s">
        <v>169</v>
      </c>
      <c r="D44" s="133">
        <v>1</v>
      </c>
      <c r="E44" s="134">
        <f>1.5+5.85</f>
        <v>7.35</v>
      </c>
      <c r="F44" s="134">
        <v>0.25</v>
      </c>
      <c r="G44" s="134">
        <f t="shared" si="3"/>
        <v>0.46499999999999997</v>
      </c>
      <c r="H44" s="135">
        <f t="shared" si="2"/>
        <v>0.85443749999999985</v>
      </c>
      <c r="I44" s="136"/>
      <c r="J44" s="135"/>
      <c r="K44" s="217">
        <f t="shared" si="0"/>
        <v>0</v>
      </c>
      <c r="L44" s="218">
        <f t="shared" si="1"/>
        <v>0</v>
      </c>
    </row>
    <row r="45" spans="1:12" s="111" customFormat="1" x14ac:dyDescent="0.2">
      <c r="A45" s="124"/>
      <c r="B45" s="125"/>
      <c r="C45" s="132" t="s">
        <v>170</v>
      </c>
      <c r="D45" s="133">
        <v>1</v>
      </c>
      <c r="E45" s="134">
        <v>20.85</v>
      </c>
      <c r="F45" s="134">
        <v>0.25</v>
      </c>
      <c r="G45" s="134">
        <f t="shared" si="3"/>
        <v>0.46499999999999997</v>
      </c>
      <c r="H45" s="135">
        <f t="shared" si="2"/>
        <v>2.4238124999999999</v>
      </c>
      <c r="I45" s="136"/>
      <c r="J45" s="135"/>
      <c r="K45" s="217">
        <f t="shared" si="0"/>
        <v>0</v>
      </c>
      <c r="L45" s="218">
        <f t="shared" si="1"/>
        <v>0</v>
      </c>
    </row>
    <row r="46" spans="1:12" s="111" customFormat="1" x14ac:dyDescent="0.2">
      <c r="A46" s="124"/>
      <c r="B46" s="125"/>
      <c r="C46" s="132" t="s">
        <v>171</v>
      </c>
      <c r="D46" s="133">
        <v>1</v>
      </c>
      <c r="E46" s="134">
        <v>9.1750000000000007</v>
      </c>
      <c r="F46" s="134">
        <v>0.25</v>
      </c>
      <c r="G46" s="134">
        <f t="shared" si="3"/>
        <v>0.46499999999999997</v>
      </c>
      <c r="H46" s="135">
        <f t="shared" si="2"/>
        <v>1.06659375</v>
      </c>
      <c r="I46" s="136"/>
      <c r="J46" s="135"/>
      <c r="K46" s="217">
        <f t="shared" si="0"/>
        <v>0</v>
      </c>
      <c r="L46" s="218">
        <f t="shared" si="1"/>
        <v>0</v>
      </c>
    </row>
    <row r="47" spans="1:12" s="111" customFormat="1" x14ac:dyDescent="0.2">
      <c r="A47" s="124"/>
      <c r="B47" s="125"/>
      <c r="C47" s="132" t="s">
        <v>172</v>
      </c>
      <c r="D47" s="133">
        <v>1</v>
      </c>
      <c r="E47" s="134">
        <v>8.85</v>
      </c>
      <c r="F47" s="134">
        <v>0.25</v>
      </c>
      <c r="G47" s="134">
        <f t="shared" si="3"/>
        <v>0.46499999999999997</v>
      </c>
      <c r="H47" s="135">
        <f t="shared" si="2"/>
        <v>1.0288124999999999</v>
      </c>
      <c r="I47" s="136"/>
      <c r="J47" s="135"/>
      <c r="K47" s="217">
        <f t="shared" si="0"/>
        <v>0</v>
      </c>
      <c r="L47" s="218">
        <f t="shared" si="1"/>
        <v>0</v>
      </c>
    </row>
    <row r="48" spans="1:12" s="111" customFormat="1" x14ac:dyDescent="0.2">
      <c r="A48" s="124"/>
      <c r="B48" s="125"/>
      <c r="C48" s="132" t="s">
        <v>173</v>
      </c>
      <c r="D48" s="133">
        <v>1</v>
      </c>
      <c r="E48" s="134">
        <f>1.5+4.1</f>
        <v>5.6</v>
      </c>
      <c r="F48" s="134">
        <v>0.25</v>
      </c>
      <c r="G48" s="134">
        <f t="shared" si="3"/>
        <v>0.46499999999999997</v>
      </c>
      <c r="H48" s="135">
        <f t="shared" si="2"/>
        <v>0.65099999999999991</v>
      </c>
      <c r="I48" s="136"/>
      <c r="J48" s="135"/>
      <c r="K48" s="217">
        <f t="shared" si="0"/>
        <v>0</v>
      </c>
      <c r="L48" s="218">
        <f t="shared" si="1"/>
        <v>0</v>
      </c>
    </row>
    <row r="49" spans="1:12" s="111" customFormat="1" x14ac:dyDescent="0.2">
      <c r="A49" s="124"/>
      <c r="B49" s="125"/>
      <c r="C49" s="132" t="s">
        <v>174</v>
      </c>
      <c r="D49" s="133">
        <v>1</v>
      </c>
      <c r="E49" s="134">
        <f>1.5+7.2</f>
        <v>8.6999999999999993</v>
      </c>
      <c r="F49" s="134">
        <v>0.25</v>
      </c>
      <c r="G49" s="134">
        <f t="shared" si="3"/>
        <v>0.46499999999999997</v>
      </c>
      <c r="H49" s="135">
        <f t="shared" si="2"/>
        <v>1.0113749999999999</v>
      </c>
      <c r="I49" s="136"/>
      <c r="J49" s="135"/>
      <c r="K49" s="217">
        <f t="shared" si="0"/>
        <v>0</v>
      </c>
      <c r="L49" s="218">
        <f t="shared" si="1"/>
        <v>0</v>
      </c>
    </row>
    <row r="50" spans="1:12" s="111" customFormat="1" x14ac:dyDescent="0.2">
      <c r="A50" s="124"/>
      <c r="B50" s="125"/>
      <c r="C50" s="132" t="s">
        <v>175</v>
      </c>
      <c r="D50" s="133">
        <v>1</v>
      </c>
      <c r="E50" s="134">
        <f>1.5+7.2</f>
        <v>8.6999999999999993</v>
      </c>
      <c r="F50" s="134">
        <v>0.25</v>
      </c>
      <c r="G50" s="134">
        <f t="shared" si="3"/>
        <v>0.46499999999999997</v>
      </c>
      <c r="H50" s="135">
        <f t="shared" si="2"/>
        <v>1.0113749999999999</v>
      </c>
      <c r="I50" s="136"/>
      <c r="J50" s="135"/>
      <c r="K50" s="217">
        <f t="shared" si="0"/>
        <v>0</v>
      </c>
      <c r="L50" s="218">
        <f t="shared" si="1"/>
        <v>0</v>
      </c>
    </row>
    <row r="51" spans="1:12" s="111" customFormat="1" x14ac:dyDescent="0.2">
      <c r="A51" s="124"/>
      <c r="B51" s="125"/>
      <c r="C51" s="132" t="s">
        <v>176</v>
      </c>
      <c r="D51" s="133">
        <v>1</v>
      </c>
      <c r="E51" s="134">
        <f>1.5+4.1</f>
        <v>5.6</v>
      </c>
      <c r="F51" s="134">
        <v>0.25</v>
      </c>
      <c r="G51" s="134">
        <f t="shared" si="3"/>
        <v>0.46499999999999997</v>
      </c>
      <c r="H51" s="135">
        <f t="shared" si="2"/>
        <v>0.65099999999999991</v>
      </c>
      <c r="I51" s="136"/>
      <c r="J51" s="135"/>
      <c r="K51" s="217">
        <f t="shared" si="0"/>
        <v>0</v>
      </c>
      <c r="L51" s="218">
        <f t="shared" si="1"/>
        <v>0</v>
      </c>
    </row>
    <row r="52" spans="1:12" s="111" customFormat="1" x14ac:dyDescent="0.2">
      <c r="A52" s="124"/>
      <c r="B52" s="125"/>
      <c r="C52" s="132" t="s">
        <v>177</v>
      </c>
      <c r="D52" s="133">
        <v>1</v>
      </c>
      <c r="E52" s="134">
        <v>9.1750000000000007</v>
      </c>
      <c r="F52" s="134">
        <v>0.25</v>
      </c>
      <c r="G52" s="134">
        <f t="shared" si="3"/>
        <v>0.46499999999999997</v>
      </c>
      <c r="H52" s="135">
        <f t="shared" si="2"/>
        <v>1.06659375</v>
      </c>
      <c r="I52" s="136"/>
      <c r="J52" s="135"/>
      <c r="K52" s="217">
        <f t="shared" si="0"/>
        <v>0</v>
      </c>
      <c r="L52" s="218">
        <f t="shared" si="1"/>
        <v>0</v>
      </c>
    </row>
    <row r="53" spans="1:12" s="111" customFormat="1" x14ac:dyDescent="0.2">
      <c r="A53" s="124"/>
      <c r="B53" s="125"/>
      <c r="C53" s="132" t="s">
        <v>178</v>
      </c>
      <c r="D53" s="133">
        <v>1</v>
      </c>
      <c r="E53" s="134">
        <f>1.5+19.35</f>
        <v>20.85</v>
      </c>
      <c r="F53" s="134">
        <v>0.25</v>
      </c>
      <c r="G53" s="134">
        <f t="shared" si="3"/>
        <v>0.46499999999999997</v>
      </c>
      <c r="H53" s="135">
        <f t="shared" si="2"/>
        <v>2.4238124999999999</v>
      </c>
      <c r="I53" s="136"/>
      <c r="J53" s="135"/>
      <c r="K53" s="217">
        <f t="shared" si="0"/>
        <v>0</v>
      </c>
      <c r="L53" s="218">
        <f t="shared" si="1"/>
        <v>0</v>
      </c>
    </row>
    <row r="54" spans="1:12" s="111" customFormat="1" x14ac:dyDescent="0.2">
      <c r="A54" s="124"/>
      <c r="B54" s="125"/>
      <c r="C54" s="132" t="s">
        <v>179</v>
      </c>
      <c r="D54" s="133">
        <v>1</v>
      </c>
      <c r="E54" s="134">
        <f>1.5+5.58</f>
        <v>7.08</v>
      </c>
      <c r="F54" s="134">
        <v>0.25</v>
      </c>
      <c r="G54" s="134">
        <f t="shared" si="3"/>
        <v>0.46499999999999997</v>
      </c>
      <c r="H54" s="135">
        <f t="shared" si="2"/>
        <v>0.82304999999999995</v>
      </c>
      <c r="I54" s="136"/>
      <c r="J54" s="135"/>
      <c r="K54" s="217">
        <f t="shared" si="0"/>
        <v>0</v>
      </c>
      <c r="L54" s="218">
        <f t="shared" si="1"/>
        <v>0</v>
      </c>
    </row>
    <row r="55" spans="1:12" s="111" customFormat="1" x14ac:dyDescent="0.2">
      <c r="A55" s="124"/>
      <c r="B55" s="125"/>
      <c r="C55" s="132" t="s">
        <v>180</v>
      </c>
      <c r="D55" s="133">
        <v>1</v>
      </c>
      <c r="E55" s="134">
        <v>6.5750000000000002</v>
      </c>
      <c r="F55" s="134">
        <v>0.25</v>
      </c>
      <c r="G55" s="134">
        <f t="shared" si="3"/>
        <v>0.46499999999999997</v>
      </c>
      <c r="H55" s="135">
        <f t="shared" si="2"/>
        <v>0.76434374999999999</v>
      </c>
      <c r="I55" s="136"/>
      <c r="J55" s="135"/>
      <c r="K55" s="217">
        <f t="shared" si="0"/>
        <v>0</v>
      </c>
      <c r="L55" s="218">
        <f t="shared" si="1"/>
        <v>0</v>
      </c>
    </row>
    <row r="56" spans="1:12" s="111" customFormat="1" x14ac:dyDescent="0.2">
      <c r="A56" s="124"/>
      <c r="B56" s="125"/>
      <c r="C56" s="132" t="s">
        <v>181</v>
      </c>
      <c r="D56" s="133">
        <v>1</v>
      </c>
      <c r="E56" s="134">
        <v>2.5249999999999999</v>
      </c>
      <c r="F56" s="134">
        <v>0.25</v>
      </c>
      <c r="G56" s="134">
        <f t="shared" si="3"/>
        <v>0.46499999999999997</v>
      </c>
      <c r="H56" s="135">
        <f t="shared" si="2"/>
        <v>0.29353124999999997</v>
      </c>
      <c r="I56" s="136"/>
      <c r="J56" s="135"/>
      <c r="K56" s="217">
        <f t="shared" si="0"/>
        <v>0</v>
      </c>
      <c r="L56" s="218">
        <f t="shared" si="1"/>
        <v>0</v>
      </c>
    </row>
    <row r="57" spans="1:12" s="111" customFormat="1" x14ac:dyDescent="0.2">
      <c r="A57" s="124"/>
      <c r="B57" s="125"/>
      <c r="C57" s="132" t="s">
        <v>182</v>
      </c>
      <c r="D57" s="133">
        <v>1</v>
      </c>
      <c r="E57" s="134">
        <v>3.5750000000000002</v>
      </c>
      <c r="F57" s="134">
        <v>0.25</v>
      </c>
      <c r="G57" s="134">
        <f t="shared" si="3"/>
        <v>0.46499999999999997</v>
      </c>
      <c r="H57" s="135">
        <f t="shared" si="2"/>
        <v>0.41559374999999998</v>
      </c>
      <c r="I57" s="136"/>
      <c r="J57" s="135"/>
      <c r="K57" s="217">
        <f t="shared" si="0"/>
        <v>0</v>
      </c>
      <c r="L57" s="218">
        <f t="shared" si="1"/>
        <v>0</v>
      </c>
    </row>
    <row r="58" spans="1:12" s="111" customFormat="1" x14ac:dyDescent="0.2">
      <c r="A58" s="124"/>
      <c r="B58" s="125"/>
      <c r="C58" s="132" t="s">
        <v>183</v>
      </c>
      <c r="D58" s="133">
        <v>1</v>
      </c>
      <c r="E58" s="134">
        <f>0.475+5.275</f>
        <v>5.75</v>
      </c>
      <c r="F58" s="134">
        <v>0.25</v>
      </c>
      <c r="G58" s="134">
        <f t="shared" si="3"/>
        <v>0.46499999999999997</v>
      </c>
      <c r="H58" s="135">
        <f t="shared" si="2"/>
        <v>0.66843749999999991</v>
      </c>
      <c r="I58" s="136"/>
      <c r="J58" s="135"/>
      <c r="K58" s="217">
        <f t="shared" si="0"/>
        <v>0</v>
      </c>
      <c r="L58" s="218">
        <f t="shared" si="1"/>
        <v>0</v>
      </c>
    </row>
    <row r="59" spans="1:12" s="111" customFormat="1" x14ac:dyDescent="0.2">
      <c r="A59" s="124"/>
      <c r="B59" s="125"/>
      <c r="C59" s="132" t="s">
        <v>184</v>
      </c>
      <c r="D59" s="133">
        <v>1</v>
      </c>
      <c r="E59" s="134">
        <f>0.475+8.85</f>
        <v>9.3249999999999993</v>
      </c>
      <c r="F59" s="134">
        <v>0.25</v>
      </c>
      <c r="G59" s="134">
        <f t="shared" si="3"/>
        <v>0.46499999999999997</v>
      </c>
      <c r="H59" s="135">
        <f t="shared" si="2"/>
        <v>1.0840312499999998</v>
      </c>
      <c r="I59" s="136"/>
      <c r="J59" s="135"/>
      <c r="K59" s="217">
        <f t="shared" si="0"/>
        <v>0</v>
      </c>
      <c r="L59" s="218">
        <f t="shared" si="1"/>
        <v>0</v>
      </c>
    </row>
    <row r="60" spans="1:12" s="111" customFormat="1" x14ac:dyDescent="0.2">
      <c r="A60" s="124"/>
      <c r="B60" s="125"/>
      <c r="C60" s="132" t="s">
        <v>185</v>
      </c>
      <c r="D60" s="180">
        <v>4</v>
      </c>
      <c r="E60" s="134">
        <f>1.6*4</f>
        <v>6.4</v>
      </c>
      <c r="F60" s="134">
        <v>0.125</v>
      </c>
      <c r="G60" s="134">
        <f t="shared" si="3"/>
        <v>0.46499999999999997</v>
      </c>
      <c r="H60" s="135">
        <f t="shared" si="2"/>
        <v>1.488</v>
      </c>
      <c r="I60" s="136"/>
      <c r="J60" s="135"/>
      <c r="K60" s="217">
        <f t="shared" si="0"/>
        <v>0</v>
      </c>
      <c r="L60" s="218">
        <f t="shared" si="1"/>
        <v>0</v>
      </c>
    </row>
    <row r="61" spans="1:12" s="111" customFormat="1" x14ac:dyDescent="0.2">
      <c r="A61" s="124"/>
      <c r="B61" s="125"/>
      <c r="C61" s="132" t="s">
        <v>226</v>
      </c>
      <c r="D61" s="133">
        <v>8</v>
      </c>
      <c r="E61" s="134">
        <v>3.3</v>
      </c>
      <c r="F61" s="134">
        <v>0.125</v>
      </c>
      <c r="G61" s="134">
        <f t="shared" si="3"/>
        <v>0.46499999999999997</v>
      </c>
      <c r="H61" s="135">
        <f t="shared" si="2"/>
        <v>1.5344999999999998</v>
      </c>
      <c r="I61" s="136"/>
      <c r="J61" s="135"/>
      <c r="K61" s="217">
        <f t="shared" si="0"/>
        <v>0</v>
      </c>
      <c r="L61" s="218">
        <f t="shared" si="1"/>
        <v>0</v>
      </c>
    </row>
    <row r="62" spans="1:12" x14ac:dyDescent="0.2">
      <c r="A62" s="124"/>
      <c r="B62" s="211"/>
      <c r="C62" s="316"/>
      <c r="D62" s="142"/>
      <c r="E62" s="145"/>
      <c r="F62" s="145"/>
      <c r="G62" s="145"/>
      <c r="H62" s="143"/>
      <c r="I62" s="141"/>
      <c r="J62" s="217"/>
      <c r="K62" s="217">
        <f t="shared" si="0"/>
        <v>0</v>
      </c>
      <c r="L62" s="218">
        <f t="shared" si="1"/>
        <v>0</v>
      </c>
    </row>
    <row r="63" spans="1:12" x14ac:dyDescent="0.2">
      <c r="A63" s="124"/>
      <c r="B63" s="211"/>
      <c r="C63" s="221" t="s">
        <v>117</v>
      </c>
      <c r="D63" s="142"/>
      <c r="E63" s="145"/>
      <c r="F63" s="145"/>
      <c r="G63" s="145"/>
      <c r="H63" s="222">
        <v>45</v>
      </c>
      <c r="I63" s="141" t="s">
        <v>118</v>
      </c>
      <c r="J63" s="217">
        <v>11505.5</v>
      </c>
      <c r="K63" s="217">
        <f t="shared" si="0"/>
        <v>9750.4237288135591</v>
      </c>
      <c r="L63" s="218">
        <f t="shared" si="1"/>
        <v>438769.06779661018</v>
      </c>
    </row>
    <row r="64" spans="1:12" x14ac:dyDescent="0.2">
      <c r="A64" s="124"/>
      <c r="B64" s="211"/>
      <c r="C64" s="223" t="s">
        <v>227</v>
      </c>
      <c r="D64" s="133"/>
      <c r="E64" s="135">
        <f>SUM(E19*D19+E20*D20+E21*D21+D22*E22+D23*E23+D24*E24+D25*E25+D26*E26+D27*E27+D28*E28+D29*E29+D30*E30+D31*E31+D32*E32+D33*E33+D34*E34+D35*E35+D36*E36+D37*E37+D38*E38+D39*E39+D40*E40+D41*E41+D42*E42+D43*E43+D44*E44+D45*E45+D46*E46+D47*E47+D48*E48+D49*E49+D50*E50+D51*E51+D52*E52+D53*E53+D54*E54+D55*E55+D56*E56+D57*E57+D58*E58+D59*E59)</f>
        <v>359.66899999999993</v>
      </c>
      <c r="F64" s="135"/>
      <c r="G64" s="135"/>
      <c r="H64" s="224"/>
      <c r="I64" s="136"/>
      <c r="J64" s="213"/>
      <c r="K64" s="217">
        <f t="shared" si="0"/>
        <v>0</v>
      </c>
      <c r="L64" s="218">
        <f t="shared" si="1"/>
        <v>0</v>
      </c>
    </row>
    <row r="65" spans="1:12" x14ac:dyDescent="0.2">
      <c r="A65" s="124"/>
      <c r="B65" s="211"/>
      <c r="C65" s="223" t="s">
        <v>228</v>
      </c>
      <c r="D65" s="133"/>
      <c r="E65" s="135">
        <f>SUM(D60*E60+D61*E61)</f>
        <v>52</v>
      </c>
      <c r="F65" s="135"/>
      <c r="G65" s="135"/>
      <c r="H65" s="224"/>
      <c r="I65" s="136"/>
      <c r="J65" s="213"/>
      <c r="K65" s="217">
        <f t="shared" si="0"/>
        <v>0</v>
      </c>
      <c r="L65" s="218">
        <f t="shared" si="1"/>
        <v>0</v>
      </c>
    </row>
    <row r="66" spans="1:12" x14ac:dyDescent="0.2">
      <c r="A66" s="139"/>
      <c r="B66" s="215"/>
      <c r="C66" s="223"/>
      <c r="D66" s="133"/>
      <c r="E66" s="135"/>
      <c r="F66" s="135"/>
      <c r="G66" s="135"/>
      <c r="H66" s="224"/>
      <c r="I66" s="136"/>
      <c r="J66" s="213"/>
      <c r="K66" s="217">
        <f t="shared" si="0"/>
        <v>0</v>
      </c>
      <c r="L66" s="218">
        <f t="shared" si="1"/>
        <v>0</v>
      </c>
    </row>
    <row r="67" spans="1:12" ht="33.75" customHeight="1" x14ac:dyDescent="0.2">
      <c r="A67" s="116" t="s">
        <v>229</v>
      </c>
      <c r="B67" s="206">
        <v>5.3</v>
      </c>
      <c r="C67" s="219" t="s">
        <v>230</v>
      </c>
      <c r="D67" s="119"/>
      <c r="E67" s="121"/>
      <c r="F67" s="121"/>
      <c r="G67" s="121"/>
      <c r="H67" s="208"/>
      <c r="I67" s="122"/>
      <c r="J67" s="209"/>
      <c r="K67" s="217">
        <f t="shared" si="0"/>
        <v>0</v>
      </c>
      <c r="L67" s="218">
        <f t="shared" si="1"/>
        <v>0</v>
      </c>
    </row>
    <row r="68" spans="1:12" x14ac:dyDescent="0.2">
      <c r="A68" s="124"/>
      <c r="B68" s="211"/>
      <c r="C68" s="225" t="s">
        <v>231</v>
      </c>
      <c r="D68" s="226">
        <v>4</v>
      </c>
      <c r="E68" s="227">
        <v>5.85</v>
      </c>
      <c r="F68" s="227">
        <v>8.85</v>
      </c>
      <c r="G68" s="227">
        <v>0.13</v>
      </c>
      <c r="H68" s="135">
        <f t="shared" ref="H68:H80" si="4">G68*F68*E68*D68</f>
        <v>26.921700000000001</v>
      </c>
      <c r="I68" s="136"/>
      <c r="J68" s="213"/>
      <c r="K68" s="217">
        <f t="shared" si="0"/>
        <v>0</v>
      </c>
      <c r="L68" s="218">
        <f t="shared" si="1"/>
        <v>0</v>
      </c>
    </row>
    <row r="69" spans="1:12" x14ac:dyDescent="0.2">
      <c r="A69" s="124"/>
      <c r="B69" s="211"/>
      <c r="C69" s="225"/>
      <c r="D69" s="226">
        <v>4</v>
      </c>
      <c r="E69" s="227">
        <v>4.6500000000000004</v>
      </c>
      <c r="F69" s="227">
        <v>6.5750000000000002</v>
      </c>
      <c r="G69" s="227">
        <v>0.13</v>
      </c>
      <c r="H69" s="135">
        <f t="shared" si="4"/>
        <v>15.898350000000001</v>
      </c>
      <c r="I69" s="136"/>
      <c r="J69" s="213"/>
      <c r="K69" s="217">
        <f t="shared" si="0"/>
        <v>0</v>
      </c>
      <c r="L69" s="218">
        <f t="shared" si="1"/>
        <v>0</v>
      </c>
    </row>
    <row r="70" spans="1:12" x14ac:dyDescent="0.2">
      <c r="A70" s="124"/>
      <c r="B70" s="211"/>
      <c r="C70" s="225" t="s">
        <v>232</v>
      </c>
      <c r="D70" s="226">
        <v>1</v>
      </c>
      <c r="E70" s="950">
        <v>93.33</v>
      </c>
      <c r="F70" s="951"/>
      <c r="G70" s="227">
        <v>1.1299999999999999</v>
      </c>
      <c r="H70" s="135">
        <f>D70*E70*G70</f>
        <v>105.46289999999999</v>
      </c>
      <c r="I70" s="136"/>
      <c r="J70" s="213"/>
      <c r="K70" s="217">
        <f t="shared" si="0"/>
        <v>0</v>
      </c>
      <c r="L70" s="218">
        <f t="shared" si="1"/>
        <v>0</v>
      </c>
    </row>
    <row r="71" spans="1:12" x14ac:dyDescent="0.2">
      <c r="A71" s="124"/>
      <c r="B71" s="211"/>
      <c r="C71" s="225" t="s">
        <v>233</v>
      </c>
      <c r="D71" s="226">
        <v>4</v>
      </c>
      <c r="E71" s="227">
        <v>4.0999999999999996</v>
      </c>
      <c r="F71" s="227">
        <v>0.47499999999999998</v>
      </c>
      <c r="G71" s="227">
        <v>0.13</v>
      </c>
      <c r="H71" s="135">
        <f t="shared" si="4"/>
        <v>1.0126999999999999</v>
      </c>
      <c r="I71" s="136"/>
      <c r="J71" s="213"/>
      <c r="K71" s="217">
        <f t="shared" si="0"/>
        <v>0</v>
      </c>
      <c r="L71" s="218">
        <f t="shared" si="1"/>
        <v>0</v>
      </c>
    </row>
    <row r="72" spans="1:12" x14ac:dyDescent="0.2">
      <c r="A72" s="124"/>
      <c r="B72" s="211"/>
      <c r="C72" s="225" t="s">
        <v>234</v>
      </c>
      <c r="D72" s="226">
        <v>4</v>
      </c>
      <c r="E72" s="227">
        <v>4.0999999999999996</v>
      </c>
      <c r="F72" s="227">
        <v>0.47499999999999998</v>
      </c>
      <c r="G72" s="227">
        <v>0.13</v>
      </c>
      <c r="H72" s="135">
        <f t="shared" si="4"/>
        <v>1.0126999999999999</v>
      </c>
      <c r="I72" s="136"/>
      <c r="J72" s="213"/>
      <c r="K72" s="217">
        <f t="shared" si="0"/>
        <v>0</v>
      </c>
      <c r="L72" s="218">
        <f t="shared" si="1"/>
        <v>0</v>
      </c>
    </row>
    <row r="73" spans="1:12" x14ac:dyDescent="0.2">
      <c r="A73" s="124"/>
      <c r="B73" s="211"/>
      <c r="C73" s="225" t="s">
        <v>235</v>
      </c>
      <c r="D73" s="226">
        <v>8</v>
      </c>
      <c r="E73" s="227">
        <v>3.6749999999999998</v>
      </c>
      <c r="F73" s="227">
        <v>1.5</v>
      </c>
      <c r="G73" s="227">
        <v>0.15</v>
      </c>
      <c r="H73" s="135">
        <f t="shared" si="4"/>
        <v>6.6149999999999993</v>
      </c>
      <c r="I73" s="136"/>
      <c r="J73" s="213"/>
      <c r="K73" s="217">
        <f t="shared" si="0"/>
        <v>0</v>
      </c>
      <c r="L73" s="218">
        <f t="shared" si="1"/>
        <v>0</v>
      </c>
    </row>
    <row r="74" spans="1:12" x14ac:dyDescent="0.2">
      <c r="A74" s="124"/>
      <c r="B74" s="211"/>
      <c r="C74" s="225" t="s">
        <v>420</v>
      </c>
      <c r="D74" s="226">
        <v>4</v>
      </c>
      <c r="E74" s="227">
        <v>1.6</v>
      </c>
      <c r="F74" s="227">
        <v>0.72499999999999998</v>
      </c>
      <c r="G74" s="227">
        <v>7.4999999999999997E-2</v>
      </c>
      <c r="H74" s="135">
        <f>G74*F74*E74*D74</f>
        <v>0.34800000000000003</v>
      </c>
      <c r="I74" s="136"/>
      <c r="J74" s="213"/>
      <c r="K74" s="217">
        <f t="shared" ref="K74:K137" si="5">J74*100/118</f>
        <v>0</v>
      </c>
      <c r="L74" s="218">
        <f t="shared" ref="L74:L137" si="6">K74*H74</f>
        <v>0</v>
      </c>
    </row>
    <row r="75" spans="1:12" x14ac:dyDescent="0.2">
      <c r="A75" s="124"/>
      <c r="B75" s="211"/>
      <c r="C75" s="225" t="s">
        <v>421</v>
      </c>
      <c r="D75" s="226">
        <v>4</v>
      </c>
      <c r="E75" s="227">
        <f>1.35+0.3</f>
        <v>1.6500000000000001</v>
      </c>
      <c r="F75" s="227">
        <v>0.6</v>
      </c>
      <c r="G75" s="227">
        <v>7.4999999999999997E-2</v>
      </c>
      <c r="H75" s="135">
        <f>G75*F75*E75*D75</f>
        <v>0.29699999999999999</v>
      </c>
      <c r="I75" s="136"/>
      <c r="J75" s="213"/>
      <c r="K75" s="217">
        <f t="shared" si="5"/>
        <v>0</v>
      </c>
      <c r="L75" s="218">
        <f t="shared" si="6"/>
        <v>0</v>
      </c>
    </row>
    <row r="76" spans="1:12" x14ac:dyDescent="0.2">
      <c r="A76" s="124"/>
      <c r="B76" s="211"/>
      <c r="C76" s="225" t="s">
        <v>422</v>
      </c>
      <c r="D76" s="226">
        <v>4</v>
      </c>
      <c r="E76" s="227">
        <f>1.05+0.3</f>
        <v>1.35</v>
      </c>
      <c r="F76" s="227">
        <v>0.6</v>
      </c>
      <c r="G76" s="227">
        <v>7.4999999999999997E-2</v>
      </c>
      <c r="H76" s="135">
        <f>G76*F76*E76*D76</f>
        <v>0.24299999999999999</v>
      </c>
      <c r="I76" s="136"/>
      <c r="J76" s="213"/>
      <c r="K76" s="217">
        <f t="shared" si="5"/>
        <v>0</v>
      </c>
      <c r="L76" s="218">
        <f t="shared" si="6"/>
        <v>0</v>
      </c>
    </row>
    <row r="77" spans="1:12" x14ac:dyDescent="0.2">
      <c r="A77" s="124"/>
      <c r="B77" s="211"/>
      <c r="C77" s="225" t="s">
        <v>236</v>
      </c>
      <c r="D77" s="226">
        <v>2</v>
      </c>
      <c r="E77" s="227">
        <f>1.2+0.3</f>
        <v>1.5</v>
      </c>
      <c r="F77" s="227">
        <v>0.6</v>
      </c>
      <c r="G77" s="227">
        <v>7.4999999999999997E-2</v>
      </c>
      <c r="H77" s="135">
        <f>G77*F77*E77*D77</f>
        <v>0.13500000000000001</v>
      </c>
      <c r="I77" s="136"/>
      <c r="J77" s="213"/>
      <c r="K77" s="217">
        <f t="shared" si="5"/>
        <v>0</v>
      </c>
      <c r="L77" s="218">
        <f t="shared" si="6"/>
        <v>0</v>
      </c>
    </row>
    <row r="78" spans="1:12" x14ac:dyDescent="0.2">
      <c r="A78" s="124"/>
      <c r="B78" s="211"/>
      <c r="C78" s="225" t="s">
        <v>273</v>
      </c>
      <c r="D78" s="226">
        <v>8</v>
      </c>
      <c r="E78" s="227">
        <f>0.6+0.3</f>
        <v>0.89999999999999991</v>
      </c>
      <c r="F78" s="227">
        <v>0.6</v>
      </c>
      <c r="G78" s="227">
        <v>7.4999999999999997E-2</v>
      </c>
      <c r="H78" s="135">
        <f>G78*F78*E78*D78</f>
        <v>0.32399999999999995</v>
      </c>
      <c r="I78" s="136"/>
      <c r="J78" s="213"/>
      <c r="K78" s="217">
        <f t="shared" si="5"/>
        <v>0</v>
      </c>
      <c r="L78" s="218">
        <f t="shared" si="6"/>
        <v>0</v>
      </c>
    </row>
    <row r="79" spans="1:12" x14ac:dyDescent="0.2">
      <c r="A79" s="124"/>
      <c r="B79" s="211"/>
      <c r="C79" s="225" t="s">
        <v>237</v>
      </c>
      <c r="D79" s="226">
        <v>-1</v>
      </c>
      <c r="E79" s="227">
        <v>2.5499999999999998</v>
      </c>
      <c r="F79" s="227">
        <v>3.45</v>
      </c>
      <c r="G79" s="227">
        <v>0.13</v>
      </c>
      <c r="H79" s="135">
        <f t="shared" si="4"/>
        <v>-1.143675</v>
      </c>
      <c r="I79" s="136"/>
      <c r="J79" s="213"/>
      <c r="K79" s="217">
        <f t="shared" si="5"/>
        <v>0</v>
      </c>
      <c r="L79" s="218">
        <f t="shared" si="6"/>
        <v>0</v>
      </c>
    </row>
    <row r="80" spans="1:12" x14ac:dyDescent="0.2">
      <c r="A80" s="124"/>
      <c r="B80" s="211"/>
      <c r="C80" s="230" t="s">
        <v>238</v>
      </c>
      <c r="D80" s="231">
        <v>-1</v>
      </c>
      <c r="E80" s="232">
        <v>2.0499999999999998</v>
      </c>
      <c r="F80" s="232">
        <v>2.0499999999999998</v>
      </c>
      <c r="G80" s="232">
        <v>0.13</v>
      </c>
      <c r="H80" s="145">
        <f t="shared" si="4"/>
        <v>-0.54632499999999984</v>
      </c>
      <c r="I80" s="141"/>
      <c r="J80" s="217"/>
      <c r="K80" s="217">
        <f t="shared" si="5"/>
        <v>0</v>
      </c>
      <c r="L80" s="218">
        <f t="shared" si="6"/>
        <v>0</v>
      </c>
    </row>
    <row r="81" spans="1:12" x14ac:dyDescent="0.2">
      <c r="A81" s="139"/>
      <c r="B81" s="215"/>
      <c r="C81" s="233" t="s">
        <v>117</v>
      </c>
      <c r="D81" s="142"/>
      <c r="E81" s="143"/>
      <c r="F81" s="143"/>
      <c r="G81" s="143"/>
      <c r="H81" s="222">
        <v>156</v>
      </c>
      <c r="I81" s="141" t="s">
        <v>118</v>
      </c>
      <c r="J81" s="217">
        <f>J63</f>
        <v>11505.5</v>
      </c>
      <c r="K81" s="217">
        <f t="shared" si="5"/>
        <v>9750.4237288135591</v>
      </c>
      <c r="L81" s="218">
        <f t="shared" si="6"/>
        <v>1521066.1016949152</v>
      </c>
    </row>
    <row r="82" spans="1:12" ht="25.5" x14ac:dyDescent="0.2">
      <c r="A82" s="116" t="s">
        <v>239</v>
      </c>
      <c r="B82" s="206">
        <v>5.3</v>
      </c>
      <c r="C82" s="219" t="s">
        <v>240</v>
      </c>
      <c r="D82" s="119"/>
      <c r="E82" s="121"/>
      <c r="F82" s="121"/>
      <c r="G82" s="121"/>
      <c r="H82" s="208"/>
      <c r="I82" s="122"/>
      <c r="J82" s="234"/>
      <c r="K82" s="217">
        <f t="shared" si="5"/>
        <v>0</v>
      </c>
      <c r="L82" s="218">
        <f t="shared" si="6"/>
        <v>0</v>
      </c>
    </row>
    <row r="83" spans="1:12" x14ac:dyDescent="0.2">
      <c r="A83" s="124"/>
      <c r="B83" s="211"/>
      <c r="C83" s="237" t="s">
        <v>241</v>
      </c>
      <c r="D83" s="133">
        <v>2</v>
      </c>
      <c r="E83" s="135">
        <v>3</v>
      </c>
      <c r="F83" s="135">
        <v>1.2</v>
      </c>
      <c r="G83" s="135">
        <v>0.15</v>
      </c>
      <c r="H83" s="134">
        <f>G83*F83*E83*D83</f>
        <v>1.08</v>
      </c>
      <c r="I83" s="136"/>
      <c r="J83" s="236"/>
      <c r="K83" s="217">
        <f t="shared" si="5"/>
        <v>0</v>
      </c>
      <c r="L83" s="218">
        <f t="shared" si="6"/>
        <v>0</v>
      </c>
    </row>
    <row r="84" spans="1:12" x14ac:dyDescent="0.2">
      <c r="A84" s="124"/>
      <c r="B84" s="211"/>
      <c r="C84" s="132" t="s">
        <v>242</v>
      </c>
      <c r="D84" s="133">
        <v>1</v>
      </c>
      <c r="E84" s="135">
        <f>1.2+0.25</f>
        <v>1.45</v>
      </c>
      <c r="F84" s="135">
        <v>2.5499999999999998</v>
      </c>
      <c r="G84" s="135">
        <v>0.15</v>
      </c>
      <c r="H84" s="135">
        <f>G84*F84*E84*D84</f>
        <v>0.55462499999999992</v>
      </c>
      <c r="I84" s="136"/>
      <c r="J84" s="236"/>
      <c r="K84" s="217">
        <f t="shared" si="5"/>
        <v>0</v>
      </c>
      <c r="L84" s="218">
        <f t="shared" si="6"/>
        <v>0</v>
      </c>
    </row>
    <row r="85" spans="1:12" x14ac:dyDescent="0.2">
      <c r="A85" s="124"/>
      <c r="B85" s="211"/>
      <c r="C85" s="237" t="s">
        <v>243</v>
      </c>
      <c r="D85" s="133">
        <v>20</v>
      </c>
      <c r="E85" s="135">
        <v>1.2</v>
      </c>
      <c r="F85" s="135">
        <v>0.25</v>
      </c>
      <c r="G85" s="135">
        <f>0.15/2</f>
        <v>7.4999999999999997E-2</v>
      </c>
      <c r="H85" s="134">
        <f>G85*F85*E85*D85</f>
        <v>0.44999999999999996</v>
      </c>
      <c r="I85" s="136"/>
      <c r="J85" s="236"/>
      <c r="K85" s="217">
        <f t="shared" si="5"/>
        <v>0</v>
      </c>
      <c r="L85" s="218">
        <f t="shared" si="6"/>
        <v>0</v>
      </c>
    </row>
    <row r="86" spans="1:12" x14ac:dyDescent="0.2">
      <c r="A86" s="139"/>
      <c r="B86" s="215"/>
      <c r="C86" s="221" t="s">
        <v>117</v>
      </c>
      <c r="D86" s="142"/>
      <c r="E86" s="145"/>
      <c r="F86" s="145"/>
      <c r="G86" s="145"/>
      <c r="H86" s="216">
        <f>SUM(H83:H85)</f>
        <v>2.084625</v>
      </c>
      <c r="I86" s="141" t="s">
        <v>118</v>
      </c>
      <c r="J86" s="217">
        <f>J81</f>
        <v>11505.5</v>
      </c>
      <c r="K86" s="217">
        <f t="shared" si="5"/>
        <v>9750.4237288135591</v>
      </c>
      <c r="L86" s="218">
        <f t="shared" si="6"/>
        <v>20325.977065677966</v>
      </c>
    </row>
    <row r="87" spans="1:12" ht="39" customHeight="1" x14ac:dyDescent="0.2">
      <c r="A87" s="116">
        <v>3</v>
      </c>
      <c r="B87" s="206">
        <v>5.22</v>
      </c>
      <c r="C87" s="219" t="s">
        <v>244</v>
      </c>
      <c r="D87" s="119"/>
      <c r="E87" s="121"/>
      <c r="F87" s="121"/>
      <c r="G87" s="121"/>
      <c r="H87" s="208"/>
      <c r="I87" s="122"/>
      <c r="J87" s="209"/>
      <c r="K87" s="217">
        <f t="shared" si="5"/>
        <v>0</v>
      </c>
      <c r="L87" s="218">
        <f t="shared" si="6"/>
        <v>0</v>
      </c>
    </row>
    <row r="88" spans="1:12" ht="24.75" customHeight="1" x14ac:dyDescent="0.2">
      <c r="A88" s="124"/>
      <c r="B88" s="211" t="s">
        <v>193</v>
      </c>
      <c r="C88" s="238" t="s">
        <v>245</v>
      </c>
      <c r="D88" s="127"/>
      <c r="E88" s="138"/>
      <c r="F88" s="129"/>
      <c r="G88" s="129"/>
      <c r="H88" s="239"/>
      <c r="I88" s="130"/>
      <c r="J88" s="240"/>
      <c r="K88" s="217">
        <f t="shared" si="5"/>
        <v>0</v>
      </c>
      <c r="L88" s="218">
        <f t="shared" si="6"/>
        <v>0</v>
      </c>
    </row>
    <row r="89" spans="1:12" x14ac:dyDescent="0.2">
      <c r="A89" s="124"/>
      <c r="B89" s="211"/>
      <c r="C89" s="187" t="s">
        <v>191</v>
      </c>
      <c r="D89" s="241"/>
      <c r="E89" s="190">
        <v>230</v>
      </c>
      <c r="F89" s="190"/>
      <c r="G89" s="135"/>
      <c r="H89" s="212"/>
      <c r="I89" s="136"/>
      <c r="J89" s="213"/>
      <c r="K89" s="217">
        <f t="shared" si="5"/>
        <v>0</v>
      </c>
      <c r="L89" s="218">
        <f t="shared" si="6"/>
        <v>0</v>
      </c>
    </row>
    <row r="90" spans="1:12" x14ac:dyDescent="0.2">
      <c r="A90" s="139"/>
      <c r="B90" s="215"/>
      <c r="C90" s="220" t="s">
        <v>246</v>
      </c>
      <c r="D90" s="133">
        <v>120</v>
      </c>
      <c r="E90" s="190"/>
      <c r="F90" s="135"/>
      <c r="G90" s="135"/>
      <c r="H90" s="242">
        <f>D90*E89</f>
        <v>27600</v>
      </c>
      <c r="I90" s="136" t="s">
        <v>195</v>
      </c>
      <c r="J90" s="213">
        <v>107.85</v>
      </c>
      <c r="K90" s="217">
        <f t="shared" si="5"/>
        <v>91.398305084745758</v>
      </c>
      <c r="L90" s="218">
        <f t="shared" si="6"/>
        <v>2522593.220338983</v>
      </c>
    </row>
    <row r="91" spans="1:12" ht="25.5" x14ac:dyDescent="0.2">
      <c r="A91" s="116">
        <v>4</v>
      </c>
      <c r="B91" s="206">
        <v>5.9</v>
      </c>
      <c r="C91" s="182" t="s">
        <v>247</v>
      </c>
      <c r="D91" s="119"/>
      <c r="E91" s="121"/>
      <c r="F91" s="121"/>
      <c r="G91" s="121"/>
      <c r="H91" s="208"/>
      <c r="I91" s="122"/>
      <c r="J91" s="209"/>
      <c r="K91" s="217">
        <f t="shared" si="5"/>
        <v>0</v>
      </c>
      <c r="L91" s="218">
        <f t="shared" si="6"/>
        <v>0</v>
      </c>
    </row>
    <row r="92" spans="1:12" ht="30" customHeight="1" x14ac:dyDescent="0.2">
      <c r="A92" s="124" t="s">
        <v>248</v>
      </c>
      <c r="B92" s="211" t="s">
        <v>249</v>
      </c>
      <c r="C92" s="244" t="s">
        <v>250</v>
      </c>
      <c r="D92" s="127"/>
      <c r="E92" s="129"/>
      <c r="F92" s="129"/>
      <c r="G92" s="129"/>
      <c r="H92" s="239"/>
      <c r="I92" s="130"/>
      <c r="J92" s="240"/>
      <c r="K92" s="217">
        <f t="shared" si="5"/>
        <v>0</v>
      </c>
      <c r="L92" s="218">
        <f t="shared" si="6"/>
        <v>0</v>
      </c>
    </row>
    <row r="93" spans="1:12" x14ac:dyDescent="0.2">
      <c r="A93" s="124"/>
      <c r="B93" s="211"/>
      <c r="C93" s="225" t="s">
        <v>231</v>
      </c>
      <c r="D93" s="226">
        <f t="shared" ref="D93:F102" si="7">D68</f>
        <v>4</v>
      </c>
      <c r="E93" s="227">
        <f t="shared" si="7"/>
        <v>5.85</v>
      </c>
      <c r="F93" s="227">
        <f t="shared" si="7"/>
        <v>8.85</v>
      </c>
      <c r="G93" s="227"/>
      <c r="H93" s="212">
        <f>E93*F93</f>
        <v>51.772499999999994</v>
      </c>
      <c r="I93" s="136"/>
      <c r="J93" s="213"/>
      <c r="K93" s="217">
        <f t="shared" si="5"/>
        <v>0</v>
      </c>
      <c r="L93" s="218">
        <f t="shared" si="6"/>
        <v>0</v>
      </c>
    </row>
    <row r="94" spans="1:12" x14ac:dyDescent="0.2">
      <c r="A94" s="124"/>
      <c r="B94" s="211"/>
      <c r="C94" s="225"/>
      <c r="D94" s="226">
        <f t="shared" si="7"/>
        <v>4</v>
      </c>
      <c r="E94" s="227">
        <f t="shared" si="7"/>
        <v>4.6500000000000004</v>
      </c>
      <c r="F94" s="227">
        <f t="shared" si="7"/>
        <v>6.5750000000000002</v>
      </c>
      <c r="G94" s="227"/>
      <c r="H94" s="212">
        <f>E94*F94</f>
        <v>30.573750000000004</v>
      </c>
      <c r="I94" s="136"/>
      <c r="J94" s="213"/>
      <c r="K94" s="217">
        <f t="shared" si="5"/>
        <v>0</v>
      </c>
      <c r="L94" s="218">
        <f t="shared" si="6"/>
        <v>0</v>
      </c>
    </row>
    <row r="95" spans="1:12" x14ac:dyDescent="0.2">
      <c r="A95" s="124"/>
      <c r="B95" s="211"/>
      <c r="C95" s="225" t="s">
        <v>232</v>
      </c>
      <c r="D95" s="226">
        <f t="shared" si="7"/>
        <v>1</v>
      </c>
      <c r="E95" s="950">
        <f t="shared" si="7"/>
        <v>93.33</v>
      </c>
      <c r="F95" s="951"/>
      <c r="G95" s="227"/>
      <c r="H95" s="212">
        <f>D95*E95</f>
        <v>93.33</v>
      </c>
      <c r="I95" s="136"/>
      <c r="J95" s="213"/>
      <c r="K95" s="217">
        <f t="shared" si="5"/>
        <v>0</v>
      </c>
      <c r="L95" s="218">
        <f t="shared" si="6"/>
        <v>0</v>
      </c>
    </row>
    <row r="96" spans="1:12" x14ac:dyDescent="0.2">
      <c r="A96" s="124"/>
      <c r="B96" s="211"/>
      <c r="C96" s="225" t="s">
        <v>233</v>
      </c>
      <c r="D96" s="226">
        <f t="shared" si="7"/>
        <v>4</v>
      </c>
      <c r="E96" s="227">
        <f t="shared" si="7"/>
        <v>4.0999999999999996</v>
      </c>
      <c r="F96" s="227">
        <f t="shared" si="7"/>
        <v>0.47499999999999998</v>
      </c>
      <c r="G96" s="135"/>
      <c r="H96" s="212">
        <f t="shared" ref="H96:H104" si="8">F96*E96*D96</f>
        <v>7.7899999999999991</v>
      </c>
      <c r="I96" s="136"/>
      <c r="J96" s="213"/>
      <c r="K96" s="217">
        <f t="shared" si="5"/>
        <v>0</v>
      </c>
      <c r="L96" s="218">
        <f t="shared" si="6"/>
        <v>0</v>
      </c>
    </row>
    <row r="97" spans="1:12" x14ac:dyDescent="0.2">
      <c r="A97" s="124"/>
      <c r="B97" s="211"/>
      <c r="C97" s="225" t="s">
        <v>234</v>
      </c>
      <c r="D97" s="226">
        <f t="shared" si="7"/>
        <v>4</v>
      </c>
      <c r="E97" s="227">
        <f t="shared" si="7"/>
        <v>4.0999999999999996</v>
      </c>
      <c r="F97" s="227">
        <f t="shared" si="7"/>
        <v>0.47499999999999998</v>
      </c>
      <c r="G97" s="135"/>
      <c r="H97" s="212">
        <f t="shared" si="8"/>
        <v>7.7899999999999991</v>
      </c>
      <c r="I97" s="136"/>
      <c r="J97" s="213"/>
      <c r="K97" s="217">
        <f t="shared" si="5"/>
        <v>0</v>
      </c>
      <c r="L97" s="218">
        <f t="shared" si="6"/>
        <v>0</v>
      </c>
    </row>
    <row r="98" spans="1:12" x14ac:dyDescent="0.2">
      <c r="A98" s="124"/>
      <c r="B98" s="211"/>
      <c r="C98" s="225" t="s">
        <v>235</v>
      </c>
      <c r="D98" s="226">
        <f t="shared" si="7"/>
        <v>8</v>
      </c>
      <c r="E98" s="227">
        <f t="shared" si="7"/>
        <v>3.6749999999999998</v>
      </c>
      <c r="F98" s="227">
        <f t="shared" si="7"/>
        <v>1.5</v>
      </c>
      <c r="G98" s="135"/>
      <c r="H98" s="212">
        <f t="shared" si="8"/>
        <v>44.099999999999994</v>
      </c>
      <c r="I98" s="136"/>
      <c r="J98" s="213"/>
      <c r="K98" s="217">
        <f t="shared" si="5"/>
        <v>0</v>
      </c>
      <c r="L98" s="218">
        <f t="shared" si="6"/>
        <v>0</v>
      </c>
    </row>
    <row r="99" spans="1:12" x14ac:dyDescent="0.2">
      <c r="A99" s="124"/>
      <c r="B99" s="211"/>
      <c r="C99" s="225" t="s">
        <v>420</v>
      </c>
      <c r="D99" s="226">
        <f t="shared" si="7"/>
        <v>4</v>
      </c>
      <c r="E99" s="227">
        <f t="shared" si="7"/>
        <v>1.6</v>
      </c>
      <c r="F99" s="227">
        <f t="shared" si="7"/>
        <v>0.72499999999999998</v>
      </c>
      <c r="G99" s="135"/>
      <c r="H99" s="212">
        <f t="shared" si="8"/>
        <v>4.6399999999999997</v>
      </c>
      <c r="I99" s="136"/>
      <c r="J99" s="213"/>
      <c r="K99" s="217">
        <f t="shared" si="5"/>
        <v>0</v>
      </c>
      <c r="L99" s="218">
        <f t="shared" si="6"/>
        <v>0</v>
      </c>
    </row>
    <row r="100" spans="1:12" x14ac:dyDescent="0.2">
      <c r="A100" s="124"/>
      <c r="B100" s="211"/>
      <c r="C100" s="225" t="str">
        <f>C82</f>
        <v>Providing RCC (1:1.5:3) in Staircase excluding the cost of centring, shuttering and reinforcement</v>
      </c>
      <c r="D100" s="226">
        <f t="shared" si="7"/>
        <v>4</v>
      </c>
      <c r="E100" s="227">
        <f t="shared" si="7"/>
        <v>1.6500000000000001</v>
      </c>
      <c r="F100" s="227">
        <f t="shared" si="7"/>
        <v>0.6</v>
      </c>
      <c r="G100" s="135"/>
      <c r="H100" s="212">
        <f t="shared" si="8"/>
        <v>3.96</v>
      </c>
      <c r="I100" s="136"/>
      <c r="J100" s="213"/>
      <c r="K100" s="217">
        <f t="shared" si="5"/>
        <v>0</v>
      </c>
      <c r="L100" s="218">
        <f t="shared" si="6"/>
        <v>0</v>
      </c>
    </row>
    <row r="101" spans="1:12" x14ac:dyDescent="0.2">
      <c r="A101" s="124"/>
      <c r="B101" s="211"/>
      <c r="C101" s="225" t="str">
        <f>C83</f>
        <v>Waist slab</v>
      </c>
      <c r="D101" s="226">
        <f t="shared" si="7"/>
        <v>4</v>
      </c>
      <c r="E101" s="227">
        <f t="shared" si="7"/>
        <v>1.35</v>
      </c>
      <c r="F101" s="227">
        <f t="shared" si="7"/>
        <v>0.6</v>
      </c>
      <c r="G101" s="135"/>
      <c r="H101" s="212">
        <f t="shared" si="8"/>
        <v>3.24</v>
      </c>
      <c r="I101" s="136"/>
      <c r="J101" s="213"/>
      <c r="K101" s="217">
        <f t="shared" si="5"/>
        <v>0</v>
      </c>
      <c r="L101" s="218">
        <f t="shared" si="6"/>
        <v>0</v>
      </c>
    </row>
    <row r="102" spans="1:12" x14ac:dyDescent="0.2">
      <c r="A102" s="124"/>
      <c r="B102" s="211"/>
      <c r="C102" s="225" t="str">
        <f>C84</f>
        <v>Landing</v>
      </c>
      <c r="D102" s="226">
        <f t="shared" si="7"/>
        <v>2</v>
      </c>
      <c r="E102" s="227">
        <f t="shared" si="7"/>
        <v>1.5</v>
      </c>
      <c r="F102" s="227">
        <f t="shared" si="7"/>
        <v>0.6</v>
      </c>
      <c r="G102" s="135"/>
      <c r="H102" s="212">
        <f t="shared" si="8"/>
        <v>1.7999999999999998</v>
      </c>
      <c r="I102" s="136"/>
      <c r="J102" s="213"/>
      <c r="K102" s="217">
        <f t="shared" si="5"/>
        <v>0</v>
      </c>
      <c r="L102" s="218">
        <f t="shared" si="6"/>
        <v>0</v>
      </c>
    </row>
    <row r="103" spans="1:12" x14ac:dyDescent="0.2">
      <c r="A103" s="124"/>
      <c r="B103" s="211"/>
      <c r="C103" s="225" t="s">
        <v>237</v>
      </c>
      <c r="D103" s="226">
        <f t="shared" ref="D103:F104" si="9">D79</f>
        <v>-1</v>
      </c>
      <c r="E103" s="227">
        <f t="shared" si="9"/>
        <v>2.5499999999999998</v>
      </c>
      <c r="F103" s="227">
        <f t="shared" si="9"/>
        <v>3.45</v>
      </c>
      <c r="G103" s="135"/>
      <c r="H103" s="212">
        <f t="shared" si="8"/>
        <v>-8.7974999999999994</v>
      </c>
      <c r="I103" s="136"/>
      <c r="J103" s="213"/>
      <c r="K103" s="217">
        <f t="shared" si="5"/>
        <v>0</v>
      </c>
      <c r="L103" s="218">
        <f t="shared" si="6"/>
        <v>0</v>
      </c>
    </row>
    <row r="104" spans="1:12" x14ac:dyDescent="0.2">
      <c r="A104" s="124"/>
      <c r="B104" s="211"/>
      <c r="C104" s="230" t="s">
        <v>238</v>
      </c>
      <c r="D104" s="226">
        <f t="shared" si="9"/>
        <v>-1</v>
      </c>
      <c r="E104" s="227">
        <f t="shared" si="9"/>
        <v>2.0499999999999998</v>
      </c>
      <c r="F104" s="227">
        <f t="shared" si="9"/>
        <v>2.0499999999999998</v>
      </c>
      <c r="G104" s="135"/>
      <c r="H104" s="212">
        <f t="shared" si="8"/>
        <v>-4.2024999999999997</v>
      </c>
      <c r="I104" s="136"/>
      <c r="J104" s="213"/>
      <c r="K104" s="217">
        <f t="shared" si="5"/>
        <v>0</v>
      </c>
      <c r="L104" s="218">
        <f t="shared" si="6"/>
        <v>0</v>
      </c>
    </row>
    <row r="105" spans="1:12" x14ac:dyDescent="0.2">
      <c r="A105" s="124"/>
      <c r="B105" s="215"/>
      <c r="C105" s="180" t="s">
        <v>117</v>
      </c>
      <c r="D105" s="133"/>
      <c r="E105" s="135"/>
      <c r="F105" s="135"/>
      <c r="G105" s="135"/>
      <c r="H105" s="242">
        <v>235</v>
      </c>
      <c r="I105" s="136" t="s">
        <v>128</v>
      </c>
      <c r="J105" s="213">
        <v>927.25</v>
      </c>
      <c r="K105" s="217">
        <f t="shared" si="5"/>
        <v>785.80508474576266</v>
      </c>
      <c r="L105" s="218">
        <f t="shared" si="6"/>
        <v>184664.19491525422</v>
      </c>
    </row>
    <row r="106" spans="1:12" x14ac:dyDescent="0.2">
      <c r="A106" s="124" t="s">
        <v>252</v>
      </c>
      <c r="B106" s="211" t="s">
        <v>199</v>
      </c>
      <c r="C106" s="245" t="s">
        <v>253</v>
      </c>
      <c r="D106" s="127"/>
      <c r="E106" s="129"/>
      <c r="F106" s="129"/>
      <c r="G106" s="129"/>
      <c r="H106" s="239"/>
      <c r="I106" s="130"/>
      <c r="J106" s="240"/>
      <c r="K106" s="217">
        <f t="shared" si="5"/>
        <v>0</v>
      </c>
      <c r="L106" s="218">
        <f t="shared" si="6"/>
        <v>0</v>
      </c>
    </row>
    <row r="107" spans="1:12" x14ac:dyDescent="0.2">
      <c r="A107" s="124"/>
      <c r="B107" s="211"/>
      <c r="C107" s="187" t="s">
        <v>418</v>
      </c>
      <c r="D107" s="133">
        <f>D12</f>
        <v>0</v>
      </c>
      <c r="E107" s="135">
        <f>1.05+0.25+0.25</f>
        <v>1.55</v>
      </c>
      <c r="F107" s="135">
        <f>2*G12+F12</f>
        <v>0.42499999999999999</v>
      </c>
      <c r="G107" s="129"/>
      <c r="H107" s="134">
        <f>D107*E107*F107</f>
        <v>0</v>
      </c>
      <c r="I107" s="130"/>
      <c r="J107" s="240"/>
      <c r="K107" s="217">
        <f t="shared" si="5"/>
        <v>0</v>
      </c>
      <c r="L107" s="218">
        <f t="shared" si="6"/>
        <v>0</v>
      </c>
    </row>
    <row r="108" spans="1:12" x14ac:dyDescent="0.2">
      <c r="A108" s="124"/>
      <c r="B108" s="211"/>
      <c r="C108" s="187" t="s">
        <v>293</v>
      </c>
      <c r="D108" s="133">
        <f>D13</f>
        <v>8</v>
      </c>
      <c r="E108" s="135">
        <f>1+0.25+0.25</f>
        <v>1.5</v>
      </c>
      <c r="F108" s="135">
        <f>2*G13+F13</f>
        <v>0.55000000000000004</v>
      </c>
      <c r="G108" s="129"/>
      <c r="H108" s="134">
        <f>D108*E108*F108</f>
        <v>6.6000000000000005</v>
      </c>
      <c r="I108" s="130"/>
      <c r="J108" s="240"/>
      <c r="K108" s="217">
        <f t="shared" si="5"/>
        <v>0</v>
      </c>
      <c r="L108" s="218">
        <f t="shared" si="6"/>
        <v>0</v>
      </c>
    </row>
    <row r="109" spans="1:12" x14ac:dyDescent="0.2">
      <c r="A109" s="124"/>
      <c r="B109" s="211"/>
      <c r="C109" s="187" t="s">
        <v>222</v>
      </c>
      <c r="D109" s="133">
        <f>D14</f>
        <v>4</v>
      </c>
      <c r="E109" s="135">
        <f>0.9+0.125+0.125</f>
        <v>1.1499999999999999</v>
      </c>
      <c r="F109" s="135">
        <f>2*G14+F14</f>
        <v>0.55000000000000004</v>
      </c>
      <c r="G109" s="129"/>
      <c r="H109" s="134">
        <f>D109*E109*F109</f>
        <v>2.5299999999999998</v>
      </c>
      <c r="I109" s="130"/>
      <c r="J109" s="240"/>
      <c r="K109" s="217">
        <f t="shared" si="5"/>
        <v>0</v>
      </c>
      <c r="L109" s="218">
        <f t="shared" si="6"/>
        <v>0</v>
      </c>
    </row>
    <row r="110" spans="1:12" x14ac:dyDescent="0.2">
      <c r="A110" s="124"/>
      <c r="B110" s="211"/>
      <c r="C110" s="220" t="s">
        <v>223</v>
      </c>
      <c r="D110" s="133">
        <f>D15</f>
        <v>8</v>
      </c>
      <c r="E110" s="135">
        <f>0.75+0.125+0.125</f>
        <v>1</v>
      </c>
      <c r="F110" s="135">
        <f>2*G15+F15</f>
        <v>0.42499999999999999</v>
      </c>
      <c r="G110" s="135"/>
      <c r="H110" s="134">
        <f>D110*E110*F110</f>
        <v>3.4</v>
      </c>
      <c r="I110" s="136"/>
      <c r="J110" s="213"/>
      <c r="K110" s="217">
        <f t="shared" si="5"/>
        <v>0</v>
      </c>
      <c r="L110" s="218">
        <f t="shared" si="6"/>
        <v>0</v>
      </c>
    </row>
    <row r="111" spans="1:12" x14ac:dyDescent="0.2">
      <c r="A111" s="124"/>
      <c r="B111" s="211"/>
      <c r="C111" s="220" t="s">
        <v>419</v>
      </c>
      <c r="D111" s="133">
        <f>D16</f>
        <v>0</v>
      </c>
      <c r="E111" s="135">
        <f>0.75 + 0.125 + 0.125</f>
        <v>1</v>
      </c>
      <c r="F111" s="135">
        <f>2*G16+F16</f>
        <v>0.42499999999999999</v>
      </c>
      <c r="G111" s="135"/>
      <c r="H111" s="134">
        <f>D111*E111*F111</f>
        <v>0</v>
      </c>
      <c r="I111" s="136"/>
      <c r="J111" s="213"/>
      <c r="K111" s="217">
        <f t="shared" si="5"/>
        <v>0</v>
      </c>
      <c r="L111" s="218">
        <f t="shared" si="6"/>
        <v>0</v>
      </c>
    </row>
    <row r="112" spans="1:12" x14ac:dyDescent="0.2">
      <c r="A112" s="124"/>
      <c r="B112" s="211"/>
      <c r="C112" s="187" t="s">
        <v>254</v>
      </c>
      <c r="D112" s="133"/>
      <c r="E112" s="135"/>
      <c r="F112" s="135"/>
      <c r="G112" s="135"/>
      <c r="H112" s="212"/>
      <c r="I112" s="136"/>
      <c r="J112" s="213"/>
      <c r="K112" s="217">
        <f t="shared" si="5"/>
        <v>0</v>
      </c>
      <c r="L112" s="218">
        <f t="shared" si="6"/>
        <v>0</v>
      </c>
    </row>
    <row r="113" spans="1:19" x14ac:dyDescent="0.2">
      <c r="A113" s="124"/>
      <c r="B113" s="211"/>
      <c r="C113" s="220" t="s">
        <v>255</v>
      </c>
      <c r="D113" s="133">
        <v>1</v>
      </c>
      <c r="E113" s="135">
        <f>E64</f>
        <v>359.66899999999993</v>
      </c>
      <c r="F113" s="135">
        <f>2*G19+F19</f>
        <v>1.18</v>
      </c>
      <c r="G113" s="135"/>
      <c r="H113" s="212">
        <f>D113*E113*F113</f>
        <v>424.4094199999999</v>
      </c>
      <c r="I113" s="136"/>
      <c r="J113" s="213"/>
      <c r="K113" s="217">
        <f t="shared" si="5"/>
        <v>0</v>
      </c>
      <c r="L113" s="218">
        <f t="shared" si="6"/>
        <v>0</v>
      </c>
    </row>
    <row r="114" spans="1:19" x14ac:dyDescent="0.2">
      <c r="A114" s="124"/>
      <c r="B114" s="211"/>
      <c r="C114" s="220" t="s">
        <v>423</v>
      </c>
      <c r="D114" s="133">
        <v>1</v>
      </c>
      <c r="E114" s="135">
        <f>E65</f>
        <v>52</v>
      </c>
      <c r="F114" s="135">
        <f>2*G60+F60</f>
        <v>1.0549999999999999</v>
      </c>
      <c r="G114" s="135"/>
      <c r="H114" s="212">
        <f>D114*E114*F114</f>
        <v>54.86</v>
      </c>
      <c r="I114" s="136"/>
      <c r="J114" s="213"/>
      <c r="K114" s="217">
        <f t="shared" si="5"/>
        <v>0</v>
      </c>
      <c r="L114" s="218">
        <f t="shared" si="6"/>
        <v>0</v>
      </c>
    </row>
    <row r="115" spans="1:19" x14ac:dyDescent="0.2">
      <c r="A115" s="124"/>
      <c r="B115" s="215"/>
      <c r="C115" s="223" t="s">
        <v>117</v>
      </c>
      <c r="D115" s="133"/>
      <c r="E115" s="135"/>
      <c r="F115" s="135"/>
      <c r="G115" s="135"/>
      <c r="H115" s="242">
        <v>490</v>
      </c>
      <c r="I115" s="136" t="s">
        <v>128</v>
      </c>
      <c r="J115" s="213">
        <v>736.4</v>
      </c>
      <c r="K115" s="217">
        <f t="shared" si="5"/>
        <v>624.06779661016947</v>
      </c>
      <c r="L115" s="218">
        <f t="shared" si="6"/>
        <v>305793.22033898305</v>
      </c>
    </row>
    <row r="116" spans="1:19" x14ac:dyDescent="0.2">
      <c r="A116" s="124" t="s">
        <v>257</v>
      </c>
      <c r="B116" s="211" t="s">
        <v>258</v>
      </c>
      <c r="C116" s="246" t="s">
        <v>259</v>
      </c>
      <c r="D116" s="247"/>
      <c r="E116" s="248"/>
      <c r="F116" s="248"/>
      <c r="G116" s="129"/>
      <c r="H116" s="239"/>
      <c r="I116" s="130"/>
      <c r="J116" s="240"/>
      <c r="K116" s="217">
        <f t="shared" si="5"/>
        <v>0</v>
      </c>
      <c r="L116" s="218">
        <f t="shared" si="6"/>
        <v>0</v>
      </c>
      <c r="P116" s="108"/>
      <c r="Q116" s="108"/>
      <c r="R116" s="108"/>
      <c r="S116" s="108"/>
    </row>
    <row r="117" spans="1:19" x14ac:dyDescent="0.2">
      <c r="A117" s="124"/>
      <c r="B117" s="211"/>
      <c r="C117" s="225" t="s">
        <v>421</v>
      </c>
      <c r="D117" s="226">
        <f t="shared" ref="D117:F120" si="10">D75</f>
        <v>4</v>
      </c>
      <c r="E117" s="227">
        <f t="shared" si="10"/>
        <v>1.6500000000000001</v>
      </c>
      <c r="F117" s="227">
        <f t="shared" si="10"/>
        <v>0.6</v>
      </c>
      <c r="G117" s="227"/>
      <c r="H117" s="212">
        <f>F117*E117*D117</f>
        <v>3.96</v>
      </c>
      <c r="I117" s="136"/>
      <c r="J117" s="213"/>
      <c r="K117" s="217">
        <f t="shared" si="5"/>
        <v>0</v>
      </c>
      <c r="L117" s="218">
        <f t="shared" si="6"/>
        <v>0</v>
      </c>
    </row>
    <row r="118" spans="1:19" x14ac:dyDescent="0.2">
      <c r="A118" s="124"/>
      <c r="B118" s="211"/>
      <c r="C118" s="225" t="s">
        <v>422</v>
      </c>
      <c r="D118" s="226">
        <f t="shared" si="10"/>
        <v>4</v>
      </c>
      <c r="E118" s="227">
        <f t="shared" si="10"/>
        <v>1.35</v>
      </c>
      <c r="F118" s="227">
        <f t="shared" si="10"/>
        <v>0.6</v>
      </c>
      <c r="G118" s="227"/>
      <c r="H118" s="212">
        <f>F118*E118*D118</f>
        <v>3.24</v>
      </c>
      <c r="I118" s="136"/>
      <c r="J118" s="213"/>
      <c r="K118" s="217">
        <f t="shared" si="5"/>
        <v>0</v>
      </c>
      <c r="L118" s="218">
        <f t="shared" si="6"/>
        <v>0</v>
      </c>
    </row>
    <row r="119" spans="1:19" x14ac:dyDescent="0.2">
      <c r="A119" s="124"/>
      <c r="B119" s="211"/>
      <c r="C119" s="225" t="s">
        <v>236</v>
      </c>
      <c r="D119" s="226">
        <f t="shared" si="10"/>
        <v>2</v>
      </c>
      <c r="E119" s="227">
        <f t="shared" si="10"/>
        <v>1.5</v>
      </c>
      <c r="F119" s="227">
        <f t="shared" si="10"/>
        <v>0.6</v>
      </c>
      <c r="G119" s="227"/>
      <c r="H119" s="212">
        <f>F119*E119*D119</f>
        <v>1.7999999999999998</v>
      </c>
      <c r="I119" s="136"/>
      <c r="J119" s="213"/>
      <c r="K119" s="217">
        <f t="shared" si="5"/>
        <v>0</v>
      </c>
      <c r="L119" s="218">
        <f t="shared" si="6"/>
        <v>0</v>
      </c>
    </row>
    <row r="120" spans="1:19" x14ac:dyDescent="0.2">
      <c r="A120" s="124"/>
      <c r="B120" s="211"/>
      <c r="C120" s="225" t="s">
        <v>282</v>
      </c>
      <c r="D120" s="226">
        <f t="shared" si="10"/>
        <v>8</v>
      </c>
      <c r="E120" s="227">
        <f t="shared" si="10"/>
        <v>0.89999999999999991</v>
      </c>
      <c r="F120" s="227">
        <f t="shared" si="10"/>
        <v>0.6</v>
      </c>
      <c r="G120" s="227"/>
      <c r="H120" s="212">
        <f>F120*E120*D120</f>
        <v>4.3199999999999994</v>
      </c>
      <c r="I120" s="136"/>
      <c r="J120" s="213"/>
      <c r="K120" s="217">
        <f t="shared" si="5"/>
        <v>0</v>
      </c>
      <c r="L120" s="218">
        <f t="shared" si="6"/>
        <v>0</v>
      </c>
    </row>
    <row r="121" spans="1:19" x14ac:dyDescent="0.2">
      <c r="A121" s="124"/>
      <c r="B121" s="233"/>
      <c r="C121" s="180" t="s">
        <v>117</v>
      </c>
      <c r="D121" s="133"/>
      <c r="E121" s="135"/>
      <c r="F121" s="135"/>
      <c r="G121" s="135"/>
      <c r="H121" s="242">
        <v>13</v>
      </c>
      <c r="I121" s="136" t="s">
        <v>128</v>
      </c>
      <c r="J121" s="213">
        <v>951.1</v>
      </c>
      <c r="K121" s="217">
        <f t="shared" si="5"/>
        <v>806.01694915254234</v>
      </c>
      <c r="L121" s="218">
        <f t="shared" si="6"/>
        <v>10478.22033898305</v>
      </c>
    </row>
    <row r="122" spans="1:19" x14ac:dyDescent="0.2">
      <c r="A122" s="124" t="s">
        <v>261</v>
      </c>
      <c r="B122" s="211" t="s">
        <v>203</v>
      </c>
      <c r="C122" s="250" t="s">
        <v>262</v>
      </c>
      <c r="D122" s="127"/>
      <c r="E122" s="129"/>
      <c r="F122" s="129"/>
      <c r="G122" s="129"/>
      <c r="H122" s="239"/>
      <c r="I122" s="130"/>
      <c r="J122" s="240"/>
      <c r="K122" s="217">
        <f t="shared" si="5"/>
        <v>0</v>
      </c>
      <c r="L122" s="218">
        <f t="shared" si="6"/>
        <v>0</v>
      </c>
    </row>
    <row r="123" spans="1:19" x14ac:dyDescent="0.2">
      <c r="A123" s="124"/>
      <c r="B123" s="211"/>
      <c r="C123" s="132" t="s">
        <v>139</v>
      </c>
      <c r="D123" s="133">
        <v>56</v>
      </c>
      <c r="E123" s="134">
        <f>2*(E7+F7)</f>
        <v>1.7999999999999998</v>
      </c>
      <c r="F123" s="134"/>
      <c r="G123" s="134">
        <f>G7</f>
        <v>2.4</v>
      </c>
      <c r="H123" s="212">
        <f>G123*E123*D123</f>
        <v>241.91999999999996</v>
      </c>
      <c r="I123" s="136"/>
      <c r="J123" s="213"/>
      <c r="K123" s="217">
        <f t="shared" si="5"/>
        <v>0</v>
      </c>
      <c r="L123" s="218">
        <f t="shared" si="6"/>
        <v>0</v>
      </c>
    </row>
    <row r="124" spans="1:19" x14ac:dyDescent="0.2">
      <c r="A124" s="124"/>
      <c r="B124" s="211"/>
      <c r="C124" s="132" t="s">
        <v>140</v>
      </c>
      <c r="D124" s="133">
        <v>12</v>
      </c>
      <c r="E124" s="134">
        <f>2*(E8+F8)</f>
        <v>1.6</v>
      </c>
      <c r="F124" s="134"/>
      <c r="G124" s="134">
        <f>G8</f>
        <v>2.4</v>
      </c>
      <c r="H124" s="212">
        <f>G124*E124*D124</f>
        <v>46.08</v>
      </c>
      <c r="I124" s="136"/>
      <c r="J124" s="213"/>
      <c r="K124" s="217">
        <f t="shared" si="5"/>
        <v>0</v>
      </c>
      <c r="L124" s="218">
        <f t="shared" si="6"/>
        <v>0</v>
      </c>
    </row>
    <row r="125" spans="1:19" x14ac:dyDescent="0.2">
      <c r="A125" s="124"/>
      <c r="B125" s="215"/>
      <c r="C125" s="223" t="s">
        <v>117</v>
      </c>
      <c r="D125" s="133"/>
      <c r="E125" s="135"/>
      <c r="F125" s="135"/>
      <c r="G125" s="135"/>
      <c r="H125" s="242">
        <f>SUM(H123:H124)</f>
        <v>287.99999999999994</v>
      </c>
      <c r="I125" s="136" t="s">
        <v>128</v>
      </c>
      <c r="J125" s="213">
        <v>961.3</v>
      </c>
      <c r="K125" s="217">
        <f t="shared" si="5"/>
        <v>814.66101694915255</v>
      </c>
      <c r="L125" s="218">
        <f t="shared" si="6"/>
        <v>234622.3728813559</v>
      </c>
    </row>
    <row r="126" spans="1:19" x14ac:dyDescent="0.2">
      <c r="A126" s="124" t="s">
        <v>263</v>
      </c>
      <c r="B126" s="211" t="s">
        <v>264</v>
      </c>
      <c r="C126" s="245" t="s">
        <v>265</v>
      </c>
      <c r="D126" s="127"/>
      <c r="E126" s="129"/>
      <c r="F126" s="129"/>
      <c r="G126" s="129"/>
      <c r="H126" s="239"/>
      <c r="I126" s="130"/>
      <c r="J126" s="240"/>
      <c r="K126" s="217">
        <f t="shared" si="5"/>
        <v>0</v>
      </c>
      <c r="L126" s="218">
        <f t="shared" si="6"/>
        <v>0</v>
      </c>
    </row>
    <row r="127" spans="1:19" x14ac:dyDescent="0.2">
      <c r="A127" s="124"/>
      <c r="B127" s="211"/>
      <c r="C127" s="220" t="s">
        <v>241</v>
      </c>
      <c r="D127" s="133">
        <v>2</v>
      </c>
      <c r="E127" s="135">
        <v>3</v>
      </c>
      <c r="F127" s="135">
        <v>1.2</v>
      </c>
      <c r="G127" s="135"/>
      <c r="H127" s="212">
        <f>F127*E127*D127</f>
        <v>7.1999999999999993</v>
      </c>
      <c r="I127" s="136"/>
      <c r="J127" s="213"/>
      <c r="K127" s="217">
        <f t="shared" si="5"/>
        <v>0</v>
      </c>
      <c r="L127" s="218">
        <f t="shared" si="6"/>
        <v>0</v>
      </c>
    </row>
    <row r="128" spans="1:19" x14ac:dyDescent="0.2">
      <c r="A128" s="124"/>
      <c r="B128" s="211"/>
      <c r="C128" s="220" t="s">
        <v>242</v>
      </c>
      <c r="D128" s="133">
        <v>1</v>
      </c>
      <c r="E128" s="135">
        <v>1.2</v>
      </c>
      <c r="F128" s="135">
        <v>2.5499999999999998</v>
      </c>
      <c r="G128" s="134"/>
      <c r="H128" s="212">
        <f>F128*E128*D128</f>
        <v>3.0599999999999996</v>
      </c>
      <c r="I128" s="136"/>
      <c r="J128" s="213"/>
      <c r="K128" s="217">
        <f t="shared" si="5"/>
        <v>0</v>
      </c>
      <c r="L128" s="218">
        <f t="shared" si="6"/>
        <v>0</v>
      </c>
    </row>
    <row r="129" spans="1:12" x14ac:dyDescent="0.2">
      <c r="A129" s="124"/>
      <c r="B129" s="211"/>
      <c r="C129" s="220" t="s">
        <v>266</v>
      </c>
      <c r="D129" s="133">
        <v>2</v>
      </c>
      <c r="E129" s="135">
        <v>3</v>
      </c>
      <c r="F129" s="135">
        <v>0.3</v>
      </c>
      <c r="G129" s="134"/>
      <c r="H129" s="212">
        <f>F129*E129*D129</f>
        <v>1.7999999999999998</v>
      </c>
      <c r="I129" s="136"/>
      <c r="J129" s="213"/>
      <c r="K129" s="217">
        <f t="shared" si="5"/>
        <v>0</v>
      </c>
      <c r="L129" s="218">
        <f t="shared" si="6"/>
        <v>0</v>
      </c>
    </row>
    <row r="130" spans="1:12" x14ac:dyDescent="0.2">
      <c r="A130" s="124"/>
      <c r="B130" s="211"/>
      <c r="C130" s="220" t="s">
        <v>243</v>
      </c>
      <c r="D130" s="133">
        <v>20</v>
      </c>
      <c r="E130" s="135">
        <v>1.2</v>
      </c>
      <c r="F130" s="135">
        <v>0.25</v>
      </c>
      <c r="G130" s="134"/>
      <c r="H130" s="212">
        <f>F130*E130*D130</f>
        <v>6</v>
      </c>
      <c r="I130" s="136"/>
      <c r="J130" s="213"/>
      <c r="K130" s="217">
        <f t="shared" si="5"/>
        <v>0</v>
      </c>
      <c r="L130" s="218">
        <f t="shared" si="6"/>
        <v>0</v>
      </c>
    </row>
    <row r="131" spans="1:12" x14ac:dyDescent="0.2">
      <c r="A131" s="139"/>
      <c r="B131" s="215"/>
      <c r="C131" s="221" t="s">
        <v>117</v>
      </c>
      <c r="D131" s="142"/>
      <c r="E131" s="145"/>
      <c r="F131" s="145"/>
      <c r="G131" s="145"/>
      <c r="H131" s="216">
        <v>18</v>
      </c>
      <c r="I131" s="141" t="s">
        <v>128</v>
      </c>
      <c r="J131" s="217">
        <v>764.95</v>
      </c>
      <c r="K131" s="217">
        <f t="shared" si="5"/>
        <v>648.26271186440681</v>
      </c>
      <c r="L131" s="218">
        <f t="shared" si="6"/>
        <v>11668.728813559323</v>
      </c>
    </row>
    <row r="132" spans="1:12" s="256" customFormat="1" ht="38.25" x14ac:dyDescent="0.2">
      <c r="A132" s="116">
        <v>5</v>
      </c>
      <c r="B132" s="117">
        <v>6.4</v>
      </c>
      <c r="C132" s="251" t="s">
        <v>267</v>
      </c>
      <c r="D132" s="116"/>
      <c r="E132" s="252"/>
      <c r="F132" s="252"/>
      <c r="G132" s="252"/>
      <c r="H132" s="253"/>
      <c r="I132" s="254"/>
      <c r="J132" s="255"/>
      <c r="K132" s="217">
        <f t="shared" si="5"/>
        <v>0</v>
      </c>
      <c r="L132" s="218">
        <f t="shared" si="6"/>
        <v>0</v>
      </c>
    </row>
    <row r="133" spans="1:12" s="256" customFormat="1" ht="30" customHeight="1" x14ac:dyDescent="0.2">
      <c r="A133" s="124"/>
      <c r="B133" s="125" t="s">
        <v>268</v>
      </c>
      <c r="C133" s="257" t="s">
        <v>269</v>
      </c>
      <c r="D133" s="124"/>
      <c r="E133" s="258"/>
      <c r="F133" s="258"/>
      <c r="G133" s="258"/>
      <c r="H133" s="259"/>
      <c r="I133" s="260"/>
      <c r="J133" s="261"/>
      <c r="K133" s="217">
        <f t="shared" si="5"/>
        <v>0</v>
      </c>
      <c r="L133" s="218">
        <f t="shared" si="6"/>
        <v>0</v>
      </c>
    </row>
    <row r="134" spans="1:12" x14ac:dyDescent="0.2">
      <c r="A134" s="124"/>
      <c r="B134" s="125"/>
      <c r="C134" s="262" t="s">
        <v>424</v>
      </c>
      <c r="D134" s="133"/>
      <c r="E134" s="135"/>
      <c r="F134" s="135"/>
      <c r="G134" s="135"/>
      <c r="H134" s="212"/>
      <c r="I134" s="136"/>
      <c r="J134" s="213"/>
      <c r="K134" s="217">
        <f t="shared" si="5"/>
        <v>0</v>
      </c>
      <c r="L134" s="218">
        <f t="shared" si="6"/>
        <v>0</v>
      </c>
    </row>
    <row r="135" spans="1:12" x14ac:dyDescent="0.2">
      <c r="A135" s="124"/>
      <c r="B135" s="211"/>
      <c r="C135" s="225" t="s">
        <v>425</v>
      </c>
      <c r="D135" s="133">
        <v>1</v>
      </c>
      <c r="E135" s="135">
        <f>9.325-(0.6*3+0.3)</f>
        <v>7.2249999999999996</v>
      </c>
      <c r="F135" s="135">
        <v>0.25</v>
      </c>
      <c r="G135" s="135">
        <f t="shared" ref="G135:G157" si="11">3-0.6</f>
        <v>2.4</v>
      </c>
      <c r="H135" s="212">
        <f t="shared" ref="H135:H157" si="12">G135*F135*E135*D135</f>
        <v>4.335</v>
      </c>
      <c r="I135" s="136"/>
      <c r="J135" s="213"/>
      <c r="K135" s="217">
        <f t="shared" si="5"/>
        <v>0</v>
      </c>
      <c r="L135" s="218">
        <f t="shared" si="6"/>
        <v>0</v>
      </c>
    </row>
    <row r="136" spans="1:12" x14ac:dyDescent="0.2">
      <c r="A136" s="124"/>
      <c r="B136" s="211"/>
      <c r="C136" s="325" t="s">
        <v>426</v>
      </c>
      <c r="D136" s="133">
        <v>1</v>
      </c>
      <c r="E136" s="134">
        <f>2.52-0.6+0.3</f>
        <v>2.2199999999999998</v>
      </c>
      <c r="F136" s="135">
        <v>0.25</v>
      </c>
      <c r="G136" s="135">
        <f t="shared" si="11"/>
        <v>2.4</v>
      </c>
      <c r="H136" s="212">
        <f t="shared" si="12"/>
        <v>1.3319999999999999</v>
      </c>
      <c r="I136" s="136"/>
      <c r="J136" s="213"/>
      <c r="K136" s="217">
        <f t="shared" si="5"/>
        <v>0</v>
      </c>
      <c r="L136" s="218">
        <f t="shared" si="6"/>
        <v>0</v>
      </c>
    </row>
    <row r="137" spans="1:12" x14ac:dyDescent="0.2">
      <c r="A137" s="124"/>
      <c r="B137" s="211"/>
      <c r="C137" s="325" t="s">
        <v>427</v>
      </c>
      <c r="D137" s="133">
        <v>1</v>
      </c>
      <c r="E137" s="135">
        <f>2-0.6+0.3</f>
        <v>1.7</v>
      </c>
      <c r="F137" s="135">
        <v>0.25</v>
      </c>
      <c r="G137" s="135">
        <f t="shared" si="11"/>
        <v>2.4</v>
      </c>
      <c r="H137" s="212">
        <f t="shared" si="12"/>
        <v>1.02</v>
      </c>
      <c r="I137" s="136"/>
      <c r="J137" s="213"/>
      <c r="K137" s="217">
        <f t="shared" si="5"/>
        <v>0</v>
      </c>
      <c r="L137" s="218">
        <f t="shared" si="6"/>
        <v>0</v>
      </c>
    </row>
    <row r="138" spans="1:12" x14ac:dyDescent="0.2">
      <c r="A138" s="124"/>
      <c r="B138" s="211"/>
      <c r="C138" s="325" t="s">
        <v>428</v>
      </c>
      <c r="D138" s="133">
        <v>1</v>
      </c>
      <c r="E138" s="134">
        <f>7.2-0.6+0.3+0.3</f>
        <v>7.2</v>
      </c>
      <c r="F138" s="135">
        <v>0.25</v>
      </c>
      <c r="G138" s="135">
        <f t="shared" si="11"/>
        <v>2.4</v>
      </c>
      <c r="H138" s="212">
        <f t="shared" si="12"/>
        <v>4.32</v>
      </c>
      <c r="I138" s="136"/>
      <c r="J138" s="213"/>
      <c r="K138" s="217">
        <f t="shared" ref="K138:K201" si="13">J138*100/118</f>
        <v>0</v>
      </c>
      <c r="L138" s="218">
        <f t="shared" ref="L138:L201" si="14">K138*H138</f>
        <v>0</v>
      </c>
    </row>
    <row r="139" spans="1:12" x14ac:dyDescent="0.2">
      <c r="A139" s="124"/>
      <c r="B139" s="211"/>
      <c r="C139" s="326" t="s">
        <v>429</v>
      </c>
      <c r="D139" s="133">
        <v>1</v>
      </c>
      <c r="E139" s="134">
        <f>3.05-0.6</f>
        <v>2.4499999999999997</v>
      </c>
      <c r="F139" s="135">
        <v>0.25</v>
      </c>
      <c r="G139" s="135">
        <f t="shared" si="11"/>
        <v>2.4</v>
      </c>
      <c r="H139" s="212">
        <f>G139*F139*E139*D139</f>
        <v>1.4699999999999998</v>
      </c>
      <c r="I139" s="136"/>
      <c r="J139" s="213"/>
      <c r="K139" s="217">
        <f t="shared" si="13"/>
        <v>0</v>
      </c>
      <c r="L139" s="218">
        <f t="shared" si="14"/>
        <v>0</v>
      </c>
    </row>
    <row r="140" spans="1:12" x14ac:dyDescent="0.2">
      <c r="A140" s="124"/>
      <c r="B140" s="211"/>
      <c r="C140" s="325" t="s">
        <v>430</v>
      </c>
      <c r="D140" s="133">
        <v>1</v>
      </c>
      <c r="E140" s="134">
        <v>4.6500000000000004</v>
      </c>
      <c r="F140" s="135">
        <v>0.25</v>
      </c>
      <c r="G140" s="135">
        <f t="shared" si="11"/>
        <v>2.4</v>
      </c>
      <c r="H140" s="212">
        <f t="shared" si="12"/>
        <v>2.79</v>
      </c>
      <c r="I140" s="136"/>
      <c r="J140" s="213"/>
      <c r="K140" s="217">
        <f t="shared" si="13"/>
        <v>0</v>
      </c>
      <c r="L140" s="218">
        <f t="shared" si="14"/>
        <v>0</v>
      </c>
    </row>
    <row r="141" spans="1:12" x14ac:dyDescent="0.2">
      <c r="A141" s="124"/>
      <c r="B141" s="211"/>
      <c r="C141" s="325" t="s">
        <v>431</v>
      </c>
      <c r="D141" s="133">
        <v>1</v>
      </c>
      <c r="E141" s="134">
        <f>4.65-0.3*3</f>
        <v>3.7500000000000004</v>
      </c>
      <c r="F141" s="135">
        <v>0.25</v>
      </c>
      <c r="G141" s="135">
        <f t="shared" si="11"/>
        <v>2.4</v>
      </c>
      <c r="H141" s="212">
        <f t="shared" si="12"/>
        <v>2.25</v>
      </c>
      <c r="I141" s="136"/>
      <c r="J141" s="213"/>
      <c r="K141" s="217">
        <f t="shared" si="13"/>
        <v>0</v>
      </c>
      <c r="L141" s="218">
        <f t="shared" si="14"/>
        <v>0</v>
      </c>
    </row>
    <row r="142" spans="1:12" x14ac:dyDescent="0.2">
      <c r="A142" s="124"/>
      <c r="B142" s="211"/>
      <c r="C142" s="325" t="s">
        <v>432</v>
      </c>
      <c r="D142" s="133">
        <v>1</v>
      </c>
      <c r="E142" s="134">
        <f>2.275-0.6</f>
        <v>1.6749999999999998</v>
      </c>
      <c r="F142" s="135">
        <v>0.25</v>
      </c>
      <c r="G142" s="135">
        <f t="shared" si="11"/>
        <v>2.4</v>
      </c>
      <c r="H142" s="212">
        <f t="shared" si="12"/>
        <v>1.0049999999999999</v>
      </c>
      <c r="I142" s="136"/>
      <c r="J142" s="213"/>
      <c r="K142" s="217">
        <f t="shared" si="13"/>
        <v>0</v>
      </c>
      <c r="L142" s="218">
        <f t="shared" si="14"/>
        <v>0</v>
      </c>
    </row>
    <row r="143" spans="1:12" x14ac:dyDescent="0.2">
      <c r="A143" s="124"/>
      <c r="B143" s="211"/>
      <c r="C143" s="325" t="s">
        <v>433</v>
      </c>
      <c r="D143" s="133">
        <v>1</v>
      </c>
      <c r="E143" s="134">
        <f>7.2-0.6*2</f>
        <v>6</v>
      </c>
      <c r="F143" s="135">
        <v>0.25</v>
      </c>
      <c r="G143" s="135">
        <f t="shared" si="11"/>
        <v>2.4</v>
      </c>
      <c r="H143" s="212">
        <f t="shared" si="12"/>
        <v>3.5999999999999996</v>
      </c>
      <c r="I143" s="136"/>
      <c r="J143" s="213"/>
      <c r="K143" s="217">
        <f t="shared" si="13"/>
        <v>0</v>
      </c>
      <c r="L143" s="218">
        <f t="shared" si="14"/>
        <v>0</v>
      </c>
    </row>
    <row r="144" spans="1:12" x14ac:dyDescent="0.2">
      <c r="A144" s="124"/>
      <c r="B144" s="211"/>
      <c r="C144" s="325" t="s">
        <v>434</v>
      </c>
      <c r="D144" s="133">
        <v>1</v>
      </c>
      <c r="E144" s="135">
        <f>2-0.6+0.3</f>
        <v>1.7</v>
      </c>
      <c r="F144" s="135">
        <v>0.25</v>
      </c>
      <c r="G144" s="135">
        <f t="shared" si="11"/>
        <v>2.4</v>
      </c>
      <c r="H144" s="212">
        <f t="shared" si="12"/>
        <v>1.02</v>
      </c>
      <c r="I144" s="136"/>
      <c r="J144" s="213"/>
      <c r="K144" s="217">
        <f t="shared" si="13"/>
        <v>0</v>
      </c>
      <c r="L144" s="218">
        <f t="shared" si="14"/>
        <v>0</v>
      </c>
    </row>
    <row r="145" spans="1:12" x14ac:dyDescent="0.2">
      <c r="A145" s="124"/>
      <c r="B145" s="211"/>
      <c r="C145" s="325" t="s">
        <v>435</v>
      </c>
      <c r="D145" s="133">
        <v>1</v>
      </c>
      <c r="E145" s="134">
        <f>2.3-0.6</f>
        <v>1.6999999999999997</v>
      </c>
      <c r="F145" s="135">
        <v>0.25</v>
      </c>
      <c r="G145" s="135">
        <f t="shared" si="11"/>
        <v>2.4</v>
      </c>
      <c r="H145" s="212">
        <f t="shared" si="12"/>
        <v>1.0199999999999998</v>
      </c>
      <c r="I145" s="136"/>
      <c r="J145" s="213"/>
      <c r="K145" s="217">
        <f t="shared" si="13"/>
        <v>0</v>
      </c>
      <c r="L145" s="218">
        <f t="shared" si="14"/>
        <v>0</v>
      </c>
    </row>
    <row r="146" spans="1:12" x14ac:dyDescent="0.2">
      <c r="A146" s="124"/>
      <c r="B146" s="211"/>
      <c r="C146" s="325" t="s">
        <v>436</v>
      </c>
      <c r="D146" s="133">
        <v>1</v>
      </c>
      <c r="E146" s="134">
        <f>2.275-0.6</f>
        <v>1.6749999999999998</v>
      </c>
      <c r="F146" s="135">
        <v>0.25</v>
      </c>
      <c r="G146" s="135">
        <f t="shared" si="11"/>
        <v>2.4</v>
      </c>
      <c r="H146" s="212">
        <f t="shared" si="12"/>
        <v>1.0049999999999999</v>
      </c>
      <c r="I146" s="136"/>
      <c r="J146" s="213"/>
      <c r="K146" s="217">
        <f t="shared" si="13"/>
        <v>0</v>
      </c>
      <c r="L146" s="218">
        <f t="shared" si="14"/>
        <v>0</v>
      </c>
    </row>
    <row r="147" spans="1:12" x14ac:dyDescent="0.2">
      <c r="A147" s="124"/>
      <c r="B147" s="211"/>
      <c r="C147" s="325" t="s">
        <v>437</v>
      </c>
      <c r="D147" s="133">
        <v>1</v>
      </c>
      <c r="E147" s="135">
        <f>9.325-(0.6*3+0.3)</f>
        <v>7.2249999999999996</v>
      </c>
      <c r="F147" s="135">
        <v>0.25</v>
      </c>
      <c r="G147" s="135">
        <f t="shared" si="11"/>
        <v>2.4</v>
      </c>
      <c r="H147" s="212">
        <f t="shared" si="12"/>
        <v>4.335</v>
      </c>
      <c r="I147" s="136"/>
      <c r="J147" s="213"/>
      <c r="K147" s="217">
        <f t="shared" si="13"/>
        <v>0</v>
      </c>
      <c r="L147" s="218">
        <f t="shared" si="14"/>
        <v>0</v>
      </c>
    </row>
    <row r="148" spans="1:12" x14ac:dyDescent="0.2">
      <c r="A148" s="124"/>
      <c r="B148" s="211"/>
      <c r="C148" s="325" t="s">
        <v>438</v>
      </c>
      <c r="D148" s="133">
        <v>1</v>
      </c>
      <c r="E148" s="135">
        <f>9.325-(0.6*3+0.3)</f>
        <v>7.2249999999999996</v>
      </c>
      <c r="F148" s="135">
        <v>0.25</v>
      </c>
      <c r="G148" s="135">
        <f t="shared" si="11"/>
        <v>2.4</v>
      </c>
      <c r="H148" s="212">
        <f t="shared" si="12"/>
        <v>4.335</v>
      </c>
      <c r="I148" s="136"/>
      <c r="J148" s="213"/>
      <c r="K148" s="217">
        <f t="shared" si="13"/>
        <v>0</v>
      </c>
      <c r="L148" s="218">
        <f t="shared" si="14"/>
        <v>0</v>
      </c>
    </row>
    <row r="149" spans="1:12" x14ac:dyDescent="0.2">
      <c r="A149" s="124"/>
      <c r="B149" s="211"/>
      <c r="C149" s="325" t="s">
        <v>439</v>
      </c>
      <c r="D149" s="133">
        <v>1</v>
      </c>
      <c r="E149" s="135">
        <f>2-0.6+0.3</f>
        <v>1.7</v>
      </c>
      <c r="F149" s="135">
        <v>0.25</v>
      </c>
      <c r="G149" s="135">
        <f t="shared" si="11"/>
        <v>2.4</v>
      </c>
      <c r="H149" s="212">
        <f t="shared" si="12"/>
        <v>1.02</v>
      </c>
      <c r="I149" s="136"/>
      <c r="J149" s="213"/>
      <c r="K149" s="217">
        <f t="shared" si="13"/>
        <v>0</v>
      </c>
      <c r="L149" s="218">
        <f t="shared" si="14"/>
        <v>0</v>
      </c>
    </row>
    <row r="150" spans="1:12" x14ac:dyDescent="0.2">
      <c r="A150" s="124"/>
      <c r="B150" s="211"/>
      <c r="C150" s="325" t="s">
        <v>440</v>
      </c>
      <c r="D150" s="133">
        <v>1</v>
      </c>
      <c r="E150" s="134">
        <f>7.2-0.6+0.3+0.3</f>
        <v>7.2</v>
      </c>
      <c r="F150" s="135">
        <v>0.25</v>
      </c>
      <c r="G150" s="135">
        <f t="shared" si="11"/>
        <v>2.4</v>
      </c>
      <c r="H150" s="212">
        <f t="shared" si="12"/>
        <v>4.32</v>
      </c>
      <c r="I150" s="136"/>
      <c r="J150" s="213"/>
      <c r="K150" s="217">
        <f t="shared" si="13"/>
        <v>0</v>
      </c>
      <c r="L150" s="218">
        <f t="shared" si="14"/>
        <v>0</v>
      </c>
    </row>
    <row r="151" spans="1:12" x14ac:dyDescent="0.2">
      <c r="A151" s="124"/>
      <c r="B151" s="211"/>
      <c r="C151" s="325" t="s">
        <v>441</v>
      </c>
      <c r="D151" s="133">
        <v>1</v>
      </c>
      <c r="E151" s="134">
        <f>7.42-0.6+0.3</f>
        <v>7.12</v>
      </c>
      <c r="F151" s="135">
        <v>0.25</v>
      </c>
      <c r="G151" s="135">
        <f t="shared" si="11"/>
        <v>2.4</v>
      </c>
      <c r="H151" s="212">
        <f t="shared" si="12"/>
        <v>4.2720000000000002</v>
      </c>
      <c r="I151" s="136"/>
      <c r="J151" s="213"/>
      <c r="K151" s="217">
        <f t="shared" si="13"/>
        <v>0</v>
      </c>
      <c r="L151" s="218">
        <f t="shared" si="14"/>
        <v>0</v>
      </c>
    </row>
    <row r="152" spans="1:12" x14ac:dyDescent="0.2">
      <c r="A152" s="124"/>
      <c r="B152" s="211"/>
      <c r="C152" s="325" t="s">
        <v>442</v>
      </c>
      <c r="D152" s="133">
        <v>1</v>
      </c>
      <c r="E152" s="134">
        <f>7.42-0.6+0.3</f>
        <v>7.12</v>
      </c>
      <c r="F152" s="135">
        <v>0.25</v>
      </c>
      <c r="G152" s="135">
        <f t="shared" si="11"/>
        <v>2.4</v>
      </c>
      <c r="H152" s="212">
        <f t="shared" si="12"/>
        <v>4.2720000000000002</v>
      </c>
      <c r="I152" s="136"/>
      <c r="J152" s="213"/>
      <c r="K152" s="217">
        <f t="shared" si="13"/>
        <v>0</v>
      </c>
      <c r="L152" s="218">
        <f t="shared" si="14"/>
        <v>0</v>
      </c>
    </row>
    <row r="153" spans="1:12" x14ac:dyDescent="0.2">
      <c r="A153" s="124"/>
      <c r="B153" s="211"/>
      <c r="C153" s="325" t="s">
        <v>443</v>
      </c>
      <c r="D153" s="133">
        <v>1</v>
      </c>
      <c r="E153" s="134">
        <f>7.2-0.6+0.3+0.3</f>
        <v>7.2</v>
      </c>
      <c r="F153" s="135">
        <v>0.25</v>
      </c>
      <c r="G153" s="135">
        <f t="shared" si="11"/>
        <v>2.4</v>
      </c>
      <c r="H153" s="212">
        <f t="shared" si="12"/>
        <v>4.32</v>
      </c>
      <c r="I153" s="136"/>
      <c r="J153" s="213"/>
      <c r="K153" s="217">
        <f t="shared" si="13"/>
        <v>0</v>
      </c>
      <c r="L153" s="218">
        <f t="shared" si="14"/>
        <v>0</v>
      </c>
    </row>
    <row r="154" spans="1:12" x14ac:dyDescent="0.2">
      <c r="A154" s="124"/>
      <c r="B154" s="211"/>
      <c r="C154" s="325" t="s">
        <v>444</v>
      </c>
      <c r="D154" s="133">
        <v>1</v>
      </c>
      <c r="E154" s="135">
        <f>2-0.6+0.3</f>
        <v>1.7</v>
      </c>
      <c r="F154" s="135">
        <v>0.25</v>
      </c>
      <c r="G154" s="135">
        <f t="shared" si="11"/>
        <v>2.4</v>
      </c>
      <c r="H154" s="212">
        <f t="shared" si="12"/>
        <v>1.02</v>
      </c>
      <c r="I154" s="136"/>
      <c r="J154" s="213"/>
      <c r="K154" s="217">
        <f t="shared" si="13"/>
        <v>0</v>
      </c>
      <c r="L154" s="218">
        <f t="shared" si="14"/>
        <v>0</v>
      </c>
    </row>
    <row r="155" spans="1:12" x14ac:dyDescent="0.2">
      <c r="A155" s="124"/>
      <c r="B155" s="211"/>
      <c r="C155" s="325" t="s">
        <v>445</v>
      </c>
      <c r="D155" s="133">
        <v>1</v>
      </c>
      <c r="E155" s="135">
        <f>2.275-0.6</f>
        <v>1.6749999999999998</v>
      </c>
      <c r="F155" s="135">
        <v>0.25</v>
      </c>
      <c r="G155" s="135">
        <f t="shared" si="11"/>
        <v>2.4</v>
      </c>
      <c r="H155" s="212">
        <f t="shared" si="12"/>
        <v>1.0049999999999999</v>
      </c>
      <c r="I155" s="136"/>
      <c r="J155" s="213"/>
      <c r="K155" s="217">
        <f t="shared" si="13"/>
        <v>0</v>
      </c>
      <c r="L155" s="218">
        <f t="shared" si="14"/>
        <v>0</v>
      </c>
    </row>
    <row r="156" spans="1:12" x14ac:dyDescent="0.2">
      <c r="A156" s="124"/>
      <c r="B156" s="211"/>
      <c r="C156" s="325" t="s">
        <v>446</v>
      </c>
      <c r="D156" s="133">
        <v>1</v>
      </c>
      <c r="E156" s="135">
        <f>2.525-0.6</f>
        <v>1.9249999999999998</v>
      </c>
      <c r="F156" s="135">
        <v>0.25</v>
      </c>
      <c r="G156" s="135">
        <f t="shared" si="11"/>
        <v>2.4</v>
      </c>
      <c r="H156" s="212">
        <f t="shared" si="12"/>
        <v>1.1549999999999998</v>
      </c>
      <c r="I156" s="136"/>
      <c r="J156" s="213"/>
      <c r="K156" s="217">
        <f t="shared" si="13"/>
        <v>0</v>
      </c>
      <c r="L156" s="218">
        <f t="shared" si="14"/>
        <v>0</v>
      </c>
    </row>
    <row r="157" spans="1:12" x14ac:dyDescent="0.2">
      <c r="A157" s="124"/>
      <c r="B157" s="211"/>
      <c r="C157" s="225" t="s">
        <v>447</v>
      </c>
      <c r="D157" s="133">
        <v>1</v>
      </c>
      <c r="E157" s="135">
        <f>9.325-(0.6*3+0.3)</f>
        <v>7.2249999999999996</v>
      </c>
      <c r="F157" s="135">
        <v>0.25</v>
      </c>
      <c r="G157" s="135">
        <f t="shared" si="11"/>
        <v>2.4</v>
      </c>
      <c r="H157" s="212">
        <f t="shared" si="12"/>
        <v>4.335</v>
      </c>
      <c r="I157" s="136"/>
      <c r="J157" s="213"/>
      <c r="K157" s="217">
        <f t="shared" si="13"/>
        <v>0</v>
      </c>
      <c r="L157" s="218">
        <f t="shared" si="14"/>
        <v>0</v>
      </c>
    </row>
    <row r="158" spans="1:12" x14ac:dyDescent="0.2">
      <c r="A158" s="124"/>
      <c r="B158" s="211"/>
      <c r="C158" s="325" t="s">
        <v>448</v>
      </c>
      <c r="D158" s="133"/>
      <c r="E158" s="224">
        <v>96</v>
      </c>
      <c r="F158" s="135"/>
      <c r="G158" s="135"/>
      <c r="H158" s="212">
        <f>SUM(H135:H157)</f>
        <v>59.556000000000004</v>
      </c>
      <c r="I158" s="136"/>
      <c r="J158" s="213"/>
      <c r="K158" s="217">
        <f t="shared" si="13"/>
        <v>0</v>
      </c>
      <c r="L158" s="218">
        <f t="shared" si="14"/>
        <v>0</v>
      </c>
    </row>
    <row r="159" spans="1:12" x14ac:dyDescent="0.2">
      <c r="A159" s="124"/>
      <c r="B159" s="125"/>
      <c r="C159" s="262" t="s">
        <v>449</v>
      </c>
      <c r="D159" s="133"/>
      <c r="E159" s="135"/>
      <c r="F159" s="135"/>
      <c r="G159" s="135"/>
      <c r="H159" s="212"/>
      <c r="I159" s="136"/>
      <c r="J159" s="213"/>
      <c r="K159" s="217">
        <f t="shared" si="13"/>
        <v>0</v>
      </c>
      <c r="L159" s="218">
        <f t="shared" si="14"/>
        <v>0</v>
      </c>
    </row>
    <row r="160" spans="1:12" x14ac:dyDescent="0.2">
      <c r="A160" s="124"/>
      <c r="B160" s="211"/>
      <c r="C160" s="225" t="s">
        <v>450</v>
      </c>
      <c r="D160" s="133">
        <v>1</v>
      </c>
      <c r="E160" s="135">
        <f>6.575-0.6*2+0.3</f>
        <v>5.6749999999999998</v>
      </c>
      <c r="F160" s="135">
        <v>0.25</v>
      </c>
      <c r="G160" s="135">
        <f>3-0.6</f>
        <v>2.4</v>
      </c>
      <c r="H160" s="212">
        <f>G160*F160*E160*D160</f>
        <v>3.4049999999999998</v>
      </c>
      <c r="I160" s="136"/>
      <c r="J160" s="213"/>
      <c r="K160" s="217">
        <f t="shared" si="13"/>
        <v>0</v>
      </c>
      <c r="L160" s="218">
        <f t="shared" si="14"/>
        <v>0</v>
      </c>
    </row>
    <row r="161" spans="1:12" x14ac:dyDescent="0.2">
      <c r="A161" s="124"/>
      <c r="B161" s="211"/>
      <c r="C161" s="225" t="s">
        <v>451</v>
      </c>
      <c r="D161" s="133">
        <v>1</v>
      </c>
      <c r="E161" s="135">
        <f>6.575-0.6*2+0.3</f>
        <v>5.6749999999999998</v>
      </c>
      <c r="F161" s="135">
        <v>0.25</v>
      </c>
      <c r="G161" s="135">
        <f>3-0.6</f>
        <v>2.4</v>
      </c>
      <c r="H161" s="212">
        <f>G161*F161*E161*D161</f>
        <v>3.4049999999999998</v>
      </c>
      <c r="I161" s="136"/>
      <c r="J161" s="213"/>
      <c r="K161" s="217">
        <f t="shared" si="13"/>
        <v>0</v>
      </c>
      <c r="L161" s="218">
        <f t="shared" si="14"/>
        <v>0</v>
      </c>
    </row>
    <row r="162" spans="1:12" x14ac:dyDescent="0.2">
      <c r="A162" s="124"/>
      <c r="B162" s="211"/>
      <c r="C162" s="225" t="s">
        <v>452</v>
      </c>
      <c r="D162" s="133">
        <v>1</v>
      </c>
      <c r="E162" s="135">
        <f>8.85-0.6*3+0.3</f>
        <v>7.35</v>
      </c>
      <c r="F162" s="135">
        <v>0.25</v>
      </c>
      <c r="G162" s="135">
        <f>3-0.6</f>
        <v>2.4</v>
      </c>
      <c r="H162" s="212">
        <f>G162*F162*E162*D162</f>
        <v>4.4099999999999993</v>
      </c>
      <c r="I162" s="136"/>
      <c r="J162" s="213"/>
      <c r="K162" s="217">
        <f t="shared" si="13"/>
        <v>0</v>
      </c>
      <c r="L162" s="218">
        <f t="shared" si="14"/>
        <v>0</v>
      </c>
    </row>
    <row r="163" spans="1:12" x14ac:dyDescent="0.2">
      <c r="A163" s="124"/>
      <c r="B163" s="211"/>
      <c r="C163" s="225" t="s">
        <v>453</v>
      </c>
      <c r="D163" s="133">
        <v>1</v>
      </c>
      <c r="E163" s="135">
        <f>3.8-0.6*2</f>
        <v>2.5999999999999996</v>
      </c>
      <c r="F163" s="135">
        <v>0.25</v>
      </c>
      <c r="G163" s="135">
        <f>3-0.6</f>
        <v>2.4</v>
      </c>
      <c r="H163" s="212">
        <f>G163*F163*E163*D163</f>
        <v>1.5599999999999998</v>
      </c>
      <c r="I163" s="136"/>
      <c r="J163" s="213"/>
      <c r="K163" s="217">
        <f t="shared" si="13"/>
        <v>0</v>
      </c>
      <c r="L163" s="218">
        <f t="shared" si="14"/>
        <v>0</v>
      </c>
    </row>
    <row r="164" spans="1:12" x14ac:dyDescent="0.2">
      <c r="A164" s="124"/>
      <c r="B164" s="211"/>
      <c r="C164" s="225" t="s">
        <v>454</v>
      </c>
      <c r="D164" s="133">
        <v>1</v>
      </c>
      <c r="E164" s="135">
        <f>8.85-0.6*3+0.3</f>
        <v>7.35</v>
      </c>
      <c r="F164" s="135">
        <v>0.25</v>
      </c>
      <c r="G164" s="135">
        <f>3-0.6</f>
        <v>2.4</v>
      </c>
      <c r="H164" s="212">
        <f>G164*F164*E164*D164</f>
        <v>4.4099999999999993</v>
      </c>
      <c r="I164" s="136"/>
      <c r="J164" s="213"/>
      <c r="K164" s="217">
        <f t="shared" si="13"/>
        <v>0</v>
      </c>
      <c r="L164" s="218">
        <f t="shared" si="14"/>
        <v>0</v>
      </c>
    </row>
    <row r="165" spans="1:12" x14ac:dyDescent="0.2">
      <c r="A165" s="124"/>
      <c r="B165" s="211"/>
      <c r="C165" s="326" t="s">
        <v>455</v>
      </c>
      <c r="D165" s="133"/>
      <c r="E165" s="224">
        <v>28</v>
      </c>
      <c r="F165" s="135"/>
      <c r="G165" s="135"/>
      <c r="H165" s="212">
        <f>SUM(H160:H164)</f>
        <v>17.189999999999998</v>
      </c>
      <c r="I165" s="136"/>
      <c r="J165" s="213"/>
      <c r="K165" s="217">
        <f t="shared" si="13"/>
        <v>0</v>
      </c>
      <c r="L165" s="218">
        <f t="shared" si="14"/>
        <v>0</v>
      </c>
    </row>
    <row r="166" spans="1:12" x14ac:dyDescent="0.2">
      <c r="A166" s="124"/>
      <c r="B166" s="211"/>
      <c r="C166" s="191" t="s">
        <v>271</v>
      </c>
      <c r="D166" s="133"/>
      <c r="E166" s="134"/>
      <c r="F166" s="134"/>
      <c r="G166" s="134"/>
      <c r="H166" s="212"/>
      <c r="I166" s="136"/>
      <c r="J166" s="236"/>
      <c r="K166" s="217">
        <f t="shared" si="13"/>
        <v>0</v>
      </c>
      <c r="L166" s="218">
        <f t="shared" si="14"/>
        <v>0</v>
      </c>
    </row>
    <row r="167" spans="1:12" x14ac:dyDescent="0.2">
      <c r="A167" s="124"/>
      <c r="B167" s="211"/>
      <c r="C167" s="183" t="s">
        <v>418</v>
      </c>
      <c r="D167" s="133">
        <v>-4</v>
      </c>
      <c r="E167" s="135">
        <v>1.05</v>
      </c>
      <c r="F167" s="135">
        <v>0.25</v>
      </c>
      <c r="G167" s="135">
        <v>2.4</v>
      </c>
      <c r="H167" s="212">
        <f t="shared" ref="H167:H174" si="15">G167*F167*E167*D167</f>
        <v>-2.52</v>
      </c>
      <c r="I167" s="136"/>
      <c r="J167" s="236"/>
      <c r="K167" s="217">
        <f t="shared" si="13"/>
        <v>0</v>
      </c>
      <c r="L167" s="218">
        <f t="shared" si="14"/>
        <v>0</v>
      </c>
    </row>
    <row r="168" spans="1:12" x14ac:dyDescent="0.2">
      <c r="A168" s="124"/>
      <c r="B168" s="211"/>
      <c r="C168" s="183" t="s">
        <v>293</v>
      </c>
      <c r="D168" s="133">
        <v>0</v>
      </c>
      <c r="E168" s="135">
        <v>1</v>
      </c>
      <c r="F168" s="135">
        <v>0.25</v>
      </c>
      <c r="G168" s="135">
        <v>2.13</v>
      </c>
      <c r="H168" s="212">
        <f t="shared" si="15"/>
        <v>0</v>
      </c>
      <c r="I168" s="136"/>
      <c r="J168" s="236"/>
      <c r="K168" s="217">
        <f t="shared" si="13"/>
        <v>0</v>
      </c>
      <c r="L168" s="218">
        <f t="shared" si="14"/>
        <v>0</v>
      </c>
    </row>
    <row r="169" spans="1:12" x14ac:dyDescent="0.2">
      <c r="A169" s="124"/>
      <c r="B169" s="211"/>
      <c r="C169" s="183" t="s">
        <v>222</v>
      </c>
      <c r="D169" s="133">
        <v>0</v>
      </c>
      <c r="E169" s="135">
        <v>0.9</v>
      </c>
      <c r="F169" s="135">
        <v>0.25</v>
      </c>
      <c r="G169" s="135">
        <v>2.13</v>
      </c>
      <c r="H169" s="212">
        <f t="shared" si="15"/>
        <v>0</v>
      </c>
      <c r="I169" s="136"/>
      <c r="J169" s="236"/>
      <c r="K169" s="217">
        <f t="shared" si="13"/>
        <v>0</v>
      </c>
      <c r="L169" s="218">
        <f t="shared" si="14"/>
        <v>0</v>
      </c>
    </row>
    <row r="170" spans="1:12" x14ac:dyDescent="0.2">
      <c r="A170" s="124"/>
      <c r="B170" s="211"/>
      <c r="C170" s="220" t="s">
        <v>223</v>
      </c>
      <c r="D170" s="133">
        <v>0</v>
      </c>
      <c r="E170" s="135">
        <v>0.75</v>
      </c>
      <c r="F170" s="135">
        <v>0.25</v>
      </c>
      <c r="G170" s="135">
        <v>2.13</v>
      </c>
      <c r="H170" s="212">
        <f t="shared" si="15"/>
        <v>0</v>
      </c>
      <c r="I170" s="136"/>
      <c r="J170" s="236"/>
      <c r="K170" s="217">
        <f t="shared" si="13"/>
        <v>0</v>
      </c>
      <c r="L170" s="218">
        <f t="shared" si="14"/>
        <v>0</v>
      </c>
    </row>
    <row r="171" spans="1:12" x14ac:dyDescent="0.2">
      <c r="A171" s="124"/>
      <c r="B171" s="211"/>
      <c r="C171" s="220" t="s">
        <v>419</v>
      </c>
      <c r="D171" s="133">
        <v>0</v>
      </c>
      <c r="E171" s="135">
        <v>0.9</v>
      </c>
      <c r="F171" s="135">
        <v>0.25</v>
      </c>
      <c r="G171" s="135">
        <v>2.4</v>
      </c>
      <c r="H171" s="212">
        <f t="shared" si="15"/>
        <v>0</v>
      </c>
      <c r="I171" s="136"/>
      <c r="J171" s="236"/>
      <c r="K171" s="217">
        <f t="shared" si="13"/>
        <v>0</v>
      </c>
      <c r="L171" s="218">
        <f t="shared" si="14"/>
        <v>0</v>
      </c>
    </row>
    <row r="172" spans="1:12" x14ac:dyDescent="0.2">
      <c r="A172" s="124"/>
      <c r="B172" s="211"/>
      <c r="C172" s="220" t="s">
        <v>456</v>
      </c>
      <c r="D172" s="133">
        <v>-8</v>
      </c>
      <c r="E172" s="135">
        <v>2.4</v>
      </c>
      <c r="F172" s="135">
        <v>0.25</v>
      </c>
      <c r="G172" s="135">
        <v>2.4</v>
      </c>
      <c r="H172" s="212">
        <f t="shared" si="15"/>
        <v>-11.52</v>
      </c>
      <c r="I172" s="136"/>
      <c r="J172" s="236"/>
      <c r="K172" s="217">
        <f t="shared" si="13"/>
        <v>0</v>
      </c>
      <c r="L172" s="218">
        <f t="shared" si="14"/>
        <v>0</v>
      </c>
    </row>
    <row r="173" spans="1:12" x14ac:dyDescent="0.2">
      <c r="A173" s="124"/>
      <c r="B173" s="211"/>
      <c r="C173" s="220" t="s">
        <v>457</v>
      </c>
      <c r="D173" s="133">
        <v>-4</v>
      </c>
      <c r="E173" s="135">
        <v>1.35</v>
      </c>
      <c r="F173" s="135">
        <v>0.25</v>
      </c>
      <c r="G173" s="135">
        <v>1.5</v>
      </c>
      <c r="H173" s="212">
        <f t="shared" si="15"/>
        <v>-2.0250000000000004</v>
      </c>
      <c r="I173" s="136"/>
      <c r="J173" s="236"/>
      <c r="K173" s="217">
        <f t="shared" si="13"/>
        <v>0</v>
      </c>
      <c r="L173" s="218">
        <f t="shared" si="14"/>
        <v>0</v>
      </c>
    </row>
    <row r="174" spans="1:12" x14ac:dyDescent="0.2">
      <c r="A174" s="124"/>
      <c r="B174" s="211"/>
      <c r="C174" s="220" t="s">
        <v>458</v>
      </c>
      <c r="D174" s="133">
        <v>-4</v>
      </c>
      <c r="E174" s="135">
        <v>1.05</v>
      </c>
      <c r="F174" s="135">
        <v>0.25</v>
      </c>
      <c r="G174" s="135">
        <v>1.4</v>
      </c>
      <c r="H174" s="212">
        <f t="shared" si="15"/>
        <v>-1.47</v>
      </c>
      <c r="I174" s="136"/>
      <c r="J174" s="236"/>
      <c r="K174" s="217">
        <f t="shared" si="13"/>
        <v>0</v>
      </c>
      <c r="L174" s="218">
        <f t="shared" si="14"/>
        <v>0</v>
      </c>
    </row>
    <row r="175" spans="1:12" x14ac:dyDescent="0.2">
      <c r="A175" s="124"/>
      <c r="B175" s="211"/>
      <c r="C175" s="220" t="s">
        <v>260</v>
      </c>
      <c r="D175" s="133">
        <v>-2</v>
      </c>
      <c r="E175" s="135">
        <v>1.2</v>
      </c>
      <c r="F175" s="135">
        <v>0.25</v>
      </c>
      <c r="G175" s="135">
        <v>1.4</v>
      </c>
      <c r="H175" s="212">
        <f>G175*F175*E175*D175</f>
        <v>-0.84</v>
      </c>
      <c r="I175" s="136"/>
      <c r="J175" s="236"/>
      <c r="K175" s="217">
        <f t="shared" si="13"/>
        <v>0</v>
      </c>
      <c r="L175" s="218">
        <f t="shared" si="14"/>
        <v>0</v>
      </c>
    </row>
    <row r="176" spans="1:12" x14ac:dyDescent="0.2">
      <c r="A176" s="124"/>
      <c r="B176" s="211"/>
      <c r="C176" s="220" t="s">
        <v>273</v>
      </c>
      <c r="D176" s="133">
        <v>-8</v>
      </c>
      <c r="E176" s="135">
        <v>0.6</v>
      </c>
      <c r="F176" s="135">
        <v>0.25</v>
      </c>
      <c r="G176" s="135">
        <v>1.4</v>
      </c>
      <c r="H176" s="212">
        <f>G176*F176*E176*D176</f>
        <v>-1.68</v>
      </c>
      <c r="I176" s="136"/>
      <c r="J176" s="236"/>
      <c r="K176" s="217">
        <f t="shared" si="13"/>
        <v>0</v>
      </c>
      <c r="L176" s="218">
        <f t="shared" si="14"/>
        <v>0</v>
      </c>
    </row>
    <row r="177" spans="1:12" x14ac:dyDescent="0.2">
      <c r="A177" s="139"/>
      <c r="B177" s="215"/>
      <c r="C177" s="221" t="s">
        <v>117</v>
      </c>
      <c r="D177" s="142"/>
      <c r="E177" s="145"/>
      <c r="F177" s="145"/>
      <c r="G177" s="145"/>
      <c r="H177" s="216">
        <v>95</v>
      </c>
      <c r="I177" s="141" t="s">
        <v>118</v>
      </c>
      <c r="J177" s="217">
        <v>9105.9500000000007</v>
      </c>
      <c r="K177" s="217">
        <f t="shared" si="13"/>
        <v>7716.9067796610179</v>
      </c>
      <c r="L177" s="218">
        <f t="shared" si="14"/>
        <v>733106.14406779665</v>
      </c>
    </row>
    <row r="178" spans="1:12" ht="38.25" x14ac:dyDescent="0.2">
      <c r="A178" s="116">
        <v>6</v>
      </c>
      <c r="B178" s="117">
        <v>6.13</v>
      </c>
      <c r="C178" s="251" t="s">
        <v>274</v>
      </c>
      <c r="D178" s="119"/>
      <c r="E178" s="121"/>
      <c r="F178" s="121"/>
      <c r="G178" s="121"/>
      <c r="H178" s="263"/>
      <c r="I178" s="122"/>
      <c r="J178" s="209"/>
      <c r="K178" s="217">
        <f t="shared" si="13"/>
        <v>0</v>
      </c>
      <c r="L178" s="218">
        <f t="shared" si="14"/>
        <v>0</v>
      </c>
    </row>
    <row r="179" spans="1:12" ht="27" customHeight="1" x14ac:dyDescent="0.2">
      <c r="A179" s="124"/>
      <c r="B179" s="125" t="s">
        <v>275</v>
      </c>
      <c r="C179" s="257" t="s">
        <v>276</v>
      </c>
      <c r="D179" s="127"/>
      <c r="E179" s="129"/>
      <c r="F179" s="129"/>
      <c r="G179" s="129"/>
      <c r="H179" s="264"/>
      <c r="I179" s="130"/>
      <c r="J179" s="240"/>
      <c r="K179" s="217">
        <f t="shared" si="13"/>
        <v>0</v>
      </c>
      <c r="L179" s="218">
        <f t="shared" si="14"/>
        <v>0</v>
      </c>
    </row>
    <row r="180" spans="1:12" x14ac:dyDescent="0.2">
      <c r="A180" s="124"/>
      <c r="B180" s="211"/>
      <c r="C180" s="187" t="s">
        <v>277</v>
      </c>
      <c r="D180" s="180"/>
      <c r="E180" s="135"/>
      <c r="F180" s="135"/>
      <c r="G180" s="135"/>
      <c r="H180" s="212"/>
      <c r="I180" s="136"/>
      <c r="J180" s="213"/>
      <c r="K180" s="217">
        <f t="shared" si="13"/>
        <v>0</v>
      </c>
      <c r="L180" s="218">
        <f t="shared" si="14"/>
        <v>0</v>
      </c>
    </row>
    <row r="181" spans="1:12" x14ac:dyDescent="0.2">
      <c r="A181" s="124"/>
      <c r="B181" s="211"/>
      <c r="C181" s="225" t="s">
        <v>459</v>
      </c>
      <c r="D181" s="133">
        <v>1</v>
      </c>
      <c r="E181" s="135">
        <v>3.6</v>
      </c>
      <c r="F181" s="135"/>
      <c r="G181" s="135">
        <f t="shared" ref="G181:G199" si="16">3-0.6</f>
        <v>2.4</v>
      </c>
      <c r="H181" s="212">
        <f t="shared" ref="H181:H199" si="17">D181*E181*G181</f>
        <v>8.64</v>
      </c>
      <c r="I181" s="136"/>
      <c r="J181" s="213"/>
      <c r="K181" s="217">
        <f t="shared" si="13"/>
        <v>0</v>
      </c>
      <c r="L181" s="218">
        <f t="shared" si="14"/>
        <v>0</v>
      </c>
    </row>
    <row r="182" spans="1:12" x14ac:dyDescent="0.2">
      <c r="A182" s="124"/>
      <c r="B182" s="211"/>
      <c r="C182" s="225" t="s">
        <v>460</v>
      </c>
      <c r="D182" s="133">
        <v>4</v>
      </c>
      <c r="E182" s="135">
        <v>1.6</v>
      </c>
      <c r="F182" s="135"/>
      <c r="G182" s="135">
        <f t="shared" si="16"/>
        <v>2.4</v>
      </c>
      <c r="H182" s="212">
        <f t="shared" si="17"/>
        <v>15.36</v>
      </c>
      <c r="I182" s="136"/>
      <c r="J182" s="213"/>
      <c r="K182" s="217">
        <f t="shared" si="13"/>
        <v>0</v>
      </c>
      <c r="L182" s="218">
        <f t="shared" si="14"/>
        <v>0</v>
      </c>
    </row>
    <row r="183" spans="1:12" x14ac:dyDescent="0.2">
      <c r="A183" s="124"/>
      <c r="B183" s="211"/>
      <c r="C183" s="225" t="s">
        <v>461</v>
      </c>
      <c r="D183" s="133">
        <v>2</v>
      </c>
      <c r="E183" s="135">
        <v>3.6</v>
      </c>
      <c r="F183" s="135"/>
      <c r="G183" s="135">
        <f t="shared" si="16"/>
        <v>2.4</v>
      </c>
      <c r="H183" s="212">
        <f t="shared" si="17"/>
        <v>17.28</v>
      </c>
      <c r="I183" s="136"/>
      <c r="J183" s="213"/>
      <c r="K183" s="217">
        <f t="shared" si="13"/>
        <v>0</v>
      </c>
      <c r="L183" s="218">
        <f t="shared" si="14"/>
        <v>0</v>
      </c>
    </row>
    <row r="184" spans="1:12" x14ac:dyDescent="0.2">
      <c r="A184" s="124"/>
      <c r="B184" s="211"/>
      <c r="C184" s="225" t="s">
        <v>462</v>
      </c>
      <c r="D184" s="133">
        <v>1</v>
      </c>
      <c r="E184" s="135">
        <f>3.85-0.3</f>
        <v>3.5500000000000003</v>
      </c>
      <c r="F184" s="135"/>
      <c r="G184" s="135">
        <f t="shared" si="16"/>
        <v>2.4</v>
      </c>
      <c r="H184" s="212">
        <f t="shared" si="17"/>
        <v>8.52</v>
      </c>
      <c r="I184" s="136"/>
      <c r="J184" s="213"/>
      <c r="K184" s="217">
        <f t="shared" si="13"/>
        <v>0</v>
      </c>
      <c r="L184" s="218">
        <f t="shared" si="14"/>
        <v>0</v>
      </c>
    </row>
    <row r="185" spans="1:12" x14ac:dyDescent="0.2">
      <c r="A185" s="124"/>
      <c r="B185" s="211"/>
      <c r="C185" s="225" t="s">
        <v>153</v>
      </c>
      <c r="D185" s="133">
        <v>1</v>
      </c>
      <c r="E185" s="135">
        <f>7.2-0.6*2+0.3</f>
        <v>6.3</v>
      </c>
      <c r="F185" s="135"/>
      <c r="G185" s="135">
        <f t="shared" si="16"/>
        <v>2.4</v>
      </c>
      <c r="H185" s="212">
        <f t="shared" si="17"/>
        <v>15.12</v>
      </c>
      <c r="I185" s="136"/>
      <c r="J185" s="213"/>
      <c r="K185" s="217">
        <f t="shared" si="13"/>
        <v>0</v>
      </c>
      <c r="L185" s="218">
        <f t="shared" si="14"/>
        <v>0</v>
      </c>
    </row>
    <row r="186" spans="1:12" x14ac:dyDescent="0.2">
      <c r="A186" s="124"/>
      <c r="B186" s="211"/>
      <c r="C186" s="225" t="s">
        <v>463</v>
      </c>
      <c r="D186" s="133">
        <v>1</v>
      </c>
      <c r="E186" s="135">
        <f>7.2-0.6*2+0.3</f>
        <v>6.3</v>
      </c>
      <c r="F186" s="135"/>
      <c r="G186" s="135">
        <f t="shared" si="16"/>
        <v>2.4</v>
      </c>
      <c r="H186" s="212">
        <f t="shared" si="17"/>
        <v>15.12</v>
      </c>
      <c r="I186" s="136"/>
      <c r="J186" s="213"/>
      <c r="K186" s="217">
        <f t="shared" si="13"/>
        <v>0</v>
      </c>
      <c r="L186" s="218">
        <f t="shared" si="14"/>
        <v>0</v>
      </c>
    </row>
    <row r="187" spans="1:12" x14ac:dyDescent="0.2">
      <c r="A187" s="124"/>
      <c r="B187" s="211"/>
      <c r="C187" s="225" t="s">
        <v>464</v>
      </c>
      <c r="D187" s="133">
        <v>1</v>
      </c>
      <c r="E187" s="135">
        <v>1.625</v>
      </c>
      <c r="F187" s="135"/>
      <c r="G187" s="135">
        <f t="shared" si="16"/>
        <v>2.4</v>
      </c>
      <c r="H187" s="212">
        <f t="shared" si="17"/>
        <v>3.9</v>
      </c>
      <c r="I187" s="136"/>
      <c r="J187" s="213"/>
      <c r="K187" s="217">
        <f t="shared" si="13"/>
        <v>0</v>
      </c>
      <c r="L187" s="218">
        <f t="shared" si="14"/>
        <v>0</v>
      </c>
    </row>
    <row r="188" spans="1:12" x14ac:dyDescent="0.2">
      <c r="A188" s="124"/>
      <c r="B188" s="211"/>
      <c r="C188" s="225" t="s">
        <v>226</v>
      </c>
      <c r="D188" s="133">
        <v>4</v>
      </c>
      <c r="E188" s="135">
        <v>3.3</v>
      </c>
      <c r="F188" s="135"/>
      <c r="G188" s="135">
        <f t="shared" si="16"/>
        <v>2.4</v>
      </c>
      <c r="H188" s="212">
        <f t="shared" si="17"/>
        <v>31.679999999999996</v>
      </c>
      <c r="I188" s="136"/>
      <c r="J188" s="213"/>
      <c r="K188" s="217">
        <f t="shared" si="13"/>
        <v>0</v>
      </c>
      <c r="L188" s="218">
        <f t="shared" si="14"/>
        <v>0</v>
      </c>
    </row>
    <row r="189" spans="1:12" x14ac:dyDescent="0.2">
      <c r="A189" s="124"/>
      <c r="B189" s="211"/>
      <c r="C189" s="225" t="s">
        <v>465</v>
      </c>
      <c r="D189" s="133">
        <v>2</v>
      </c>
      <c r="E189" s="135">
        <f>3.57-0.6*2</f>
        <v>2.37</v>
      </c>
      <c r="F189" s="135"/>
      <c r="G189" s="135">
        <f t="shared" si="16"/>
        <v>2.4</v>
      </c>
      <c r="H189" s="212">
        <f t="shared" si="17"/>
        <v>11.375999999999999</v>
      </c>
      <c r="I189" s="136"/>
      <c r="J189" s="213"/>
      <c r="K189" s="217">
        <f t="shared" si="13"/>
        <v>0</v>
      </c>
      <c r="L189" s="218">
        <f t="shared" si="14"/>
        <v>0</v>
      </c>
    </row>
    <row r="190" spans="1:12" x14ac:dyDescent="0.2">
      <c r="A190" s="124"/>
      <c r="B190" s="211"/>
      <c r="C190" s="225" t="s">
        <v>466</v>
      </c>
      <c r="D190" s="133">
        <v>1</v>
      </c>
      <c r="E190" s="135">
        <v>3.6</v>
      </c>
      <c r="F190" s="135"/>
      <c r="G190" s="135">
        <f t="shared" si="16"/>
        <v>2.4</v>
      </c>
      <c r="H190" s="212">
        <f t="shared" si="17"/>
        <v>8.64</v>
      </c>
      <c r="I190" s="136"/>
      <c r="J190" s="213"/>
      <c r="K190" s="217">
        <f t="shared" si="13"/>
        <v>0</v>
      </c>
      <c r="L190" s="218">
        <f t="shared" si="14"/>
        <v>0</v>
      </c>
    </row>
    <row r="191" spans="1:12" x14ac:dyDescent="0.2">
      <c r="A191" s="124"/>
      <c r="B191" s="211"/>
      <c r="C191" s="225" t="s">
        <v>467</v>
      </c>
      <c r="D191" s="133">
        <v>1</v>
      </c>
      <c r="E191" s="135">
        <f>4.1-0.6</f>
        <v>3.4999999999999996</v>
      </c>
      <c r="F191" s="135"/>
      <c r="G191" s="135">
        <f t="shared" si="16"/>
        <v>2.4</v>
      </c>
      <c r="H191" s="212">
        <f t="shared" si="17"/>
        <v>8.3999999999999986</v>
      </c>
      <c r="I191" s="136"/>
      <c r="J191" s="213"/>
      <c r="K191" s="217">
        <f t="shared" si="13"/>
        <v>0</v>
      </c>
      <c r="L191" s="218">
        <f t="shared" si="14"/>
        <v>0</v>
      </c>
    </row>
    <row r="192" spans="1:12" x14ac:dyDescent="0.2">
      <c r="A192" s="124"/>
      <c r="B192" s="211"/>
      <c r="C192" s="225" t="s">
        <v>468</v>
      </c>
      <c r="D192" s="133">
        <v>1</v>
      </c>
      <c r="E192" s="135">
        <f>7.2-0.6*2+0.3</f>
        <v>6.3</v>
      </c>
      <c r="F192" s="135"/>
      <c r="G192" s="135">
        <f t="shared" si="16"/>
        <v>2.4</v>
      </c>
      <c r="H192" s="212">
        <f t="shared" si="17"/>
        <v>15.12</v>
      </c>
      <c r="I192" s="136"/>
      <c r="J192" s="213"/>
      <c r="K192" s="217">
        <f t="shared" si="13"/>
        <v>0</v>
      </c>
      <c r="L192" s="218">
        <f t="shared" si="14"/>
        <v>0</v>
      </c>
    </row>
    <row r="193" spans="1:12" x14ac:dyDescent="0.2">
      <c r="A193" s="124"/>
      <c r="B193" s="211"/>
      <c r="C193" s="225" t="s">
        <v>469</v>
      </c>
      <c r="D193" s="133">
        <v>1</v>
      </c>
      <c r="E193" s="135">
        <f>3.67-0.6*2</f>
        <v>2.4699999999999998</v>
      </c>
      <c r="F193" s="135"/>
      <c r="G193" s="135">
        <f t="shared" si="16"/>
        <v>2.4</v>
      </c>
      <c r="H193" s="212">
        <f t="shared" si="17"/>
        <v>5.927999999999999</v>
      </c>
      <c r="I193" s="136"/>
      <c r="J193" s="213"/>
      <c r="K193" s="217">
        <f t="shared" si="13"/>
        <v>0</v>
      </c>
      <c r="L193" s="218">
        <f t="shared" si="14"/>
        <v>0</v>
      </c>
    </row>
    <row r="194" spans="1:12" x14ac:dyDescent="0.2">
      <c r="A194" s="124"/>
      <c r="B194" s="211"/>
      <c r="C194" s="225" t="s">
        <v>470</v>
      </c>
      <c r="D194" s="133">
        <v>2</v>
      </c>
      <c r="E194" s="135">
        <f>3.575-0.6</f>
        <v>2.9750000000000001</v>
      </c>
      <c r="F194" s="135"/>
      <c r="G194" s="135">
        <f t="shared" si="16"/>
        <v>2.4</v>
      </c>
      <c r="H194" s="212">
        <f t="shared" si="17"/>
        <v>14.28</v>
      </c>
      <c r="I194" s="136"/>
      <c r="J194" s="213"/>
      <c r="K194" s="217">
        <f t="shared" si="13"/>
        <v>0</v>
      </c>
      <c r="L194" s="218">
        <f t="shared" si="14"/>
        <v>0</v>
      </c>
    </row>
    <row r="195" spans="1:12" x14ac:dyDescent="0.2">
      <c r="A195" s="124"/>
      <c r="B195" s="211"/>
      <c r="C195" s="225" t="s">
        <v>471</v>
      </c>
      <c r="D195" s="133">
        <v>1</v>
      </c>
      <c r="E195" s="135">
        <f>7.2-0.6*2+0.3</f>
        <v>6.3</v>
      </c>
      <c r="F195" s="135"/>
      <c r="G195" s="135">
        <f t="shared" si="16"/>
        <v>2.4</v>
      </c>
      <c r="H195" s="212">
        <f t="shared" si="17"/>
        <v>15.12</v>
      </c>
      <c r="I195" s="136"/>
      <c r="J195" s="213"/>
      <c r="K195" s="217">
        <f t="shared" si="13"/>
        <v>0</v>
      </c>
      <c r="L195" s="218">
        <f t="shared" si="14"/>
        <v>0</v>
      </c>
    </row>
    <row r="196" spans="1:12" x14ac:dyDescent="0.2">
      <c r="A196" s="124"/>
      <c r="B196" s="211"/>
      <c r="C196" s="225" t="s">
        <v>472</v>
      </c>
      <c r="D196" s="133">
        <v>1</v>
      </c>
      <c r="E196" s="135">
        <f>4.1-0.6</f>
        <v>3.4999999999999996</v>
      </c>
      <c r="F196" s="135"/>
      <c r="G196" s="135">
        <f t="shared" si="16"/>
        <v>2.4</v>
      </c>
      <c r="H196" s="212">
        <f t="shared" si="17"/>
        <v>8.3999999999999986</v>
      </c>
      <c r="I196" s="136"/>
      <c r="J196" s="213"/>
      <c r="K196" s="217">
        <f t="shared" si="13"/>
        <v>0</v>
      </c>
      <c r="L196" s="218">
        <f t="shared" si="14"/>
        <v>0</v>
      </c>
    </row>
    <row r="197" spans="1:12" x14ac:dyDescent="0.2">
      <c r="A197" s="124"/>
      <c r="B197" s="211"/>
      <c r="C197" s="225" t="s">
        <v>473</v>
      </c>
      <c r="D197" s="133">
        <v>1</v>
      </c>
      <c r="E197" s="135">
        <v>1.625</v>
      </c>
      <c r="F197" s="135"/>
      <c r="G197" s="135">
        <f t="shared" si="16"/>
        <v>2.4</v>
      </c>
      <c r="H197" s="212">
        <f t="shared" si="17"/>
        <v>3.9</v>
      </c>
      <c r="I197" s="136"/>
      <c r="J197" s="213"/>
      <c r="K197" s="217">
        <f t="shared" si="13"/>
        <v>0</v>
      </c>
      <c r="L197" s="218">
        <f t="shared" si="14"/>
        <v>0</v>
      </c>
    </row>
    <row r="198" spans="1:12" x14ac:dyDescent="0.2">
      <c r="A198" s="124"/>
      <c r="B198" s="211"/>
      <c r="C198" s="225" t="s">
        <v>474</v>
      </c>
      <c r="D198" s="133">
        <v>2</v>
      </c>
      <c r="E198" s="135">
        <f>3.575-0.6</f>
        <v>2.9750000000000001</v>
      </c>
      <c r="F198" s="135"/>
      <c r="G198" s="135">
        <f t="shared" si="16"/>
        <v>2.4</v>
      </c>
      <c r="H198" s="212">
        <f t="shared" si="17"/>
        <v>14.28</v>
      </c>
      <c r="I198" s="136"/>
      <c r="J198" s="213"/>
      <c r="K198" s="217">
        <f t="shared" si="13"/>
        <v>0</v>
      </c>
      <c r="L198" s="218">
        <f t="shared" si="14"/>
        <v>0</v>
      </c>
    </row>
    <row r="199" spans="1:12" x14ac:dyDescent="0.2">
      <c r="A199" s="124"/>
      <c r="B199" s="211"/>
      <c r="C199" s="225" t="s">
        <v>475</v>
      </c>
      <c r="D199" s="133">
        <f>3.675-0.6*2</f>
        <v>2.4749999999999996</v>
      </c>
      <c r="E199" s="135">
        <f>3.575-0.6</f>
        <v>2.9750000000000001</v>
      </c>
      <c r="F199" s="135"/>
      <c r="G199" s="135">
        <f t="shared" si="16"/>
        <v>2.4</v>
      </c>
      <c r="H199" s="212">
        <f t="shared" si="17"/>
        <v>17.671499999999998</v>
      </c>
      <c r="I199" s="136"/>
      <c r="J199" s="213"/>
      <c r="K199" s="217">
        <f t="shared" si="13"/>
        <v>0</v>
      </c>
      <c r="L199" s="218">
        <f t="shared" si="14"/>
        <v>0</v>
      </c>
    </row>
    <row r="200" spans="1:12" x14ac:dyDescent="0.2">
      <c r="A200" s="124"/>
      <c r="B200" s="211"/>
      <c r="C200" s="225" t="s">
        <v>476</v>
      </c>
      <c r="D200" s="133"/>
      <c r="E200" s="190">
        <f>SUM(E181*D181+E183*D183+E184*D184+E185*D185+D186*E186+D187*E187+D188*E188+D189*E189+D190*E190+D191*E191+D192*E192+D193*E193+D194*E194+D195*E195+D196*E196+D197*E197+D198*E198+D199*E199)</f>
        <v>93.073125000000005</v>
      </c>
      <c r="F200" s="135"/>
      <c r="G200" s="135"/>
      <c r="H200" s="212">
        <v>238</v>
      </c>
      <c r="I200" s="136"/>
      <c r="J200" s="213"/>
      <c r="K200" s="217">
        <f t="shared" si="13"/>
        <v>0</v>
      </c>
      <c r="L200" s="218">
        <f t="shared" si="14"/>
        <v>0</v>
      </c>
    </row>
    <row r="201" spans="1:12" x14ac:dyDescent="0.2">
      <c r="A201" s="124"/>
      <c r="B201" s="211"/>
      <c r="C201" s="262" t="s">
        <v>477</v>
      </c>
      <c r="D201" s="133"/>
      <c r="E201" s="135"/>
      <c r="F201" s="135"/>
      <c r="G201" s="135"/>
      <c r="H201" s="212"/>
      <c r="I201" s="136"/>
      <c r="J201" s="213"/>
      <c r="K201" s="217">
        <f t="shared" si="13"/>
        <v>0</v>
      </c>
      <c r="L201" s="218">
        <f t="shared" si="14"/>
        <v>0</v>
      </c>
    </row>
    <row r="202" spans="1:12" x14ac:dyDescent="0.2">
      <c r="A202" s="124"/>
      <c r="B202" s="211"/>
      <c r="C202" s="225" t="s">
        <v>478</v>
      </c>
      <c r="D202" s="133">
        <v>1</v>
      </c>
      <c r="E202" s="135">
        <v>3.6</v>
      </c>
      <c r="F202" s="135"/>
      <c r="G202" s="135">
        <f>3-0.6</f>
        <v>2.4</v>
      </c>
      <c r="H202" s="212">
        <f t="shared" ref="H202:H207" si="18">D202*E202*G202</f>
        <v>8.64</v>
      </c>
      <c r="I202" s="136"/>
      <c r="J202" s="213"/>
      <c r="K202" s="217">
        <f t="shared" ref="K202:K265" si="19">J202*100/118</f>
        <v>0</v>
      </c>
      <c r="L202" s="218">
        <f t="shared" ref="L202:L265" si="20">K202*H202</f>
        <v>0</v>
      </c>
    </row>
    <row r="203" spans="1:12" x14ac:dyDescent="0.2">
      <c r="A203" s="124"/>
      <c r="B203" s="211"/>
      <c r="C203" s="225" t="s">
        <v>479</v>
      </c>
      <c r="D203" s="133">
        <v>1</v>
      </c>
      <c r="E203" s="135">
        <v>3.6</v>
      </c>
      <c r="F203" s="135"/>
      <c r="G203" s="135">
        <f>3-0.6</f>
        <v>2.4</v>
      </c>
      <c r="H203" s="212">
        <f t="shared" si="18"/>
        <v>8.64</v>
      </c>
      <c r="I203" s="136"/>
      <c r="J203" s="213"/>
      <c r="K203" s="217">
        <f t="shared" si="19"/>
        <v>0</v>
      </c>
      <c r="L203" s="218">
        <f t="shared" si="20"/>
        <v>0</v>
      </c>
    </row>
    <row r="204" spans="1:12" x14ac:dyDescent="0.2">
      <c r="A204" s="124"/>
      <c r="B204" s="211"/>
      <c r="C204" s="225" t="s">
        <v>480</v>
      </c>
      <c r="D204" s="133">
        <v>1</v>
      </c>
      <c r="E204" s="135">
        <v>3.6</v>
      </c>
      <c r="F204" s="135"/>
      <c r="G204" s="135">
        <f>3-0.6</f>
        <v>2.4</v>
      </c>
      <c r="H204" s="212">
        <f t="shared" si="18"/>
        <v>8.64</v>
      </c>
      <c r="I204" s="136"/>
      <c r="J204" s="213"/>
      <c r="K204" s="217">
        <f t="shared" si="19"/>
        <v>0</v>
      </c>
      <c r="L204" s="218">
        <f t="shared" si="20"/>
        <v>0</v>
      </c>
    </row>
    <row r="205" spans="1:12" x14ac:dyDescent="0.2">
      <c r="A205" s="124"/>
      <c r="B205" s="211"/>
      <c r="C205" s="225" t="s">
        <v>481</v>
      </c>
      <c r="D205" s="133">
        <v>1</v>
      </c>
      <c r="E205" s="135">
        <v>3.6</v>
      </c>
      <c r="F205" s="135"/>
      <c r="G205" s="135">
        <f>3-0.6</f>
        <v>2.4</v>
      </c>
      <c r="H205" s="212">
        <f t="shared" si="18"/>
        <v>8.64</v>
      </c>
      <c r="I205" s="136"/>
      <c r="J205" s="213"/>
      <c r="K205" s="217">
        <f t="shared" si="19"/>
        <v>0</v>
      </c>
      <c r="L205" s="218">
        <f t="shared" si="20"/>
        <v>0</v>
      </c>
    </row>
    <row r="206" spans="1:12" x14ac:dyDescent="0.2">
      <c r="A206" s="124"/>
      <c r="B206" s="211"/>
      <c r="C206" s="225" t="s">
        <v>482</v>
      </c>
      <c r="D206" s="133">
        <v>8</v>
      </c>
      <c r="E206" s="135">
        <f>1.5*2+3.3</f>
        <v>6.3</v>
      </c>
      <c r="F206" s="135"/>
      <c r="G206" s="135">
        <v>0.6</v>
      </c>
      <c r="H206" s="212">
        <f t="shared" si="18"/>
        <v>30.24</v>
      </c>
      <c r="I206" s="136"/>
      <c r="J206" s="213"/>
      <c r="K206" s="217">
        <f t="shared" si="19"/>
        <v>0</v>
      </c>
      <c r="L206" s="218">
        <f t="shared" si="20"/>
        <v>0</v>
      </c>
    </row>
    <row r="207" spans="1:12" x14ac:dyDescent="0.2">
      <c r="A207" s="124"/>
      <c r="B207" s="211"/>
      <c r="C207" s="225" t="s">
        <v>482</v>
      </c>
      <c r="D207" s="133">
        <v>4</v>
      </c>
      <c r="E207" s="135">
        <v>3.3</v>
      </c>
      <c r="F207" s="135"/>
      <c r="G207" s="135">
        <v>0.6</v>
      </c>
      <c r="H207" s="212">
        <f t="shared" si="18"/>
        <v>7.919999999999999</v>
      </c>
      <c r="I207" s="136"/>
      <c r="J207" s="213"/>
      <c r="K207" s="217">
        <f t="shared" si="19"/>
        <v>0</v>
      </c>
      <c r="L207" s="218">
        <f t="shared" si="20"/>
        <v>0</v>
      </c>
    </row>
    <row r="208" spans="1:12" x14ac:dyDescent="0.2">
      <c r="A208" s="124"/>
      <c r="B208" s="211"/>
      <c r="C208" s="225" t="s">
        <v>483</v>
      </c>
      <c r="D208" s="180"/>
      <c r="E208" s="190">
        <f>SUM(D202*E202+D203*E203+D204*E204+D205*E205+D206*E206+D207*E207)</f>
        <v>78</v>
      </c>
      <c r="F208" s="135"/>
      <c r="G208" s="135"/>
      <c r="H208" s="212">
        <v>72</v>
      </c>
      <c r="I208" s="136"/>
      <c r="J208" s="213"/>
      <c r="K208" s="217">
        <f t="shared" si="19"/>
        <v>0</v>
      </c>
      <c r="L208" s="218">
        <f t="shared" si="20"/>
        <v>0</v>
      </c>
    </row>
    <row r="209" spans="1:12" x14ac:dyDescent="0.2">
      <c r="A209" s="124"/>
      <c r="B209" s="211"/>
      <c r="C209" s="225"/>
      <c r="D209" s="133"/>
      <c r="E209" s="135"/>
      <c r="F209" s="135"/>
      <c r="G209" s="135"/>
      <c r="H209" s="212"/>
      <c r="I209" s="136"/>
      <c r="J209" s="213"/>
      <c r="K209" s="217">
        <f t="shared" si="19"/>
        <v>0</v>
      </c>
      <c r="L209" s="218">
        <f t="shared" si="20"/>
        <v>0</v>
      </c>
    </row>
    <row r="210" spans="1:12" x14ac:dyDescent="0.2">
      <c r="A210" s="124"/>
      <c r="B210" s="211"/>
      <c r="C210" s="191" t="s">
        <v>271</v>
      </c>
      <c r="D210" s="133"/>
      <c r="E210" s="135"/>
      <c r="F210" s="135"/>
      <c r="G210" s="135"/>
      <c r="H210" s="212"/>
      <c r="I210" s="136"/>
      <c r="J210" s="213"/>
      <c r="K210" s="217">
        <f t="shared" si="19"/>
        <v>0</v>
      </c>
      <c r="L210" s="218">
        <f t="shared" si="20"/>
        <v>0</v>
      </c>
    </row>
    <row r="211" spans="1:12" x14ac:dyDescent="0.2">
      <c r="A211" s="124"/>
      <c r="B211" s="211"/>
      <c r="C211" s="183" t="s">
        <v>418</v>
      </c>
      <c r="D211" s="133">
        <v>0</v>
      </c>
      <c r="E211" s="135">
        <v>1.05</v>
      </c>
      <c r="F211" s="135">
        <v>0.125</v>
      </c>
      <c r="G211" s="135">
        <v>2.4</v>
      </c>
      <c r="H211" s="212">
        <f t="shared" ref="H211:H221" si="21">G211*F211*E211*D211</f>
        <v>0</v>
      </c>
      <c r="I211" s="136"/>
      <c r="J211" s="236"/>
      <c r="K211" s="217">
        <f t="shared" si="19"/>
        <v>0</v>
      </c>
      <c r="L211" s="218">
        <f t="shared" si="20"/>
        <v>0</v>
      </c>
    </row>
    <row r="212" spans="1:12" x14ac:dyDescent="0.2">
      <c r="A212" s="124"/>
      <c r="B212" s="211"/>
      <c r="C212" s="183" t="s">
        <v>293</v>
      </c>
      <c r="D212" s="133">
        <v>-8</v>
      </c>
      <c r="E212" s="135">
        <v>1</v>
      </c>
      <c r="F212" s="135">
        <v>0.125</v>
      </c>
      <c r="G212" s="135">
        <v>2.1</v>
      </c>
      <c r="H212" s="212">
        <f t="shared" si="21"/>
        <v>-2.1</v>
      </c>
      <c r="I212" s="136"/>
      <c r="J212" s="236"/>
      <c r="K212" s="217">
        <f t="shared" si="19"/>
        <v>0</v>
      </c>
      <c r="L212" s="218">
        <f t="shared" si="20"/>
        <v>0</v>
      </c>
    </row>
    <row r="213" spans="1:12" x14ac:dyDescent="0.2">
      <c r="A213" s="124"/>
      <c r="B213" s="211"/>
      <c r="C213" s="183" t="s">
        <v>222</v>
      </c>
      <c r="D213" s="133">
        <v>-4</v>
      </c>
      <c r="E213" s="135">
        <v>0.9</v>
      </c>
      <c r="F213" s="135">
        <v>0.125</v>
      </c>
      <c r="G213" s="135">
        <v>2.1</v>
      </c>
      <c r="H213" s="212">
        <f t="shared" si="21"/>
        <v>-0.94500000000000006</v>
      </c>
      <c r="I213" s="136"/>
      <c r="J213" s="236"/>
      <c r="K213" s="217">
        <f t="shared" si="19"/>
        <v>0</v>
      </c>
      <c r="L213" s="218">
        <f t="shared" si="20"/>
        <v>0</v>
      </c>
    </row>
    <row r="214" spans="1:12" x14ac:dyDescent="0.2">
      <c r="A214" s="124"/>
      <c r="B214" s="211"/>
      <c r="C214" s="220" t="s">
        <v>223</v>
      </c>
      <c r="D214" s="133">
        <v>-8</v>
      </c>
      <c r="E214" s="135">
        <v>0.75</v>
      </c>
      <c r="F214" s="135">
        <v>0.125</v>
      </c>
      <c r="G214" s="135">
        <v>2.1</v>
      </c>
      <c r="H214" s="212">
        <f t="shared" si="21"/>
        <v>-1.5750000000000002</v>
      </c>
      <c r="I214" s="136"/>
      <c r="J214" s="236"/>
      <c r="K214" s="217">
        <f t="shared" si="19"/>
        <v>0</v>
      </c>
      <c r="L214" s="218">
        <f t="shared" si="20"/>
        <v>0</v>
      </c>
    </row>
    <row r="215" spans="1:12" x14ac:dyDescent="0.2">
      <c r="A215" s="124"/>
      <c r="B215" s="211"/>
      <c r="C215" s="220" t="s">
        <v>419</v>
      </c>
      <c r="D215" s="133">
        <v>-4</v>
      </c>
      <c r="E215" s="135">
        <v>0.9</v>
      </c>
      <c r="F215" s="135">
        <v>0.125</v>
      </c>
      <c r="G215" s="135">
        <v>2.4</v>
      </c>
      <c r="H215" s="212">
        <f t="shared" si="21"/>
        <v>-1.08</v>
      </c>
      <c r="I215" s="136"/>
      <c r="J215" s="236"/>
      <c r="K215" s="217">
        <f t="shared" si="19"/>
        <v>0</v>
      </c>
      <c r="L215" s="218">
        <f t="shared" si="20"/>
        <v>0</v>
      </c>
    </row>
    <row r="216" spans="1:12" x14ac:dyDescent="0.2">
      <c r="A216" s="124"/>
      <c r="B216" s="211"/>
      <c r="C216" s="220" t="s">
        <v>456</v>
      </c>
      <c r="D216" s="133">
        <v>0</v>
      </c>
      <c r="E216" s="135">
        <v>2.4</v>
      </c>
      <c r="F216" s="135">
        <v>0.125</v>
      </c>
      <c r="G216" s="135">
        <v>2.4</v>
      </c>
      <c r="H216" s="212">
        <f t="shared" si="21"/>
        <v>0</v>
      </c>
      <c r="I216" s="136"/>
      <c r="J216" s="236"/>
      <c r="K216" s="217">
        <f t="shared" si="19"/>
        <v>0</v>
      </c>
      <c r="L216" s="218">
        <f t="shared" si="20"/>
        <v>0</v>
      </c>
    </row>
    <row r="217" spans="1:12" x14ac:dyDescent="0.2">
      <c r="A217" s="124"/>
      <c r="B217" s="211"/>
      <c r="C217" s="220" t="s">
        <v>484</v>
      </c>
      <c r="D217" s="133">
        <v>-4</v>
      </c>
      <c r="E217" s="135">
        <v>1.8</v>
      </c>
      <c r="F217" s="135">
        <v>0.125</v>
      </c>
      <c r="G217" s="135">
        <v>2.4</v>
      </c>
      <c r="H217" s="212">
        <f t="shared" si="21"/>
        <v>-2.16</v>
      </c>
      <c r="I217" s="136"/>
      <c r="J217" s="236"/>
      <c r="K217" s="217">
        <f t="shared" si="19"/>
        <v>0</v>
      </c>
      <c r="L217" s="218">
        <f t="shared" si="20"/>
        <v>0</v>
      </c>
    </row>
    <row r="218" spans="1:12" x14ac:dyDescent="0.2">
      <c r="A218" s="124"/>
      <c r="B218" s="211"/>
      <c r="C218" s="220" t="s">
        <v>457</v>
      </c>
      <c r="D218" s="133">
        <v>-4</v>
      </c>
      <c r="E218" s="135">
        <v>1.35</v>
      </c>
      <c r="F218" s="135">
        <v>0.125</v>
      </c>
      <c r="G218" s="135">
        <v>1.5</v>
      </c>
      <c r="H218" s="212">
        <f t="shared" si="21"/>
        <v>-1.0125000000000002</v>
      </c>
      <c r="I218" s="136"/>
      <c r="J218" s="236"/>
      <c r="K218" s="217">
        <f t="shared" si="19"/>
        <v>0</v>
      </c>
      <c r="L218" s="218">
        <f t="shared" si="20"/>
        <v>0</v>
      </c>
    </row>
    <row r="219" spans="1:12" x14ac:dyDescent="0.2">
      <c r="A219" s="124"/>
      <c r="B219" s="211"/>
      <c r="C219" s="220" t="s">
        <v>458</v>
      </c>
      <c r="D219" s="133">
        <v>0</v>
      </c>
      <c r="E219" s="135">
        <v>1.05</v>
      </c>
      <c r="F219" s="135">
        <v>0.125</v>
      </c>
      <c r="G219" s="135">
        <v>1.35</v>
      </c>
      <c r="H219" s="212">
        <f t="shared" si="21"/>
        <v>0</v>
      </c>
      <c r="I219" s="136"/>
      <c r="J219" s="236"/>
      <c r="K219" s="217">
        <f t="shared" si="19"/>
        <v>0</v>
      </c>
      <c r="L219" s="218">
        <f t="shared" si="20"/>
        <v>0</v>
      </c>
    </row>
    <row r="220" spans="1:12" x14ac:dyDescent="0.2">
      <c r="A220" s="124"/>
      <c r="B220" s="211"/>
      <c r="C220" s="220" t="s">
        <v>260</v>
      </c>
      <c r="D220" s="133">
        <v>0</v>
      </c>
      <c r="E220" s="135">
        <v>1.2</v>
      </c>
      <c r="F220" s="135">
        <v>0.125</v>
      </c>
      <c r="G220" s="135">
        <v>1.2</v>
      </c>
      <c r="H220" s="212">
        <f t="shared" si="21"/>
        <v>0</v>
      </c>
      <c r="I220" s="136"/>
      <c r="J220" s="236"/>
      <c r="K220" s="217">
        <f t="shared" si="19"/>
        <v>0</v>
      </c>
      <c r="L220" s="218">
        <f t="shared" si="20"/>
        <v>0</v>
      </c>
    </row>
    <row r="221" spans="1:12" x14ac:dyDescent="0.2">
      <c r="A221" s="124"/>
      <c r="B221" s="211"/>
      <c r="C221" s="220" t="s">
        <v>273</v>
      </c>
      <c r="D221" s="133">
        <v>0</v>
      </c>
      <c r="E221" s="135">
        <v>0.6</v>
      </c>
      <c r="F221" s="135">
        <v>0.125</v>
      </c>
      <c r="G221" s="135">
        <v>0.9</v>
      </c>
      <c r="H221" s="212">
        <f t="shared" si="21"/>
        <v>0</v>
      </c>
      <c r="I221" s="136"/>
      <c r="J221" s="236"/>
      <c r="K221" s="217">
        <f t="shared" si="19"/>
        <v>0</v>
      </c>
      <c r="L221" s="218">
        <f t="shared" si="20"/>
        <v>0</v>
      </c>
    </row>
    <row r="222" spans="1:12" x14ac:dyDescent="0.2">
      <c r="A222" s="139"/>
      <c r="B222" s="215"/>
      <c r="C222" s="221" t="s">
        <v>117</v>
      </c>
      <c r="D222" s="142"/>
      <c r="E222" s="145"/>
      <c r="F222" s="145"/>
      <c r="G222" s="145"/>
      <c r="H222" s="216">
        <v>300</v>
      </c>
      <c r="I222" s="141" t="s">
        <v>278</v>
      </c>
      <c r="J222" s="217">
        <v>1123.8</v>
      </c>
      <c r="K222" s="217">
        <f t="shared" si="19"/>
        <v>952.37288135593224</v>
      </c>
      <c r="L222" s="218">
        <f t="shared" si="20"/>
        <v>285711.8644067797</v>
      </c>
    </row>
    <row r="223" spans="1:12" x14ac:dyDescent="0.2">
      <c r="A223" s="116">
        <v>7</v>
      </c>
      <c r="B223" s="206">
        <v>13.16</v>
      </c>
      <c r="C223" s="265" t="s">
        <v>279</v>
      </c>
      <c r="D223" s="119"/>
      <c r="E223" s="121"/>
      <c r="F223" s="121"/>
      <c r="G223" s="121"/>
      <c r="H223" s="263"/>
      <c r="I223" s="122"/>
      <c r="J223" s="209"/>
      <c r="K223" s="217">
        <f t="shared" si="19"/>
        <v>0</v>
      </c>
      <c r="L223" s="218">
        <f t="shared" si="20"/>
        <v>0</v>
      </c>
    </row>
    <row r="224" spans="1:12" x14ac:dyDescent="0.2">
      <c r="A224" s="124"/>
      <c r="B224" s="211" t="s">
        <v>280</v>
      </c>
      <c r="C224" s="266" t="s">
        <v>281</v>
      </c>
      <c r="D224" s="127"/>
      <c r="E224" s="129"/>
      <c r="F224" s="129"/>
      <c r="G224" s="129"/>
      <c r="H224" s="239"/>
      <c r="I224" s="130"/>
      <c r="J224" s="240"/>
      <c r="K224" s="217">
        <f t="shared" si="19"/>
        <v>0</v>
      </c>
      <c r="L224" s="218">
        <f t="shared" si="20"/>
        <v>0</v>
      </c>
    </row>
    <row r="225" spans="1:12" x14ac:dyDescent="0.2">
      <c r="A225" s="124"/>
      <c r="B225" s="211"/>
      <c r="C225" s="225" t="s">
        <v>231</v>
      </c>
      <c r="D225" s="226">
        <v>4</v>
      </c>
      <c r="E225" s="227">
        <v>5.85</v>
      </c>
      <c r="F225" s="227">
        <v>8.85</v>
      </c>
      <c r="G225" s="227"/>
      <c r="H225" s="227">
        <f t="shared" ref="H225:H237" si="22">D225*E225*F225</f>
        <v>207.08999999999997</v>
      </c>
      <c r="I225" s="136"/>
      <c r="J225" s="213"/>
      <c r="K225" s="217">
        <f t="shared" si="19"/>
        <v>0</v>
      </c>
      <c r="L225" s="218">
        <f t="shared" si="20"/>
        <v>0</v>
      </c>
    </row>
    <row r="226" spans="1:12" x14ac:dyDescent="0.2">
      <c r="A226" s="124"/>
      <c r="B226" s="211"/>
      <c r="C226" s="225"/>
      <c r="D226" s="226">
        <v>4</v>
      </c>
      <c r="E226" s="227">
        <v>4.6500000000000004</v>
      </c>
      <c r="F226" s="227">
        <v>6.5750000000000002</v>
      </c>
      <c r="G226" s="227"/>
      <c r="H226" s="227">
        <f t="shared" si="22"/>
        <v>122.29500000000002</v>
      </c>
      <c r="I226" s="136"/>
      <c r="J226" s="213"/>
      <c r="K226" s="217">
        <f t="shared" si="19"/>
        <v>0</v>
      </c>
      <c r="L226" s="218">
        <f t="shared" si="20"/>
        <v>0</v>
      </c>
    </row>
    <row r="227" spans="1:12" x14ac:dyDescent="0.2">
      <c r="A227" s="124"/>
      <c r="B227" s="211"/>
      <c r="C227" s="225" t="s">
        <v>232</v>
      </c>
      <c r="D227" s="226">
        <v>1</v>
      </c>
      <c r="E227" s="950">
        <v>93.33</v>
      </c>
      <c r="F227" s="951"/>
      <c r="G227" s="227"/>
      <c r="H227" s="227">
        <f>D227*E227</f>
        <v>93.33</v>
      </c>
      <c r="I227" s="136"/>
      <c r="J227" s="213"/>
      <c r="K227" s="217">
        <f t="shared" si="19"/>
        <v>0</v>
      </c>
      <c r="L227" s="218">
        <f t="shared" si="20"/>
        <v>0</v>
      </c>
    </row>
    <row r="228" spans="1:12" x14ac:dyDescent="0.2">
      <c r="A228" s="124"/>
      <c r="B228" s="211"/>
      <c r="C228" s="225" t="s">
        <v>233</v>
      </c>
      <c r="D228" s="226">
        <v>4</v>
      </c>
      <c r="E228" s="227">
        <v>4.0999999999999996</v>
      </c>
      <c r="F228" s="227">
        <v>0.47499999999999998</v>
      </c>
      <c r="G228" s="227"/>
      <c r="H228" s="227">
        <f t="shared" si="22"/>
        <v>7.7899999999999991</v>
      </c>
      <c r="I228" s="136"/>
      <c r="J228" s="213"/>
      <c r="K228" s="217">
        <f t="shared" si="19"/>
        <v>0</v>
      </c>
      <c r="L228" s="218">
        <f t="shared" si="20"/>
        <v>0</v>
      </c>
    </row>
    <row r="229" spans="1:12" x14ac:dyDescent="0.2">
      <c r="A229" s="124"/>
      <c r="B229" s="211"/>
      <c r="C229" s="225" t="s">
        <v>234</v>
      </c>
      <c r="D229" s="226">
        <v>4</v>
      </c>
      <c r="E229" s="227">
        <v>4.0999999999999996</v>
      </c>
      <c r="F229" s="227">
        <v>0.47499999999999998</v>
      </c>
      <c r="G229" s="227"/>
      <c r="H229" s="227">
        <f t="shared" si="22"/>
        <v>7.7899999999999991</v>
      </c>
      <c r="I229" s="136"/>
      <c r="J229" s="213"/>
      <c r="K229" s="217">
        <f t="shared" si="19"/>
        <v>0</v>
      </c>
      <c r="L229" s="218">
        <f t="shared" si="20"/>
        <v>0</v>
      </c>
    </row>
    <row r="230" spans="1:12" x14ac:dyDescent="0.2">
      <c r="A230" s="124"/>
      <c r="B230" s="211"/>
      <c r="C230" s="225" t="s">
        <v>235</v>
      </c>
      <c r="D230" s="226">
        <v>8</v>
      </c>
      <c r="E230" s="227">
        <v>3.6749999999999998</v>
      </c>
      <c r="F230" s="227">
        <v>1.5</v>
      </c>
      <c r="G230" s="227"/>
      <c r="H230" s="227">
        <f t="shared" si="22"/>
        <v>44.099999999999994</v>
      </c>
      <c r="I230" s="136"/>
      <c r="J230" s="213"/>
      <c r="K230" s="217">
        <f t="shared" si="19"/>
        <v>0</v>
      </c>
      <c r="L230" s="218">
        <f t="shared" si="20"/>
        <v>0</v>
      </c>
    </row>
    <row r="231" spans="1:12" x14ac:dyDescent="0.2">
      <c r="A231" s="124"/>
      <c r="B231" s="211"/>
      <c r="C231" s="225" t="s">
        <v>420</v>
      </c>
      <c r="D231" s="226">
        <v>4</v>
      </c>
      <c r="E231" s="227">
        <v>1.6</v>
      </c>
      <c r="F231" s="227">
        <v>0.72499999999999998</v>
      </c>
      <c r="G231" s="227"/>
      <c r="H231" s="227">
        <f t="shared" si="22"/>
        <v>4.6399999999999997</v>
      </c>
      <c r="I231" s="136"/>
      <c r="J231" s="213"/>
      <c r="K231" s="217">
        <f t="shared" si="19"/>
        <v>0</v>
      </c>
      <c r="L231" s="218">
        <f t="shared" si="20"/>
        <v>0</v>
      </c>
    </row>
    <row r="232" spans="1:12" x14ac:dyDescent="0.2">
      <c r="A232" s="124"/>
      <c r="B232" s="211"/>
      <c r="C232" s="225" t="s">
        <v>421</v>
      </c>
      <c r="D232" s="226">
        <v>5</v>
      </c>
      <c r="E232" s="227">
        <f>1.35+0.3</f>
        <v>1.6500000000000001</v>
      </c>
      <c r="F232" s="227">
        <v>0.6</v>
      </c>
      <c r="G232" s="227"/>
      <c r="H232" s="227">
        <f t="shared" si="22"/>
        <v>4.95</v>
      </c>
      <c r="I232" s="136"/>
      <c r="J232" s="213"/>
      <c r="K232" s="217">
        <f t="shared" si="19"/>
        <v>0</v>
      </c>
      <c r="L232" s="218">
        <f t="shared" si="20"/>
        <v>0</v>
      </c>
    </row>
    <row r="233" spans="1:12" x14ac:dyDescent="0.2">
      <c r="A233" s="124"/>
      <c r="B233" s="211"/>
      <c r="C233" s="225" t="s">
        <v>422</v>
      </c>
      <c r="D233" s="226">
        <v>4</v>
      </c>
      <c r="E233" s="227">
        <f>1.05+0.3</f>
        <v>1.35</v>
      </c>
      <c r="F233" s="227">
        <v>0.6</v>
      </c>
      <c r="G233" s="227"/>
      <c r="H233" s="227">
        <f t="shared" si="22"/>
        <v>3.24</v>
      </c>
      <c r="I233" s="136"/>
      <c r="J233" s="213"/>
      <c r="K233" s="217">
        <f t="shared" si="19"/>
        <v>0</v>
      </c>
      <c r="L233" s="218">
        <f t="shared" si="20"/>
        <v>0</v>
      </c>
    </row>
    <row r="234" spans="1:12" x14ac:dyDescent="0.2">
      <c r="A234" s="124"/>
      <c r="B234" s="211"/>
      <c r="C234" s="225" t="s">
        <v>236</v>
      </c>
      <c r="D234" s="226">
        <v>2</v>
      </c>
      <c r="E234" s="227">
        <f>1.2+0.3</f>
        <v>1.5</v>
      </c>
      <c r="F234" s="227">
        <v>0.6</v>
      </c>
      <c r="G234" s="227"/>
      <c r="H234" s="227">
        <f t="shared" si="22"/>
        <v>1.7999999999999998</v>
      </c>
      <c r="I234" s="136"/>
      <c r="J234" s="213"/>
      <c r="K234" s="217">
        <f t="shared" si="19"/>
        <v>0</v>
      </c>
      <c r="L234" s="218">
        <f t="shared" si="20"/>
        <v>0</v>
      </c>
    </row>
    <row r="235" spans="1:12" x14ac:dyDescent="0.2">
      <c r="A235" s="124"/>
      <c r="B235" s="211"/>
      <c r="C235" s="225" t="s">
        <v>282</v>
      </c>
      <c r="D235" s="226">
        <v>8</v>
      </c>
      <c r="E235" s="227">
        <f>0.6+0.3</f>
        <v>0.89999999999999991</v>
      </c>
      <c r="F235" s="227">
        <v>1.6</v>
      </c>
      <c r="G235" s="227"/>
      <c r="H235" s="227">
        <f>D235*E235*F235</f>
        <v>11.52</v>
      </c>
      <c r="I235" s="136"/>
      <c r="J235" s="213"/>
      <c r="K235" s="217">
        <f t="shared" si="19"/>
        <v>0</v>
      </c>
      <c r="L235" s="218">
        <f t="shared" si="20"/>
        <v>0</v>
      </c>
    </row>
    <row r="236" spans="1:12" x14ac:dyDescent="0.2">
      <c r="A236" s="124"/>
      <c r="B236" s="211"/>
      <c r="C236" s="225" t="s">
        <v>237</v>
      </c>
      <c r="D236" s="226">
        <v>-1</v>
      </c>
      <c r="E236" s="227">
        <v>2.5499999999999998</v>
      </c>
      <c r="F236" s="227">
        <v>3.45</v>
      </c>
      <c r="G236" s="227"/>
      <c r="H236" s="227">
        <f t="shared" si="22"/>
        <v>-8.7974999999999994</v>
      </c>
      <c r="I236" s="136"/>
      <c r="J236" s="213"/>
      <c r="K236" s="217">
        <f t="shared" si="19"/>
        <v>0</v>
      </c>
      <c r="L236" s="218">
        <f t="shared" si="20"/>
        <v>0</v>
      </c>
    </row>
    <row r="237" spans="1:12" x14ac:dyDescent="0.2">
      <c r="A237" s="124"/>
      <c r="B237" s="211"/>
      <c r="C237" s="230" t="s">
        <v>238</v>
      </c>
      <c r="D237" s="231">
        <v>-1</v>
      </c>
      <c r="E237" s="232">
        <v>2.0499999999999998</v>
      </c>
      <c r="F237" s="232">
        <v>2.0499999999999998</v>
      </c>
      <c r="G237" s="232"/>
      <c r="H237" s="227">
        <f t="shared" si="22"/>
        <v>-4.2024999999999997</v>
      </c>
      <c r="I237" s="141"/>
      <c r="J237" s="217"/>
      <c r="K237" s="217">
        <f t="shared" si="19"/>
        <v>0</v>
      </c>
      <c r="L237" s="218">
        <f t="shared" si="20"/>
        <v>0</v>
      </c>
    </row>
    <row r="238" spans="1:12" x14ac:dyDescent="0.2">
      <c r="A238" s="139"/>
      <c r="B238" s="215"/>
      <c r="C238" s="221" t="s">
        <v>117</v>
      </c>
      <c r="D238" s="142"/>
      <c r="E238" s="233"/>
      <c r="F238" s="145"/>
      <c r="G238" s="145"/>
      <c r="H238" s="282">
        <v>490</v>
      </c>
      <c r="I238" s="268" t="s">
        <v>128</v>
      </c>
      <c r="J238" s="269">
        <v>300.45</v>
      </c>
      <c r="K238" s="217">
        <f t="shared" si="19"/>
        <v>254.61864406779662</v>
      </c>
      <c r="L238" s="218">
        <f t="shared" si="20"/>
        <v>124763.13559322034</v>
      </c>
    </row>
    <row r="239" spans="1:12" x14ac:dyDescent="0.2">
      <c r="A239" s="116">
        <v>8</v>
      </c>
      <c r="B239" s="206" t="s">
        <v>283</v>
      </c>
      <c r="C239" s="219" t="s">
        <v>284</v>
      </c>
      <c r="D239" s="119"/>
      <c r="E239" s="121"/>
      <c r="F239" s="121"/>
      <c r="G239" s="121"/>
      <c r="H239" s="208"/>
      <c r="I239" s="122"/>
      <c r="J239" s="209"/>
      <c r="K239" s="217">
        <f t="shared" si="19"/>
        <v>0</v>
      </c>
      <c r="L239" s="218">
        <f t="shared" si="20"/>
        <v>0</v>
      </c>
    </row>
    <row r="240" spans="1:12" ht="25.5" x14ac:dyDescent="0.2">
      <c r="A240" s="124"/>
      <c r="B240" s="211"/>
      <c r="C240" s="220" t="s">
        <v>485</v>
      </c>
      <c r="D240" s="133">
        <v>1</v>
      </c>
      <c r="E240" s="135">
        <f>E158</f>
        <v>96</v>
      </c>
      <c r="F240" s="135"/>
      <c r="G240" s="135">
        <f>3-0.13</f>
        <v>2.87</v>
      </c>
      <c r="H240" s="212">
        <f>SUM(G240*E240*D240)</f>
        <v>275.52</v>
      </c>
      <c r="I240" s="136"/>
      <c r="J240" s="213"/>
      <c r="K240" s="217">
        <f t="shared" si="19"/>
        <v>0</v>
      </c>
      <c r="L240" s="218">
        <f t="shared" si="20"/>
        <v>0</v>
      </c>
    </row>
    <row r="241" spans="1:12" x14ac:dyDescent="0.2">
      <c r="A241" s="124"/>
      <c r="B241" s="211"/>
      <c r="C241" s="225" t="s">
        <v>486</v>
      </c>
      <c r="D241" s="133">
        <v>2</v>
      </c>
      <c r="E241" s="135">
        <f>E165</f>
        <v>28</v>
      </c>
      <c r="F241" s="135"/>
      <c r="G241" s="135">
        <f>3-0.13</f>
        <v>2.87</v>
      </c>
      <c r="H241" s="212">
        <f>SUM(G241*E241*D241)</f>
        <v>160.72</v>
      </c>
      <c r="I241" s="136"/>
      <c r="J241" s="213"/>
      <c r="K241" s="217">
        <f t="shared" si="19"/>
        <v>0</v>
      </c>
      <c r="L241" s="218">
        <f t="shared" si="20"/>
        <v>0</v>
      </c>
    </row>
    <row r="242" spans="1:12" x14ac:dyDescent="0.2">
      <c r="A242" s="124"/>
      <c r="B242" s="211"/>
      <c r="C242" s="191" t="s">
        <v>271</v>
      </c>
      <c r="D242" s="133"/>
      <c r="E242" s="135"/>
      <c r="F242" s="135"/>
      <c r="G242" s="135"/>
      <c r="H242" s="180"/>
      <c r="I242" s="136"/>
      <c r="J242" s="213"/>
      <c r="K242" s="217">
        <f t="shared" si="19"/>
        <v>0</v>
      </c>
      <c r="L242" s="218">
        <f t="shared" si="20"/>
        <v>0</v>
      </c>
    </row>
    <row r="243" spans="1:12" x14ac:dyDescent="0.2">
      <c r="A243" s="124"/>
      <c r="B243" s="211"/>
      <c r="C243" s="183" t="s">
        <v>418</v>
      </c>
      <c r="D243" s="133">
        <v>-4</v>
      </c>
      <c r="E243" s="135">
        <f t="shared" ref="E243:E249" si="23">E167</f>
        <v>1.05</v>
      </c>
      <c r="F243" s="135"/>
      <c r="G243" s="135">
        <f>G167</f>
        <v>2.4</v>
      </c>
      <c r="H243" s="212">
        <f>D243*E243*G243</f>
        <v>-10.08</v>
      </c>
      <c r="I243" s="136"/>
      <c r="J243" s="213"/>
      <c r="K243" s="217">
        <f t="shared" si="19"/>
        <v>0</v>
      </c>
      <c r="L243" s="218">
        <f t="shared" si="20"/>
        <v>0</v>
      </c>
    </row>
    <row r="244" spans="1:12" x14ac:dyDescent="0.2">
      <c r="A244" s="124"/>
      <c r="B244" s="211"/>
      <c r="C244" s="183" t="s">
        <v>293</v>
      </c>
      <c r="D244" s="133">
        <v>0</v>
      </c>
      <c r="E244" s="135">
        <f t="shared" si="23"/>
        <v>1</v>
      </c>
      <c r="F244" s="135"/>
      <c r="G244" s="135">
        <v>2.1</v>
      </c>
      <c r="H244" s="212">
        <f t="shared" ref="H244:H251" si="24">D244*E244*G244</f>
        <v>0</v>
      </c>
      <c r="I244" s="136"/>
      <c r="J244" s="213"/>
      <c r="K244" s="217">
        <f t="shared" si="19"/>
        <v>0</v>
      </c>
      <c r="L244" s="218">
        <f t="shared" si="20"/>
        <v>0</v>
      </c>
    </row>
    <row r="245" spans="1:12" x14ac:dyDescent="0.2">
      <c r="A245" s="124"/>
      <c r="B245" s="211"/>
      <c r="C245" s="183" t="s">
        <v>222</v>
      </c>
      <c r="D245" s="133">
        <v>0</v>
      </c>
      <c r="E245" s="135">
        <f t="shared" si="23"/>
        <v>0.9</v>
      </c>
      <c r="F245" s="135"/>
      <c r="G245" s="135">
        <v>2.1</v>
      </c>
      <c r="H245" s="212">
        <f t="shared" si="24"/>
        <v>0</v>
      </c>
      <c r="I245" s="136"/>
      <c r="J245" s="213"/>
      <c r="K245" s="217">
        <f t="shared" si="19"/>
        <v>0</v>
      </c>
      <c r="L245" s="218">
        <f t="shared" si="20"/>
        <v>0</v>
      </c>
    </row>
    <row r="246" spans="1:12" x14ac:dyDescent="0.2">
      <c r="A246" s="124"/>
      <c r="B246" s="211"/>
      <c r="C246" s="220" t="s">
        <v>223</v>
      </c>
      <c r="D246" s="133">
        <v>0</v>
      </c>
      <c r="E246" s="135">
        <f t="shared" si="23"/>
        <v>0.75</v>
      </c>
      <c r="F246" s="135"/>
      <c r="G246" s="135">
        <v>2.1</v>
      </c>
      <c r="H246" s="212">
        <f t="shared" si="24"/>
        <v>0</v>
      </c>
      <c r="I246" s="136"/>
      <c r="J246" s="213"/>
      <c r="K246" s="217">
        <f t="shared" si="19"/>
        <v>0</v>
      </c>
      <c r="L246" s="218">
        <f t="shared" si="20"/>
        <v>0</v>
      </c>
    </row>
    <row r="247" spans="1:12" x14ac:dyDescent="0.2">
      <c r="A247" s="124"/>
      <c r="B247" s="211"/>
      <c r="C247" s="220" t="s">
        <v>419</v>
      </c>
      <c r="D247" s="133">
        <v>-4</v>
      </c>
      <c r="E247" s="135">
        <f t="shared" si="23"/>
        <v>0.9</v>
      </c>
      <c r="F247" s="135"/>
      <c r="G247" s="135">
        <f>G171</f>
        <v>2.4</v>
      </c>
      <c r="H247" s="212">
        <f t="shared" si="24"/>
        <v>-8.64</v>
      </c>
      <c r="I247" s="136"/>
      <c r="J247" s="213"/>
      <c r="K247" s="217">
        <f t="shared" si="19"/>
        <v>0</v>
      </c>
      <c r="L247" s="218">
        <f t="shared" si="20"/>
        <v>0</v>
      </c>
    </row>
    <row r="248" spans="1:12" x14ac:dyDescent="0.2">
      <c r="A248" s="124"/>
      <c r="B248" s="211"/>
      <c r="C248" s="220" t="s">
        <v>456</v>
      </c>
      <c r="D248" s="133">
        <v>-8</v>
      </c>
      <c r="E248" s="135">
        <f t="shared" si="23"/>
        <v>2.4</v>
      </c>
      <c r="F248" s="135"/>
      <c r="G248" s="135">
        <f>G172</f>
        <v>2.4</v>
      </c>
      <c r="H248" s="212">
        <f t="shared" si="24"/>
        <v>-46.08</v>
      </c>
      <c r="I248" s="136"/>
      <c r="J248" s="213"/>
      <c r="K248" s="217">
        <f t="shared" si="19"/>
        <v>0</v>
      </c>
      <c r="L248" s="218">
        <f t="shared" si="20"/>
        <v>0</v>
      </c>
    </row>
    <row r="249" spans="1:12" x14ac:dyDescent="0.2">
      <c r="A249" s="124"/>
      <c r="B249" s="211"/>
      <c r="C249" s="220" t="s">
        <v>457</v>
      </c>
      <c r="D249" s="133">
        <v>-4</v>
      </c>
      <c r="E249" s="135">
        <f t="shared" si="23"/>
        <v>1.35</v>
      </c>
      <c r="F249" s="135"/>
      <c r="G249" s="135">
        <f>G173</f>
        <v>1.5</v>
      </c>
      <c r="H249" s="212">
        <f t="shared" si="24"/>
        <v>-8.1000000000000014</v>
      </c>
      <c r="I249" s="136"/>
      <c r="J249" s="213"/>
      <c r="K249" s="217">
        <f t="shared" si="19"/>
        <v>0</v>
      </c>
      <c r="L249" s="218">
        <f t="shared" si="20"/>
        <v>0</v>
      </c>
    </row>
    <row r="250" spans="1:12" x14ac:dyDescent="0.2">
      <c r="A250" s="124"/>
      <c r="B250" s="211"/>
      <c r="C250" s="220" t="s">
        <v>458</v>
      </c>
      <c r="D250" s="133">
        <v>-4</v>
      </c>
      <c r="E250" s="135">
        <v>1.05</v>
      </c>
      <c r="F250" s="135"/>
      <c r="G250" s="135">
        <v>1.35</v>
      </c>
      <c r="H250" s="212">
        <f t="shared" si="24"/>
        <v>-5.6700000000000008</v>
      </c>
      <c r="I250" s="136"/>
      <c r="J250" s="213"/>
      <c r="K250" s="217">
        <f t="shared" si="19"/>
        <v>0</v>
      </c>
      <c r="L250" s="218">
        <f t="shared" si="20"/>
        <v>0</v>
      </c>
    </row>
    <row r="251" spans="1:12" x14ac:dyDescent="0.2">
      <c r="A251" s="124"/>
      <c r="B251" s="211"/>
      <c r="C251" s="220" t="s">
        <v>273</v>
      </c>
      <c r="D251" s="133">
        <v>-8</v>
      </c>
      <c r="E251" s="135">
        <f>E176</f>
        <v>0.6</v>
      </c>
      <c r="F251" s="135"/>
      <c r="G251" s="135">
        <v>0.9</v>
      </c>
      <c r="H251" s="212">
        <f t="shared" si="24"/>
        <v>-4.32</v>
      </c>
      <c r="I251" s="136"/>
      <c r="J251" s="213"/>
      <c r="K251" s="217">
        <f t="shared" si="19"/>
        <v>0</v>
      </c>
      <c r="L251" s="218">
        <f t="shared" si="20"/>
        <v>0</v>
      </c>
    </row>
    <row r="252" spans="1:12" x14ac:dyDescent="0.2">
      <c r="A252" s="124"/>
      <c r="B252" s="211"/>
      <c r="C252" s="223" t="s">
        <v>207</v>
      </c>
      <c r="D252" s="133"/>
      <c r="E252" s="135"/>
      <c r="F252" s="135"/>
      <c r="G252" s="135"/>
      <c r="H252" s="212">
        <f>SUM(H240:H251)</f>
        <v>353.35</v>
      </c>
      <c r="I252" s="136"/>
      <c r="J252" s="213"/>
      <c r="K252" s="217">
        <f t="shared" si="19"/>
        <v>0</v>
      </c>
      <c r="L252" s="218">
        <f t="shared" si="20"/>
        <v>0</v>
      </c>
    </row>
    <row r="253" spans="1:12" x14ac:dyDescent="0.2">
      <c r="A253" s="124"/>
      <c r="B253" s="211"/>
      <c r="C253" s="223"/>
      <c r="D253" s="133"/>
      <c r="E253" s="135"/>
      <c r="F253" s="135"/>
      <c r="G253" s="135"/>
      <c r="H253" s="212"/>
      <c r="I253" s="136"/>
      <c r="J253" s="213"/>
      <c r="K253" s="217">
        <f t="shared" si="19"/>
        <v>0</v>
      </c>
      <c r="L253" s="218">
        <f t="shared" si="20"/>
        <v>0</v>
      </c>
    </row>
    <row r="254" spans="1:12" ht="25.5" x14ac:dyDescent="0.2">
      <c r="A254" s="124"/>
      <c r="B254" s="211"/>
      <c r="C254" s="220" t="s">
        <v>487</v>
      </c>
      <c r="D254" s="133">
        <v>1</v>
      </c>
      <c r="E254" s="135">
        <f>E200</f>
        <v>93.073125000000005</v>
      </c>
      <c r="F254" s="135"/>
      <c r="G254" s="135">
        <f>3-0.13</f>
        <v>2.87</v>
      </c>
      <c r="H254" s="212">
        <f>SUM(G254*E254*D254)</f>
        <v>267.11986875000002</v>
      </c>
      <c r="I254" s="136"/>
      <c r="J254" s="213"/>
      <c r="K254" s="217">
        <f t="shared" si="19"/>
        <v>0</v>
      </c>
      <c r="L254" s="218">
        <f t="shared" si="20"/>
        <v>0</v>
      </c>
    </row>
    <row r="255" spans="1:12" x14ac:dyDescent="0.2">
      <c r="A255" s="124"/>
      <c r="B255" s="211"/>
      <c r="C255" s="183" t="s">
        <v>418</v>
      </c>
      <c r="D255" s="133">
        <v>0</v>
      </c>
      <c r="E255" s="135">
        <f t="shared" ref="E255:E260" si="25">E211</f>
        <v>1.05</v>
      </c>
      <c r="F255" s="135"/>
      <c r="G255" s="135">
        <f t="shared" ref="G255:G260" si="26">G211</f>
        <v>2.4</v>
      </c>
      <c r="H255" s="212">
        <f t="shared" ref="H255:H265" si="27">D255*E255*G255</f>
        <v>0</v>
      </c>
      <c r="I255" s="136"/>
      <c r="J255" s="213"/>
      <c r="K255" s="217">
        <f t="shared" si="19"/>
        <v>0</v>
      </c>
      <c r="L255" s="218">
        <f t="shared" si="20"/>
        <v>0</v>
      </c>
    </row>
    <row r="256" spans="1:12" x14ac:dyDescent="0.2">
      <c r="A256" s="124"/>
      <c r="B256" s="211"/>
      <c r="C256" s="183" t="s">
        <v>293</v>
      </c>
      <c r="D256" s="133">
        <v>-8</v>
      </c>
      <c r="E256" s="135">
        <f t="shared" si="25"/>
        <v>1</v>
      </c>
      <c r="F256" s="135"/>
      <c r="G256" s="135">
        <f t="shared" si="26"/>
        <v>2.1</v>
      </c>
      <c r="H256" s="212">
        <f t="shared" si="27"/>
        <v>-16.8</v>
      </c>
      <c r="I256" s="136"/>
      <c r="J256" s="213"/>
      <c r="K256" s="217">
        <f t="shared" si="19"/>
        <v>0</v>
      </c>
      <c r="L256" s="218">
        <f t="shared" si="20"/>
        <v>0</v>
      </c>
    </row>
    <row r="257" spans="1:12" x14ac:dyDescent="0.2">
      <c r="A257" s="124"/>
      <c r="B257" s="211"/>
      <c r="C257" s="183" t="s">
        <v>222</v>
      </c>
      <c r="D257" s="133">
        <v>-4</v>
      </c>
      <c r="E257" s="135">
        <f t="shared" si="25"/>
        <v>0.9</v>
      </c>
      <c r="F257" s="135"/>
      <c r="G257" s="135">
        <f t="shared" si="26"/>
        <v>2.1</v>
      </c>
      <c r="H257" s="212">
        <f t="shared" si="27"/>
        <v>-7.5600000000000005</v>
      </c>
      <c r="I257" s="136"/>
      <c r="J257" s="213"/>
      <c r="K257" s="217">
        <f t="shared" si="19"/>
        <v>0</v>
      </c>
      <c r="L257" s="218">
        <f t="shared" si="20"/>
        <v>0</v>
      </c>
    </row>
    <row r="258" spans="1:12" x14ac:dyDescent="0.2">
      <c r="A258" s="124"/>
      <c r="B258" s="211"/>
      <c r="C258" s="220" t="s">
        <v>223</v>
      </c>
      <c r="D258" s="133">
        <v>-8</v>
      </c>
      <c r="E258" s="135">
        <f t="shared" si="25"/>
        <v>0.75</v>
      </c>
      <c r="F258" s="135"/>
      <c r="G258" s="135">
        <f t="shared" si="26"/>
        <v>2.1</v>
      </c>
      <c r="H258" s="212">
        <f t="shared" si="27"/>
        <v>-12.600000000000001</v>
      </c>
      <c r="I258" s="136"/>
      <c r="J258" s="213"/>
      <c r="K258" s="217">
        <f t="shared" si="19"/>
        <v>0</v>
      </c>
      <c r="L258" s="218">
        <f t="shared" si="20"/>
        <v>0</v>
      </c>
    </row>
    <row r="259" spans="1:12" x14ac:dyDescent="0.2">
      <c r="A259" s="124"/>
      <c r="B259" s="211"/>
      <c r="C259" s="220" t="s">
        <v>419</v>
      </c>
      <c r="D259" s="133">
        <v>-4</v>
      </c>
      <c r="E259" s="135">
        <f t="shared" si="25"/>
        <v>0.9</v>
      </c>
      <c r="F259" s="135"/>
      <c r="G259" s="135">
        <f t="shared" si="26"/>
        <v>2.4</v>
      </c>
      <c r="H259" s="212">
        <f t="shared" si="27"/>
        <v>-8.64</v>
      </c>
      <c r="I259" s="136"/>
      <c r="J259" s="213"/>
      <c r="K259" s="217">
        <f t="shared" si="19"/>
        <v>0</v>
      </c>
      <c r="L259" s="218">
        <f t="shared" si="20"/>
        <v>0</v>
      </c>
    </row>
    <row r="260" spans="1:12" x14ac:dyDescent="0.2">
      <c r="A260" s="124"/>
      <c r="B260" s="211"/>
      <c r="C260" s="220" t="s">
        <v>456</v>
      </c>
      <c r="D260" s="133">
        <v>0</v>
      </c>
      <c r="E260" s="135">
        <f t="shared" si="25"/>
        <v>2.4</v>
      </c>
      <c r="F260" s="135"/>
      <c r="G260" s="135">
        <f t="shared" si="26"/>
        <v>2.4</v>
      </c>
      <c r="H260" s="212">
        <f t="shared" si="27"/>
        <v>0</v>
      </c>
      <c r="I260" s="136"/>
      <c r="J260" s="213"/>
      <c r="K260" s="217">
        <f t="shared" si="19"/>
        <v>0</v>
      </c>
      <c r="L260" s="218">
        <f t="shared" si="20"/>
        <v>0</v>
      </c>
    </row>
    <row r="261" spans="1:12" x14ac:dyDescent="0.2">
      <c r="A261" s="124"/>
      <c r="B261" s="211"/>
      <c r="C261" s="220" t="s">
        <v>484</v>
      </c>
      <c r="D261" s="133">
        <v>-4</v>
      </c>
      <c r="E261" s="135">
        <v>1.8</v>
      </c>
      <c r="F261" s="135"/>
      <c r="G261" s="135">
        <v>2.4</v>
      </c>
      <c r="H261" s="212">
        <f t="shared" si="27"/>
        <v>-17.28</v>
      </c>
      <c r="I261" s="136"/>
      <c r="J261" s="213"/>
      <c r="K261" s="217">
        <f t="shared" si="19"/>
        <v>0</v>
      </c>
      <c r="L261" s="218">
        <f t="shared" si="20"/>
        <v>0</v>
      </c>
    </row>
    <row r="262" spans="1:12" x14ac:dyDescent="0.2">
      <c r="A262" s="124"/>
      <c r="B262" s="211"/>
      <c r="C262" s="220" t="s">
        <v>457</v>
      </c>
      <c r="D262" s="133">
        <v>-4</v>
      </c>
      <c r="E262" s="135">
        <f>E218</f>
        <v>1.35</v>
      </c>
      <c r="F262" s="135"/>
      <c r="G262" s="135">
        <f>G218</f>
        <v>1.5</v>
      </c>
      <c r="H262" s="212">
        <f t="shared" si="27"/>
        <v>-8.1000000000000014</v>
      </c>
      <c r="I262" s="136"/>
      <c r="J262" s="213"/>
      <c r="K262" s="217">
        <f t="shared" si="19"/>
        <v>0</v>
      </c>
      <c r="L262" s="218">
        <f t="shared" si="20"/>
        <v>0</v>
      </c>
    </row>
    <row r="263" spans="1:12" x14ac:dyDescent="0.2">
      <c r="A263" s="124"/>
      <c r="B263" s="211"/>
      <c r="C263" s="220" t="s">
        <v>458</v>
      </c>
      <c r="D263" s="133">
        <v>0</v>
      </c>
      <c r="E263" s="135">
        <f>E219</f>
        <v>1.05</v>
      </c>
      <c r="F263" s="135"/>
      <c r="G263" s="135">
        <f>G219</f>
        <v>1.35</v>
      </c>
      <c r="H263" s="212">
        <f t="shared" si="27"/>
        <v>0</v>
      </c>
      <c r="I263" s="136"/>
      <c r="J263" s="213"/>
      <c r="K263" s="217">
        <f t="shared" si="19"/>
        <v>0</v>
      </c>
      <c r="L263" s="218">
        <f t="shared" si="20"/>
        <v>0</v>
      </c>
    </row>
    <row r="264" spans="1:12" x14ac:dyDescent="0.2">
      <c r="A264" s="124"/>
      <c r="B264" s="211"/>
      <c r="C264" s="220" t="s">
        <v>260</v>
      </c>
      <c r="D264" s="133">
        <v>0</v>
      </c>
      <c r="E264" s="135">
        <f>E220</f>
        <v>1.2</v>
      </c>
      <c r="F264" s="135"/>
      <c r="G264" s="135">
        <v>1.2</v>
      </c>
      <c r="H264" s="212">
        <f t="shared" si="27"/>
        <v>0</v>
      </c>
      <c r="I264" s="136"/>
      <c r="J264" s="213"/>
      <c r="K264" s="217">
        <f t="shared" si="19"/>
        <v>0</v>
      </c>
      <c r="L264" s="218">
        <f t="shared" si="20"/>
        <v>0</v>
      </c>
    </row>
    <row r="265" spans="1:12" x14ac:dyDescent="0.2">
      <c r="A265" s="124"/>
      <c r="B265" s="211"/>
      <c r="C265" s="220" t="s">
        <v>273</v>
      </c>
      <c r="D265" s="133">
        <v>0</v>
      </c>
      <c r="E265" s="135">
        <f>E221</f>
        <v>0.6</v>
      </c>
      <c r="F265" s="135"/>
      <c r="G265" s="135">
        <v>0.9</v>
      </c>
      <c r="H265" s="212">
        <f t="shared" si="27"/>
        <v>0</v>
      </c>
      <c r="I265" s="136"/>
      <c r="J265" s="213"/>
      <c r="K265" s="217">
        <f t="shared" si="19"/>
        <v>0</v>
      </c>
      <c r="L265" s="218">
        <f t="shared" si="20"/>
        <v>0</v>
      </c>
    </row>
    <row r="266" spans="1:12" x14ac:dyDescent="0.2">
      <c r="A266" s="124"/>
      <c r="B266" s="211"/>
      <c r="C266" s="223" t="s">
        <v>207</v>
      </c>
      <c r="D266" s="133"/>
      <c r="E266" s="135"/>
      <c r="F266" s="135"/>
      <c r="G266" s="135"/>
      <c r="H266" s="212">
        <f>SUM(H254:H265)</f>
        <v>196.13986875000001</v>
      </c>
      <c r="I266" s="136"/>
      <c r="J266" s="213"/>
      <c r="K266" s="217">
        <f t="shared" ref="K266:K329" si="28">J266*100/118</f>
        <v>0</v>
      </c>
      <c r="L266" s="218">
        <f t="shared" ref="L266:L329" si="29">K266*H266</f>
        <v>0</v>
      </c>
    </row>
    <row r="267" spans="1:12" x14ac:dyDescent="0.2">
      <c r="A267" s="139"/>
      <c r="B267" s="215"/>
      <c r="C267" s="221" t="s">
        <v>295</v>
      </c>
      <c r="D267" s="142"/>
      <c r="E267" s="233"/>
      <c r="F267" s="145"/>
      <c r="G267" s="145"/>
      <c r="H267" s="282">
        <v>540</v>
      </c>
      <c r="I267" s="268" t="s">
        <v>128</v>
      </c>
      <c r="J267" s="269">
        <v>343.65</v>
      </c>
      <c r="K267" s="217">
        <f t="shared" si="28"/>
        <v>291.22881355932202</v>
      </c>
      <c r="L267" s="218">
        <f>K267*H267</f>
        <v>157263.55932203389</v>
      </c>
    </row>
    <row r="268" spans="1:12" ht="25.5" x14ac:dyDescent="0.2">
      <c r="A268" s="116">
        <v>9</v>
      </c>
      <c r="B268" s="206" t="s">
        <v>296</v>
      </c>
      <c r="C268" s="270" t="s">
        <v>297</v>
      </c>
      <c r="D268" s="119"/>
      <c r="E268" s="271"/>
      <c r="F268" s="121"/>
      <c r="G268" s="121"/>
      <c r="H268" s="272"/>
      <c r="I268" s="254"/>
      <c r="J268" s="255"/>
      <c r="K268" s="217">
        <f t="shared" si="28"/>
        <v>0</v>
      </c>
      <c r="L268" s="218">
        <f t="shared" si="29"/>
        <v>0</v>
      </c>
    </row>
    <row r="269" spans="1:12" x14ac:dyDescent="0.2">
      <c r="A269" s="124"/>
      <c r="B269" s="211"/>
      <c r="C269" s="223" t="s">
        <v>488</v>
      </c>
      <c r="D269" s="133">
        <v>1</v>
      </c>
      <c r="E269" s="135">
        <f>E254</f>
        <v>93.073125000000005</v>
      </c>
      <c r="F269" s="135"/>
      <c r="G269" s="135">
        <f>G254</f>
        <v>2.87</v>
      </c>
      <c r="H269" s="212">
        <f>SUM(G269*E269*D269)</f>
        <v>267.11986875000002</v>
      </c>
      <c r="I269" s="273"/>
      <c r="J269" s="274"/>
      <c r="K269" s="217">
        <f t="shared" si="28"/>
        <v>0</v>
      </c>
      <c r="L269" s="218">
        <f t="shared" si="29"/>
        <v>0</v>
      </c>
    </row>
    <row r="270" spans="1:12" x14ac:dyDescent="0.2">
      <c r="A270" s="139"/>
      <c r="B270" s="215"/>
      <c r="C270" s="223" t="s">
        <v>207</v>
      </c>
      <c r="D270" s="133"/>
      <c r="E270" s="135"/>
      <c r="F270" s="135"/>
      <c r="G270" s="135"/>
      <c r="H270" s="242">
        <v>265</v>
      </c>
      <c r="I270" s="136" t="s">
        <v>278</v>
      </c>
      <c r="J270" s="213">
        <v>395.35</v>
      </c>
      <c r="K270" s="217">
        <f t="shared" si="28"/>
        <v>335.04237288135596</v>
      </c>
      <c r="L270" s="218">
        <f t="shared" si="29"/>
        <v>88786.228813559326</v>
      </c>
    </row>
    <row r="271" spans="1:12" ht="27.75" customHeight="1" x14ac:dyDescent="0.2">
      <c r="A271" s="124">
        <v>10</v>
      </c>
      <c r="B271" s="211" t="s">
        <v>299</v>
      </c>
      <c r="C271" s="276" t="s">
        <v>300</v>
      </c>
      <c r="D271" s="127"/>
      <c r="E271" s="129"/>
      <c r="F271" s="129"/>
      <c r="G271" s="129"/>
      <c r="H271" s="264"/>
      <c r="I271" s="130"/>
      <c r="J271" s="240"/>
      <c r="K271" s="217">
        <f t="shared" si="28"/>
        <v>0</v>
      </c>
      <c r="L271" s="218">
        <f t="shared" si="29"/>
        <v>0</v>
      </c>
    </row>
    <row r="272" spans="1:12" x14ac:dyDescent="0.2">
      <c r="A272" s="124"/>
      <c r="B272" s="211"/>
      <c r="C272" s="225" t="s">
        <v>489</v>
      </c>
      <c r="D272" s="133">
        <v>1</v>
      </c>
      <c r="E272" s="135">
        <f>E158</f>
        <v>96</v>
      </c>
      <c r="F272" s="135"/>
      <c r="G272" s="135">
        <f>3</f>
        <v>3</v>
      </c>
      <c r="H272" s="212">
        <f>G272*E272*D272</f>
        <v>288</v>
      </c>
      <c r="I272" s="180"/>
      <c r="J272" s="213"/>
      <c r="K272" s="217">
        <f t="shared" si="28"/>
        <v>0</v>
      </c>
      <c r="L272" s="218">
        <f t="shared" si="29"/>
        <v>0</v>
      </c>
    </row>
    <row r="273" spans="1:12" x14ac:dyDescent="0.2">
      <c r="A273" s="124"/>
      <c r="B273" s="211"/>
      <c r="C273" s="327" t="s">
        <v>490</v>
      </c>
      <c r="D273" s="180">
        <v>1</v>
      </c>
      <c r="E273" s="134">
        <f>E208</f>
        <v>78</v>
      </c>
      <c r="F273" s="135"/>
      <c r="G273" s="135">
        <f>3</f>
        <v>3</v>
      </c>
      <c r="H273" s="212">
        <f>G273*E273*D273</f>
        <v>234</v>
      </c>
      <c r="I273" s="180"/>
      <c r="J273" s="213"/>
      <c r="K273" s="217">
        <f t="shared" si="28"/>
        <v>0</v>
      </c>
      <c r="L273" s="218">
        <f t="shared" si="29"/>
        <v>0</v>
      </c>
    </row>
    <row r="274" spans="1:12" x14ac:dyDescent="0.2">
      <c r="A274" s="139"/>
      <c r="B274" s="215"/>
      <c r="C274" s="221" t="s">
        <v>117</v>
      </c>
      <c r="D274" s="142"/>
      <c r="E274" s="143"/>
      <c r="F274" s="143"/>
      <c r="G274" s="143"/>
      <c r="H274" s="216">
        <v>520</v>
      </c>
      <c r="I274" s="233" t="s">
        <v>128</v>
      </c>
      <c r="J274" s="217">
        <v>466.05</v>
      </c>
      <c r="K274" s="217">
        <f t="shared" si="28"/>
        <v>394.95762711864404</v>
      </c>
      <c r="L274" s="218">
        <f t="shared" si="29"/>
        <v>205377.96610169491</v>
      </c>
    </row>
    <row r="275" spans="1:12" ht="85.5" x14ac:dyDescent="0.2">
      <c r="A275" s="124">
        <v>11</v>
      </c>
      <c r="B275" s="211">
        <v>13.73</v>
      </c>
      <c r="C275" s="118" t="s">
        <v>304</v>
      </c>
      <c r="D275" s="127"/>
      <c r="E275" s="128"/>
      <c r="F275" s="128"/>
      <c r="G275" s="128"/>
      <c r="H275" s="264"/>
      <c r="I275" s="249"/>
      <c r="J275" s="240"/>
      <c r="K275" s="217">
        <f t="shared" si="28"/>
        <v>0</v>
      </c>
      <c r="L275" s="218">
        <f t="shared" si="29"/>
        <v>0</v>
      </c>
    </row>
    <row r="276" spans="1:12" ht="14.25" x14ac:dyDescent="0.2">
      <c r="A276" s="124"/>
      <c r="B276" s="211" t="s">
        <v>305</v>
      </c>
      <c r="C276" s="118" t="s">
        <v>306</v>
      </c>
      <c r="D276" s="127"/>
      <c r="E276" s="131">
        <v>1500</v>
      </c>
      <c r="F276" s="128"/>
      <c r="G276" s="128"/>
      <c r="H276" s="264"/>
      <c r="I276" s="249" t="s">
        <v>307</v>
      </c>
      <c r="J276" s="240">
        <v>75.8</v>
      </c>
      <c r="K276" s="217">
        <f t="shared" si="28"/>
        <v>64.237288135593218</v>
      </c>
      <c r="L276" s="218">
        <f t="shared" si="29"/>
        <v>0</v>
      </c>
    </row>
    <row r="277" spans="1:12" ht="91.5" customHeight="1" x14ac:dyDescent="0.2">
      <c r="A277" s="116">
        <v>12</v>
      </c>
      <c r="B277" s="175" t="s">
        <v>308</v>
      </c>
      <c r="C277" s="118" t="s">
        <v>309</v>
      </c>
      <c r="D277" s="119"/>
      <c r="E277" s="271"/>
      <c r="F277" s="121"/>
      <c r="G277" s="121"/>
      <c r="H277" s="272"/>
      <c r="I277" s="254"/>
      <c r="J277" s="255"/>
      <c r="K277" s="217">
        <f t="shared" si="28"/>
        <v>0</v>
      </c>
      <c r="L277" s="218">
        <f t="shared" si="29"/>
        <v>0</v>
      </c>
    </row>
    <row r="278" spans="1:12" ht="14.25" x14ac:dyDescent="0.2">
      <c r="A278" s="124"/>
      <c r="B278" s="176"/>
      <c r="C278" s="236" t="s">
        <v>310</v>
      </c>
      <c r="D278" s="133">
        <v>18</v>
      </c>
      <c r="E278" s="135">
        <v>1.2</v>
      </c>
      <c r="F278" s="135">
        <v>0.25</v>
      </c>
      <c r="G278" s="135"/>
      <c r="H278" s="242">
        <f>D278*E278*F278</f>
        <v>5.3999999999999995</v>
      </c>
      <c r="I278" s="273"/>
      <c r="J278" s="274"/>
      <c r="K278" s="217">
        <f t="shared" si="28"/>
        <v>0</v>
      </c>
      <c r="L278" s="218">
        <f t="shared" si="29"/>
        <v>0</v>
      </c>
    </row>
    <row r="279" spans="1:12" ht="14.25" x14ac:dyDescent="0.2">
      <c r="A279" s="124"/>
      <c r="B279" s="176"/>
      <c r="C279" s="278" t="s">
        <v>311</v>
      </c>
      <c r="D279" s="133">
        <v>1</v>
      </c>
      <c r="E279" s="135">
        <v>2.5499999999999998</v>
      </c>
      <c r="F279" s="135">
        <v>1.2</v>
      </c>
      <c r="G279" s="135"/>
      <c r="H279" s="242">
        <f>D279*E279*F279</f>
        <v>3.0599999999999996</v>
      </c>
      <c r="I279" s="273"/>
      <c r="J279" s="274"/>
      <c r="K279" s="217">
        <f t="shared" si="28"/>
        <v>0</v>
      </c>
      <c r="L279" s="218">
        <f t="shared" si="29"/>
        <v>0</v>
      </c>
    </row>
    <row r="280" spans="1:12" ht="14.25" x14ac:dyDescent="0.2">
      <c r="A280" s="139"/>
      <c r="B280" s="280"/>
      <c r="C280" s="281" t="s">
        <v>207</v>
      </c>
      <c r="D280" s="142"/>
      <c r="E280" s="233"/>
      <c r="F280" s="145"/>
      <c r="G280" s="145"/>
      <c r="H280" s="282">
        <v>8</v>
      </c>
      <c r="I280" s="268" t="s">
        <v>278</v>
      </c>
      <c r="J280" s="269">
        <v>1948.25</v>
      </c>
      <c r="K280" s="217">
        <f t="shared" si="28"/>
        <v>1651.0593220338983</v>
      </c>
      <c r="L280" s="218">
        <f t="shared" si="29"/>
        <v>13208.474576271186</v>
      </c>
    </row>
    <row r="281" spans="1:12" ht="100.5" x14ac:dyDescent="0.2">
      <c r="A281" s="116">
        <v>13</v>
      </c>
      <c r="B281" s="206">
        <v>11.41</v>
      </c>
      <c r="C281" s="288" t="s">
        <v>317</v>
      </c>
      <c r="D281" s="119"/>
      <c r="E281" s="121"/>
      <c r="F281" s="121"/>
      <c r="G281" s="121"/>
      <c r="H281" s="208"/>
      <c r="I281" s="122"/>
      <c r="J281" s="209"/>
      <c r="K281" s="217">
        <f t="shared" si="28"/>
        <v>0</v>
      </c>
      <c r="L281" s="218">
        <f t="shared" si="29"/>
        <v>0</v>
      </c>
    </row>
    <row r="282" spans="1:12" ht="25.5" x14ac:dyDescent="0.2">
      <c r="A282" s="124"/>
      <c r="B282" s="211" t="s">
        <v>318</v>
      </c>
      <c r="C282" s="289" t="s">
        <v>319</v>
      </c>
      <c r="D282" s="127"/>
      <c r="E282" s="129"/>
      <c r="F282" s="129"/>
      <c r="G282" s="129"/>
      <c r="H282" s="239"/>
      <c r="I282" s="130"/>
      <c r="J282" s="240"/>
      <c r="K282" s="217">
        <f t="shared" si="28"/>
        <v>0</v>
      </c>
      <c r="L282" s="218">
        <f t="shared" si="29"/>
        <v>0</v>
      </c>
    </row>
    <row r="283" spans="1:12" x14ac:dyDescent="0.2">
      <c r="A283" s="124"/>
      <c r="B283" s="211"/>
      <c r="C283" s="225" t="s">
        <v>491</v>
      </c>
      <c r="D283" s="226">
        <v>4</v>
      </c>
      <c r="E283" s="227">
        <v>4.5</v>
      </c>
      <c r="F283" s="227">
        <v>3.3</v>
      </c>
      <c r="G283" s="227"/>
      <c r="H283" s="227">
        <f t="shared" ref="H283:H288" si="30">D283*E283*F283</f>
        <v>59.4</v>
      </c>
      <c r="I283" s="136"/>
      <c r="J283" s="213"/>
      <c r="K283" s="217">
        <f t="shared" si="28"/>
        <v>0</v>
      </c>
      <c r="L283" s="218">
        <f t="shared" si="29"/>
        <v>0</v>
      </c>
    </row>
    <row r="284" spans="1:12" x14ac:dyDescent="0.2">
      <c r="A284" s="124"/>
      <c r="B284" s="211"/>
      <c r="C284" s="225" t="s">
        <v>492</v>
      </c>
      <c r="D284" s="226">
        <v>4</v>
      </c>
      <c r="E284" s="227">
        <v>2.75</v>
      </c>
      <c r="F284" s="227">
        <v>3.2250000000000001</v>
      </c>
      <c r="G284" s="227"/>
      <c r="H284" s="227">
        <f t="shared" si="30"/>
        <v>35.475000000000001</v>
      </c>
      <c r="I284" s="136"/>
      <c r="J284" s="213"/>
      <c r="K284" s="217">
        <f t="shared" si="28"/>
        <v>0</v>
      </c>
      <c r="L284" s="218">
        <f t="shared" si="29"/>
        <v>0</v>
      </c>
    </row>
    <row r="285" spans="1:12" x14ac:dyDescent="0.2">
      <c r="A285" s="124"/>
      <c r="B285" s="211"/>
      <c r="C285" s="225" t="s">
        <v>493</v>
      </c>
      <c r="D285" s="226">
        <v>4</v>
      </c>
      <c r="E285" s="227">
        <v>3.6</v>
      </c>
      <c r="F285" s="227">
        <v>3.2</v>
      </c>
      <c r="G285" s="227"/>
      <c r="H285" s="227">
        <f t="shared" si="30"/>
        <v>46.080000000000005</v>
      </c>
      <c r="I285" s="136"/>
      <c r="J285" s="213"/>
      <c r="K285" s="217">
        <f t="shared" si="28"/>
        <v>0</v>
      </c>
      <c r="L285" s="218">
        <f t="shared" si="29"/>
        <v>0</v>
      </c>
    </row>
    <row r="286" spans="1:12" x14ac:dyDescent="0.2">
      <c r="A286" s="124"/>
      <c r="B286" s="211"/>
      <c r="C286" s="225" t="s">
        <v>493</v>
      </c>
      <c r="D286" s="226">
        <v>4</v>
      </c>
      <c r="E286" s="227">
        <v>3.6</v>
      </c>
      <c r="F286" s="227">
        <v>3.3</v>
      </c>
      <c r="G286" s="227"/>
      <c r="H286" s="227">
        <f t="shared" si="30"/>
        <v>47.519999999999996</v>
      </c>
      <c r="I286" s="136"/>
      <c r="J286" s="213"/>
      <c r="K286" s="217">
        <f t="shared" si="28"/>
        <v>0</v>
      </c>
      <c r="L286" s="218">
        <f t="shared" si="29"/>
        <v>0</v>
      </c>
    </row>
    <row r="287" spans="1:12" x14ac:dyDescent="0.2">
      <c r="A287" s="124"/>
      <c r="B287" s="211"/>
      <c r="C287" s="225" t="s">
        <v>494</v>
      </c>
      <c r="D287" s="226">
        <v>4</v>
      </c>
      <c r="E287" s="227">
        <v>1.6</v>
      </c>
      <c r="F287" s="227">
        <v>1.35</v>
      </c>
      <c r="G287" s="227"/>
      <c r="H287" s="227">
        <f t="shared" si="30"/>
        <v>8.64</v>
      </c>
      <c r="I287" s="136"/>
      <c r="J287" s="213"/>
      <c r="K287" s="217">
        <f t="shared" si="28"/>
        <v>0</v>
      </c>
      <c r="L287" s="218">
        <f t="shared" si="29"/>
        <v>0</v>
      </c>
    </row>
    <row r="288" spans="1:12" x14ac:dyDescent="0.2">
      <c r="A288" s="124"/>
      <c r="B288" s="211"/>
      <c r="C288" s="225" t="s">
        <v>495</v>
      </c>
      <c r="D288" s="226">
        <v>4</v>
      </c>
      <c r="E288" s="227">
        <v>2.13</v>
      </c>
      <c r="F288" s="227">
        <v>0.6</v>
      </c>
      <c r="G288" s="227"/>
      <c r="H288" s="227">
        <f t="shared" si="30"/>
        <v>5.1119999999999992</v>
      </c>
      <c r="I288" s="136"/>
      <c r="J288" s="213"/>
      <c r="K288" s="217">
        <f t="shared" si="28"/>
        <v>0</v>
      </c>
      <c r="L288" s="218">
        <f t="shared" si="29"/>
        <v>0</v>
      </c>
    </row>
    <row r="289" spans="1:12" x14ac:dyDescent="0.2">
      <c r="A289" s="139"/>
      <c r="B289" s="215"/>
      <c r="C289" s="221" t="s">
        <v>117</v>
      </c>
      <c r="D289" s="142"/>
      <c r="E289" s="144"/>
      <c r="F289" s="144"/>
      <c r="G289" s="145"/>
      <c r="H289" s="216">
        <v>200</v>
      </c>
      <c r="I289" s="141" t="s">
        <v>128</v>
      </c>
      <c r="J289" s="217">
        <v>1553.45</v>
      </c>
      <c r="K289" s="217">
        <f t="shared" si="28"/>
        <v>1316.4830508474577</v>
      </c>
      <c r="L289" s="218">
        <f t="shared" si="29"/>
        <v>263296.61016949156</v>
      </c>
    </row>
    <row r="290" spans="1:12" ht="39" customHeight="1" x14ac:dyDescent="0.2">
      <c r="A290" s="116">
        <v>14</v>
      </c>
      <c r="B290" s="206">
        <v>11.37</v>
      </c>
      <c r="C290" s="207" t="s">
        <v>321</v>
      </c>
      <c r="D290" s="119"/>
      <c r="E290" s="121"/>
      <c r="F290" s="121"/>
      <c r="G290" s="121"/>
      <c r="H290" s="263"/>
      <c r="I290" s="122"/>
      <c r="J290" s="209"/>
      <c r="K290" s="217">
        <f t="shared" si="28"/>
        <v>0</v>
      </c>
      <c r="L290" s="218">
        <f t="shared" si="29"/>
        <v>0</v>
      </c>
    </row>
    <row r="291" spans="1:12" x14ac:dyDescent="0.2">
      <c r="A291" s="124"/>
      <c r="B291" s="211"/>
      <c r="C291" s="220" t="s">
        <v>322</v>
      </c>
      <c r="D291" s="133">
        <v>4</v>
      </c>
      <c r="E291" s="135">
        <v>1.6</v>
      </c>
      <c r="F291" s="135">
        <v>2.25</v>
      </c>
      <c r="G291" s="135"/>
      <c r="H291" s="212">
        <f>F291*E291*D291</f>
        <v>14.4</v>
      </c>
      <c r="I291" s="136"/>
      <c r="J291" s="213"/>
      <c r="K291" s="217">
        <f t="shared" si="28"/>
        <v>0</v>
      </c>
      <c r="L291" s="218">
        <f t="shared" si="29"/>
        <v>0</v>
      </c>
    </row>
    <row r="292" spans="1:12" x14ac:dyDescent="0.2">
      <c r="A292" s="124"/>
      <c r="B292" s="211"/>
      <c r="C292" s="220" t="s">
        <v>322</v>
      </c>
      <c r="D292" s="133">
        <v>4</v>
      </c>
      <c r="E292" s="135">
        <v>1.62</v>
      </c>
      <c r="F292" s="135">
        <v>2.15</v>
      </c>
      <c r="G292" s="135"/>
      <c r="H292" s="212">
        <f>F292*E292*D292</f>
        <v>13.932</v>
      </c>
      <c r="I292" s="136"/>
      <c r="J292" s="213"/>
      <c r="K292" s="217">
        <f t="shared" si="28"/>
        <v>0</v>
      </c>
      <c r="L292" s="218">
        <f t="shared" si="29"/>
        <v>0</v>
      </c>
    </row>
    <row r="293" spans="1:12" x14ac:dyDescent="0.2">
      <c r="A293" s="124"/>
      <c r="B293" s="211"/>
      <c r="C293" s="220" t="s">
        <v>496</v>
      </c>
      <c r="D293" s="133">
        <v>8</v>
      </c>
      <c r="E293" s="135">
        <v>3.3</v>
      </c>
      <c r="F293" s="135">
        <v>1.5</v>
      </c>
      <c r="G293" s="135"/>
      <c r="H293" s="212">
        <f>F293*E293*D293</f>
        <v>39.599999999999994</v>
      </c>
      <c r="I293" s="136"/>
      <c r="J293" s="213"/>
      <c r="K293" s="217">
        <f t="shared" si="28"/>
        <v>0</v>
      </c>
      <c r="L293" s="218">
        <f t="shared" si="29"/>
        <v>0</v>
      </c>
    </row>
    <row r="294" spans="1:12" x14ac:dyDescent="0.2">
      <c r="A294" s="124"/>
      <c r="B294" s="211"/>
      <c r="C294" s="220" t="s">
        <v>497</v>
      </c>
      <c r="D294" s="133">
        <v>4</v>
      </c>
      <c r="E294" s="135">
        <v>3.3</v>
      </c>
      <c r="F294" s="135">
        <v>1.65</v>
      </c>
      <c r="G294" s="135"/>
      <c r="H294" s="212">
        <f>F294*E294*D294</f>
        <v>21.779999999999998</v>
      </c>
      <c r="I294" s="136"/>
      <c r="J294" s="213"/>
      <c r="K294" s="217">
        <f t="shared" si="28"/>
        <v>0</v>
      </c>
      <c r="L294" s="218">
        <f t="shared" si="29"/>
        <v>0</v>
      </c>
    </row>
    <row r="295" spans="1:12" x14ac:dyDescent="0.2">
      <c r="A295" s="139"/>
      <c r="B295" s="215"/>
      <c r="C295" s="221" t="s">
        <v>117</v>
      </c>
      <c r="D295" s="142"/>
      <c r="E295" s="145"/>
      <c r="F295" s="145"/>
      <c r="G295" s="145"/>
      <c r="H295" s="216">
        <v>85</v>
      </c>
      <c r="I295" s="141" t="s">
        <v>128</v>
      </c>
      <c r="J295" s="217">
        <v>1096.55</v>
      </c>
      <c r="K295" s="217">
        <f t="shared" si="28"/>
        <v>929.27966101694915</v>
      </c>
      <c r="L295" s="218">
        <f t="shared" si="29"/>
        <v>78988.771186440674</v>
      </c>
    </row>
    <row r="296" spans="1:12" ht="81.75" customHeight="1" x14ac:dyDescent="0.2">
      <c r="A296" s="124">
        <v>15</v>
      </c>
      <c r="B296" s="211">
        <v>11.23</v>
      </c>
      <c r="C296" s="290" t="s">
        <v>323</v>
      </c>
      <c r="D296" s="133"/>
      <c r="E296" s="135"/>
      <c r="F296" s="135"/>
      <c r="G296" s="135"/>
      <c r="H296" s="242"/>
      <c r="I296" s="136"/>
      <c r="J296" s="213"/>
      <c r="K296" s="217">
        <f t="shared" si="28"/>
        <v>0</v>
      </c>
      <c r="L296" s="218">
        <f t="shared" si="29"/>
        <v>0</v>
      </c>
    </row>
    <row r="297" spans="1:12" x14ac:dyDescent="0.2">
      <c r="A297" s="124"/>
      <c r="B297" s="211" t="s">
        <v>498</v>
      </c>
      <c r="C297" s="237" t="s">
        <v>499</v>
      </c>
      <c r="D297" s="133"/>
      <c r="E297" s="135"/>
      <c r="F297" s="135"/>
      <c r="G297" s="135"/>
      <c r="H297" s="242"/>
      <c r="I297" s="136"/>
      <c r="J297" s="213"/>
      <c r="K297" s="217">
        <f t="shared" si="28"/>
        <v>0</v>
      </c>
      <c r="L297" s="218">
        <f t="shared" si="29"/>
        <v>0</v>
      </c>
    </row>
    <row r="298" spans="1:12" x14ac:dyDescent="0.2">
      <c r="A298" s="124"/>
      <c r="B298" s="211"/>
      <c r="C298" s="223" t="s">
        <v>500</v>
      </c>
      <c r="D298" s="133">
        <v>4</v>
      </c>
      <c r="E298" s="135">
        <v>3.2</v>
      </c>
      <c r="F298" s="135">
        <v>2.5</v>
      </c>
      <c r="G298" s="135"/>
      <c r="H298" s="212">
        <f>F298*E298*D298</f>
        <v>32</v>
      </c>
      <c r="I298" s="136"/>
      <c r="J298" s="213"/>
      <c r="K298" s="217">
        <f t="shared" si="28"/>
        <v>0</v>
      </c>
      <c r="L298" s="218">
        <f t="shared" si="29"/>
        <v>0</v>
      </c>
    </row>
    <row r="299" spans="1:12" x14ac:dyDescent="0.2">
      <c r="A299" s="124"/>
      <c r="B299" s="211"/>
      <c r="C299" s="223" t="s">
        <v>501</v>
      </c>
      <c r="D299" s="133">
        <v>1</v>
      </c>
      <c r="E299" s="954">
        <v>68.3</v>
      </c>
      <c r="F299" s="955"/>
      <c r="G299" s="135"/>
      <c r="H299" s="212">
        <f>D299*E299</f>
        <v>68.3</v>
      </c>
      <c r="I299" s="136"/>
      <c r="J299" s="213"/>
      <c r="K299" s="217">
        <f t="shared" si="28"/>
        <v>0</v>
      </c>
      <c r="L299" s="218">
        <f t="shared" si="29"/>
        <v>0</v>
      </c>
    </row>
    <row r="300" spans="1:12" x14ac:dyDescent="0.2">
      <c r="A300" s="124"/>
      <c r="B300" s="211"/>
      <c r="C300" s="223"/>
      <c r="D300" s="133"/>
      <c r="E300" s="135"/>
      <c r="F300" s="135"/>
      <c r="G300" s="135"/>
      <c r="H300" s="212"/>
      <c r="I300" s="136"/>
      <c r="J300" s="213"/>
      <c r="K300" s="217">
        <f t="shared" si="28"/>
        <v>0</v>
      </c>
      <c r="L300" s="218">
        <f t="shared" si="29"/>
        <v>0</v>
      </c>
    </row>
    <row r="301" spans="1:12" x14ac:dyDescent="0.2">
      <c r="A301" s="139"/>
      <c r="B301" s="211"/>
      <c r="C301" s="223" t="s">
        <v>117</v>
      </c>
      <c r="D301" s="133"/>
      <c r="E301" s="135"/>
      <c r="F301" s="135"/>
      <c r="G301" s="135"/>
      <c r="H301" s="216">
        <v>100</v>
      </c>
      <c r="I301" s="141" t="s">
        <v>128</v>
      </c>
      <c r="J301" s="217">
        <v>2346.8000000000002</v>
      </c>
      <c r="K301" s="217">
        <f t="shared" si="28"/>
        <v>1988.8135593220341</v>
      </c>
      <c r="L301" s="218">
        <f t="shared" si="29"/>
        <v>198881.35593220341</v>
      </c>
    </row>
    <row r="302" spans="1:12" ht="57" x14ac:dyDescent="0.2">
      <c r="A302" s="124">
        <v>16</v>
      </c>
      <c r="B302" s="291">
        <v>8.9</v>
      </c>
      <c r="C302" s="292" t="s">
        <v>325</v>
      </c>
      <c r="D302" s="119"/>
      <c r="E302" s="121"/>
      <c r="F302" s="121"/>
      <c r="G302" s="121"/>
      <c r="H302" s="263"/>
      <c r="I302" s="122"/>
      <c r="J302" s="209"/>
      <c r="K302" s="217">
        <f t="shared" si="28"/>
        <v>0</v>
      </c>
      <c r="L302" s="218">
        <f t="shared" si="29"/>
        <v>0</v>
      </c>
    </row>
    <row r="303" spans="1:12" ht="14.25" x14ac:dyDescent="0.2">
      <c r="A303" s="124"/>
      <c r="B303" s="293" t="s">
        <v>326</v>
      </c>
      <c r="C303" s="294" t="s">
        <v>327</v>
      </c>
      <c r="D303" s="127"/>
      <c r="E303" s="129"/>
      <c r="F303" s="129"/>
      <c r="G303" s="129"/>
      <c r="H303" s="264"/>
      <c r="I303" s="130"/>
      <c r="J303" s="240"/>
      <c r="K303" s="217">
        <f t="shared" si="28"/>
        <v>0</v>
      </c>
      <c r="L303" s="218">
        <f t="shared" si="29"/>
        <v>0</v>
      </c>
    </row>
    <row r="304" spans="1:12" ht="14.25" x14ac:dyDescent="0.2">
      <c r="A304" s="124"/>
      <c r="B304" s="293" t="s">
        <v>328</v>
      </c>
      <c r="C304" s="294" t="s">
        <v>329</v>
      </c>
      <c r="D304" s="127" t="s">
        <v>91</v>
      </c>
      <c r="E304" s="129" t="s">
        <v>91</v>
      </c>
      <c r="F304" s="129"/>
      <c r="G304" s="129" t="s">
        <v>91</v>
      </c>
      <c r="H304" s="264" t="s">
        <v>91</v>
      </c>
      <c r="I304" s="130"/>
      <c r="J304" s="240"/>
      <c r="K304" s="217">
        <f t="shared" si="28"/>
        <v>0</v>
      </c>
      <c r="L304" s="218">
        <v>0</v>
      </c>
    </row>
    <row r="305" spans="1:12" ht="14.25" x14ac:dyDescent="0.2">
      <c r="A305" s="124"/>
      <c r="B305" s="293"/>
      <c r="C305" s="278" t="s">
        <v>502</v>
      </c>
      <c r="D305" s="133">
        <v>4</v>
      </c>
      <c r="E305" s="135">
        <f>(3.2+2.5)*2-0.9</f>
        <v>10.5</v>
      </c>
      <c r="F305" s="135"/>
      <c r="G305" s="135">
        <v>0.1</v>
      </c>
      <c r="H305" s="242">
        <f>D305*E305*G305</f>
        <v>4.2</v>
      </c>
      <c r="I305" s="136"/>
      <c r="J305" s="213"/>
      <c r="K305" s="217">
        <f t="shared" si="28"/>
        <v>0</v>
      </c>
      <c r="L305" s="218">
        <f t="shared" si="29"/>
        <v>0</v>
      </c>
    </row>
    <row r="306" spans="1:12" ht="14.25" x14ac:dyDescent="0.2">
      <c r="A306" s="124"/>
      <c r="B306" s="293"/>
      <c r="C306" s="278" t="s">
        <v>330</v>
      </c>
      <c r="D306" s="133">
        <v>1</v>
      </c>
      <c r="E306" s="135">
        <f xml:space="preserve"> (6.075*2+8.35+2.275*2+4.8+2.8+5.825) -2.8+1.05*4</f>
        <v>39.875000000000007</v>
      </c>
      <c r="F306" s="135"/>
      <c r="G306" s="135">
        <v>0.1</v>
      </c>
      <c r="H306" s="242">
        <f>D306*E306*G306</f>
        <v>3.9875000000000007</v>
      </c>
      <c r="I306" s="136"/>
      <c r="J306" s="213"/>
      <c r="K306" s="217">
        <f t="shared" si="28"/>
        <v>0</v>
      </c>
      <c r="L306" s="218">
        <f t="shared" si="29"/>
        <v>0</v>
      </c>
    </row>
    <row r="307" spans="1:12" ht="14.25" x14ac:dyDescent="0.2">
      <c r="A307" s="124"/>
      <c r="B307" s="295"/>
      <c r="C307" s="296" t="s">
        <v>117</v>
      </c>
      <c r="D307" s="142"/>
      <c r="E307" s="145"/>
      <c r="F307" s="145"/>
      <c r="G307" s="145"/>
      <c r="H307" s="216">
        <f>SUM(H304:H306)</f>
        <v>8.1875</v>
      </c>
      <c r="I307" s="141" t="s">
        <v>334</v>
      </c>
      <c r="J307" s="217">
        <v>3190.3</v>
      </c>
      <c r="K307" s="217">
        <f t="shared" si="28"/>
        <v>2703.6440677966102</v>
      </c>
      <c r="L307" s="218">
        <f t="shared" si="29"/>
        <v>22136.085805084746</v>
      </c>
    </row>
    <row r="308" spans="1:12" ht="58.5" customHeight="1" x14ac:dyDescent="0.2">
      <c r="A308" s="116">
        <v>17</v>
      </c>
      <c r="B308" s="291">
        <v>8.9</v>
      </c>
      <c r="C308" s="292" t="s">
        <v>325</v>
      </c>
      <c r="D308" s="119"/>
      <c r="E308" s="121"/>
      <c r="F308" s="121"/>
      <c r="G308" s="121"/>
      <c r="H308" s="263"/>
      <c r="I308" s="122"/>
      <c r="J308" s="209"/>
      <c r="K308" s="217">
        <f t="shared" si="28"/>
        <v>0</v>
      </c>
      <c r="L308" s="218">
        <f t="shared" si="29"/>
        <v>0</v>
      </c>
    </row>
    <row r="309" spans="1:12" ht="14.25" x14ac:dyDescent="0.2">
      <c r="A309" s="124"/>
      <c r="B309" s="293" t="s">
        <v>326</v>
      </c>
      <c r="C309" s="294" t="s">
        <v>327</v>
      </c>
      <c r="D309" s="127"/>
      <c r="E309" s="129"/>
      <c r="F309" s="129"/>
      <c r="G309" s="129"/>
      <c r="H309" s="264"/>
      <c r="I309" s="130"/>
      <c r="J309" s="240"/>
      <c r="K309" s="217">
        <f t="shared" si="28"/>
        <v>0</v>
      </c>
      <c r="L309" s="218">
        <f t="shared" si="29"/>
        <v>0</v>
      </c>
    </row>
    <row r="310" spans="1:12" ht="14.25" x14ac:dyDescent="0.2">
      <c r="A310" s="124"/>
      <c r="B310" s="293" t="s">
        <v>335</v>
      </c>
      <c r="C310" s="294" t="s">
        <v>336</v>
      </c>
      <c r="D310" s="127" t="s">
        <v>91</v>
      </c>
      <c r="E310" s="129" t="s">
        <v>91</v>
      </c>
      <c r="F310" s="129"/>
      <c r="G310" s="129" t="s">
        <v>91</v>
      </c>
      <c r="H310" s="264" t="s">
        <v>91</v>
      </c>
      <c r="I310" s="130"/>
      <c r="J310" s="240"/>
      <c r="K310" s="217">
        <f t="shared" si="28"/>
        <v>0</v>
      </c>
      <c r="L310" s="218">
        <v>0</v>
      </c>
    </row>
    <row r="311" spans="1:12" ht="14.25" x14ac:dyDescent="0.2">
      <c r="A311" s="124"/>
      <c r="B311" s="293"/>
      <c r="C311" s="278" t="s">
        <v>337</v>
      </c>
      <c r="D311" s="133">
        <v>1</v>
      </c>
      <c r="E311" s="135">
        <f>0.575*2</f>
        <v>1.1499999999999999</v>
      </c>
      <c r="F311" s="135"/>
      <c r="G311" s="135">
        <v>2.1</v>
      </c>
      <c r="H311" s="242">
        <f>D311*E311*G311</f>
        <v>2.415</v>
      </c>
      <c r="I311" s="136"/>
      <c r="J311" s="213"/>
      <c r="K311" s="217">
        <f t="shared" si="28"/>
        <v>0</v>
      </c>
      <c r="L311" s="218">
        <f t="shared" si="29"/>
        <v>0</v>
      </c>
    </row>
    <row r="312" spans="1:12" ht="14.25" x14ac:dyDescent="0.2">
      <c r="A312" s="139"/>
      <c r="B312" s="295"/>
      <c r="C312" s="296" t="s">
        <v>117</v>
      </c>
      <c r="D312" s="142"/>
      <c r="E312" s="145"/>
      <c r="F312" s="145"/>
      <c r="G312" s="145"/>
      <c r="H312" s="216">
        <f>SUM(H310:H311)</f>
        <v>2.415</v>
      </c>
      <c r="I312" s="141" t="s">
        <v>334</v>
      </c>
      <c r="J312" s="217">
        <v>3617.55</v>
      </c>
      <c r="K312" s="217">
        <f t="shared" si="28"/>
        <v>3065.7203389830506</v>
      </c>
      <c r="L312" s="218">
        <f t="shared" si="29"/>
        <v>7403.7146186440677</v>
      </c>
    </row>
    <row r="313" spans="1:12" ht="87.75" customHeight="1" x14ac:dyDescent="0.2">
      <c r="A313" s="116">
        <v>18</v>
      </c>
      <c r="B313" s="175">
        <v>11.27</v>
      </c>
      <c r="C313" s="118" t="s">
        <v>338</v>
      </c>
      <c r="D313" s="119"/>
      <c r="E313" s="271"/>
      <c r="F313" s="121"/>
      <c r="G313" s="121"/>
      <c r="H313" s="272"/>
      <c r="I313" s="254"/>
      <c r="J313" s="255"/>
      <c r="K313" s="217">
        <f t="shared" si="28"/>
        <v>0</v>
      </c>
      <c r="L313" s="218">
        <f t="shared" si="29"/>
        <v>0</v>
      </c>
    </row>
    <row r="314" spans="1:12" ht="14.25" x14ac:dyDescent="0.2">
      <c r="A314" s="124"/>
      <c r="B314" s="176"/>
      <c r="C314" s="287" t="s">
        <v>503</v>
      </c>
      <c r="D314" s="133">
        <v>20</v>
      </c>
      <c r="E314" s="135">
        <v>1.2</v>
      </c>
      <c r="F314" s="135"/>
      <c r="G314" s="135">
        <v>0.15</v>
      </c>
      <c r="H314" s="242">
        <f>D314*E314*G314</f>
        <v>3.5999999999999996</v>
      </c>
      <c r="I314" s="273"/>
      <c r="J314" s="274"/>
      <c r="K314" s="217">
        <f t="shared" si="28"/>
        <v>0</v>
      </c>
      <c r="L314" s="218">
        <f t="shared" si="29"/>
        <v>0</v>
      </c>
    </row>
    <row r="315" spans="1:12" ht="14.25" x14ac:dyDescent="0.2">
      <c r="A315" s="124"/>
      <c r="B315" s="176"/>
      <c r="C315" s="177" t="s">
        <v>340</v>
      </c>
      <c r="D315" s="133">
        <v>1</v>
      </c>
      <c r="E315" s="135">
        <v>2.5499999999999998</v>
      </c>
      <c r="F315" s="135"/>
      <c r="G315" s="135">
        <v>0.15</v>
      </c>
      <c r="H315" s="242">
        <f>D315*E315*G315</f>
        <v>0.38249999999999995</v>
      </c>
      <c r="I315" s="273"/>
      <c r="J315" s="274"/>
      <c r="K315" s="217">
        <f t="shared" si="28"/>
        <v>0</v>
      </c>
      <c r="L315" s="218">
        <f t="shared" si="29"/>
        <v>0</v>
      </c>
    </row>
    <row r="316" spans="1:12" ht="14.25" x14ac:dyDescent="0.2">
      <c r="A316" s="124"/>
      <c r="B316" s="176"/>
      <c r="C316" s="177" t="s">
        <v>340</v>
      </c>
      <c r="D316" s="133">
        <v>2</v>
      </c>
      <c r="E316" s="135">
        <v>1.2</v>
      </c>
      <c r="F316" s="135"/>
      <c r="G316" s="135">
        <v>0.15</v>
      </c>
      <c r="H316" s="242">
        <f>D316*E316*G316</f>
        <v>0.36</v>
      </c>
      <c r="I316" s="273"/>
      <c r="J316" s="274"/>
      <c r="K316" s="217">
        <f t="shared" si="28"/>
        <v>0</v>
      </c>
      <c r="L316" s="218">
        <f t="shared" si="29"/>
        <v>0</v>
      </c>
    </row>
    <row r="317" spans="1:12" ht="14.25" x14ac:dyDescent="0.2">
      <c r="A317" s="124"/>
      <c r="B317" s="176"/>
      <c r="C317" s="177" t="s">
        <v>341</v>
      </c>
      <c r="D317" s="133">
        <v>2</v>
      </c>
      <c r="E317" s="135">
        <v>4</v>
      </c>
      <c r="F317" s="135"/>
      <c r="G317" s="135">
        <v>0.15</v>
      </c>
      <c r="H317" s="242">
        <f>D317*E317*G317</f>
        <v>1.2</v>
      </c>
      <c r="I317" s="273"/>
      <c r="J317" s="274"/>
      <c r="K317" s="217">
        <f t="shared" si="28"/>
        <v>0</v>
      </c>
      <c r="L317" s="218">
        <f t="shared" si="29"/>
        <v>0</v>
      </c>
    </row>
    <row r="318" spans="1:12" ht="14.25" x14ac:dyDescent="0.2">
      <c r="A318" s="139"/>
      <c r="B318" s="280"/>
      <c r="C318" s="281" t="s">
        <v>207</v>
      </c>
      <c r="D318" s="142"/>
      <c r="E318" s="233"/>
      <c r="F318" s="145"/>
      <c r="G318" s="145"/>
      <c r="H318" s="282">
        <f>SUM(H314:H317)</f>
        <v>5.5424999999999995</v>
      </c>
      <c r="I318" s="268" t="s">
        <v>278</v>
      </c>
      <c r="J318" s="269">
        <v>2354.6999999999998</v>
      </c>
      <c r="K318" s="217">
        <f t="shared" si="28"/>
        <v>1995.5084745762708</v>
      </c>
      <c r="L318" s="218">
        <f t="shared" si="29"/>
        <v>11060.105720338981</v>
      </c>
    </row>
    <row r="319" spans="1:12" ht="25.5" x14ac:dyDescent="0.2">
      <c r="A319" s="116">
        <v>19</v>
      </c>
      <c r="B319" s="206" t="s">
        <v>343</v>
      </c>
      <c r="C319" s="207" t="s">
        <v>344</v>
      </c>
      <c r="D319" s="117"/>
      <c r="E319" s="328"/>
      <c r="F319" s="117"/>
      <c r="G319" s="329"/>
      <c r="H319" s="253"/>
      <c r="I319" s="254"/>
      <c r="J319" s="255"/>
      <c r="K319" s="217">
        <f t="shared" si="28"/>
        <v>0</v>
      </c>
      <c r="L319" s="218">
        <f t="shared" si="29"/>
        <v>0</v>
      </c>
    </row>
    <row r="320" spans="1:12" x14ac:dyDescent="0.2">
      <c r="A320" s="124"/>
      <c r="B320" s="211"/>
      <c r="C320" s="225" t="s">
        <v>491</v>
      </c>
      <c r="D320" s="226">
        <v>4</v>
      </c>
      <c r="E320" s="227">
        <f>(4.5+3.3)*2-1.05+0.6+2.75</f>
        <v>17.899999999999999</v>
      </c>
      <c r="F320" s="227"/>
      <c r="G320" s="135">
        <v>0.1</v>
      </c>
      <c r="H320" s="212">
        <f t="shared" ref="H320:H325" si="31">G320*E320*D320</f>
        <v>7.16</v>
      </c>
      <c r="I320" s="136"/>
      <c r="J320" s="213"/>
      <c r="K320" s="217">
        <f t="shared" si="28"/>
        <v>0</v>
      </c>
      <c r="L320" s="218">
        <f t="shared" si="29"/>
        <v>0</v>
      </c>
    </row>
    <row r="321" spans="1:12" x14ac:dyDescent="0.2">
      <c r="A321" s="124"/>
      <c r="B321" s="211"/>
      <c r="C321" s="225" t="s">
        <v>492</v>
      </c>
      <c r="D321" s="226">
        <v>4</v>
      </c>
      <c r="E321" s="227">
        <f>(2.75+3.22)*2-2.75+0.9+1.6</f>
        <v>11.690000000000001</v>
      </c>
      <c r="F321" s="227"/>
      <c r="G321" s="135">
        <v>0.1</v>
      </c>
      <c r="H321" s="212">
        <f t="shared" si="31"/>
        <v>4.676000000000001</v>
      </c>
      <c r="I321" s="136"/>
      <c r="J321" s="213"/>
      <c r="K321" s="217">
        <f t="shared" si="28"/>
        <v>0</v>
      </c>
      <c r="L321" s="218">
        <f t="shared" si="29"/>
        <v>0</v>
      </c>
    </row>
    <row r="322" spans="1:12" x14ac:dyDescent="0.2">
      <c r="A322" s="124"/>
      <c r="B322" s="211"/>
      <c r="C322" s="225" t="s">
        <v>493</v>
      </c>
      <c r="D322" s="226">
        <v>4</v>
      </c>
      <c r="E322" s="227">
        <f>(3.2+3.6)*2-1+2.4</f>
        <v>15.000000000000002</v>
      </c>
      <c r="F322" s="227"/>
      <c r="G322" s="135">
        <v>0.1</v>
      </c>
      <c r="H322" s="212">
        <f t="shared" si="31"/>
        <v>6.0000000000000009</v>
      </c>
      <c r="I322" s="136"/>
      <c r="J322" s="213"/>
      <c r="K322" s="217">
        <f t="shared" si="28"/>
        <v>0</v>
      </c>
      <c r="L322" s="218">
        <f t="shared" si="29"/>
        <v>0</v>
      </c>
    </row>
    <row r="323" spans="1:12" x14ac:dyDescent="0.2">
      <c r="A323" s="124"/>
      <c r="B323" s="211"/>
      <c r="C323" s="225" t="s">
        <v>493</v>
      </c>
      <c r="D323" s="226">
        <v>4</v>
      </c>
      <c r="E323" s="227">
        <f>(3.6+3.3)*2-1+2.4+0.75</f>
        <v>15.950000000000001</v>
      </c>
      <c r="F323" s="227"/>
      <c r="G323" s="135">
        <v>0.1</v>
      </c>
      <c r="H323" s="212">
        <f t="shared" si="31"/>
        <v>6.3800000000000008</v>
      </c>
      <c r="I323" s="136"/>
      <c r="J323" s="213"/>
      <c r="K323" s="217">
        <f t="shared" si="28"/>
        <v>0</v>
      </c>
      <c r="L323" s="218">
        <f t="shared" si="29"/>
        <v>0</v>
      </c>
    </row>
    <row r="324" spans="1:12" x14ac:dyDescent="0.2">
      <c r="A324" s="124"/>
      <c r="B324" s="211"/>
      <c r="C324" s="225" t="s">
        <v>494</v>
      </c>
      <c r="D324" s="226">
        <v>4</v>
      </c>
      <c r="E324" s="227">
        <f>(1.6+1.35)*2-1.6+1*2+0.75</f>
        <v>7.0500000000000007</v>
      </c>
      <c r="F324" s="227"/>
      <c r="G324" s="135">
        <v>0.1</v>
      </c>
      <c r="H324" s="212">
        <f t="shared" si="31"/>
        <v>2.8200000000000003</v>
      </c>
      <c r="I324" s="136"/>
      <c r="J324" s="213"/>
      <c r="K324" s="217">
        <f t="shared" si="28"/>
        <v>0</v>
      </c>
      <c r="L324" s="218">
        <f t="shared" si="29"/>
        <v>0</v>
      </c>
    </row>
    <row r="325" spans="1:12" x14ac:dyDescent="0.2">
      <c r="A325" s="124"/>
      <c r="B325" s="211"/>
      <c r="C325" s="225" t="s">
        <v>495</v>
      </c>
      <c r="D325" s="226">
        <v>4</v>
      </c>
      <c r="E325" s="227">
        <f>2.13+0.6*2</f>
        <v>3.33</v>
      </c>
      <c r="F325" s="227"/>
      <c r="G325" s="135">
        <v>0.1</v>
      </c>
      <c r="H325" s="212">
        <f t="shared" si="31"/>
        <v>1.3320000000000001</v>
      </c>
      <c r="I325" s="136"/>
      <c r="J325" s="213"/>
      <c r="K325" s="217">
        <f t="shared" si="28"/>
        <v>0</v>
      </c>
      <c r="L325" s="218">
        <f t="shared" si="29"/>
        <v>0</v>
      </c>
    </row>
    <row r="326" spans="1:12" x14ac:dyDescent="0.2">
      <c r="A326" s="124"/>
      <c r="B326" s="211"/>
      <c r="C326" s="225"/>
      <c r="D326" s="133"/>
      <c r="E326" s="135"/>
      <c r="F326" s="135"/>
      <c r="G326" s="135"/>
      <c r="H326" s="212"/>
      <c r="I326" s="273"/>
      <c r="J326" s="274"/>
      <c r="K326" s="217">
        <f t="shared" si="28"/>
        <v>0</v>
      </c>
      <c r="L326" s="218">
        <f t="shared" si="29"/>
        <v>0</v>
      </c>
    </row>
    <row r="327" spans="1:12" x14ac:dyDescent="0.2">
      <c r="A327" s="139"/>
      <c r="B327" s="215"/>
      <c r="C327" s="299" t="s">
        <v>207</v>
      </c>
      <c r="D327" s="142"/>
      <c r="E327" s="145"/>
      <c r="F327" s="145"/>
      <c r="G327" s="145"/>
      <c r="H327" s="216">
        <v>27</v>
      </c>
      <c r="I327" s="268" t="s">
        <v>334</v>
      </c>
      <c r="J327" s="269">
        <v>1623.05</v>
      </c>
      <c r="K327" s="217">
        <f t="shared" si="28"/>
        <v>1375.4661016949153</v>
      </c>
      <c r="L327" s="218">
        <f t="shared" si="29"/>
        <v>37137.584745762717</v>
      </c>
    </row>
    <row r="328" spans="1:12" ht="28.5" customHeight="1" x14ac:dyDescent="0.2">
      <c r="A328" s="116">
        <v>20</v>
      </c>
      <c r="B328" s="206">
        <v>8.31</v>
      </c>
      <c r="C328" s="219" t="s">
        <v>345</v>
      </c>
      <c r="D328" s="119"/>
      <c r="E328" s="121"/>
      <c r="F328" s="121"/>
      <c r="G328" s="121"/>
      <c r="H328" s="208"/>
      <c r="I328" s="122"/>
      <c r="J328" s="209"/>
      <c r="K328" s="217">
        <f t="shared" si="28"/>
        <v>0</v>
      </c>
      <c r="L328" s="218">
        <f t="shared" si="29"/>
        <v>0</v>
      </c>
    </row>
    <row r="329" spans="1:12" x14ac:dyDescent="0.2">
      <c r="A329" s="124"/>
      <c r="B329" s="211"/>
      <c r="C329" s="220" t="s">
        <v>322</v>
      </c>
      <c r="D329" s="133">
        <v>4</v>
      </c>
      <c r="E329" s="301">
        <f>(1.6+2.25)*2-0.75</f>
        <v>6.95</v>
      </c>
      <c r="F329" s="135">
        <v>2.25</v>
      </c>
      <c r="G329" s="301">
        <v>2.1</v>
      </c>
      <c r="H329" s="302">
        <f>D329*E329*G329</f>
        <v>58.38</v>
      </c>
      <c r="I329" s="136"/>
      <c r="J329" s="213"/>
      <c r="K329" s="217">
        <f t="shared" si="28"/>
        <v>0</v>
      </c>
      <c r="L329" s="218">
        <f t="shared" si="29"/>
        <v>0</v>
      </c>
    </row>
    <row r="330" spans="1:12" x14ac:dyDescent="0.2">
      <c r="A330" s="124"/>
      <c r="B330" s="211"/>
      <c r="C330" s="220" t="s">
        <v>322</v>
      </c>
      <c r="D330" s="133">
        <v>4</v>
      </c>
      <c r="E330" s="301">
        <f>(1.62+2.15)*2-0.75</f>
        <v>6.79</v>
      </c>
      <c r="F330" s="135">
        <v>2.15</v>
      </c>
      <c r="G330" s="301">
        <v>2.1</v>
      </c>
      <c r="H330" s="302">
        <f>D330*E330*G330</f>
        <v>57.036000000000001</v>
      </c>
      <c r="I330" s="136"/>
      <c r="J330" s="213"/>
      <c r="K330" s="217">
        <f t="shared" ref="K330:K393" si="32">J330*100/118</f>
        <v>0</v>
      </c>
      <c r="L330" s="218">
        <f t="shared" ref="L330:L393" si="33">K330*H330</f>
        <v>0</v>
      </c>
    </row>
    <row r="331" spans="1:12" x14ac:dyDescent="0.2">
      <c r="A331" s="124"/>
      <c r="B331" s="211"/>
      <c r="C331" s="220" t="s">
        <v>496</v>
      </c>
      <c r="D331" s="133">
        <v>8</v>
      </c>
      <c r="E331" s="301">
        <f>(1.5+3.3)*2-2.4</f>
        <v>7.1999999999999993</v>
      </c>
      <c r="F331" s="135">
        <v>1.5</v>
      </c>
      <c r="G331" s="301">
        <v>2.1</v>
      </c>
      <c r="H331" s="302">
        <f>D331*E331*G331</f>
        <v>120.96</v>
      </c>
      <c r="I331" s="136"/>
      <c r="J331" s="213"/>
      <c r="K331" s="217">
        <f t="shared" si="32"/>
        <v>0</v>
      </c>
      <c r="L331" s="218">
        <f t="shared" si="33"/>
        <v>0</v>
      </c>
    </row>
    <row r="332" spans="1:12" x14ac:dyDescent="0.2">
      <c r="A332" s="124"/>
      <c r="B332" s="211"/>
      <c r="C332" s="220" t="s">
        <v>497</v>
      </c>
      <c r="D332" s="133">
        <v>4</v>
      </c>
      <c r="E332" s="301">
        <f>(3.3+1.65)*2-0.9</f>
        <v>8.9999999999999982</v>
      </c>
      <c r="F332" s="135">
        <v>1.65</v>
      </c>
      <c r="G332" s="301">
        <v>2.1</v>
      </c>
      <c r="H332" s="302">
        <f>D332*E332*G332</f>
        <v>75.599999999999994</v>
      </c>
      <c r="I332" s="136"/>
      <c r="J332" s="213"/>
      <c r="K332" s="217">
        <f t="shared" si="32"/>
        <v>0</v>
      </c>
      <c r="L332" s="218">
        <f t="shared" si="33"/>
        <v>0</v>
      </c>
    </row>
    <row r="333" spans="1:12" x14ac:dyDescent="0.2">
      <c r="A333" s="139"/>
      <c r="B333" s="215"/>
      <c r="C333" s="141" t="s">
        <v>117</v>
      </c>
      <c r="D333" s="142"/>
      <c r="E333" s="145"/>
      <c r="F333" s="145"/>
      <c r="G333" s="145"/>
      <c r="H333" s="216">
        <v>310</v>
      </c>
      <c r="I333" s="141" t="s">
        <v>128</v>
      </c>
      <c r="J333" s="217">
        <v>1267.95</v>
      </c>
      <c r="K333" s="217">
        <f t="shared" si="32"/>
        <v>1074.5338983050847</v>
      </c>
      <c r="L333" s="218">
        <f t="shared" si="33"/>
        <v>333105.50847457623</v>
      </c>
    </row>
    <row r="334" spans="1:12" ht="51" x14ac:dyDescent="0.2">
      <c r="A334" s="116">
        <v>21</v>
      </c>
      <c r="B334" s="206">
        <v>9.1</v>
      </c>
      <c r="C334" s="219" t="s">
        <v>346</v>
      </c>
      <c r="D334" s="119"/>
      <c r="E334" s="121"/>
      <c r="F334" s="121"/>
      <c r="G334" s="121"/>
      <c r="H334" s="208"/>
      <c r="I334" s="122"/>
      <c r="J334" s="209"/>
      <c r="K334" s="217">
        <f t="shared" si="32"/>
        <v>0</v>
      </c>
      <c r="L334" s="218">
        <f t="shared" si="33"/>
        <v>0</v>
      </c>
    </row>
    <row r="335" spans="1:12" x14ac:dyDescent="0.2">
      <c r="A335" s="124"/>
      <c r="B335" s="211"/>
      <c r="C335" s="266" t="s">
        <v>347</v>
      </c>
      <c r="D335" s="127"/>
      <c r="E335" s="129"/>
      <c r="F335" s="129"/>
      <c r="G335" s="129"/>
      <c r="H335" s="239"/>
      <c r="I335" s="130"/>
      <c r="J335" s="240"/>
      <c r="K335" s="217">
        <f t="shared" si="32"/>
        <v>0</v>
      </c>
      <c r="L335" s="218">
        <f t="shared" si="33"/>
        <v>0</v>
      </c>
    </row>
    <row r="336" spans="1:12" ht="31.5" customHeight="1" x14ac:dyDescent="0.2">
      <c r="A336" s="124"/>
      <c r="B336" s="211" t="s">
        <v>348</v>
      </c>
      <c r="C336" s="289" t="s">
        <v>349</v>
      </c>
      <c r="D336" s="127"/>
      <c r="E336" s="129"/>
      <c r="F336" s="129"/>
      <c r="G336" s="129"/>
      <c r="H336" s="239"/>
      <c r="I336" s="130"/>
      <c r="J336" s="240"/>
      <c r="K336" s="217">
        <f t="shared" si="32"/>
        <v>0</v>
      </c>
      <c r="L336" s="218">
        <f t="shared" si="33"/>
        <v>0</v>
      </c>
    </row>
    <row r="337" spans="1:12" ht="14.25" customHeight="1" x14ac:dyDescent="0.2">
      <c r="A337" s="124"/>
      <c r="B337" s="211"/>
      <c r="C337" s="330" t="s">
        <v>418</v>
      </c>
      <c r="D337" s="133">
        <v>4</v>
      </c>
      <c r="E337" s="135">
        <f>2.4*2+1.05*2</f>
        <v>6.9</v>
      </c>
      <c r="F337" s="135">
        <v>0.125</v>
      </c>
      <c r="G337" s="135">
        <v>6.25E-2</v>
      </c>
      <c r="H337" s="303">
        <f>G337*F337*E337*D337</f>
        <v>0.21562500000000001</v>
      </c>
      <c r="I337" s="136"/>
      <c r="J337" s="213"/>
      <c r="K337" s="217">
        <f t="shared" si="32"/>
        <v>0</v>
      </c>
      <c r="L337" s="218">
        <f t="shared" si="33"/>
        <v>0</v>
      </c>
    </row>
    <row r="338" spans="1:12" ht="14.25" customHeight="1" x14ac:dyDescent="0.2">
      <c r="A338" s="124"/>
      <c r="B338" s="211"/>
      <c r="C338" s="330" t="s">
        <v>293</v>
      </c>
      <c r="D338" s="133">
        <v>8</v>
      </c>
      <c r="E338" s="135">
        <f>2.1*2+1</f>
        <v>5.2</v>
      </c>
      <c r="F338" s="135">
        <v>0.125</v>
      </c>
      <c r="G338" s="135">
        <v>6.25E-2</v>
      </c>
      <c r="H338" s="303">
        <f>G338*F338*E338*D338</f>
        <v>0.32500000000000001</v>
      </c>
      <c r="I338" s="136"/>
      <c r="J338" s="213"/>
      <c r="K338" s="217">
        <f t="shared" si="32"/>
        <v>0</v>
      </c>
      <c r="L338" s="218">
        <f t="shared" si="33"/>
        <v>0</v>
      </c>
    </row>
    <row r="339" spans="1:12" ht="14.25" customHeight="1" x14ac:dyDescent="0.2">
      <c r="A339" s="124"/>
      <c r="B339" s="211"/>
      <c r="C339" s="220" t="s">
        <v>504</v>
      </c>
      <c r="D339" s="133">
        <v>4</v>
      </c>
      <c r="E339" s="135">
        <f>2.1*2+0.9</f>
        <v>5.1000000000000005</v>
      </c>
      <c r="F339" s="135">
        <v>0.125</v>
      </c>
      <c r="G339" s="135">
        <v>6.25E-2</v>
      </c>
      <c r="H339" s="303">
        <f>G339*F339*E339*D339</f>
        <v>0.15937500000000002</v>
      </c>
      <c r="I339" s="136"/>
      <c r="J339" s="213"/>
      <c r="K339" s="217">
        <f t="shared" si="32"/>
        <v>0</v>
      </c>
      <c r="L339" s="218">
        <f t="shared" si="33"/>
        <v>0</v>
      </c>
    </row>
    <row r="340" spans="1:12" ht="14.25" customHeight="1" x14ac:dyDescent="0.2">
      <c r="A340" s="124"/>
      <c r="B340" s="211"/>
      <c r="C340" s="220" t="s">
        <v>223</v>
      </c>
      <c r="D340" s="133">
        <v>8</v>
      </c>
      <c r="E340" s="135">
        <f>2.1*2+0.75</f>
        <v>4.95</v>
      </c>
      <c r="F340" s="135">
        <v>0.125</v>
      </c>
      <c r="G340" s="135">
        <v>6.25E-2</v>
      </c>
      <c r="H340" s="303">
        <f>G340*F340*E340*D340</f>
        <v>0.30937500000000001</v>
      </c>
      <c r="I340" s="136"/>
      <c r="J340" s="213"/>
      <c r="K340" s="217">
        <f t="shared" si="32"/>
        <v>0</v>
      </c>
      <c r="L340" s="218">
        <f t="shared" si="33"/>
        <v>0</v>
      </c>
    </row>
    <row r="341" spans="1:12" ht="14.25" customHeight="1" x14ac:dyDescent="0.2">
      <c r="A341" s="124"/>
      <c r="B341" s="211"/>
      <c r="C341" s="220" t="s">
        <v>505</v>
      </c>
      <c r="D341" s="133">
        <v>4</v>
      </c>
      <c r="E341" s="135">
        <f>2.4*2+0.9*2</f>
        <v>6.6</v>
      </c>
      <c r="F341" s="135">
        <v>0.125</v>
      </c>
      <c r="G341" s="135">
        <v>6.25E-2</v>
      </c>
      <c r="H341" s="303">
        <f>G341*F341*E341*D341</f>
        <v>0.20624999999999999</v>
      </c>
      <c r="I341" s="136"/>
      <c r="J341" s="213"/>
      <c r="K341" s="217">
        <f t="shared" si="32"/>
        <v>0</v>
      </c>
      <c r="L341" s="218">
        <f t="shared" si="33"/>
        <v>0</v>
      </c>
    </row>
    <row r="342" spans="1:12" x14ac:dyDescent="0.2">
      <c r="A342" s="139"/>
      <c r="B342" s="215"/>
      <c r="C342" s="141" t="s">
        <v>117</v>
      </c>
      <c r="D342" s="142"/>
      <c r="E342" s="145"/>
      <c r="F342" s="145"/>
      <c r="G342" s="145"/>
      <c r="H342" s="216">
        <f>SUM(H337:H341)</f>
        <v>1.2156250000000002</v>
      </c>
      <c r="I342" s="141" t="s">
        <v>118</v>
      </c>
      <c r="J342" s="217">
        <v>116520.3</v>
      </c>
      <c r="K342" s="217">
        <f t="shared" si="32"/>
        <v>98746.016949152545</v>
      </c>
      <c r="L342" s="218">
        <f t="shared" si="33"/>
        <v>120038.12685381358</v>
      </c>
    </row>
    <row r="343" spans="1:12" ht="146.25" customHeight="1" x14ac:dyDescent="0.2">
      <c r="A343" s="116">
        <v>22</v>
      </c>
      <c r="B343" s="206">
        <v>9.1310000000000002</v>
      </c>
      <c r="C343" s="288" t="s">
        <v>351</v>
      </c>
      <c r="D343" s="119"/>
      <c r="E343" s="121"/>
      <c r="F343" s="121"/>
      <c r="G343" s="121"/>
      <c r="H343" s="208"/>
      <c r="I343" s="122"/>
      <c r="J343" s="209"/>
      <c r="K343" s="217">
        <f t="shared" si="32"/>
        <v>0</v>
      </c>
      <c r="L343" s="218">
        <f t="shared" si="33"/>
        <v>0</v>
      </c>
    </row>
    <row r="344" spans="1:12" x14ac:dyDescent="0.2">
      <c r="A344" s="124"/>
      <c r="B344" s="211" t="s">
        <v>352</v>
      </c>
      <c r="C344" s="289" t="s">
        <v>353</v>
      </c>
      <c r="D344" s="127"/>
      <c r="E344" s="129"/>
      <c r="F344" s="129"/>
      <c r="G344" s="129"/>
      <c r="H344" s="239"/>
      <c r="I344" s="130"/>
      <c r="J344" s="240"/>
      <c r="K344" s="217">
        <f t="shared" si="32"/>
        <v>0</v>
      </c>
      <c r="L344" s="218">
        <f t="shared" si="33"/>
        <v>0</v>
      </c>
    </row>
    <row r="345" spans="1:12" ht="14.25" customHeight="1" x14ac:dyDescent="0.2">
      <c r="A345" s="124"/>
      <c r="B345" s="211"/>
      <c r="C345" s="220" t="s">
        <v>223</v>
      </c>
      <c r="D345" s="133">
        <v>8</v>
      </c>
      <c r="E345" s="135">
        <v>0.75</v>
      </c>
      <c r="F345" s="135"/>
      <c r="G345" s="135">
        <v>2.1</v>
      </c>
      <c r="H345" s="303">
        <f>D345*E345*G345</f>
        <v>12.600000000000001</v>
      </c>
      <c r="I345" s="136"/>
      <c r="J345" s="213"/>
      <c r="K345" s="217">
        <f t="shared" si="32"/>
        <v>0</v>
      </c>
      <c r="L345" s="218">
        <f t="shared" si="33"/>
        <v>0</v>
      </c>
    </row>
    <row r="346" spans="1:12" ht="14.25" customHeight="1" x14ac:dyDescent="0.2">
      <c r="A346" s="124"/>
      <c r="B346" s="211"/>
      <c r="C346" s="220" t="s">
        <v>505</v>
      </c>
      <c r="D346" s="133">
        <v>4</v>
      </c>
      <c r="E346" s="135">
        <v>0.9</v>
      </c>
      <c r="F346" s="135"/>
      <c r="G346" s="135">
        <v>2.1</v>
      </c>
      <c r="H346" s="303">
        <f>D346*E346*G346</f>
        <v>7.5600000000000005</v>
      </c>
      <c r="I346" s="136"/>
      <c r="J346" s="213"/>
      <c r="K346" s="217">
        <f t="shared" si="32"/>
        <v>0</v>
      </c>
      <c r="L346" s="218">
        <f t="shared" si="33"/>
        <v>0</v>
      </c>
    </row>
    <row r="347" spans="1:12" x14ac:dyDescent="0.2">
      <c r="A347" s="139"/>
      <c r="B347" s="215"/>
      <c r="C347" s="141" t="s">
        <v>117</v>
      </c>
      <c r="D347" s="142"/>
      <c r="E347" s="145"/>
      <c r="F347" s="145"/>
      <c r="G347" s="145"/>
      <c r="H347" s="216">
        <v>20</v>
      </c>
      <c r="I347" s="141" t="s">
        <v>334</v>
      </c>
      <c r="J347" s="217">
        <v>1801.6</v>
      </c>
      <c r="K347" s="217">
        <f t="shared" si="32"/>
        <v>1526.7796610169491</v>
      </c>
      <c r="L347" s="218">
        <f t="shared" si="33"/>
        <v>30535.593220338982</v>
      </c>
    </row>
    <row r="348" spans="1:12" ht="39" customHeight="1" x14ac:dyDescent="0.2">
      <c r="A348" s="116">
        <v>23</v>
      </c>
      <c r="B348" s="206">
        <v>9.1319999999999997</v>
      </c>
      <c r="C348" s="304" t="s">
        <v>354</v>
      </c>
      <c r="D348" s="119"/>
      <c r="E348" s="121"/>
      <c r="F348" s="121"/>
      <c r="G348" s="121"/>
      <c r="H348" s="263"/>
      <c r="I348" s="122"/>
      <c r="J348" s="209"/>
      <c r="K348" s="217">
        <f t="shared" si="32"/>
        <v>0</v>
      </c>
      <c r="L348" s="218">
        <f t="shared" si="33"/>
        <v>0</v>
      </c>
    </row>
    <row r="349" spans="1:12" x14ac:dyDescent="0.2">
      <c r="A349" s="124"/>
      <c r="B349" s="211"/>
      <c r="C349" s="220" t="s">
        <v>223</v>
      </c>
      <c r="D349" s="133">
        <v>8</v>
      </c>
      <c r="E349" s="135">
        <f>2.1*2+0.75</f>
        <v>4.95</v>
      </c>
      <c r="F349" s="135"/>
      <c r="G349" s="135"/>
      <c r="H349" s="134">
        <f>D349*E349</f>
        <v>39.6</v>
      </c>
      <c r="I349" s="136"/>
      <c r="J349" s="213"/>
      <c r="K349" s="217">
        <f t="shared" si="32"/>
        <v>0</v>
      </c>
      <c r="L349" s="218">
        <f t="shared" si="33"/>
        <v>0</v>
      </c>
    </row>
    <row r="350" spans="1:12" x14ac:dyDescent="0.2">
      <c r="A350" s="124"/>
      <c r="B350" s="211"/>
      <c r="C350" s="220" t="s">
        <v>505</v>
      </c>
      <c r="D350" s="133">
        <v>4</v>
      </c>
      <c r="E350" s="135">
        <f>2.1*2+0.9</f>
        <v>5.1000000000000005</v>
      </c>
      <c r="F350" s="135"/>
      <c r="G350" s="135"/>
      <c r="H350" s="134">
        <f>D350*E350</f>
        <v>20.400000000000002</v>
      </c>
      <c r="I350" s="136"/>
      <c r="J350" s="213"/>
      <c r="K350" s="217">
        <f t="shared" si="32"/>
        <v>0</v>
      </c>
      <c r="L350" s="218">
        <f t="shared" si="33"/>
        <v>0</v>
      </c>
    </row>
    <row r="351" spans="1:12" x14ac:dyDescent="0.2">
      <c r="A351" s="139"/>
      <c r="B351" s="215"/>
      <c r="C351" s="141" t="s">
        <v>117</v>
      </c>
      <c r="D351" s="142">
        <f>SUM(D349:D350)</f>
        <v>12</v>
      </c>
      <c r="E351" s="145"/>
      <c r="F351" s="145"/>
      <c r="G351" s="145"/>
      <c r="H351" s="216">
        <f>( H349+H350)*0.5</f>
        <v>30</v>
      </c>
      <c r="I351" s="141" t="s">
        <v>355</v>
      </c>
      <c r="J351" s="217">
        <v>596.15</v>
      </c>
      <c r="K351" s="217">
        <f t="shared" si="32"/>
        <v>505.21186440677968</v>
      </c>
      <c r="L351" s="218">
        <f t="shared" si="33"/>
        <v>15156.355932203391</v>
      </c>
    </row>
    <row r="352" spans="1:12" ht="85.5" x14ac:dyDescent="0.2">
      <c r="A352" s="331">
        <v>24</v>
      </c>
      <c r="B352" s="332">
        <v>9.2100000000000009</v>
      </c>
      <c r="C352" s="333" t="s">
        <v>506</v>
      </c>
      <c r="D352" s="148"/>
      <c r="E352" s="152"/>
      <c r="F352" s="152"/>
      <c r="G352" s="152"/>
      <c r="H352" s="334"/>
      <c r="I352" s="151"/>
      <c r="J352" s="275"/>
      <c r="K352" s="217">
        <f t="shared" si="32"/>
        <v>0</v>
      </c>
      <c r="L352" s="218">
        <f t="shared" si="33"/>
        <v>0</v>
      </c>
    </row>
    <row r="353" spans="1:12" ht="25.5" x14ac:dyDescent="0.2">
      <c r="A353" s="331"/>
      <c r="B353" s="332" t="s">
        <v>358</v>
      </c>
      <c r="C353" s="173" t="s">
        <v>359</v>
      </c>
      <c r="D353" s="148"/>
      <c r="E353" s="152"/>
      <c r="F353" s="152"/>
      <c r="G353" s="152"/>
      <c r="H353" s="334"/>
      <c r="I353" s="151"/>
      <c r="J353" s="275"/>
      <c r="K353" s="217">
        <f t="shared" si="32"/>
        <v>0</v>
      </c>
      <c r="L353" s="218">
        <f t="shared" si="33"/>
        <v>0</v>
      </c>
    </row>
    <row r="354" spans="1:12" x14ac:dyDescent="0.2">
      <c r="A354" s="331"/>
      <c r="B354" s="332"/>
      <c r="C354" s="173" t="s">
        <v>418</v>
      </c>
      <c r="D354" s="148">
        <v>4</v>
      </c>
      <c r="E354" s="152">
        <v>1.05</v>
      </c>
      <c r="F354" s="152"/>
      <c r="G354" s="152">
        <v>2.1</v>
      </c>
      <c r="H354" s="335">
        <f>D354*E354*G354</f>
        <v>8.82</v>
      </c>
      <c r="I354" s="151"/>
      <c r="J354" s="275"/>
      <c r="K354" s="217">
        <f t="shared" si="32"/>
        <v>0</v>
      </c>
      <c r="L354" s="218">
        <f t="shared" si="33"/>
        <v>0</v>
      </c>
    </row>
    <row r="355" spans="1:12" x14ac:dyDescent="0.2">
      <c r="A355" s="331"/>
      <c r="B355" s="332"/>
      <c r="C355" s="173" t="s">
        <v>293</v>
      </c>
      <c r="D355" s="148">
        <v>8</v>
      </c>
      <c r="E355" s="152">
        <v>1</v>
      </c>
      <c r="F355" s="152"/>
      <c r="G355" s="152">
        <v>2.1</v>
      </c>
      <c r="H355" s="335">
        <f>D355*E355*G355</f>
        <v>16.8</v>
      </c>
      <c r="I355" s="151"/>
      <c r="J355" s="275"/>
      <c r="K355" s="217">
        <f t="shared" si="32"/>
        <v>0</v>
      </c>
      <c r="L355" s="218">
        <f t="shared" si="33"/>
        <v>0</v>
      </c>
    </row>
    <row r="356" spans="1:12" x14ac:dyDescent="0.2">
      <c r="A356" s="331"/>
      <c r="B356" s="332"/>
      <c r="C356" s="173" t="s">
        <v>222</v>
      </c>
      <c r="D356" s="148">
        <v>4</v>
      </c>
      <c r="E356" s="152">
        <v>0.9</v>
      </c>
      <c r="F356" s="152"/>
      <c r="G356" s="152">
        <v>2.1</v>
      </c>
      <c r="H356" s="335">
        <f>D356*E356*G356</f>
        <v>7.5600000000000005</v>
      </c>
      <c r="I356" s="165"/>
      <c r="J356" s="336"/>
      <c r="K356" s="217">
        <f t="shared" si="32"/>
        <v>0</v>
      </c>
      <c r="L356" s="218">
        <f t="shared" si="33"/>
        <v>0</v>
      </c>
    </row>
    <row r="357" spans="1:12" x14ac:dyDescent="0.2">
      <c r="A357" s="331"/>
      <c r="B357" s="332"/>
      <c r="C357" s="337"/>
      <c r="D357" s="156"/>
      <c r="E357" s="159"/>
      <c r="F357" s="159"/>
      <c r="G357" s="159"/>
      <c r="H357" s="338">
        <v>33</v>
      </c>
      <c r="I357" s="155" t="s">
        <v>334</v>
      </c>
      <c r="J357" s="339">
        <v>2392.65</v>
      </c>
      <c r="K357" s="217">
        <f t="shared" si="32"/>
        <v>2027.6694915254238</v>
      </c>
      <c r="L357" s="218">
        <f t="shared" si="33"/>
        <v>66913.093220338982</v>
      </c>
    </row>
    <row r="358" spans="1:12" ht="315.75" customHeight="1" x14ac:dyDescent="0.2">
      <c r="A358" s="116">
        <v>25</v>
      </c>
      <c r="B358" s="206" t="s">
        <v>360</v>
      </c>
      <c r="C358" s="290" t="s">
        <v>361</v>
      </c>
      <c r="D358" s="116"/>
      <c r="E358" s="252"/>
      <c r="F358" s="252"/>
      <c r="G358" s="252"/>
      <c r="H358" s="272"/>
      <c r="I358" s="254"/>
      <c r="J358" s="255"/>
      <c r="K358" s="217">
        <f t="shared" si="32"/>
        <v>0</v>
      </c>
      <c r="L358" s="218">
        <f t="shared" si="33"/>
        <v>0</v>
      </c>
    </row>
    <row r="359" spans="1:12" ht="173.25" customHeight="1" x14ac:dyDescent="0.2">
      <c r="A359" s="306"/>
      <c r="B359" s="211"/>
      <c r="C359" s="307" t="s">
        <v>362</v>
      </c>
      <c r="D359" s="127"/>
      <c r="E359" s="129"/>
      <c r="F359" s="129"/>
      <c r="G359" s="129"/>
      <c r="H359" s="239"/>
      <c r="I359" s="260"/>
      <c r="J359" s="261"/>
      <c r="K359" s="217">
        <f t="shared" si="32"/>
        <v>0</v>
      </c>
      <c r="L359" s="218">
        <f t="shared" si="33"/>
        <v>0</v>
      </c>
    </row>
    <row r="360" spans="1:12" ht="76.5" customHeight="1" x14ac:dyDescent="0.2">
      <c r="A360" s="116">
        <v>26</v>
      </c>
      <c r="B360" s="117" t="s">
        <v>363</v>
      </c>
      <c r="C360" s="288" t="s">
        <v>364</v>
      </c>
      <c r="D360" s="119"/>
      <c r="E360" s="121"/>
      <c r="F360" s="121"/>
      <c r="G360" s="121"/>
      <c r="H360" s="263"/>
      <c r="I360" s="122"/>
      <c r="J360" s="209"/>
      <c r="K360" s="217">
        <f t="shared" si="32"/>
        <v>0</v>
      </c>
      <c r="L360" s="218">
        <f t="shared" si="33"/>
        <v>0</v>
      </c>
    </row>
    <row r="361" spans="1:12" ht="14.25" x14ac:dyDescent="0.2">
      <c r="A361" s="124"/>
      <c r="B361" s="211"/>
      <c r="C361" s="340" t="s">
        <v>484</v>
      </c>
      <c r="D361" s="341">
        <v>4</v>
      </c>
      <c r="E361" s="342">
        <v>1.8</v>
      </c>
      <c r="F361" s="342"/>
      <c r="G361" s="342">
        <v>1.5</v>
      </c>
      <c r="H361" s="343">
        <f>G361*E361*D361</f>
        <v>10.8</v>
      </c>
      <c r="I361" s="344"/>
      <c r="J361" s="345"/>
      <c r="K361" s="217">
        <f t="shared" si="32"/>
        <v>0</v>
      </c>
      <c r="L361" s="218">
        <f t="shared" si="33"/>
        <v>0</v>
      </c>
    </row>
    <row r="362" spans="1:12" ht="14.25" x14ac:dyDescent="0.2">
      <c r="A362" s="124"/>
      <c r="B362" s="211"/>
      <c r="C362" s="346" t="s">
        <v>457</v>
      </c>
      <c r="D362" s="133">
        <v>8</v>
      </c>
      <c r="E362" s="135">
        <v>1.37</v>
      </c>
      <c r="F362" s="135"/>
      <c r="G362" s="135">
        <v>1.5</v>
      </c>
      <c r="H362" s="212">
        <f>G362*E362*D362</f>
        <v>16.440000000000001</v>
      </c>
      <c r="I362" s="136"/>
      <c r="J362" s="213"/>
      <c r="K362" s="217">
        <f t="shared" si="32"/>
        <v>0</v>
      </c>
      <c r="L362" s="218">
        <f t="shared" si="33"/>
        <v>0</v>
      </c>
    </row>
    <row r="363" spans="1:12" x14ac:dyDescent="0.2">
      <c r="A363" s="124"/>
      <c r="B363" s="211"/>
      <c r="C363" s="220" t="s">
        <v>458</v>
      </c>
      <c r="D363" s="133">
        <v>4</v>
      </c>
      <c r="E363" s="135">
        <v>1.05</v>
      </c>
      <c r="F363" s="135"/>
      <c r="G363" s="135">
        <v>1.35</v>
      </c>
      <c r="H363" s="212">
        <f>G363*E363*D363</f>
        <v>5.6700000000000008</v>
      </c>
      <c r="I363" s="136"/>
      <c r="J363" s="213"/>
      <c r="K363" s="217">
        <f t="shared" si="32"/>
        <v>0</v>
      </c>
      <c r="L363" s="218">
        <f t="shared" si="33"/>
        <v>0</v>
      </c>
    </row>
    <row r="364" spans="1:12" x14ac:dyDescent="0.2">
      <c r="A364" s="124"/>
      <c r="B364" s="211"/>
      <c r="C364" s="220" t="s">
        <v>260</v>
      </c>
      <c r="D364" s="133">
        <v>2</v>
      </c>
      <c r="E364" s="135">
        <v>1.2</v>
      </c>
      <c r="F364" s="135"/>
      <c r="G364" s="135">
        <v>1.2</v>
      </c>
      <c r="H364" s="212">
        <f>D364*E364*G364</f>
        <v>2.88</v>
      </c>
      <c r="I364" s="136"/>
      <c r="J364" s="213"/>
      <c r="K364" s="217">
        <f t="shared" si="32"/>
        <v>0</v>
      </c>
      <c r="L364" s="218">
        <f t="shared" si="33"/>
        <v>0</v>
      </c>
    </row>
    <row r="365" spans="1:12" x14ac:dyDescent="0.2">
      <c r="A365" s="124"/>
      <c r="B365" s="211"/>
      <c r="C365" s="220" t="s">
        <v>273</v>
      </c>
      <c r="D365" s="133">
        <v>8</v>
      </c>
      <c r="E365" s="135">
        <v>0.6</v>
      </c>
      <c r="F365" s="135"/>
      <c r="G365" s="135">
        <v>0.9</v>
      </c>
      <c r="H365" s="212">
        <f>D365*E365*G365</f>
        <v>4.32</v>
      </c>
      <c r="I365" s="136"/>
      <c r="J365" s="213"/>
      <c r="K365" s="217">
        <f t="shared" si="32"/>
        <v>0</v>
      </c>
      <c r="L365" s="218">
        <f t="shared" si="33"/>
        <v>0</v>
      </c>
    </row>
    <row r="366" spans="1:12" x14ac:dyDescent="0.2">
      <c r="A366" s="139"/>
      <c r="B366" s="215"/>
      <c r="C366" s="141" t="s">
        <v>117</v>
      </c>
      <c r="D366" s="142"/>
      <c r="E366" s="145"/>
      <c r="F366" s="145"/>
      <c r="G366" s="145"/>
      <c r="H366" s="216">
        <v>40</v>
      </c>
      <c r="I366" s="141" t="s">
        <v>128</v>
      </c>
      <c r="J366" s="217">
        <v>9628.6</v>
      </c>
      <c r="K366" s="217">
        <f t="shared" si="32"/>
        <v>8159.8305084745762</v>
      </c>
      <c r="L366" s="218">
        <f t="shared" si="33"/>
        <v>326393.22033898305</v>
      </c>
    </row>
    <row r="367" spans="1:12" x14ac:dyDescent="0.2">
      <c r="A367" s="124"/>
      <c r="B367" s="211"/>
      <c r="C367" s="130"/>
      <c r="D367" s="127"/>
      <c r="E367" s="129"/>
      <c r="F367" s="129"/>
      <c r="G367" s="129"/>
      <c r="H367" s="264"/>
      <c r="I367" s="130"/>
      <c r="J367" s="240"/>
      <c r="K367" s="217">
        <f t="shared" si="32"/>
        <v>0</v>
      </c>
      <c r="L367" s="218">
        <f t="shared" si="33"/>
        <v>0</v>
      </c>
    </row>
    <row r="368" spans="1:12" ht="75.75" customHeight="1" x14ac:dyDescent="0.2">
      <c r="A368" s="116">
        <v>27</v>
      </c>
      <c r="B368" s="117" t="s">
        <v>507</v>
      </c>
      <c r="C368" s="288" t="s">
        <v>508</v>
      </c>
      <c r="D368" s="119"/>
      <c r="E368" s="121"/>
      <c r="F368" s="121"/>
      <c r="G368" s="121"/>
      <c r="H368" s="263"/>
      <c r="I368" s="122"/>
      <c r="J368" s="209"/>
      <c r="K368" s="217">
        <f t="shared" si="32"/>
        <v>0</v>
      </c>
      <c r="L368" s="218">
        <f t="shared" si="33"/>
        <v>0</v>
      </c>
    </row>
    <row r="369" spans="1:12" ht="51.75" customHeight="1" x14ac:dyDescent="0.2">
      <c r="A369" s="243"/>
      <c r="B369" s="186" t="s">
        <v>509</v>
      </c>
      <c r="C369" s="288" t="s">
        <v>510</v>
      </c>
      <c r="D369" s="119"/>
      <c r="E369" s="121"/>
      <c r="F369" s="121"/>
      <c r="G369" s="121"/>
      <c r="H369" s="263"/>
      <c r="I369" s="122"/>
      <c r="J369" s="209"/>
      <c r="K369" s="217">
        <f t="shared" si="32"/>
        <v>0</v>
      </c>
      <c r="L369" s="218">
        <f t="shared" si="33"/>
        <v>0</v>
      </c>
    </row>
    <row r="370" spans="1:12" ht="14.25" x14ac:dyDescent="0.2">
      <c r="A370" s="124"/>
      <c r="B370" s="211"/>
      <c r="C370" s="340" t="s">
        <v>511</v>
      </c>
      <c r="D370" s="341">
        <v>8</v>
      </c>
      <c r="E370" s="342">
        <v>2.4</v>
      </c>
      <c r="F370" s="342"/>
      <c r="G370" s="342">
        <v>2.4</v>
      </c>
      <c r="H370" s="343">
        <f>G370*E370*D370</f>
        <v>46.08</v>
      </c>
      <c r="I370" s="344"/>
      <c r="J370" s="345"/>
      <c r="K370" s="217">
        <f t="shared" si="32"/>
        <v>0</v>
      </c>
      <c r="L370" s="218">
        <f t="shared" si="33"/>
        <v>0</v>
      </c>
    </row>
    <row r="371" spans="1:12" x14ac:dyDescent="0.2">
      <c r="A371" s="139"/>
      <c r="B371" s="215"/>
      <c r="C371" s="141" t="s">
        <v>117</v>
      </c>
      <c r="D371" s="142"/>
      <c r="E371" s="145"/>
      <c r="F371" s="145"/>
      <c r="G371" s="145"/>
      <c r="H371" s="216">
        <v>45</v>
      </c>
      <c r="I371" s="141" t="s">
        <v>128</v>
      </c>
      <c r="J371" s="217">
        <v>8287.0499999999993</v>
      </c>
      <c r="K371" s="217">
        <f t="shared" si="32"/>
        <v>7022.9237288135582</v>
      </c>
      <c r="L371" s="218">
        <f t="shared" si="33"/>
        <v>316031.56779661012</v>
      </c>
    </row>
    <row r="372" spans="1:12" ht="57.75" customHeight="1" x14ac:dyDescent="0.2">
      <c r="A372" s="116">
        <v>30</v>
      </c>
      <c r="B372" s="206">
        <v>9.9600000000000009</v>
      </c>
      <c r="C372" s="308" t="s">
        <v>366</v>
      </c>
      <c r="D372" s="119"/>
      <c r="E372" s="121"/>
      <c r="F372" s="121"/>
      <c r="G372" s="121"/>
      <c r="H372" s="263"/>
      <c r="I372" s="122"/>
      <c r="J372" s="209"/>
      <c r="K372" s="217">
        <f t="shared" si="32"/>
        <v>0</v>
      </c>
      <c r="L372" s="218">
        <f t="shared" si="33"/>
        <v>0</v>
      </c>
    </row>
    <row r="373" spans="1:12" ht="21" customHeight="1" x14ac:dyDescent="0.2">
      <c r="A373" s="124"/>
      <c r="B373" s="188" t="s">
        <v>367</v>
      </c>
      <c r="C373" s="278" t="s">
        <v>368</v>
      </c>
      <c r="D373" s="243">
        <v>4</v>
      </c>
      <c r="E373" s="301"/>
      <c r="F373" s="301"/>
      <c r="G373" s="301"/>
      <c r="H373" s="285">
        <f>D373</f>
        <v>4</v>
      </c>
      <c r="I373" s="273" t="s">
        <v>369</v>
      </c>
      <c r="J373" s="274">
        <v>303.25</v>
      </c>
      <c r="K373" s="217">
        <f t="shared" si="32"/>
        <v>256.99152542372883</v>
      </c>
      <c r="L373" s="218">
        <f t="shared" si="33"/>
        <v>1027.9661016949153</v>
      </c>
    </row>
    <row r="374" spans="1:12" ht="20.25" customHeight="1" x14ac:dyDescent="0.2">
      <c r="A374" s="139"/>
      <c r="B374" s="215" t="s">
        <v>370</v>
      </c>
      <c r="C374" s="184" t="s">
        <v>371</v>
      </c>
      <c r="D374" s="139">
        <v>16</v>
      </c>
      <c r="E374" s="310"/>
      <c r="F374" s="310"/>
      <c r="G374" s="310"/>
      <c r="H374" s="282">
        <f>D374</f>
        <v>16</v>
      </c>
      <c r="I374" s="268" t="s">
        <v>369</v>
      </c>
      <c r="J374" s="269">
        <v>260.60000000000002</v>
      </c>
      <c r="K374" s="217">
        <f t="shared" si="32"/>
        <v>220.84745762711867</v>
      </c>
      <c r="L374" s="218">
        <f t="shared" si="33"/>
        <v>3533.5593220338988</v>
      </c>
    </row>
    <row r="375" spans="1:12" ht="58.5" customHeight="1" x14ac:dyDescent="0.2">
      <c r="A375" s="116">
        <v>31</v>
      </c>
      <c r="B375" s="206">
        <v>9.9700000000000006</v>
      </c>
      <c r="C375" s="308" t="s">
        <v>372</v>
      </c>
      <c r="D375" s="119"/>
      <c r="E375" s="121"/>
      <c r="F375" s="121"/>
      <c r="G375" s="121"/>
      <c r="H375" s="263"/>
      <c r="I375" s="122"/>
      <c r="J375" s="209"/>
      <c r="K375" s="217">
        <f t="shared" si="32"/>
        <v>0</v>
      </c>
      <c r="L375" s="218">
        <f t="shared" si="33"/>
        <v>0</v>
      </c>
    </row>
    <row r="376" spans="1:12" ht="21.75" customHeight="1" x14ac:dyDescent="0.2">
      <c r="A376" s="124"/>
      <c r="B376" s="211" t="s">
        <v>373</v>
      </c>
      <c r="C376" s="294" t="s">
        <v>374</v>
      </c>
      <c r="D376" s="139">
        <v>4</v>
      </c>
      <c r="E376" s="310"/>
      <c r="F376" s="310"/>
      <c r="G376" s="310"/>
      <c r="H376" s="282">
        <f>D376</f>
        <v>4</v>
      </c>
      <c r="I376" s="268" t="s">
        <v>369</v>
      </c>
      <c r="J376" s="269">
        <v>130.1</v>
      </c>
      <c r="K376" s="217">
        <f t="shared" si="32"/>
        <v>110.2542372881356</v>
      </c>
      <c r="L376" s="218">
        <f t="shared" si="33"/>
        <v>441.0169491525424</v>
      </c>
    </row>
    <row r="377" spans="1:12" x14ac:dyDescent="0.2">
      <c r="A377" s="139"/>
      <c r="B377" s="188" t="s">
        <v>375</v>
      </c>
      <c r="C377" s="183" t="s">
        <v>376</v>
      </c>
      <c r="D377" s="139">
        <v>16</v>
      </c>
      <c r="E377" s="310"/>
      <c r="F377" s="310"/>
      <c r="G377" s="310"/>
      <c r="H377" s="282">
        <f>D377</f>
        <v>16</v>
      </c>
      <c r="I377" s="268" t="s">
        <v>369</v>
      </c>
      <c r="J377" s="269">
        <v>115.15</v>
      </c>
      <c r="K377" s="217">
        <f t="shared" si="32"/>
        <v>97.584745762711862</v>
      </c>
      <c r="L377" s="218">
        <f t="shared" si="33"/>
        <v>1561.3559322033898</v>
      </c>
    </row>
    <row r="378" spans="1:12" ht="51" x14ac:dyDescent="0.2">
      <c r="A378" s="124">
        <v>32</v>
      </c>
      <c r="B378" s="211">
        <v>9.98</v>
      </c>
      <c r="C378" s="312" t="s">
        <v>377</v>
      </c>
      <c r="D378" s="139">
        <v>16</v>
      </c>
      <c r="E378" s="310"/>
      <c r="F378" s="310"/>
      <c r="G378" s="310"/>
      <c r="H378" s="282">
        <f>D378</f>
        <v>16</v>
      </c>
      <c r="I378" s="268" t="s">
        <v>378</v>
      </c>
      <c r="J378" s="269">
        <v>100.8</v>
      </c>
      <c r="K378" s="217">
        <f t="shared" si="32"/>
        <v>85.423728813559322</v>
      </c>
      <c r="L378" s="218">
        <f t="shared" si="33"/>
        <v>1366.7796610169491</v>
      </c>
    </row>
    <row r="379" spans="1:12" ht="61.5" customHeight="1" x14ac:dyDescent="0.2">
      <c r="A379" s="116">
        <v>33</v>
      </c>
      <c r="B379" s="313">
        <v>9.1</v>
      </c>
      <c r="C379" s="118" t="s">
        <v>379</v>
      </c>
      <c r="D379" s="119"/>
      <c r="E379" s="121"/>
      <c r="F379" s="121"/>
      <c r="G379" s="121"/>
      <c r="H379" s="263"/>
      <c r="I379" s="122"/>
      <c r="J379" s="209"/>
      <c r="K379" s="217">
        <f t="shared" si="32"/>
        <v>0</v>
      </c>
      <c r="L379" s="218">
        <f t="shared" si="33"/>
        <v>0</v>
      </c>
    </row>
    <row r="380" spans="1:12" ht="14.25" x14ac:dyDescent="0.2">
      <c r="A380" s="124"/>
      <c r="B380" s="286" t="s">
        <v>380</v>
      </c>
      <c r="C380" s="177" t="s">
        <v>381</v>
      </c>
      <c r="D380" s="133">
        <v>32</v>
      </c>
      <c r="E380" s="135"/>
      <c r="F380" s="135"/>
      <c r="G380" s="135"/>
      <c r="H380" s="242">
        <v>22</v>
      </c>
      <c r="I380" s="136" t="s">
        <v>382</v>
      </c>
      <c r="J380" s="213">
        <v>66.25</v>
      </c>
      <c r="K380" s="217">
        <f t="shared" si="32"/>
        <v>56.144067796610166</v>
      </c>
      <c r="L380" s="218">
        <f t="shared" si="33"/>
        <v>1235.1694915254236</v>
      </c>
    </row>
    <row r="381" spans="1:12" ht="14.25" x14ac:dyDescent="0.2">
      <c r="A381" s="139"/>
      <c r="B381" s="286" t="s">
        <v>383</v>
      </c>
      <c r="C381" s="177" t="s">
        <v>384</v>
      </c>
      <c r="D381" s="133">
        <v>16</v>
      </c>
      <c r="E381" s="135"/>
      <c r="F381" s="135"/>
      <c r="G381" s="135"/>
      <c r="H381" s="242">
        <v>20</v>
      </c>
      <c r="I381" s="136" t="s">
        <v>382</v>
      </c>
      <c r="J381" s="213">
        <v>59.55</v>
      </c>
      <c r="K381" s="217">
        <f t="shared" si="32"/>
        <v>50.466101694915253</v>
      </c>
      <c r="L381" s="218">
        <f t="shared" si="33"/>
        <v>1009.3220338983051</v>
      </c>
    </row>
    <row r="382" spans="1:12" ht="54.75" customHeight="1" x14ac:dyDescent="0.2">
      <c r="A382" s="116">
        <v>34</v>
      </c>
      <c r="B382" s="175">
        <v>9.1010000000000009</v>
      </c>
      <c r="C382" s="118" t="s">
        <v>385</v>
      </c>
      <c r="D382" s="119"/>
      <c r="E382" s="121"/>
      <c r="F382" s="121"/>
      <c r="G382" s="121"/>
      <c r="H382" s="263"/>
      <c r="I382" s="122"/>
      <c r="J382" s="209"/>
      <c r="K382" s="217">
        <f t="shared" si="32"/>
        <v>0</v>
      </c>
      <c r="L382" s="218">
        <f t="shared" si="33"/>
        <v>0</v>
      </c>
    </row>
    <row r="383" spans="1:12" ht="14.25" x14ac:dyDescent="0.2">
      <c r="A383" s="139"/>
      <c r="B383" s="280" t="s">
        <v>386</v>
      </c>
      <c r="C383" s="297" t="s">
        <v>387</v>
      </c>
      <c r="D383" s="142">
        <v>20</v>
      </c>
      <c r="E383" s="145"/>
      <c r="F383" s="145"/>
      <c r="G383" s="145"/>
      <c r="H383" s="216">
        <v>13</v>
      </c>
      <c r="I383" s="314" t="s">
        <v>382</v>
      </c>
      <c r="J383" s="215">
        <v>72.349999999999994</v>
      </c>
      <c r="K383" s="217">
        <f t="shared" si="32"/>
        <v>61.313559322033889</v>
      </c>
      <c r="L383" s="218">
        <f t="shared" si="33"/>
        <v>797.07627118644052</v>
      </c>
    </row>
    <row r="384" spans="1:12" ht="34.5" customHeight="1" x14ac:dyDescent="0.2">
      <c r="A384" s="116">
        <v>35</v>
      </c>
      <c r="B384" s="206">
        <v>10.28</v>
      </c>
      <c r="C384" s="207" t="s">
        <v>388</v>
      </c>
      <c r="D384" s="119"/>
      <c r="E384" s="120"/>
      <c r="F384" s="120"/>
      <c r="G384" s="120"/>
      <c r="H384" s="208"/>
      <c r="I384" s="122"/>
      <c r="J384" s="209"/>
      <c r="K384" s="217">
        <f t="shared" si="32"/>
        <v>0</v>
      </c>
      <c r="L384" s="218">
        <f t="shared" si="33"/>
        <v>0</v>
      </c>
    </row>
    <row r="385" spans="1:12" x14ac:dyDescent="0.2">
      <c r="A385" s="124"/>
      <c r="B385" s="211"/>
      <c r="C385" s="183" t="s">
        <v>389</v>
      </c>
      <c r="D385" s="133">
        <v>2</v>
      </c>
      <c r="E385" s="135">
        <v>3.76</v>
      </c>
      <c r="F385" s="135"/>
      <c r="G385" s="135"/>
      <c r="H385" s="212">
        <f>E385*D385</f>
        <v>7.52</v>
      </c>
      <c r="I385" s="136"/>
      <c r="J385" s="213"/>
      <c r="K385" s="217">
        <f t="shared" si="32"/>
        <v>0</v>
      </c>
      <c r="L385" s="218">
        <f t="shared" si="33"/>
        <v>0</v>
      </c>
    </row>
    <row r="386" spans="1:12" x14ac:dyDescent="0.2">
      <c r="A386" s="124" t="s">
        <v>91</v>
      </c>
      <c r="B386" s="211"/>
      <c r="C386" s="183" t="s">
        <v>512</v>
      </c>
      <c r="D386" s="133">
        <v>8</v>
      </c>
      <c r="E386" s="135">
        <f>1.5*2+3.3</f>
        <v>6.3</v>
      </c>
      <c r="F386" s="135"/>
      <c r="G386" s="135"/>
      <c r="H386" s="212">
        <f>E386*D386</f>
        <v>50.4</v>
      </c>
      <c r="I386" s="136"/>
      <c r="J386" s="213"/>
      <c r="K386" s="217">
        <f t="shared" si="32"/>
        <v>0</v>
      </c>
      <c r="L386" s="218">
        <f t="shared" si="33"/>
        <v>0</v>
      </c>
    </row>
    <row r="387" spans="1:12" x14ac:dyDescent="0.2">
      <c r="A387" s="124"/>
      <c r="B387" s="211"/>
      <c r="C387" s="183"/>
      <c r="D387" s="133">
        <v>4</v>
      </c>
      <c r="E387" s="135">
        <v>3.3</v>
      </c>
      <c r="F387" s="135"/>
      <c r="G387" s="135"/>
      <c r="H387" s="212">
        <f>E387*D387</f>
        <v>13.2</v>
      </c>
      <c r="I387" s="136"/>
      <c r="J387" s="213"/>
      <c r="K387" s="217">
        <f t="shared" si="32"/>
        <v>0</v>
      </c>
      <c r="L387" s="218">
        <f t="shared" si="33"/>
        <v>0</v>
      </c>
    </row>
    <row r="388" spans="1:12" x14ac:dyDescent="0.2">
      <c r="A388" s="139"/>
      <c r="B388" s="215"/>
      <c r="C388" s="180" t="s">
        <v>117</v>
      </c>
      <c r="D388" s="133"/>
      <c r="E388" s="135"/>
      <c r="F388" s="135"/>
      <c r="G388" s="135"/>
      <c r="H388" s="242">
        <v>350</v>
      </c>
      <c r="I388" s="136" t="s">
        <v>195</v>
      </c>
      <c r="J388" s="213">
        <v>772.4</v>
      </c>
      <c r="K388" s="217">
        <f t="shared" si="32"/>
        <v>654.57627118644064</v>
      </c>
      <c r="L388" s="218">
        <f t="shared" si="33"/>
        <v>229101.69491525422</v>
      </c>
    </row>
    <row r="389" spans="1:12" ht="25.5" x14ac:dyDescent="0.2">
      <c r="A389" s="116">
        <v>36</v>
      </c>
      <c r="B389" s="117">
        <v>13.26</v>
      </c>
      <c r="C389" s="219" t="s">
        <v>390</v>
      </c>
      <c r="D389" s="119"/>
      <c r="E389" s="120"/>
      <c r="F389" s="120"/>
      <c r="G389" s="120"/>
      <c r="H389" s="208"/>
      <c r="I389" s="122"/>
      <c r="J389" s="209"/>
      <c r="K389" s="217">
        <f t="shared" si="32"/>
        <v>0</v>
      </c>
      <c r="L389" s="218">
        <f t="shared" si="33"/>
        <v>0</v>
      </c>
    </row>
    <row r="390" spans="1:12" x14ac:dyDescent="0.2">
      <c r="A390" s="124"/>
      <c r="B390" s="125"/>
      <c r="C390" s="220" t="s">
        <v>391</v>
      </c>
      <c r="D390" s="133"/>
      <c r="E390" s="134"/>
      <c r="F390" s="134"/>
      <c r="G390" s="134"/>
      <c r="H390" s="242">
        <f>H267</f>
        <v>540</v>
      </c>
      <c r="I390" s="136" t="s">
        <v>91</v>
      </c>
      <c r="J390" s="213" t="s">
        <v>91</v>
      </c>
      <c r="K390" s="217" t="e">
        <f t="shared" si="32"/>
        <v>#VALUE!</v>
      </c>
      <c r="L390" s="218">
        <v>0</v>
      </c>
    </row>
    <row r="391" spans="1:12" x14ac:dyDescent="0.2">
      <c r="A391" s="124"/>
      <c r="B391" s="125"/>
      <c r="C391" s="220" t="s">
        <v>392</v>
      </c>
      <c r="D391" s="133"/>
      <c r="E391" s="134"/>
      <c r="F391" s="134"/>
      <c r="G391" s="134"/>
      <c r="H391" s="242">
        <f>H270</f>
        <v>265</v>
      </c>
      <c r="I391" s="136"/>
      <c r="J391" s="213"/>
      <c r="K391" s="217">
        <f t="shared" si="32"/>
        <v>0</v>
      </c>
      <c r="L391" s="218">
        <f t="shared" si="33"/>
        <v>0</v>
      </c>
    </row>
    <row r="392" spans="1:12" x14ac:dyDescent="0.2">
      <c r="A392" s="124"/>
      <c r="B392" s="125"/>
      <c r="C392" s="220" t="s">
        <v>393</v>
      </c>
      <c r="D392" s="133"/>
      <c r="E392" s="134"/>
      <c r="F392" s="134"/>
      <c r="G392" s="134"/>
      <c r="H392" s="242">
        <f>H238</f>
        <v>490</v>
      </c>
      <c r="I392" s="136"/>
      <c r="J392" s="213"/>
      <c r="K392" s="217">
        <f t="shared" si="32"/>
        <v>0</v>
      </c>
      <c r="L392" s="218">
        <f t="shared" si="33"/>
        <v>0</v>
      </c>
    </row>
    <row r="393" spans="1:12" x14ac:dyDescent="0.2">
      <c r="A393" s="124"/>
      <c r="B393" s="125"/>
      <c r="C393" s="220" t="s">
        <v>394</v>
      </c>
      <c r="D393" s="133" t="s">
        <v>91</v>
      </c>
      <c r="E393" s="134"/>
      <c r="F393" s="134"/>
      <c r="G393" s="134"/>
      <c r="H393" s="242">
        <f>-H333</f>
        <v>-310</v>
      </c>
      <c r="I393" s="136"/>
      <c r="J393" s="213"/>
      <c r="K393" s="217">
        <f t="shared" si="32"/>
        <v>0</v>
      </c>
      <c r="L393" s="218">
        <f t="shared" si="33"/>
        <v>0</v>
      </c>
    </row>
    <row r="394" spans="1:12" x14ac:dyDescent="0.2">
      <c r="A394" s="139"/>
      <c r="B394" s="140"/>
      <c r="C394" s="221" t="s">
        <v>207</v>
      </c>
      <c r="D394" s="142"/>
      <c r="E394" s="143"/>
      <c r="F394" s="143"/>
      <c r="G394" s="143"/>
      <c r="H394" s="216">
        <f>SUM(H390:H393)</f>
        <v>985</v>
      </c>
      <c r="I394" s="141" t="s">
        <v>128</v>
      </c>
      <c r="J394" s="217">
        <v>262.7</v>
      </c>
      <c r="K394" s="217">
        <f t="shared" ref="K394:K416" si="34">J394*100/118</f>
        <v>222.62711864406779</v>
      </c>
      <c r="L394" s="218">
        <f t="shared" ref="L394:L416" si="35">K394*H394</f>
        <v>219287.71186440677</v>
      </c>
    </row>
    <row r="395" spans="1:12" x14ac:dyDescent="0.2">
      <c r="A395" s="116">
        <v>37</v>
      </c>
      <c r="B395" s="206" t="s">
        <v>395</v>
      </c>
      <c r="C395" s="207" t="s">
        <v>396</v>
      </c>
      <c r="D395" s="119"/>
      <c r="E395" s="120"/>
      <c r="F395" s="120"/>
      <c r="G395" s="120"/>
      <c r="H395" s="208"/>
      <c r="I395" s="122"/>
      <c r="J395" s="209"/>
      <c r="K395" s="217">
        <f t="shared" si="34"/>
        <v>0</v>
      </c>
      <c r="L395" s="218">
        <f t="shared" si="35"/>
        <v>0</v>
      </c>
    </row>
    <row r="396" spans="1:12" x14ac:dyDescent="0.2">
      <c r="A396" s="139"/>
      <c r="B396" s="140"/>
      <c r="C396" s="316" t="s">
        <v>397</v>
      </c>
      <c r="D396" s="142"/>
      <c r="E396" s="143"/>
      <c r="F396" s="143"/>
      <c r="G396" s="143"/>
      <c r="H396" s="216">
        <f>H394</f>
        <v>985</v>
      </c>
      <c r="I396" s="141" t="s">
        <v>128</v>
      </c>
      <c r="J396" s="217">
        <v>142.80000000000001</v>
      </c>
      <c r="K396" s="217">
        <f t="shared" si="34"/>
        <v>121.0169491525424</v>
      </c>
      <c r="L396" s="218">
        <f t="shared" si="35"/>
        <v>119201.69491525427</v>
      </c>
    </row>
    <row r="397" spans="1:12" ht="25.5" x14ac:dyDescent="0.2">
      <c r="A397" s="116">
        <v>38</v>
      </c>
      <c r="B397" s="117">
        <v>13.47</v>
      </c>
      <c r="C397" s="219" t="s">
        <v>398</v>
      </c>
      <c r="D397" s="119"/>
      <c r="E397" s="120"/>
      <c r="F397" s="120"/>
      <c r="G397" s="120"/>
      <c r="H397" s="208"/>
      <c r="I397" s="122"/>
      <c r="J397" s="209"/>
      <c r="K397" s="217">
        <f t="shared" si="34"/>
        <v>0</v>
      </c>
      <c r="L397" s="218">
        <f t="shared" si="35"/>
        <v>0</v>
      </c>
    </row>
    <row r="398" spans="1:12" ht="38.25" x14ac:dyDescent="0.2">
      <c r="A398" s="124"/>
      <c r="B398" s="125" t="s">
        <v>399</v>
      </c>
      <c r="C398" s="238" t="s">
        <v>400</v>
      </c>
      <c r="D398" s="127"/>
      <c r="E398" s="128"/>
      <c r="F398" s="128"/>
      <c r="G398" s="128"/>
      <c r="H398" s="239"/>
      <c r="I398" s="130"/>
      <c r="J398" s="240"/>
      <c r="K398" s="217">
        <f t="shared" si="34"/>
        <v>0</v>
      </c>
      <c r="L398" s="218">
        <f t="shared" si="35"/>
        <v>0</v>
      </c>
    </row>
    <row r="399" spans="1:12" x14ac:dyDescent="0.2">
      <c r="A399" s="139"/>
      <c r="B399" s="140"/>
      <c r="C399" s="316" t="s">
        <v>513</v>
      </c>
      <c r="D399" s="142"/>
      <c r="E399" s="143"/>
      <c r="F399" s="143"/>
      <c r="G399" s="143"/>
      <c r="H399" s="216">
        <f>H274</f>
        <v>520</v>
      </c>
      <c r="I399" s="141" t="s">
        <v>128</v>
      </c>
      <c r="J399" s="217">
        <v>171.1</v>
      </c>
      <c r="K399" s="217">
        <f t="shared" si="34"/>
        <v>145</v>
      </c>
      <c r="L399" s="218">
        <f t="shared" si="35"/>
        <v>75400</v>
      </c>
    </row>
    <row r="400" spans="1:12" ht="25.5" x14ac:dyDescent="0.2">
      <c r="A400" s="116">
        <v>39</v>
      </c>
      <c r="B400" s="117">
        <v>13.61</v>
      </c>
      <c r="C400" s="219" t="s">
        <v>402</v>
      </c>
      <c r="D400" s="119"/>
      <c r="E400" s="120"/>
      <c r="F400" s="120"/>
      <c r="G400" s="120"/>
      <c r="H400" s="263"/>
      <c r="I400" s="122"/>
      <c r="J400" s="209"/>
      <c r="K400" s="217">
        <f t="shared" si="34"/>
        <v>0</v>
      </c>
      <c r="L400" s="218">
        <f t="shared" si="35"/>
        <v>0</v>
      </c>
    </row>
    <row r="401" spans="1:12" ht="18.75" customHeight="1" x14ac:dyDescent="0.2">
      <c r="A401" s="124" t="s">
        <v>91</v>
      </c>
      <c r="B401" s="125" t="s">
        <v>403</v>
      </c>
      <c r="C401" s="238" t="s">
        <v>404</v>
      </c>
      <c r="D401" s="127"/>
      <c r="E401" s="128"/>
      <c r="F401" s="128"/>
      <c r="G401" s="128"/>
      <c r="H401" s="264"/>
      <c r="I401" s="130"/>
      <c r="J401" s="240"/>
      <c r="K401" s="217">
        <f t="shared" si="34"/>
        <v>0</v>
      </c>
      <c r="L401" s="218">
        <f t="shared" si="35"/>
        <v>0</v>
      </c>
    </row>
    <row r="402" spans="1:12" ht="15.75" customHeight="1" x14ac:dyDescent="0.2">
      <c r="A402" s="139"/>
      <c r="B402" s="215"/>
      <c r="C402" s="347" t="s">
        <v>91</v>
      </c>
      <c r="D402" s="139">
        <v>1</v>
      </c>
      <c r="E402" s="310">
        <f>H357+E407</f>
        <v>73</v>
      </c>
      <c r="F402" s="310">
        <v>2.5</v>
      </c>
      <c r="G402" s="310"/>
      <c r="H402" s="282">
        <v>180</v>
      </c>
      <c r="I402" s="268" t="s">
        <v>128</v>
      </c>
      <c r="J402" s="269">
        <v>155.9</v>
      </c>
      <c r="K402" s="217">
        <f t="shared" si="34"/>
        <v>132.11864406779662</v>
      </c>
      <c r="L402" s="218">
        <f t="shared" si="35"/>
        <v>23781.355932203391</v>
      </c>
    </row>
    <row r="403" spans="1:12" ht="30.75" customHeight="1" x14ac:dyDescent="0.2">
      <c r="A403" s="116">
        <v>40</v>
      </c>
      <c r="B403" s="206">
        <v>10.18</v>
      </c>
      <c r="C403" s="219" t="s">
        <v>405</v>
      </c>
      <c r="D403" s="139">
        <v>32</v>
      </c>
      <c r="E403" s="310"/>
      <c r="F403" s="310"/>
      <c r="G403" s="310"/>
      <c r="H403" s="218">
        <f>D403</f>
        <v>32</v>
      </c>
      <c r="I403" s="268" t="s">
        <v>406</v>
      </c>
      <c r="J403" s="269">
        <v>220.65</v>
      </c>
      <c r="K403" s="217">
        <f t="shared" si="34"/>
        <v>186.9915254237288</v>
      </c>
      <c r="L403" s="218">
        <f t="shared" si="35"/>
        <v>5983.7288135593217</v>
      </c>
    </row>
    <row r="404" spans="1:12" ht="32.25" customHeight="1" x14ac:dyDescent="0.2">
      <c r="A404" s="234">
        <v>41</v>
      </c>
      <c r="B404" s="206">
        <v>9.4700000000000006</v>
      </c>
      <c r="C404" s="318" t="s">
        <v>407</v>
      </c>
      <c r="D404" s="243"/>
      <c r="E404" s="301" t="s">
        <v>91</v>
      </c>
      <c r="F404" s="301"/>
      <c r="G404" s="301"/>
      <c r="H404" s="302" t="s">
        <v>91</v>
      </c>
      <c r="I404" s="273"/>
      <c r="J404" s="274"/>
      <c r="K404" s="217">
        <f t="shared" si="34"/>
        <v>0</v>
      </c>
      <c r="L404" s="218">
        <v>0</v>
      </c>
    </row>
    <row r="405" spans="1:12" ht="20.25" customHeight="1" x14ac:dyDescent="0.2">
      <c r="A405" s="314"/>
      <c r="B405" s="188" t="s">
        <v>408</v>
      </c>
      <c r="C405" s="220" t="s">
        <v>409</v>
      </c>
      <c r="D405" s="243"/>
      <c r="E405" s="252">
        <f>2.4*8+1.05*4+1*8+0.9*4+1.8*4</f>
        <v>42.2</v>
      </c>
      <c r="F405" s="252"/>
      <c r="G405" s="252"/>
      <c r="H405" s="302">
        <v>42</v>
      </c>
      <c r="I405" s="273" t="s">
        <v>307</v>
      </c>
      <c r="J405" s="274">
        <v>175</v>
      </c>
      <c r="K405" s="217">
        <f t="shared" si="34"/>
        <v>148.30508474576271</v>
      </c>
      <c r="L405" s="218">
        <f t="shared" si="35"/>
        <v>6228.8135593220341</v>
      </c>
    </row>
    <row r="406" spans="1:12" ht="42" customHeight="1" x14ac:dyDescent="0.2">
      <c r="A406" s="234">
        <v>42</v>
      </c>
      <c r="B406" s="188">
        <v>9.48</v>
      </c>
      <c r="C406" s="220" t="s">
        <v>410</v>
      </c>
      <c r="D406" s="133"/>
      <c r="E406" s="135"/>
      <c r="F406" s="135"/>
      <c r="G406" s="135"/>
      <c r="H406" s="212"/>
      <c r="I406" s="136"/>
      <c r="J406" s="213"/>
      <c r="K406" s="217">
        <f t="shared" si="34"/>
        <v>0</v>
      </c>
      <c r="L406" s="218">
        <f t="shared" si="35"/>
        <v>0</v>
      </c>
    </row>
    <row r="407" spans="1:12" ht="25.5" x14ac:dyDescent="0.2">
      <c r="A407" s="314"/>
      <c r="B407" s="188" t="s">
        <v>411</v>
      </c>
      <c r="C407" s="220" t="s">
        <v>412</v>
      </c>
      <c r="D407" s="243"/>
      <c r="E407" s="301">
        <f>H366</f>
        <v>40</v>
      </c>
      <c r="F407" s="301"/>
      <c r="G407" s="301"/>
      <c r="H407" s="302">
        <f>E407*24</f>
        <v>960</v>
      </c>
      <c r="I407" s="273" t="s">
        <v>413</v>
      </c>
      <c r="J407" s="274">
        <v>283.35000000000002</v>
      </c>
      <c r="K407" s="217">
        <f t="shared" si="34"/>
        <v>240.12711864406782</v>
      </c>
      <c r="L407" s="218">
        <f t="shared" si="35"/>
        <v>230522.03389830512</v>
      </c>
    </row>
    <row r="408" spans="1:12" ht="38.25" x14ac:dyDescent="0.2">
      <c r="A408" s="348">
        <v>43</v>
      </c>
      <c r="B408" s="206">
        <v>22.5</v>
      </c>
      <c r="C408" s="349" t="s">
        <v>514</v>
      </c>
      <c r="D408" s="119"/>
      <c r="E408" s="271"/>
      <c r="F408" s="121"/>
      <c r="G408" s="121"/>
      <c r="H408" s="272"/>
      <c r="I408" s="254"/>
      <c r="J408" s="255"/>
      <c r="K408" s="217">
        <f t="shared" si="34"/>
        <v>0</v>
      </c>
      <c r="L408" s="218">
        <f t="shared" si="35"/>
        <v>0</v>
      </c>
    </row>
    <row r="409" spans="1:12" ht="38.25" x14ac:dyDescent="0.2">
      <c r="A409" s="348"/>
      <c r="B409" s="211"/>
      <c r="C409" s="276" t="s">
        <v>515</v>
      </c>
      <c r="D409" s="127"/>
      <c r="E409" s="249"/>
      <c r="F409" s="129"/>
      <c r="G409" s="129"/>
      <c r="H409" s="298"/>
      <c r="I409" s="260"/>
      <c r="J409" s="261"/>
      <c r="K409" s="217">
        <f t="shared" si="34"/>
        <v>0</v>
      </c>
      <c r="L409" s="218">
        <f t="shared" si="35"/>
        <v>0</v>
      </c>
    </row>
    <row r="410" spans="1:12" ht="51" x14ac:dyDescent="0.2">
      <c r="A410" s="348"/>
      <c r="B410" s="211"/>
      <c r="C410" s="350" t="s">
        <v>516</v>
      </c>
      <c r="D410" s="127"/>
      <c r="E410" s="249"/>
      <c r="F410" s="129"/>
      <c r="G410" s="129"/>
      <c r="H410" s="298"/>
      <c r="I410" s="260"/>
      <c r="J410" s="261"/>
      <c r="K410" s="217">
        <f t="shared" si="34"/>
        <v>0</v>
      </c>
      <c r="L410" s="218">
        <f t="shared" si="35"/>
        <v>0</v>
      </c>
    </row>
    <row r="411" spans="1:12" ht="38.25" x14ac:dyDescent="0.2">
      <c r="A411" s="348"/>
      <c r="B411" s="211"/>
      <c r="C411" s="276" t="s">
        <v>517</v>
      </c>
      <c r="D411" s="127"/>
      <c r="E411" s="249"/>
      <c r="F411" s="129"/>
      <c r="G411" s="129"/>
      <c r="H411" s="298"/>
      <c r="I411" s="260"/>
      <c r="J411" s="261"/>
      <c r="K411" s="217">
        <f t="shared" si="34"/>
        <v>0</v>
      </c>
      <c r="L411" s="218">
        <f t="shared" si="35"/>
        <v>0</v>
      </c>
    </row>
    <row r="412" spans="1:12" x14ac:dyDescent="0.2">
      <c r="A412" s="348"/>
      <c r="B412" s="211"/>
      <c r="C412" s="220" t="s">
        <v>322</v>
      </c>
      <c r="D412" s="133">
        <v>4</v>
      </c>
      <c r="E412" s="135">
        <v>1.6</v>
      </c>
      <c r="F412" s="135">
        <v>2.25</v>
      </c>
      <c r="G412" s="301"/>
      <c r="H412" s="302">
        <f>F412*E412*D412</f>
        <v>14.4</v>
      </c>
      <c r="I412" s="136"/>
      <c r="J412" s="213"/>
      <c r="K412" s="217">
        <f t="shared" si="34"/>
        <v>0</v>
      </c>
      <c r="L412" s="218">
        <f t="shared" si="35"/>
        <v>0</v>
      </c>
    </row>
    <row r="413" spans="1:12" x14ac:dyDescent="0.2">
      <c r="A413" s="348"/>
      <c r="B413" s="211"/>
      <c r="C413" s="220" t="s">
        <v>518</v>
      </c>
      <c r="D413" s="133">
        <v>4</v>
      </c>
      <c r="E413" s="135">
        <f>(1.6+2.25)*2</f>
        <v>7.7</v>
      </c>
      <c r="F413" s="135">
        <v>0.45</v>
      </c>
      <c r="G413" s="301"/>
      <c r="H413" s="302">
        <f>F413*E413*D413</f>
        <v>13.860000000000001</v>
      </c>
      <c r="I413" s="136"/>
      <c r="J413" s="213"/>
      <c r="K413" s="217">
        <f t="shared" si="34"/>
        <v>0</v>
      </c>
      <c r="L413" s="218">
        <f t="shared" si="35"/>
        <v>0</v>
      </c>
    </row>
    <row r="414" spans="1:12" x14ac:dyDescent="0.2">
      <c r="A414" s="348"/>
      <c r="B414" s="211"/>
      <c r="C414" s="220" t="s">
        <v>322</v>
      </c>
      <c r="D414" s="133">
        <v>4</v>
      </c>
      <c r="E414" s="135">
        <v>1.625</v>
      </c>
      <c r="F414" s="135">
        <v>2.15</v>
      </c>
      <c r="G414" s="301"/>
      <c r="H414" s="302">
        <f>F414*E414*D414</f>
        <v>13.975</v>
      </c>
      <c r="I414" s="136"/>
      <c r="J414" s="213"/>
      <c r="K414" s="217">
        <f t="shared" si="34"/>
        <v>0</v>
      </c>
      <c r="L414" s="218">
        <f t="shared" si="35"/>
        <v>0</v>
      </c>
    </row>
    <row r="415" spans="1:12" x14ac:dyDescent="0.2">
      <c r="A415" s="348"/>
      <c r="B415" s="211"/>
      <c r="C415" s="225" t="s">
        <v>518</v>
      </c>
      <c r="D415" s="188">
        <v>4</v>
      </c>
      <c r="E415" s="301">
        <f>(1.63+2.15)*2</f>
        <v>7.56</v>
      </c>
      <c r="F415" s="301">
        <v>0.45</v>
      </c>
      <c r="G415" s="301"/>
      <c r="H415" s="302">
        <f>F415*E415*D415</f>
        <v>13.607999999999999</v>
      </c>
      <c r="I415" s="136"/>
      <c r="J415" s="213"/>
      <c r="K415" s="217">
        <f t="shared" si="34"/>
        <v>0</v>
      </c>
      <c r="L415" s="218">
        <f t="shared" si="35"/>
        <v>0</v>
      </c>
    </row>
    <row r="416" spans="1:12" x14ac:dyDescent="0.2">
      <c r="A416" s="348"/>
      <c r="B416" s="215"/>
      <c r="C416" s="141" t="s">
        <v>117</v>
      </c>
      <c r="D416" s="142"/>
      <c r="E416" s="145" t="s">
        <v>91</v>
      </c>
      <c r="F416" s="145"/>
      <c r="G416" s="145"/>
      <c r="H416" s="216">
        <v>50</v>
      </c>
      <c r="I416" s="141" t="s">
        <v>128</v>
      </c>
      <c r="J416" s="217">
        <v>617.04999999999995</v>
      </c>
      <c r="K416" s="217">
        <f t="shared" si="34"/>
        <v>522.92372881355925</v>
      </c>
      <c r="L416" s="218">
        <f t="shared" si="35"/>
        <v>26146.186440677964</v>
      </c>
    </row>
    <row r="417" spans="1:12" x14ac:dyDescent="0.2">
      <c r="A417" s="236"/>
      <c r="B417" s="236"/>
      <c r="C417" s="351" t="s">
        <v>519</v>
      </c>
      <c r="D417" s="236"/>
      <c r="E417" s="236"/>
      <c r="F417" s="236"/>
      <c r="G417" s="236"/>
      <c r="H417" s="352"/>
      <c r="I417" s="953" t="s">
        <v>91</v>
      </c>
      <c r="J417" s="953"/>
      <c r="K417" s="353"/>
      <c r="L417" s="214">
        <f>SUM(L7:L416)</f>
        <v>9889429.2643008474</v>
      </c>
    </row>
    <row r="419" spans="1:12" ht="24.95" customHeight="1" x14ac:dyDescent="0.2"/>
  </sheetData>
  <sheetProtection algorithmName="SHA-512" hashValue="/F9Tofx17tt7r3q+VcnDSUbdpHLKATWDSJ6VeR6Nl3XMT6dykrUKMspRjPMKGbuBoLd2dz/0zX4YDTUwM7+GcQ==" saltValue="wMHNDzPqANx9+dnfG4TCDQ==" spinCount="100000" sheet="1" objects="1" scenarios="1" selectLockedCells="1" selectUnlockedCells="1"/>
  <mergeCells count="6">
    <mergeCell ref="I417:J417"/>
    <mergeCell ref="A3:I3"/>
    <mergeCell ref="E70:F70"/>
    <mergeCell ref="E95:F95"/>
    <mergeCell ref="E227:F227"/>
    <mergeCell ref="E299:F299"/>
  </mergeCells>
  <pageMargins left="0.7" right="0.7" top="0.75" bottom="0.75" header="0.3" footer="0.3"/>
  <pageSetup scale="6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3F7C0-49C0-4B76-A231-7171B0EFF31C}">
  <dimension ref="A2:S421"/>
  <sheetViews>
    <sheetView topLeftCell="A408" zoomScaleNormal="100" workbookViewId="0">
      <selection activeCell="L421" sqref="L421"/>
    </sheetView>
  </sheetViews>
  <sheetFormatPr defaultRowHeight="12.75" x14ac:dyDescent="0.2"/>
  <cols>
    <col min="1" max="1" width="5.140625" style="90" customWidth="1"/>
    <col min="2" max="2" width="7.42578125" style="90" customWidth="1"/>
    <col min="3" max="3" width="57" style="90" customWidth="1"/>
    <col min="4" max="4" width="5.140625" style="90" customWidth="1"/>
    <col min="5" max="5" width="6.5703125" style="90" customWidth="1"/>
    <col min="6" max="6" width="6.7109375" style="90" customWidth="1"/>
    <col min="7" max="7" width="7.5703125" style="90" customWidth="1"/>
    <col min="8" max="8" width="8.140625" style="90" customWidth="1"/>
    <col min="9" max="9" width="6.140625" style="90" customWidth="1"/>
    <col min="10" max="11" width="11" style="202" customWidth="1"/>
    <col min="12" max="12" width="13" style="203" customWidth="1"/>
    <col min="13" max="256" width="9.140625" style="90"/>
    <col min="257" max="257" width="5.140625" style="90" customWidth="1"/>
    <col min="258" max="258" width="7.42578125" style="90" customWidth="1"/>
    <col min="259" max="259" width="57" style="90" customWidth="1"/>
    <col min="260" max="260" width="5.140625" style="90" customWidth="1"/>
    <col min="261" max="261" width="6.5703125" style="90" customWidth="1"/>
    <col min="262" max="262" width="6.7109375" style="90" customWidth="1"/>
    <col min="263" max="263" width="7.5703125" style="90" customWidth="1"/>
    <col min="264" max="264" width="8.140625" style="90" customWidth="1"/>
    <col min="265" max="265" width="6.140625" style="90" customWidth="1"/>
    <col min="266" max="267" width="11" style="90" customWidth="1"/>
    <col min="268" max="268" width="13" style="90" customWidth="1"/>
    <col min="269" max="512" width="9.140625" style="90"/>
    <col min="513" max="513" width="5.140625" style="90" customWidth="1"/>
    <col min="514" max="514" width="7.42578125" style="90" customWidth="1"/>
    <col min="515" max="515" width="57" style="90" customWidth="1"/>
    <col min="516" max="516" width="5.140625" style="90" customWidth="1"/>
    <col min="517" max="517" width="6.5703125" style="90" customWidth="1"/>
    <col min="518" max="518" width="6.7109375" style="90" customWidth="1"/>
    <col min="519" max="519" width="7.5703125" style="90" customWidth="1"/>
    <col min="520" max="520" width="8.140625" style="90" customWidth="1"/>
    <col min="521" max="521" width="6.140625" style="90" customWidth="1"/>
    <col min="522" max="523" width="11" style="90" customWidth="1"/>
    <col min="524" max="524" width="13" style="90" customWidth="1"/>
    <col min="525" max="768" width="9.140625" style="90"/>
    <col min="769" max="769" width="5.140625" style="90" customWidth="1"/>
    <col min="770" max="770" width="7.42578125" style="90" customWidth="1"/>
    <col min="771" max="771" width="57" style="90" customWidth="1"/>
    <col min="772" max="772" width="5.140625" style="90" customWidth="1"/>
    <col min="773" max="773" width="6.5703125" style="90" customWidth="1"/>
    <col min="774" max="774" width="6.7109375" style="90" customWidth="1"/>
    <col min="775" max="775" width="7.5703125" style="90" customWidth="1"/>
    <col min="776" max="776" width="8.140625" style="90" customWidth="1"/>
    <col min="777" max="777" width="6.140625" style="90" customWidth="1"/>
    <col min="778" max="779" width="11" style="90" customWidth="1"/>
    <col min="780" max="780" width="13" style="90" customWidth="1"/>
    <col min="781" max="1024" width="9.140625" style="90"/>
    <col min="1025" max="1025" width="5.140625" style="90" customWidth="1"/>
    <col min="1026" max="1026" width="7.42578125" style="90" customWidth="1"/>
    <col min="1027" max="1027" width="57" style="90" customWidth="1"/>
    <col min="1028" max="1028" width="5.140625" style="90" customWidth="1"/>
    <col min="1029" max="1029" width="6.5703125" style="90" customWidth="1"/>
    <col min="1030" max="1030" width="6.7109375" style="90" customWidth="1"/>
    <col min="1031" max="1031" width="7.5703125" style="90" customWidth="1"/>
    <col min="1032" max="1032" width="8.140625" style="90" customWidth="1"/>
    <col min="1033" max="1033" width="6.140625" style="90" customWidth="1"/>
    <col min="1034" max="1035" width="11" style="90" customWidth="1"/>
    <col min="1036" max="1036" width="13" style="90" customWidth="1"/>
    <col min="1037" max="1280" width="9.140625" style="90"/>
    <col min="1281" max="1281" width="5.140625" style="90" customWidth="1"/>
    <col min="1282" max="1282" width="7.42578125" style="90" customWidth="1"/>
    <col min="1283" max="1283" width="57" style="90" customWidth="1"/>
    <col min="1284" max="1284" width="5.140625" style="90" customWidth="1"/>
    <col min="1285" max="1285" width="6.5703125" style="90" customWidth="1"/>
    <col min="1286" max="1286" width="6.7109375" style="90" customWidth="1"/>
    <col min="1287" max="1287" width="7.5703125" style="90" customWidth="1"/>
    <col min="1288" max="1288" width="8.140625" style="90" customWidth="1"/>
    <col min="1289" max="1289" width="6.140625" style="90" customWidth="1"/>
    <col min="1290" max="1291" width="11" style="90" customWidth="1"/>
    <col min="1292" max="1292" width="13" style="90" customWidth="1"/>
    <col min="1293" max="1536" width="9.140625" style="90"/>
    <col min="1537" max="1537" width="5.140625" style="90" customWidth="1"/>
    <col min="1538" max="1538" width="7.42578125" style="90" customWidth="1"/>
    <col min="1539" max="1539" width="57" style="90" customWidth="1"/>
    <col min="1540" max="1540" width="5.140625" style="90" customWidth="1"/>
    <col min="1541" max="1541" width="6.5703125" style="90" customWidth="1"/>
    <col min="1542" max="1542" width="6.7109375" style="90" customWidth="1"/>
    <col min="1543" max="1543" width="7.5703125" style="90" customWidth="1"/>
    <col min="1544" max="1544" width="8.140625" style="90" customWidth="1"/>
    <col min="1545" max="1545" width="6.140625" style="90" customWidth="1"/>
    <col min="1546" max="1547" width="11" style="90" customWidth="1"/>
    <col min="1548" max="1548" width="13" style="90" customWidth="1"/>
    <col min="1549" max="1792" width="9.140625" style="90"/>
    <col min="1793" max="1793" width="5.140625" style="90" customWidth="1"/>
    <col min="1794" max="1794" width="7.42578125" style="90" customWidth="1"/>
    <col min="1795" max="1795" width="57" style="90" customWidth="1"/>
    <col min="1796" max="1796" width="5.140625" style="90" customWidth="1"/>
    <col min="1797" max="1797" width="6.5703125" style="90" customWidth="1"/>
    <col min="1798" max="1798" width="6.7109375" style="90" customWidth="1"/>
    <col min="1799" max="1799" width="7.5703125" style="90" customWidth="1"/>
    <col min="1800" max="1800" width="8.140625" style="90" customWidth="1"/>
    <col min="1801" max="1801" width="6.140625" style="90" customWidth="1"/>
    <col min="1802" max="1803" width="11" style="90" customWidth="1"/>
    <col min="1804" max="1804" width="13" style="90" customWidth="1"/>
    <col min="1805" max="2048" width="9.140625" style="90"/>
    <col min="2049" max="2049" width="5.140625" style="90" customWidth="1"/>
    <col min="2050" max="2050" width="7.42578125" style="90" customWidth="1"/>
    <col min="2051" max="2051" width="57" style="90" customWidth="1"/>
    <col min="2052" max="2052" width="5.140625" style="90" customWidth="1"/>
    <col min="2053" max="2053" width="6.5703125" style="90" customWidth="1"/>
    <col min="2054" max="2054" width="6.7109375" style="90" customWidth="1"/>
    <col min="2055" max="2055" width="7.5703125" style="90" customWidth="1"/>
    <col min="2056" max="2056" width="8.140625" style="90" customWidth="1"/>
    <col min="2057" max="2057" width="6.140625" style="90" customWidth="1"/>
    <col min="2058" max="2059" width="11" style="90" customWidth="1"/>
    <col min="2060" max="2060" width="13" style="90" customWidth="1"/>
    <col min="2061" max="2304" width="9.140625" style="90"/>
    <col min="2305" max="2305" width="5.140625" style="90" customWidth="1"/>
    <col min="2306" max="2306" width="7.42578125" style="90" customWidth="1"/>
    <col min="2307" max="2307" width="57" style="90" customWidth="1"/>
    <col min="2308" max="2308" width="5.140625" style="90" customWidth="1"/>
    <col min="2309" max="2309" width="6.5703125" style="90" customWidth="1"/>
    <col min="2310" max="2310" width="6.7109375" style="90" customWidth="1"/>
    <col min="2311" max="2311" width="7.5703125" style="90" customWidth="1"/>
    <col min="2312" max="2312" width="8.140625" style="90" customWidth="1"/>
    <col min="2313" max="2313" width="6.140625" style="90" customWidth="1"/>
    <col min="2314" max="2315" width="11" style="90" customWidth="1"/>
    <col min="2316" max="2316" width="13" style="90" customWidth="1"/>
    <col min="2317" max="2560" width="9.140625" style="90"/>
    <col min="2561" max="2561" width="5.140625" style="90" customWidth="1"/>
    <col min="2562" max="2562" width="7.42578125" style="90" customWidth="1"/>
    <col min="2563" max="2563" width="57" style="90" customWidth="1"/>
    <col min="2564" max="2564" width="5.140625" style="90" customWidth="1"/>
    <col min="2565" max="2565" width="6.5703125" style="90" customWidth="1"/>
    <col min="2566" max="2566" width="6.7109375" style="90" customWidth="1"/>
    <col min="2567" max="2567" width="7.5703125" style="90" customWidth="1"/>
    <col min="2568" max="2568" width="8.140625" style="90" customWidth="1"/>
    <col min="2569" max="2569" width="6.140625" style="90" customWidth="1"/>
    <col min="2570" max="2571" width="11" style="90" customWidth="1"/>
    <col min="2572" max="2572" width="13" style="90" customWidth="1"/>
    <col min="2573" max="2816" width="9.140625" style="90"/>
    <col min="2817" max="2817" width="5.140625" style="90" customWidth="1"/>
    <col min="2818" max="2818" width="7.42578125" style="90" customWidth="1"/>
    <col min="2819" max="2819" width="57" style="90" customWidth="1"/>
    <col min="2820" max="2820" width="5.140625" style="90" customWidth="1"/>
    <col min="2821" max="2821" width="6.5703125" style="90" customWidth="1"/>
    <col min="2822" max="2822" width="6.7109375" style="90" customWidth="1"/>
    <col min="2823" max="2823" width="7.5703125" style="90" customWidth="1"/>
    <col min="2824" max="2824" width="8.140625" style="90" customWidth="1"/>
    <col min="2825" max="2825" width="6.140625" style="90" customWidth="1"/>
    <col min="2826" max="2827" width="11" style="90" customWidth="1"/>
    <col min="2828" max="2828" width="13" style="90" customWidth="1"/>
    <col min="2829" max="3072" width="9.140625" style="90"/>
    <col min="3073" max="3073" width="5.140625" style="90" customWidth="1"/>
    <col min="3074" max="3074" width="7.42578125" style="90" customWidth="1"/>
    <col min="3075" max="3075" width="57" style="90" customWidth="1"/>
    <col min="3076" max="3076" width="5.140625" style="90" customWidth="1"/>
    <col min="3077" max="3077" width="6.5703125" style="90" customWidth="1"/>
    <col min="3078" max="3078" width="6.7109375" style="90" customWidth="1"/>
    <col min="3079" max="3079" width="7.5703125" style="90" customWidth="1"/>
    <col min="3080" max="3080" width="8.140625" style="90" customWidth="1"/>
    <col min="3081" max="3081" width="6.140625" style="90" customWidth="1"/>
    <col min="3082" max="3083" width="11" style="90" customWidth="1"/>
    <col min="3084" max="3084" width="13" style="90" customWidth="1"/>
    <col min="3085" max="3328" width="9.140625" style="90"/>
    <col min="3329" max="3329" width="5.140625" style="90" customWidth="1"/>
    <col min="3330" max="3330" width="7.42578125" style="90" customWidth="1"/>
    <col min="3331" max="3331" width="57" style="90" customWidth="1"/>
    <col min="3332" max="3332" width="5.140625" style="90" customWidth="1"/>
    <col min="3333" max="3333" width="6.5703125" style="90" customWidth="1"/>
    <col min="3334" max="3334" width="6.7109375" style="90" customWidth="1"/>
    <col min="3335" max="3335" width="7.5703125" style="90" customWidth="1"/>
    <col min="3336" max="3336" width="8.140625" style="90" customWidth="1"/>
    <col min="3337" max="3337" width="6.140625" style="90" customWidth="1"/>
    <col min="3338" max="3339" width="11" style="90" customWidth="1"/>
    <col min="3340" max="3340" width="13" style="90" customWidth="1"/>
    <col min="3341" max="3584" width="9.140625" style="90"/>
    <col min="3585" max="3585" width="5.140625" style="90" customWidth="1"/>
    <col min="3586" max="3586" width="7.42578125" style="90" customWidth="1"/>
    <col min="3587" max="3587" width="57" style="90" customWidth="1"/>
    <col min="3588" max="3588" width="5.140625" style="90" customWidth="1"/>
    <col min="3589" max="3589" width="6.5703125" style="90" customWidth="1"/>
    <col min="3590" max="3590" width="6.7109375" style="90" customWidth="1"/>
    <col min="3591" max="3591" width="7.5703125" style="90" customWidth="1"/>
    <col min="3592" max="3592" width="8.140625" style="90" customWidth="1"/>
    <col min="3593" max="3593" width="6.140625" style="90" customWidth="1"/>
    <col min="3594" max="3595" width="11" style="90" customWidth="1"/>
    <col min="3596" max="3596" width="13" style="90" customWidth="1"/>
    <col min="3597" max="3840" width="9.140625" style="90"/>
    <col min="3841" max="3841" width="5.140625" style="90" customWidth="1"/>
    <col min="3842" max="3842" width="7.42578125" style="90" customWidth="1"/>
    <col min="3843" max="3843" width="57" style="90" customWidth="1"/>
    <col min="3844" max="3844" width="5.140625" style="90" customWidth="1"/>
    <col min="3845" max="3845" width="6.5703125" style="90" customWidth="1"/>
    <col min="3846" max="3846" width="6.7109375" style="90" customWidth="1"/>
    <col min="3847" max="3847" width="7.5703125" style="90" customWidth="1"/>
    <col min="3848" max="3848" width="8.140625" style="90" customWidth="1"/>
    <col min="3849" max="3849" width="6.140625" style="90" customWidth="1"/>
    <col min="3850" max="3851" width="11" style="90" customWidth="1"/>
    <col min="3852" max="3852" width="13" style="90" customWidth="1"/>
    <col min="3853" max="4096" width="9.140625" style="90"/>
    <col min="4097" max="4097" width="5.140625" style="90" customWidth="1"/>
    <col min="4098" max="4098" width="7.42578125" style="90" customWidth="1"/>
    <col min="4099" max="4099" width="57" style="90" customWidth="1"/>
    <col min="4100" max="4100" width="5.140625" style="90" customWidth="1"/>
    <col min="4101" max="4101" width="6.5703125" style="90" customWidth="1"/>
    <col min="4102" max="4102" width="6.7109375" style="90" customWidth="1"/>
    <col min="4103" max="4103" width="7.5703125" style="90" customWidth="1"/>
    <col min="4104" max="4104" width="8.140625" style="90" customWidth="1"/>
    <col min="4105" max="4105" width="6.140625" style="90" customWidth="1"/>
    <col min="4106" max="4107" width="11" style="90" customWidth="1"/>
    <col min="4108" max="4108" width="13" style="90" customWidth="1"/>
    <col min="4109" max="4352" width="9.140625" style="90"/>
    <col min="4353" max="4353" width="5.140625" style="90" customWidth="1"/>
    <col min="4354" max="4354" width="7.42578125" style="90" customWidth="1"/>
    <col min="4355" max="4355" width="57" style="90" customWidth="1"/>
    <col min="4356" max="4356" width="5.140625" style="90" customWidth="1"/>
    <col min="4357" max="4357" width="6.5703125" style="90" customWidth="1"/>
    <col min="4358" max="4358" width="6.7109375" style="90" customWidth="1"/>
    <col min="4359" max="4359" width="7.5703125" style="90" customWidth="1"/>
    <col min="4360" max="4360" width="8.140625" style="90" customWidth="1"/>
    <col min="4361" max="4361" width="6.140625" style="90" customWidth="1"/>
    <col min="4362" max="4363" width="11" style="90" customWidth="1"/>
    <col min="4364" max="4364" width="13" style="90" customWidth="1"/>
    <col min="4365" max="4608" width="9.140625" style="90"/>
    <col min="4609" max="4609" width="5.140625" style="90" customWidth="1"/>
    <col min="4610" max="4610" width="7.42578125" style="90" customWidth="1"/>
    <col min="4611" max="4611" width="57" style="90" customWidth="1"/>
    <col min="4612" max="4612" width="5.140625" style="90" customWidth="1"/>
    <col min="4613" max="4613" width="6.5703125" style="90" customWidth="1"/>
    <col min="4614" max="4614" width="6.7109375" style="90" customWidth="1"/>
    <col min="4615" max="4615" width="7.5703125" style="90" customWidth="1"/>
    <col min="4616" max="4616" width="8.140625" style="90" customWidth="1"/>
    <col min="4617" max="4617" width="6.140625" style="90" customWidth="1"/>
    <col min="4618" max="4619" width="11" style="90" customWidth="1"/>
    <col min="4620" max="4620" width="13" style="90" customWidth="1"/>
    <col min="4621" max="4864" width="9.140625" style="90"/>
    <col min="4865" max="4865" width="5.140625" style="90" customWidth="1"/>
    <col min="4866" max="4866" width="7.42578125" style="90" customWidth="1"/>
    <col min="4867" max="4867" width="57" style="90" customWidth="1"/>
    <col min="4868" max="4868" width="5.140625" style="90" customWidth="1"/>
    <col min="4869" max="4869" width="6.5703125" style="90" customWidth="1"/>
    <col min="4870" max="4870" width="6.7109375" style="90" customWidth="1"/>
    <col min="4871" max="4871" width="7.5703125" style="90" customWidth="1"/>
    <col min="4872" max="4872" width="8.140625" style="90" customWidth="1"/>
    <col min="4873" max="4873" width="6.140625" style="90" customWidth="1"/>
    <col min="4874" max="4875" width="11" style="90" customWidth="1"/>
    <col min="4876" max="4876" width="13" style="90" customWidth="1"/>
    <col min="4877" max="5120" width="9.140625" style="90"/>
    <col min="5121" max="5121" width="5.140625" style="90" customWidth="1"/>
    <col min="5122" max="5122" width="7.42578125" style="90" customWidth="1"/>
    <col min="5123" max="5123" width="57" style="90" customWidth="1"/>
    <col min="5124" max="5124" width="5.140625" style="90" customWidth="1"/>
    <col min="5125" max="5125" width="6.5703125" style="90" customWidth="1"/>
    <col min="5126" max="5126" width="6.7109375" style="90" customWidth="1"/>
    <col min="5127" max="5127" width="7.5703125" style="90" customWidth="1"/>
    <col min="5128" max="5128" width="8.140625" style="90" customWidth="1"/>
    <col min="5129" max="5129" width="6.140625" style="90" customWidth="1"/>
    <col min="5130" max="5131" width="11" style="90" customWidth="1"/>
    <col min="5132" max="5132" width="13" style="90" customWidth="1"/>
    <col min="5133" max="5376" width="9.140625" style="90"/>
    <col min="5377" max="5377" width="5.140625" style="90" customWidth="1"/>
    <col min="5378" max="5378" width="7.42578125" style="90" customWidth="1"/>
    <col min="5379" max="5379" width="57" style="90" customWidth="1"/>
    <col min="5380" max="5380" width="5.140625" style="90" customWidth="1"/>
    <col min="5381" max="5381" width="6.5703125" style="90" customWidth="1"/>
    <col min="5382" max="5382" width="6.7109375" style="90" customWidth="1"/>
    <col min="5383" max="5383" width="7.5703125" style="90" customWidth="1"/>
    <col min="5384" max="5384" width="8.140625" style="90" customWidth="1"/>
    <col min="5385" max="5385" width="6.140625" style="90" customWidth="1"/>
    <col min="5386" max="5387" width="11" style="90" customWidth="1"/>
    <col min="5388" max="5388" width="13" style="90" customWidth="1"/>
    <col min="5389" max="5632" width="9.140625" style="90"/>
    <col min="5633" max="5633" width="5.140625" style="90" customWidth="1"/>
    <col min="5634" max="5634" width="7.42578125" style="90" customWidth="1"/>
    <col min="5635" max="5635" width="57" style="90" customWidth="1"/>
    <col min="5636" max="5636" width="5.140625" style="90" customWidth="1"/>
    <col min="5637" max="5637" width="6.5703125" style="90" customWidth="1"/>
    <col min="5638" max="5638" width="6.7109375" style="90" customWidth="1"/>
    <col min="5639" max="5639" width="7.5703125" style="90" customWidth="1"/>
    <col min="5640" max="5640" width="8.140625" style="90" customWidth="1"/>
    <col min="5641" max="5641" width="6.140625" style="90" customWidth="1"/>
    <col min="5642" max="5643" width="11" style="90" customWidth="1"/>
    <col min="5644" max="5644" width="13" style="90" customWidth="1"/>
    <col min="5645" max="5888" width="9.140625" style="90"/>
    <col min="5889" max="5889" width="5.140625" style="90" customWidth="1"/>
    <col min="5890" max="5890" width="7.42578125" style="90" customWidth="1"/>
    <col min="5891" max="5891" width="57" style="90" customWidth="1"/>
    <col min="5892" max="5892" width="5.140625" style="90" customWidth="1"/>
    <col min="5893" max="5893" width="6.5703125" style="90" customWidth="1"/>
    <col min="5894" max="5894" width="6.7109375" style="90" customWidth="1"/>
    <col min="5895" max="5895" width="7.5703125" style="90" customWidth="1"/>
    <col min="5896" max="5896" width="8.140625" style="90" customWidth="1"/>
    <col min="5897" max="5897" width="6.140625" style="90" customWidth="1"/>
    <col min="5898" max="5899" width="11" style="90" customWidth="1"/>
    <col min="5900" max="5900" width="13" style="90" customWidth="1"/>
    <col min="5901" max="6144" width="9.140625" style="90"/>
    <col min="6145" max="6145" width="5.140625" style="90" customWidth="1"/>
    <col min="6146" max="6146" width="7.42578125" style="90" customWidth="1"/>
    <col min="6147" max="6147" width="57" style="90" customWidth="1"/>
    <col min="6148" max="6148" width="5.140625" style="90" customWidth="1"/>
    <col min="6149" max="6149" width="6.5703125" style="90" customWidth="1"/>
    <col min="6150" max="6150" width="6.7109375" style="90" customWidth="1"/>
    <col min="6151" max="6151" width="7.5703125" style="90" customWidth="1"/>
    <col min="6152" max="6152" width="8.140625" style="90" customWidth="1"/>
    <col min="6153" max="6153" width="6.140625" style="90" customWidth="1"/>
    <col min="6154" max="6155" width="11" style="90" customWidth="1"/>
    <col min="6156" max="6156" width="13" style="90" customWidth="1"/>
    <col min="6157" max="6400" width="9.140625" style="90"/>
    <col min="6401" max="6401" width="5.140625" style="90" customWidth="1"/>
    <col min="6402" max="6402" width="7.42578125" style="90" customWidth="1"/>
    <col min="6403" max="6403" width="57" style="90" customWidth="1"/>
    <col min="6404" max="6404" width="5.140625" style="90" customWidth="1"/>
    <col min="6405" max="6405" width="6.5703125" style="90" customWidth="1"/>
    <col min="6406" max="6406" width="6.7109375" style="90" customWidth="1"/>
    <col min="6407" max="6407" width="7.5703125" style="90" customWidth="1"/>
    <col min="6408" max="6408" width="8.140625" style="90" customWidth="1"/>
    <col min="6409" max="6409" width="6.140625" style="90" customWidth="1"/>
    <col min="6410" max="6411" width="11" style="90" customWidth="1"/>
    <col min="6412" max="6412" width="13" style="90" customWidth="1"/>
    <col min="6413" max="6656" width="9.140625" style="90"/>
    <col min="6657" max="6657" width="5.140625" style="90" customWidth="1"/>
    <col min="6658" max="6658" width="7.42578125" style="90" customWidth="1"/>
    <col min="6659" max="6659" width="57" style="90" customWidth="1"/>
    <col min="6660" max="6660" width="5.140625" style="90" customWidth="1"/>
    <col min="6661" max="6661" width="6.5703125" style="90" customWidth="1"/>
    <col min="6662" max="6662" width="6.7109375" style="90" customWidth="1"/>
    <col min="6663" max="6663" width="7.5703125" style="90" customWidth="1"/>
    <col min="6664" max="6664" width="8.140625" style="90" customWidth="1"/>
    <col min="6665" max="6665" width="6.140625" style="90" customWidth="1"/>
    <col min="6666" max="6667" width="11" style="90" customWidth="1"/>
    <col min="6668" max="6668" width="13" style="90" customWidth="1"/>
    <col min="6669" max="6912" width="9.140625" style="90"/>
    <col min="6913" max="6913" width="5.140625" style="90" customWidth="1"/>
    <col min="6914" max="6914" width="7.42578125" style="90" customWidth="1"/>
    <col min="6915" max="6915" width="57" style="90" customWidth="1"/>
    <col min="6916" max="6916" width="5.140625" style="90" customWidth="1"/>
    <col min="6917" max="6917" width="6.5703125" style="90" customWidth="1"/>
    <col min="6918" max="6918" width="6.7109375" style="90" customWidth="1"/>
    <col min="6919" max="6919" width="7.5703125" style="90" customWidth="1"/>
    <col min="6920" max="6920" width="8.140625" style="90" customWidth="1"/>
    <col min="6921" max="6921" width="6.140625" style="90" customWidth="1"/>
    <col min="6922" max="6923" width="11" style="90" customWidth="1"/>
    <col min="6924" max="6924" width="13" style="90" customWidth="1"/>
    <col min="6925" max="7168" width="9.140625" style="90"/>
    <col min="7169" max="7169" width="5.140625" style="90" customWidth="1"/>
    <col min="7170" max="7170" width="7.42578125" style="90" customWidth="1"/>
    <col min="7171" max="7171" width="57" style="90" customWidth="1"/>
    <col min="7172" max="7172" width="5.140625" style="90" customWidth="1"/>
    <col min="7173" max="7173" width="6.5703125" style="90" customWidth="1"/>
    <col min="7174" max="7174" width="6.7109375" style="90" customWidth="1"/>
    <col min="7175" max="7175" width="7.5703125" style="90" customWidth="1"/>
    <col min="7176" max="7176" width="8.140625" style="90" customWidth="1"/>
    <col min="7177" max="7177" width="6.140625" style="90" customWidth="1"/>
    <col min="7178" max="7179" width="11" style="90" customWidth="1"/>
    <col min="7180" max="7180" width="13" style="90" customWidth="1"/>
    <col min="7181" max="7424" width="9.140625" style="90"/>
    <col min="7425" max="7425" width="5.140625" style="90" customWidth="1"/>
    <col min="7426" max="7426" width="7.42578125" style="90" customWidth="1"/>
    <col min="7427" max="7427" width="57" style="90" customWidth="1"/>
    <col min="7428" max="7428" width="5.140625" style="90" customWidth="1"/>
    <col min="7429" max="7429" width="6.5703125" style="90" customWidth="1"/>
    <col min="7430" max="7430" width="6.7109375" style="90" customWidth="1"/>
    <col min="7431" max="7431" width="7.5703125" style="90" customWidth="1"/>
    <col min="7432" max="7432" width="8.140625" style="90" customWidth="1"/>
    <col min="7433" max="7433" width="6.140625" style="90" customWidth="1"/>
    <col min="7434" max="7435" width="11" style="90" customWidth="1"/>
    <col min="7436" max="7436" width="13" style="90" customWidth="1"/>
    <col min="7437" max="7680" width="9.140625" style="90"/>
    <col min="7681" max="7681" width="5.140625" style="90" customWidth="1"/>
    <col min="7682" max="7682" width="7.42578125" style="90" customWidth="1"/>
    <col min="7683" max="7683" width="57" style="90" customWidth="1"/>
    <col min="7684" max="7684" width="5.140625" style="90" customWidth="1"/>
    <col min="7685" max="7685" width="6.5703125" style="90" customWidth="1"/>
    <col min="7686" max="7686" width="6.7109375" style="90" customWidth="1"/>
    <col min="7687" max="7687" width="7.5703125" style="90" customWidth="1"/>
    <col min="7688" max="7688" width="8.140625" style="90" customWidth="1"/>
    <col min="7689" max="7689" width="6.140625" style="90" customWidth="1"/>
    <col min="7690" max="7691" width="11" style="90" customWidth="1"/>
    <col min="7692" max="7692" width="13" style="90" customWidth="1"/>
    <col min="7693" max="7936" width="9.140625" style="90"/>
    <col min="7937" max="7937" width="5.140625" style="90" customWidth="1"/>
    <col min="7938" max="7938" width="7.42578125" style="90" customWidth="1"/>
    <col min="7939" max="7939" width="57" style="90" customWidth="1"/>
    <col min="7940" max="7940" width="5.140625" style="90" customWidth="1"/>
    <col min="7941" max="7941" width="6.5703125" style="90" customWidth="1"/>
    <col min="7942" max="7942" width="6.7109375" style="90" customWidth="1"/>
    <col min="7943" max="7943" width="7.5703125" style="90" customWidth="1"/>
    <col min="7944" max="7944" width="8.140625" style="90" customWidth="1"/>
    <col min="7945" max="7945" width="6.140625" style="90" customWidth="1"/>
    <col min="7946" max="7947" width="11" style="90" customWidth="1"/>
    <col min="7948" max="7948" width="13" style="90" customWidth="1"/>
    <col min="7949" max="8192" width="9.140625" style="90"/>
    <col min="8193" max="8193" width="5.140625" style="90" customWidth="1"/>
    <col min="8194" max="8194" width="7.42578125" style="90" customWidth="1"/>
    <col min="8195" max="8195" width="57" style="90" customWidth="1"/>
    <col min="8196" max="8196" width="5.140625" style="90" customWidth="1"/>
    <col min="8197" max="8197" width="6.5703125" style="90" customWidth="1"/>
    <col min="8198" max="8198" width="6.7109375" style="90" customWidth="1"/>
    <col min="8199" max="8199" width="7.5703125" style="90" customWidth="1"/>
    <col min="8200" max="8200" width="8.140625" style="90" customWidth="1"/>
    <col min="8201" max="8201" width="6.140625" style="90" customWidth="1"/>
    <col min="8202" max="8203" width="11" style="90" customWidth="1"/>
    <col min="8204" max="8204" width="13" style="90" customWidth="1"/>
    <col min="8205" max="8448" width="9.140625" style="90"/>
    <col min="8449" max="8449" width="5.140625" style="90" customWidth="1"/>
    <col min="8450" max="8450" width="7.42578125" style="90" customWidth="1"/>
    <col min="8451" max="8451" width="57" style="90" customWidth="1"/>
    <col min="8452" max="8452" width="5.140625" style="90" customWidth="1"/>
    <col min="8453" max="8453" width="6.5703125" style="90" customWidth="1"/>
    <col min="8454" max="8454" width="6.7109375" style="90" customWidth="1"/>
    <col min="8455" max="8455" width="7.5703125" style="90" customWidth="1"/>
    <col min="8456" max="8456" width="8.140625" style="90" customWidth="1"/>
    <col min="8457" max="8457" width="6.140625" style="90" customWidth="1"/>
    <col min="8458" max="8459" width="11" style="90" customWidth="1"/>
    <col min="8460" max="8460" width="13" style="90" customWidth="1"/>
    <col min="8461" max="8704" width="9.140625" style="90"/>
    <col min="8705" max="8705" width="5.140625" style="90" customWidth="1"/>
    <col min="8706" max="8706" width="7.42578125" style="90" customWidth="1"/>
    <col min="8707" max="8707" width="57" style="90" customWidth="1"/>
    <col min="8708" max="8708" width="5.140625" style="90" customWidth="1"/>
    <col min="8709" max="8709" width="6.5703125" style="90" customWidth="1"/>
    <col min="8710" max="8710" width="6.7109375" style="90" customWidth="1"/>
    <col min="8711" max="8711" width="7.5703125" style="90" customWidth="1"/>
    <col min="8712" max="8712" width="8.140625" style="90" customWidth="1"/>
    <col min="8713" max="8713" width="6.140625" style="90" customWidth="1"/>
    <col min="8714" max="8715" width="11" style="90" customWidth="1"/>
    <col min="8716" max="8716" width="13" style="90" customWidth="1"/>
    <col min="8717" max="8960" width="9.140625" style="90"/>
    <col min="8961" max="8961" width="5.140625" style="90" customWidth="1"/>
    <col min="8962" max="8962" width="7.42578125" style="90" customWidth="1"/>
    <col min="8963" max="8963" width="57" style="90" customWidth="1"/>
    <col min="8964" max="8964" width="5.140625" style="90" customWidth="1"/>
    <col min="8965" max="8965" width="6.5703125" style="90" customWidth="1"/>
    <col min="8966" max="8966" width="6.7109375" style="90" customWidth="1"/>
    <col min="8967" max="8967" width="7.5703125" style="90" customWidth="1"/>
    <col min="8968" max="8968" width="8.140625" style="90" customWidth="1"/>
    <col min="8969" max="8969" width="6.140625" style="90" customWidth="1"/>
    <col min="8970" max="8971" width="11" style="90" customWidth="1"/>
    <col min="8972" max="8972" width="13" style="90" customWidth="1"/>
    <col min="8973" max="9216" width="9.140625" style="90"/>
    <col min="9217" max="9217" width="5.140625" style="90" customWidth="1"/>
    <col min="9218" max="9218" width="7.42578125" style="90" customWidth="1"/>
    <col min="9219" max="9219" width="57" style="90" customWidth="1"/>
    <col min="9220" max="9220" width="5.140625" style="90" customWidth="1"/>
    <col min="9221" max="9221" width="6.5703125" style="90" customWidth="1"/>
    <col min="9222" max="9222" width="6.7109375" style="90" customWidth="1"/>
    <col min="9223" max="9223" width="7.5703125" style="90" customWidth="1"/>
    <col min="9224" max="9224" width="8.140625" style="90" customWidth="1"/>
    <col min="9225" max="9225" width="6.140625" style="90" customWidth="1"/>
    <col min="9226" max="9227" width="11" style="90" customWidth="1"/>
    <col min="9228" max="9228" width="13" style="90" customWidth="1"/>
    <col min="9229" max="9472" width="9.140625" style="90"/>
    <col min="9473" max="9473" width="5.140625" style="90" customWidth="1"/>
    <col min="9474" max="9474" width="7.42578125" style="90" customWidth="1"/>
    <col min="9475" max="9475" width="57" style="90" customWidth="1"/>
    <col min="9476" max="9476" width="5.140625" style="90" customWidth="1"/>
    <col min="9477" max="9477" width="6.5703125" style="90" customWidth="1"/>
    <col min="9478" max="9478" width="6.7109375" style="90" customWidth="1"/>
    <col min="9479" max="9479" width="7.5703125" style="90" customWidth="1"/>
    <col min="9480" max="9480" width="8.140625" style="90" customWidth="1"/>
    <col min="9481" max="9481" width="6.140625" style="90" customWidth="1"/>
    <col min="9482" max="9483" width="11" style="90" customWidth="1"/>
    <col min="9484" max="9484" width="13" style="90" customWidth="1"/>
    <col min="9485" max="9728" width="9.140625" style="90"/>
    <col min="9729" max="9729" width="5.140625" style="90" customWidth="1"/>
    <col min="9730" max="9730" width="7.42578125" style="90" customWidth="1"/>
    <col min="9731" max="9731" width="57" style="90" customWidth="1"/>
    <col min="9732" max="9732" width="5.140625" style="90" customWidth="1"/>
    <col min="9733" max="9733" width="6.5703125" style="90" customWidth="1"/>
    <col min="9734" max="9734" width="6.7109375" style="90" customWidth="1"/>
    <col min="9735" max="9735" width="7.5703125" style="90" customWidth="1"/>
    <col min="9736" max="9736" width="8.140625" style="90" customWidth="1"/>
    <col min="9737" max="9737" width="6.140625" style="90" customWidth="1"/>
    <col min="9738" max="9739" width="11" style="90" customWidth="1"/>
    <col min="9740" max="9740" width="13" style="90" customWidth="1"/>
    <col min="9741" max="9984" width="9.140625" style="90"/>
    <col min="9985" max="9985" width="5.140625" style="90" customWidth="1"/>
    <col min="9986" max="9986" width="7.42578125" style="90" customWidth="1"/>
    <col min="9987" max="9987" width="57" style="90" customWidth="1"/>
    <col min="9988" max="9988" width="5.140625" style="90" customWidth="1"/>
    <col min="9989" max="9989" width="6.5703125" style="90" customWidth="1"/>
    <col min="9990" max="9990" width="6.7109375" style="90" customWidth="1"/>
    <col min="9991" max="9991" width="7.5703125" style="90" customWidth="1"/>
    <col min="9992" max="9992" width="8.140625" style="90" customWidth="1"/>
    <col min="9993" max="9993" width="6.140625" style="90" customWidth="1"/>
    <col min="9994" max="9995" width="11" style="90" customWidth="1"/>
    <col min="9996" max="9996" width="13" style="90" customWidth="1"/>
    <col min="9997" max="10240" width="9.140625" style="90"/>
    <col min="10241" max="10241" width="5.140625" style="90" customWidth="1"/>
    <col min="10242" max="10242" width="7.42578125" style="90" customWidth="1"/>
    <col min="10243" max="10243" width="57" style="90" customWidth="1"/>
    <col min="10244" max="10244" width="5.140625" style="90" customWidth="1"/>
    <col min="10245" max="10245" width="6.5703125" style="90" customWidth="1"/>
    <col min="10246" max="10246" width="6.7109375" style="90" customWidth="1"/>
    <col min="10247" max="10247" width="7.5703125" style="90" customWidth="1"/>
    <col min="10248" max="10248" width="8.140625" style="90" customWidth="1"/>
    <col min="10249" max="10249" width="6.140625" style="90" customWidth="1"/>
    <col min="10250" max="10251" width="11" style="90" customWidth="1"/>
    <col min="10252" max="10252" width="13" style="90" customWidth="1"/>
    <col min="10253" max="10496" width="9.140625" style="90"/>
    <col min="10497" max="10497" width="5.140625" style="90" customWidth="1"/>
    <col min="10498" max="10498" width="7.42578125" style="90" customWidth="1"/>
    <col min="10499" max="10499" width="57" style="90" customWidth="1"/>
    <col min="10500" max="10500" width="5.140625" style="90" customWidth="1"/>
    <col min="10501" max="10501" width="6.5703125" style="90" customWidth="1"/>
    <col min="10502" max="10502" width="6.7109375" style="90" customWidth="1"/>
    <col min="10503" max="10503" width="7.5703125" style="90" customWidth="1"/>
    <col min="10504" max="10504" width="8.140625" style="90" customWidth="1"/>
    <col min="10505" max="10505" width="6.140625" style="90" customWidth="1"/>
    <col min="10506" max="10507" width="11" style="90" customWidth="1"/>
    <col min="10508" max="10508" width="13" style="90" customWidth="1"/>
    <col min="10509" max="10752" width="9.140625" style="90"/>
    <col min="10753" max="10753" width="5.140625" style="90" customWidth="1"/>
    <col min="10754" max="10754" width="7.42578125" style="90" customWidth="1"/>
    <col min="10755" max="10755" width="57" style="90" customWidth="1"/>
    <col min="10756" max="10756" width="5.140625" style="90" customWidth="1"/>
    <col min="10757" max="10757" width="6.5703125" style="90" customWidth="1"/>
    <col min="10758" max="10758" width="6.7109375" style="90" customWidth="1"/>
    <col min="10759" max="10759" width="7.5703125" style="90" customWidth="1"/>
    <col min="10760" max="10760" width="8.140625" style="90" customWidth="1"/>
    <col min="10761" max="10761" width="6.140625" style="90" customWidth="1"/>
    <col min="10762" max="10763" width="11" style="90" customWidth="1"/>
    <col min="10764" max="10764" width="13" style="90" customWidth="1"/>
    <col min="10765" max="11008" width="9.140625" style="90"/>
    <col min="11009" max="11009" width="5.140625" style="90" customWidth="1"/>
    <col min="11010" max="11010" width="7.42578125" style="90" customWidth="1"/>
    <col min="11011" max="11011" width="57" style="90" customWidth="1"/>
    <col min="11012" max="11012" width="5.140625" style="90" customWidth="1"/>
    <col min="11013" max="11013" width="6.5703125" style="90" customWidth="1"/>
    <col min="11014" max="11014" width="6.7109375" style="90" customWidth="1"/>
    <col min="11015" max="11015" width="7.5703125" style="90" customWidth="1"/>
    <col min="11016" max="11016" width="8.140625" style="90" customWidth="1"/>
    <col min="11017" max="11017" width="6.140625" style="90" customWidth="1"/>
    <col min="11018" max="11019" width="11" style="90" customWidth="1"/>
    <col min="11020" max="11020" width="13" style="90" customWidth="1"/>
    <col min="11021" max="11264" width="9.140625" style="90"/>
    <col min="11265" max="11265" width="5.140625" style="90" customWidth="1"/>
    <col min="11266" max="11266" width="7.42578125" style="90" customWidth="1"/>
    <col min="11267" max="11267" width="57" style="90" customWidth="1"/>
    <col min="11268" max="11268" width="5.140625" style="90" customWidth="1"/>
    <col min="11269" max="11269" width="6.5703125" style="90" customWidth="1"/>
    <col min="11270" max="11270" width="6.7109375" style="90" customWidth="1"/>
    <col min="11271" max="11271" width="7.5703125" style="90" customWidth="1"/>
    <col min="11272" max="11272" width="8.140625" style="90" customWidth="1"/>
    <col min="11273" max="11273" width="6.140625" style="90" customWidth="1"/>
    <col min="11274" max="11275" width="11" style="90" customWidth="1"/>
    <col min="11276" max="11276" width="13" style="90" customWidth="1"/>
    <col min="11277" max="11520" width="9.140625" style="90"/>
    <col min="11521" max="11521" width="5.140625" style="90" customWidth="1"/>
    <col min="11522" max="11522" width="7.42578125" style="90" customWidth="1"/>
    <col min="11523" max="11523" width="57" style="90" customWidth="1"/>
    <col min="11524" max="11524" width="5.140625" style="90" customWidth="1"/>
    <col min="11525" max="11525" width="6.5703125" style="90" customWidth="1"/>
    <col min="11526" max="11526" width="6.7109375" style="90" customWidth="1"/>
    <col min="11527" max="11527" width="7.5703125" style="90" customWidth="1"/>
    <col min="11528" max="11528" width="8.140625" style="90" customWidth="1"/>
    <col min="11529" max="11529" width="6.140625" style="90" customWidth="1"/>
    <col min="11530" max="11531" width="11" style="90" customWidth="1"/>
    <col min="11532" max="11532" width="13" style="90" customWidth="1"/>
    <col min="11533" max="11776" width="9.140625" style="90"/>
    <col min="11777" max="11777" width="5.140625" style="90" customWidth="1"/>
    <col min="11778" max="11778" width="7.42578125" style="90" customWidth="1"/>
    <col min="11779" max="11779" width="57" style="90" customWidth="1"/>
    <col min="11780" max="11780" width="5.140625" style="90" customWidth="1"/>
    <col min="11781" max="11781" width="6.5703125" style="90" customWidth="1"/>
    <col min="11782" max="11782" width="6.7109375" style="90" customWidth="1"/>
    <col min="11783" max="11783" width="7.5703125" style="90" customWidth="1"/>
    <col min="11784" max="11784" width="8.140625" style="90" customWidth="1"/>
    <col min="11785" max="11785" width="6.140625" style="90" customWidth="1"/>
    <col min="11786" max="11787" width="11" style="90" customWidth="1"/>
    <col min="11788" max="11788" width="13" style="90" customWidth="1"/>
    <col min="11789" max="12032" width="9.140625" style="90"/>
    <col min="12033" max="12033" width="5.140625" style="90" customWidth="1"/>
    <col min="12034" max="12034" width="7.42578125" style="90" customWidth="1"/>
    <col min="12035" max="12035" width="57" style="90" customWidth="1"/>
    <col min="12036" max="12036" width="5.140625" style="90" customWidth="1"/>
    <col min="12037" max="12037" width="6.5703125" style="90" customWidth="1"/>
    <col min="12038" max="12038" width="6.7109375" style="90" customWidth="1"/>
    <col min="12039" max="12039" width="7.5703125" style="90" customWidth="1"/>
    <col min="12040" max="12040" width="8.140625" style="90" customWidth="1"/>
    <col min="12041" max="12041" width="6.140625" style="90" customWidth="1"/>
    <col min="12042" max="12043" width="11" style="90" customWidth="1"/>
    <col min="12044" max="12044" width="13" style="90" customWidth="1"/>
    <col min="12045" max="12288" width="9.140625" style="90"/>
    <col min="12289" max="12289" width="5.140625" style="90" customWidth="1"/>
    <col min="12290" max="12290" width="7.42578125" style="90" customWidth="1"/>
    <col min="12291" max="12291" width="57" style="90" customWidth="1"/>
    <col min="12292" max="12292" width="5.140625" style="90" customWidth="1"/>
    <col min="12293" max="12293" width="6.5703125" style="90" customWidth="1"/>
    <col min="12294" max="12294" width="6.7109375" style="90" customWidth="1"/>
    <col min="12295" max="12295" width="7.5703125" style="90" customWidth="1"/>
    <col min="12296" max="12296" width="8.140625" style="90" customWidth="1"/>
    <col min="12297" max="12297" width="6.140625" style="90" customWidth="1"/>
    <col min="12298" max="12299" width="11" style="90" customWidth="1"/>
    <col min="12300" max="12300" width="13" style="90" customWidth="1"/>
    <col min="12301" max="12544" width="9.140625" style="90"/>
    <col min="12545" max="12545" width="5.140625" style="90" customWidth="1"/>
    <col min="12546" max="12546" width="7.42578125" style="90" customWidth="1"/>
    <col min="12547" max="12547" width="57" style="90" customWidth="1"/>
    <col min="12548" max="12548" width="5.140625" style="90" customWidth="1"/>
    <col min="12549" max="12549" width="6.5703125" style="90" customWidth="1"/>
    <col min="12550" max="12550" width="6.7109375" style="90" customWidth="1"/>
    <col min="12551" max="12551" width="7.5703125" style="90" customWidth="1"/>
    <col min="12552" max="12552" width="8.140625" style="90" customWidth="1"/>
    <col min="12553" max="12553" width="6.140625" style="90" customWidth="1"/>
    <col min="12554" max="12555" width="11" style="90" customWidth="1"/>
    <col min="12556" max="12556" width="13" style="90" customWidth="1"/>
    <col min="12557" max="12800" width="9.140625" style="90"/>
    <col min="12801" max="12801" width="5.140625" style="90" customWidth="1"/>
    <col min="12802" max="12802" width="7.42578125" style="90" customWidth="1"/>
    <col min="12803" max="12803" width="57" style="90" customWidth="1"/>
    <col min="12804" max="12804" width="5.140625" style="90" customWidth="1"/>
    <col min="12805" max="12805" width="6.5703125" style="90" customWidth="1"/>
    <col min="12806" max="12806" width="6.7109375" style="90" customWidth="1"/>
    <col min="12807" max="12807" width="7.5703125" style="90" customWidth="1"/>
    <col min="12808" max="12808" width="8.140625" style="90" customWidth="1"/>
    <col min="12809" max="12809" width="6.140625" style="90" customWidth="1"/>
    <col min="12810" max="12811" width="11" style="90" customWidth="1"/>
    <col min="12812" max="12812" width="13" style="90" customWidth="1"/>
    <col min="12813" max="13056" width="9.140625" style="90"/>
    <col min="13057" max="13057" width="5.140625" style="90" customWidth="1"/>
    <col min="13058" max="13058" width="7.42578125" style="90" customWidth="1"/>
    <col min="13059" max="13059" width="57" style="90" customWidth="1"/>
    <col min="13060" max="13060" width="5.140625" style="90" customWidth="1"/>
    <col min="13061" max="13061" width="6.5703125" style="90" customWidth="1"/>
    <col min="13062" max="13062" width="6.7109375" style="90" customWidth="1"/>
    <col min="13063" max="13063" width="7.5703125" style="90" customWidth="1"/>
    <col min="13064" max="13064" width="8.140625" style="90" customWidth="1"/>
    <col min="13065" max="13065" width="6.140625" style="90" customWidth="1"/>
    <col min="13066" max="13067" width="11" style="90" customWidth="1"/>
    <col min="13068" max="13068" width="13" style="90" customWidth="1"/>
    <col min="13069" max="13312" width="9.140625" style="90"/>
    <col min="13313" max="13313" width="5.140625" style="90" customWidth="1"/>
    <col min="13314" max="13314" width="7.42578125" style="90" customWidth="1"/>
    <col min="13315" max="13315" width="57" style="90" customWidth="1"/>
    <col min="13316" max="13316" width="5.140625" style="90" customWidth="1"/>
    <col min="13317" max="13317" width="6.5703125" style="90" customWidth="1"/>
    <col min="13318" max="13318" width="6.7109375" style="90" customWidth="1"/>
    <col min="13319" max="13319" width="7.5703125" style="90" customWidth="1"/>
    <col min="13320" max="13320" width="8.140625" style="90" customWidth="1"/>
    <col min="13321" max="13321" width="6.140625" style="90" customWidth="1"/>
    <col min="13322" max="13323" width="11" style="90" customWidth="1"/>
    <col min="13324" max="13324" width="13" style="90" customWidth="1"/>
    <col min="13325" max="13568" width="9.140625" style="90"/>
    <col min="13569" max="13569" width="5.140625" style="90" customWidth="1"/>
    <col min="13570" max="13570" width="7.42578125" style="90" customWidth="1"/>
    <col min="13571" max="13571" width="57" style="90" customWidth="1"/>
    <col min="13572" max="13572" width="5.140625" style="90" customWidth="1"/>
    <col min="13573" max="13573" width="6.5703125" style="90" customWidth="1"/>
    <col min="13574" max="13574" width="6.7109375" style="90" customWidth="1"/>
    <col min="13575" max="13575" width="7.5703125" style="90" customWidth="1"/>
    <col min="13576" max="13576" width="8.140625" style="90" customWidth="1"/>
    <col min="13577" max="13577" width="6.140625" style="90" customWidth="1"/>
    <col min="13578" max="13579" width="11" style="90" customWidth="1"/>
    <col min="13580" max="13580" width="13" style="90" customWidth="1"/>
    <col min="13581" max="13824" width="9.140625" style="90"/>
    <col min="13825" max="13825" width="5.140625" style="90" customWidth="1"/>
    <col min="13826" max="13826" width="7.42578125" style="90" customWidth="1"/>
    <col min="13827" max="13827" width="57" style="90" customWidth="1"/>
    <col min="13828" max="13828" width="5.140625" style="90" customWidth="1"/>
    <col min="13829" max="13829" width="6.5703125" style="90" customWidth="1"/>
    <col min="13830" max="13830" width="6.7109375" style="90" customWidth="1"/>
    <col min="13831" max="13831" width="7.5703125" style="90" customWidth="1"/>
    <col min="13832" max="13832" width="8.140625" style="90" customWidth="1"/>
    <col min="13833" max="13833" width="6.140625" style="90" customWidth="1"/>
    <col min="13834" max="13835" width="11" style="90" customWidth="1"/>
    <col min="13836" max="13836" width="13" style="90" customWidth="1"/>
    <col min="13837" max="14080" width="9.140625" style="90"/>
    <col min="14081" max="14081" width="5.140625" style="90" customWidth="1"/>
    <col min="14082" max="14082" width="7.42578125" style="90" customWidth="1"/>
    <col min="14083" max="14083" width="57" style="90" customWidth="1"/>
    <col min="14084" max="14084" width="5.140625" style="90" customWidth="1"/>
    <col min="14085" max="14085" width="6.5703125" style="90" customWidth="1"/>
    <col min="14086" max="14086" width="6.7109375" style="90" customWidth="1"/>
    <col min="14087" max="14087" width="7.5703125" style="90" customWidth="1"/>
    <col min="14088" max="14088" width="8.140625" style="90" customWidth="1"/>
    <col min="14089" max="14089" width="6.140625" style="90" customWidth="1"/>
    <col min="14090" max="14091" width="11" style="90" customWidth="1"/>
    <col min="14092" max="14092" width="13" style="90" customWidth="1"/>
    <col min="14093" max="14336" width="9.140625" style="90"/>
    <col min="14337" max="14337" width="5.140625" style="90" customWidth="1"/>
    <col min="14338" max="14338" width="7.42578125" style="90" customWidth="1"/>
    <col min="14339" max="14339" width="57" style="90" customWidth="1"/>
    <col min="14340" max="14340" width="5.140625" style="90" customWidth="1"/>
    <col min="14341" max="14341" width="6.5703125" style="90" customWidth="1"/>
    <col min="14342" max="14342" width="6.7109375" style="90" customWidth="1"/>
    <col min="14343" max="14343" width="7.5703125" style="90" customWidth="1"/>
    <col min="14344" max="14344" width="8.140625" style="90" customWidth="1"/>
    <col min="14345" max="14345" width="6.140625" style="90" customWidth="1"/>
    <col min="14346" max="14347" width="11" style="90" customWidth="1"/>
    <col min="14348" max="14348" width="13" style="90" customWidth="1"/>
    <col min="14349" max="14592" width="9.140625" style="90"/>
    <col min="14593" max="14593" width="5.140625" style="90" customWidth="1"/>
    <col min="14594" max="14594" width="7.42578125" style="90" customWidth="1"/>
    <col min="14595" max="14595" width="57" style="90" customWidth="1"/>
    <col min="14596" max="14596" width="5.140625" style="90" customWidth="1"/>
    <col min="14597" max="14597" width="6.5703125" style="90" customWidth="1"/>
    <col min="14598" max="14598" width="6.7109375" style="90" customWidth="1"/>
    <col min="14599" max="14599" width="7.5703125" style="90" customWidth="1"/>
    <col min="14600" max="14600" width="8.140625" style="90" customWidth="1"/>
    <col min="14601" max="14601" width="6.140625" style="90" customWidth="1"/>
    <col min="14602" max="14603" width="11" style="90" customWidth="1"/>
    <col min="14604" max="14604" width="13" style="90" customWidth="1"/>
    <col min="14605" max="14848" width="9.140625" style="90"/>
    <col min="14849" max="14849" width="5.140625" style="90" customWidth="1"/>
    <col min="14850" max="14850" width="7.42578125" style="90" customWidth="1"/>
    <col min="14851" max="14851" width="57" style="90" customWidth="1"/>
    <col min="14852" max="14852" width="5.140625" style="90" customWidth="1"/>
    <col min="14853" max="14853" width="6.5703125" style="90" customWidth="1"/>
    <col min="14854" max="14854" width="6.7109375" style="90" customWidth="1"/>
    <col min="14855" max="14855" width="7.5703125" style="90" customWidth="1"/>
    <col min="14856" max="14856" width="8.140625" style="90" customWidth="1"/>
    <col min="14857" max="14857" width="6.140625" style="90" customWidth="1"/>
    <col min="14858" max="14859" width="11" style="90" customWidth="1"/>
    <col min="14860" max="14860" width="13" style="90" customWidth="1"/>
    <col min="14861" max="15104" width="9.140625" style="90"/>
    <col min="15105" max="15105" width="5.140625" style="90" customWidth="1"/>
    <col min="15106" max="15106" width="7.42578125" style="90" customWidth="1"/>
    <col min="15107" max="15107" width="57" style="90" customWidth="1"/>
    <col min="15108" max="15108" width="5.140625" style="90" customWidth="1"/>
    <col min="15109" max="15109" width="6.5703125" style="90" customWidth="1"/>
    <col min="15110" max="15110" width="6.7109375" style="90" customWidth="1"/>
    <col min="15111" max="15111" width="7.5703125" style="90" customWidth="1"/>
    <col min="15112" max="15112" width="8.140625" style="90" customWidth="1"/>
    <col min="15113" max="15113" width="6.140625" style="90" customWidth="1"/>
    <col min="15114" max="15115" width="11" style="90" customWidth="1"/>
    <col min="15116" max="15116" width="13" style="90" customWidth="1"/>
    <col min="15117" max="15360" width="9.140625" style="90"/>
    <col min="15361" max="15361" width="5.140625" style="90" customWidth="1"/>
    <col min="15362" max="15362" width="7.42578125" style="90" customWidth="1"/>
    <col min="15363" max="15363" width="57" style="90" customWidth="1"/>
    <col min="15364" max="15364" width="5.140625" style="90" customWidth="1"/>
    <col min="15365" max="15365" width="6.5703125" style="90" customWidth="1"/>
    <col min="15366" max="15366" width="6.7109375" style="90" customWidth="1"/>
    <col min="15367" max="15367" width="7.5703125" style="90" customWidth="1"/>
    <col min="15368" max="15368" width="8.140625" style="90" customWidth="1"/>
    <col min="15369" max="15369" width="6.140625" style="90" customWidth="1"/>
    <col min="15370" max="15371" width="11" style="90" customWidth="1"/>
    <col min="15372" max="15372" width="13" style="90" customWidth="1"/>
    <col min="15373" max="15616" width="9.140625" style="90"/>
    <col min="15617" max="15617" width="5.140625" style="90" customWidth="1"/>
    <col min="15618" max="15618" width="7.42578125" style="90" customWidth="1"/>
    <col min="15619" max="15619" width="57" style="90" customWidth="1"/>
    <col min="15620" max="15620" width="5.140625" style="90" customWidth="1"/>
    <col min="15621" max="15621" width="6.5703125" style="90" customWidth="1"/>
    <col min="15622" max="15622" width="6.7109375" style="90" customWidth="1"/>
    <col min="15623" max="15623" width="7.5703125" style="90" customWidth="1"/>
    <col min="15624" max="15624" width="8.140625" style="90" customWidth="1"/>
    <col min="15625" max="15625" width="6.140625" style="90" customWidth="1"/>
    <col min="15626" max="15627" width="11" style="90" customWidth="1"/>
    <col min="15628" max="15628" width="13" style="90" customWidth="1"/>
    <col min="15629" max="15872" width="9.140625" style="90"/>
    <col min="15873" max="15873" width="5.140625" style="90" customWidth="1"/>
    <col min="15874" max="15874" width="7.42578125" style="90" customWidth="1"/>
    <col min="15875" max="15875" width="57" style="90" customWidth="1"/>
    <col min="15876" max="15876" width="5.140625" style="90" customWidth="1"/>
    <col min="15877" max="15877" width="6.5703125" style="90" customWidth="1"/>
    <col min="15878" max="15878" width="6.7109375" style="90" customWidth="1"/>
    <col min="15879" max="15879" width="7.5703125" style="90" customWidth="1"/>
    <col min="15880" max="15880" width="8.140625" style="90" customWidth="1"/>
    <col min="15881" max="15881" width="6.140625" style="90" customWidth="1"/>
    <col min="15882" max="15883" width="11" style="90" customWidth="1"/>
    <col min="15884" max="15884" width="13" style="90" customWidth="1"/>
    <col min="15885" max="16128" width="9.140625" style="90"/>
    <col min="16129" max="16129" width="5.140625" style="90" customWidth="1"/>
    <col min="16130" max="16130" width="7.42578125" style="90" customWidth="1"/>
    <col min="16131" max="16131" width="57" style="90" customWidth="1"/>
    <col min="16132" max="16132" width="5.140625" style="90" customWidth="1"/>
    <col min="16133" max="16133" width="6.5703125" style="90" customWidth="1"/>
    <col min="16134" max="16134" width="6.7109375" style="90" customWidth="1"/>
    <col min="16135" max="16135" width="7.5703125" style="90" customWidth="1"/>
    <col min="16136" max="16136" width="8.140625" style="90" customWidth="1"/>
    <col min="16137" max="16137" width="6.140625" style="90" customWidth="1"/>
    <col min="16138" max="16139" width="11" style="90" customWidth="1"/>
    <col min="16140" max="16140" width="13" style="90" customWidth="1"/>
    <col min="16141" max="16384" width="9.140625" style="90"/>
  </cols>
  <sheetData>
    <row r="2" spans="1:12" ht="15" x14ac:dyDescent="0.2">
      <c r="C2" s="106" t="s">
        <v>416</v>
      </c>
    </row>
    <row r="3" spans="1:12" ht="15.75" x14ac:dyDescent="0.2">
      <c r="A3" s="949" t="s">
        <v>520</v>
      </c>
      <c r="B3" s="949"/>
      <c r="C3" s="949"/>
      <c r="D3" s="949"/>
      <c r="E3" s="949"/>
      <c r="F3" s="949"/>
      <c r="G3" s="949"/>
      <c r="H3" s="949"/>
      <c r="I3" s="949"/>
    </row>
    <row r="4" spans="1:12" ht="15.75" x14ac:dyDescent="0.2">
      <c r="A4" s="112"/>
      <c r="B4" s="112"/>
      <c r="C4" s="112"/>
      <c r="D4" s="112"/>
      <c r="E4" s="112"/>
      <c r="F4" s="112"/>
      <c r="G4" s="112"/>
      <c r="H4" s="112"/>
      <c r="I4" s="112"/>
    </row>
    <row r="5" spans="1:12" ht="25.5" x14ac:dyDescent="0.2">
      <c r="A5" s="104" t="s">
        <v>99</v>
      </c>
      <c r="B5" s="105" t="s">
        <v>216</v>
      </c>
      <c r="C5" s="113" t="s">
        <v>101</v>
      </c>
      <c r="D5" s="114" t="s">
        <v>102</v>
      </c>
      <c r="E5" s="107" t="s">
        <v>103</v>
      </c>
      <c r="F5" s="107" t="s">
        <v>104</v>
      </c>
      <c r="G5" s="107" t="s">
        <v>105</v>
      </c>
      <c r="H5" s="179" t="s">
        <v>106</v>
      </c>
      <c r="I5" s="109" t="s">
        <v>107</v>
      </c>
      <c r="J5" s="107" t="s">
        <v>108</v>
      </c>
      <c r="K5" s="107" t="s">
        <v>109</v>
      </c>
      <c r="L5" s="203" t="s">
        <v>95</v>
      </c>
    </row>
    <row r="6" spans="1:12" ht="42.75" customHeight="1" x14ac:dyDescent="0.2">
      <c r="A6" s="116">
        <v>1</v>
      </c>
      <c r="B6" s="206" t="s">
        <v>217</v>
      </c>
      <c r="C6" s="207" t="s">
        <v>218</v>
      </c>
      <c r="D6" s="119"/>
      <c r="E6" s="121"/>
      <c r="F6" s="121"/>
      <c r="G6" s="121"/>
      <c r="H6" s="208"/>
      <c r="I6" s="122"/>
      <c r="J6" s="209"/>
      <c r="K6" s="209"/>
      <c r="L6" s="210"/>
    </row>
    <row r="7" spans="1:12" x14ac:dyDescent="0.2">
      <c r="A7" s="124"/>
      <c r="B7" s="211"/>
      <c r="C7" s="132" t="s">
        <v>139</v>
      </c>
      <c r="D7" s="133">
        <v>56</v>
      </c>
      <c r="E7" s="134">
        <v>0.3</v>
      </c>
      <c r="F7" s="134">
        <v>0.6</v>
      </c>
      <c r="G7" s="134">
        <v>2.4</v>
      </c>
      <c r="H7" s="212">
        <f>G7*F7*E7*D7</f>
        <v>24.192</v>
      </c>
      <c r="I7" s="136"/>
      <c r="J7" s="213"/>
      <c r="K7" s="213"/>
      <c r="L7" s="214"/>
    </row>
    <row r="8" spans="1:12" x14ac:dyDescent="0.2">
      <c r="A8" s="124"/>
      <c r="B8" s="211"/>
      <c r="C8" s="132" t="s">
        <v>140</v>
      </c>
      <c r="D8" s="133">
        <v>12</v>
      </c>
      <c r="E8" s="134">
        <v>0.3</v>
      </c>
      <c r="F8" s="134">
        <v>0.5</v>
      </c>
      <c r="G8" s="134">
        <v>2.4</v>
      </c>
      <c r="H8" s="212">
        <f>G8*F8*E8*D8</f>
        <v>4.32</v>
      </c>
      <c r="I8" s="136"/>
      <c r="J8" s="213"/>
      <c r="K8" s="213"/>
      <c r="L8" s="214"/>
    </row>
    <row r="9" spans="1:12" x14ac:dyDescent="0.2">
      <c r="A9" s="139"/>
      <c r="B9" s="215"/>
      <c r="C9" s="141" t="s">
        <v>117</v>
      </c>
      <c r="D9" s="142">
        <f>SUM(D7:D8)</f>
        <v>68</v>
      </c>
      <c r="E9" s="143"/>
      <c r="F9" s="143"/>
      <c r="G9" s="143"/>
      <c r="H9" s="216">
        <v>28</v>
      </c>
      <c r="I9" s="141" t="s">
        <v>118</v>
      </c>
      <c r="J9" s="217">
        <v>10852.95</v>
      </c>
      <c r="K9" s="217">
        <f>J9*100/118</f>
        <v>9197.4152542372885</v>
      </c>
      <c r="L9" s="218">
        <f>K9*H9</f>
        <v>257527.62711864407</v>
      </c>
    </row>
    <row r="10" spans="1:12" ht="37.5" customHeight="1" x14ac:dyDescent="0.2">
      <c r="A10" s="116" t="s">
        <v>219</v>
      </c>
      <c r="B10" s="206">
        <v>5.3</v>
      </c>
      <c r="C10" s="219" t="s">
        <v>220</v>
      </c>
      <c r="D10" s="119"/>
      <c r="E10" s="121"/>
      <c r="F10" s="121"/>
      <c r="G10" s="121"/>
      <c r="H10" s="208"/>
      <c r="I10" s="122"/>
      <c r="J10" s="209"/>
      <c r="K10" s="217">
        <f t="shared" ref="K10:K73" si="0">J10*100/118</f>
        <v>0</v>
      </c>
      <c r="L10" s="218">
        <f t="shared" ref="L10:L73" si="1">K10*H10</f>
        <v>0</v>
      </c>
    </row>
    <row r="11" spans="1:12" x14ac:dyDescent="0.2">
      <c r="A11" s="124"/>
      <c r="B11" s="211"/>
      <c r="C11" s="187" t="s">
        <v>221</v>
      </c>
      <c r="D11" s="133" t="s">
        <v>91</v>
      </c>
      <c r="E11" s="135" t="s">
        <v>91</v>
      </c>
      <c r="F11" s="135" t="s">
        <v>91</v>
      </c>
      <c r="G11" s="135" t="s">
        <v>91</v>
      </c>
      <c r="H11" s="134" t="s">
        <v>91</v>
      </c>
      <c r="I11" s="136"/>
      <c r="J11" s="213"/>
      <c r="K11" s="217">
        <f t="shared" si="0"/>
        <v>0</v>
      </c>
      <c r="L11" s="218">
        <v>0</v>
      </c>
    </row>
    <row r="12" spans="1:12" x14ac:dyDescent="0.2">
      <c r="A12" s="124"/>
      <c r="B12" s="211"/>
      <c r="C12" s="187" t="s">
        <v>418</v>
      </c>
      <c r="D12" s="133">
        <v>0</v>
      </c>
      <c r="E12" s="135">
        <f>1.05</f>
        <v>1.05</v>
      </c>
      <c r="F12" s="135">
        <v>0.125</v>
      </c>
      <c r="G12" s="135">
        <v>0.15</v>
      </c>
      <c r="H12" s="134">
        <f>G12*F12*E12*D12</f>
        <v>0</v>
      </c>
      <c r="I12" s="136"/>
      <c r="J12" s="213"/>
      <c r="K12" s="217">
        <f t="shared" si="0"/>
        <v>0</v>
      </c>
      <c r="L12" s="218">
        <f t="shared" si="1"/>
        <v>0</v>
      </c>
    </row>
    <row r="13" spans="1:12" x14ac:dyDescent="0.2">
      <c r="A13" s="124"/>
      <c r="B13" s="211"/>
      <c r="C13" s="187" t="s">
        <v>293</v>
      </c>
      <c r="D13" s="133">
        <v>8</v>
      </c>
      <c r="E13" s="135">
        <f>1+0.125+0.125</f>
        <v>1.25</v>
      </c>
      <c r="F13" s="135">
        <v>0.25</v>
      </c>
      <c r="G13" s="135">
        <v>0.15</v>
      </c>
      <c r="H13" s="134">
        <f>G13*F13*E13*D13</f>
        <v>0.375</v>
      </c>
      <c r="I13" s="136"/>
      <c r="J13" s="213"/>
      <c r="K13" s="217">
        <f t="shared" si="0"/>
        <v>0</v>
      </c>
      <c r="L13" s="218">
        <f t="shared" si="1"/>
        <v>0</v>
      </c>
    </row>
    <row r="14" spans="1:12" x14ac:dyDescent="0.2">
      <c r="A14" s="124"/>
      <c r="B14" s="211"/>
      <c r="C14" s="187" t="s">
        <v>222</v>
      </c>
      <c r="D14" s="133">
        <v>4</v>
      </c>
      <c r="E14" s="135">
        <f>0.9+0.125+0.125</f>
        <v>1.1499999999999999</v>
      </c>
      <c r="F14" s="135">
        <v>0.25</v>
      </c>
      <c r="G14" s="135">
        <v>0.15</v>
      </c>
      <c r="H14" s="134">
        <f>G14*F14*E14*D14</f>
        <v>0.17249999999999999</v>
      </c>
      <c r="I14" s="136"/>
      <c r="J14" s="213"/>
      <c r="K14" s="217">
        <f t="shared" si="0"/>
        <v>0</v>
      </c>
      <c r="L14" s="218">
        <f t="shared" si="1"/>
        <v>0</v>
      </c>
    </row>
    <row r="15" spans="1:12" x14ac:dyDescent="0.2">
      <c r="A15" s="124"/>
      <c r="B15" s="211"/>
      <c r="C15" s="220" t="s">
        <v>223</v>
      </c>
      <c r="D15" s="133">
        <v>8</v>
      </c>
      <c r="E15" s="135">
        <f>0.75 + 0.125 + 0.125</f>
        <v>1</v>
      </c>
      <c r="F15" s="135">
        <v>0.125</v>
      </c>
      <c r="G15" s="135">
        <v>0.15</v>
      </c>
      <c r="H15" s="134">
        <f>G15*F15*E15*D15</f>
        <v>0.15</v>
      </c>
      <c r="I15" s="136"/>
      <c r="J15" s="213"/>
      <c r="K15" s="217">
        <f t="shared" si="0"/>
        <v>0</v>
      </c>
      <c r="L15" s="218">
        <f t="shared" si="1"/>
        <v>0</v>
      </c>
    </row>
    <row r="16" spans="1:12" x14ac:dyDescent="0.2">
      <c r="A16" s="124"/>
      <c r="B16" s="211"/>
      <c r="C16" s="220" t="s">
        <v>419</v>
      </c>
      <c r="D16" s="133">
        <v>0</v>
      </c>
      <c r="E16" s="135">
        <f>0.9</f>
        <v>0.9</v>
      </c>
      <c r="F16" s="135">
        <v>0.125</v>
      </c>
      <c r="G16" s="135">
        <v>0.15</v>
      </c>
      <c r="H16" s="134">
        <f>G16*F16*E16*D16</f>
        <v>0</v>
      </c>
      <c r="I16" s="136"/>
      <c r="J16" s="213"/>
      <c r="K16" s="217">
        <f t="shared" si="0"/>
        <v>0</v>
      </c>
      <c r="L16" s="218">
        <f t="shared" si="1"/>
        <v>0</v>
      </c>
    </row>
    <row r="17" spans="1:12" x14ac:dyDescent="0.2">
      <c r="A17" s="124"/>
      <c r="B17" s="211"/>
      <c r="C17" s="187" t="s">
        <v>224</v>
      </c>
      <c r="D17" s="133"/>
      <c r="E17" s="135"/>
      <c r="F17" s="135"/>
      <c r="G17" s="135"/>
      <c r="H17" s="212"/>
      <c r="I17" s="136"/>
      <c r="J17" s="213"/>
      <c r="K17" s="217">
        <f t="shared" si="0"/>
        <v>0</v>
      </c>
      <c r="L17" s="218">
        <f t="shared" si="1"/>
        <v>0</v>
      </c>
    </row>
    <row r="18" spans="1:12" x14ac:dyDescent="0.2">
      <c r="A18" s="124"/>
      <c r="B18" s="211"/>
      <c r="C18" s="187" t="s">
        <v>225</v>
      </c>
      <c r="D18" s="133"/>
      <c r="E18" s="135"/>
      <c r="F18" s="135"/>
      <c r="G18" s="135"/>
      <c r="H18" s="212"/>
      <c r="I18" s="136"/>
      <c r="J18" s="213"/>
      <c r="K18" s="217">
        <f t="shared" si="0"/>
        <v>0</v>
      </c>
      <c r="L18" s="218">
        <f t="shared" si="1"/>
        <v>0</v>
      </c>
    </row>
    <row r="19" spans="1:12" s="111" customFormat="1" x14ac:dyDescent="0.2">
      <c r="A19" s="124"/>
      <c r="B19" s="125"/>
      <c r="C19" s="132" t="s">
        <v>144</v>
      </c>
      <c r="D19" s="133">
        <v>1</v>
      </c>
      <c r="E19" s="134">
        <f>0.475+8.85</f>
        <v>9.3249999999999993</v>
      </c>
      <c r="F19" s="134">
        <v>0.25</v>
      </c>
      <c r="G19" s="134">
        <f>0.6-0.135</f>
        <v>0.46499999999999997</v>
      </c>
      <c r="H19" s="135">
        <f t="shared" ref="H19:H61" si="2">G19*F19*E19*D19</f>
        <v>1.0840312499999998</v>
      </c>
      <c r="I19" s="136"/>
      <c r="J19" s="135"/>
      <c r="K19" s="217">
        <f t="shared" si="0"/>
        <v>0</v>
      </c>
      <c r="L19" s="218">
        <f t="shared" si="1"/>
        <v>0</v>
      </c>
    </row>
    <row r="20" spans="1:12" s="111" customFormat="1" x14ac:dyDescent="0.2">
      <c r="A20" s="124"/>
      <c r="B20" s="125"/>
      <c r="C20" s="132" t="s">
        <v>145</v>
      </c>
      <c r="D20" s="133">
        <v>1</v>
      </c>
      <c r="E20" s="134">
        <f>0.475+5.275</f>
        <v>5.75</v>
      </c>
      <c r="F20" s="134">
        <v>0.25</v>
      </c>
      <c r="G20" s="134">
        <f t="shared" ref="G20:G61" si="3">0.6-0.135</f>
        <v>0.46499999999999997</v>
      </c>
      <c r="H20" s="135">
        <f t="shared" si="2"/>
        <v>0.66843749999999991</v>
      </c>
      <c r="I20" s="136"/>
      <c r="J20" s="135"/>
      <c r="K20" s="217">
        <f t="shared" si="0"/>
        <v>0</v>
      </c>
      <c r="L20" s="218">
        <f t="shared" si="1"/>
        <v>0</v>
      </c>
    </row>
    <row r="21" spans="1:12" s="111" customFormat="1" x14ac:dyDescent="0.2">
      <c r="A21" s="124"/>
      <c r="B21" s="125"/>
      <c r="C21" s="132" t="s">
        <v>146</v>
      </c>
      <c r="D21" s="133">
        <v>1</v>
      </c>
      <c r="E21" s="134">
        <v>3.57</v>
      </c>
      <c r="F21" s="134">
        <v>0.25</v>
      </c>
      <c r="G21" s="134">
        <f t="shared" si="3"/>
        <v>0.46499999999999997</v>
      </c>
      <c r="H21" s="135">
        <f t="shared" si="2"/>
        <v>0.41501249999999995</v>
      </c>
      <c r="I21" s="136"/>
      <c r="J21" s="135"/>
      <c r="K21" s="217">
        <f t="shared" si="0"/>
        <v>0</v>
      </c>
      <c r="L21" s="218">
        <f t="shared" si="1"/>
        <v>0</v>
      </c>
    </row>
    <row r="22" spans="1:12" s="111" customFormat="1" x14ac:dyDescent="0.2">
      <c r="A22" s="124"/>
      <c r="B22" s="125"/>
      <c r="C22" s="132" t="s">
        <v>147</v>
      </c>
      <c r="D22" s="133">
        <v>1</v>
      </c>
      <c r="E22" s="134">
        <v>2.25</v>
      </c>
      <c r="F22" s="134">
        <v>0.25</v>
      </c>
      <c r="G22" s="134">
        <f t="shared" si="3"/>
        <v>0.46499999999999997</v>
      </c>
      <c r="H22" s="135">
        <f t="shared" si="2"/>
        <v>0.26156249999999998</v>
      </c>
      <c r="I22" s="136"/>
      <c r="J22" s="135"/>
      <c r="K22" s="217">
        <f t="shared" si="0"/>
        <v>0</v>
      </c>
      <c r="L22" s="218">
        <f t="shared" si="1"/>
        <v>0</v>
      </c>
    </row>
    <row r="23" spans="1:12" s="111" customFormat="1" x14ac:dyDescent="0.2">
      <c r="A23" s="124"/>
      <c r="B23" s="125"/>
      <c r="C23" s="132" t="s">
        <v>148</v>
      </c>
      <c r="D23" s="133">
        <v>2</v>
      </c>
      <c r="E23" s="134">
        <v>7.3</v>
      </c>
      <c r="F23" s="134">
        <v>0.25</v>
      </c>
      <c r="G23" s="134">
        <f t="shared" si="3"/>
        <v>0.46499999999999997</v>
      </c>
      <c r="H23" s="135">
        <f t="shared" si="2"/>
        <v>1.6972499999999999</v>
      </c>
      <c r="I23" s="136"/>
      <c r="J23" s="135"/>
      <c r="K23" s="217">
        <f t="shared" si="0"/>
        <v>0</v>
      </c>
      <c r="L23" s="218">
        <f t="shared" si="1"/>
        <v>0</v>
      </c>
    </row>
    <row r="24" spans="1:12" s="111" customFormat="1" x14ac:dyDescent="0.2">
      <c r="A24" s="124"/>
      <c r="B24" s="125"/>
      <c r="C24" s="132" t="s">
        <v>149</v>
      </c>
      <c r="D24" s="133">
        <v>1</v>
      </c>
      <c r="E24" s="134">
        <f>1.5+5.85</f>
        <v>7.35</v>
      </c>
      <c r="F24" s="134">
        <v>0.25</v>
      </c>
      <c r="G24" s="134">
        <f t="shared" si="3"/>
        <v>0.46499999999999997</v>
      </c>
      <c r="H24" s="135">
        <f t="shared" si="2"/>
        <v>0.85443749999999985</v>
      </c>
      <c r="I24" s="136"/>
      <c r="J24" s="135"/>
      <c r="K24" s="217">
        <f t="shared" si="0"/>
        <v>0</v>
      </c>
      <c r="L24" s="218">
        <f t="shared" si="1"/>
        <v>0</v>
      </c>
    </row>
    <row r="25" spans="1:12" s="111" customFormat="1" x14ac:dyDescent="0.2">
      <c r="A25" s="124"/>
      <c r="B25" s="125"/>
      <c r="C25" s="132" t="s">
        <v>150</v>
      </c>
      <c r="D25" s="133">
        <v>1</v>
      </c>
      <c r="E25" s="134">
        <f>1.5+26</f>
        <v>27.5</v>
      </c>
      <c r="F25" s="134">
        <v>0.25</v>
      </c>
      <c r="G25" s="134">
        <f t="shared" si="3"/>
        <v>0.46499999999999997</v>
      </c>
      <c r="H25" s="135">
        <f t="shared" si="2"/>
        <v>3.1968749999999999</v>
      </c>
      <c r="I25" s="136"/>
      <c r="J25" s="135"/>
      <c r="K25" s="217">
        <f t="shared" si="0"/>
        <v>0</v>
      </c>
      <c r="L25" s="218">
        <f t="shared" si="1"/>
        <v>0</v>
      </c>
    </row>
    <row r="26" spans="1:12" s="111" customFormat="1" x14ac:dyDescent="0.2">
      <c r="A26" s="124"/>
      <c r="B26" s="125"/>
      <c r="C26" s="132" t="s">
        <v>151</v>
      </c>
      <c r="D26" s="133">
        <v>1</v>
      </c>
      <c r="E26" s="134">
        <f>0.125+0.125+3.3</f>
        <v>3.55</v>
      </c>
      <c r="F26" s="134">
        <v>0.25</v>
      </c>
      <c r="G26" s="134">
        <f t="shared" si="3"/>
        <v>0.46499999999999997</v>
      </c>
      <c r="H26" s="135">
        <f t="shared" si="2"/>
        <v>0.41268749999999993</v>
      </c>
      <c r="I26" s="136"/>
      <c r="J26" s="135"/>
      <c r="K26" s="217">
        <f t="shared" si="0"/>
        <v>0</v>
      </c>
      <c r="L26" s="218">
        <f t="shared" si="1"/>
        <v>0</v>
      </c>
    </row>
    <row r="27" spans="1:12" s="111" customFormat="1" x14ac:dyDescent="0.2">
      <c r="A27" s="124"/>
      <c r="B27" s="125"/>
      <c r="C27" s="132" t="s">
        <v>152</v>
      </c>
      <c r="D27" s="133">
        <v>1</v>
      </c>
      <c r="E27" s="134">
        <f>1.5+3.975</f>
        <v>5.4749999999999996</v>
      </c>
      <c r="F27" s="134">
        <v>0.25</v>
      </c>
      <c r="G27" s="134">
        <f t="shared" si="3"/>
        <v>0.46499999999999997</v>
      </c>
      <c r="H27" s="135">
        <f t="shared" si="2"/>
        <v>0.63646874999999992</v>
      </c>
      <c r="I27" s="136"/>
      <c r="J27" s="135"/>
      <c r="K27" s="217">
        <f t="shared" si="0"/>
        <v>0</v>
      </c>
      <c r="L27" s="218">
        <f t="shared" si="1"/>
        <v>0</v>
      </c>
    </row>
    <row r="28" spans="1:12" s="111" customFormat="1" x14ac:dyDescent="0.2">
      <c r="A28" s="124"/>
      <c r="B28" s="125"/>
      <c r="C28" s="132" t="s">
        <v>153</v>
      </c>
      <c r="D28" s="133">
        <v>1</v>
      </c>
      <c r="E28" s="134">
        <f>1.5+7.2</f>
        <v>8.6999999999999993</v>
      </c>
      <c r="F28" s="134">
        <v>0.25</v>
      </c>
      <c r="G28" s="134">
        <f t="shared" si="3"/>
        <v>0.46499999999999997</v>
      </c>
      <c r="H28" s="135">
        <f t="shared" si="2"/>
        <v>1.0113749999999999</v>
      </c>
      <c r="I28" s="136"/>
      <c r="J28" s="135"/>
      <c r="K28" s="217">
        <f t="shared" si="0"/>
        <v>0</v>
      </c>
      <c r="L28" s="218">
        <f t="shared" si="1"/>
        <v>0</v>
      </c>
    </row>
    <row r="29" spans="1:12" s="111" customFormat="1" x14ac:dyDescent="0.2">
      <c r="A29" s="124"/>
      <c r="B29" s="125"/>
      <c r="C29" s="132" t="s">
        <v>154</v>
      </c>
      <c r="D29" s="133">
        <v>1</v>
      </c>
      <c r="E29" s="134">
        <f>3.05+6.05</f>
        <v>9.1</v>
      </c>
      <c r="F29" s="134">
        <v>0.25</v>
      </c>
      <c r="G29" s="134">
        <f t="shared" si="3"/>
        <v>0.46499999999999997</v>
      </c>
      <c r="H29" s="135">
        <f t="shared" si="2"/>
        <v>1.0578749999999999</v>
      </c>
      <c r="I29" s="136"/>
      <c r="J29" s="135"/>
      <c r="K29" s="217">
        <f t="shared" si="0"/>
        <v>0</v>
      </c>
      <c r="L29" s="218">
        <f t="shared" si="1"/>
        <v>0</v>
      </c>
    </row>
    <row r="30" spans="1:12" s="111" customFormat="1" x14ac:dyDescent="0.2">
      <c r="A30" s="124"/>
      <c r="B30" s="125"/>
      <c r="C30" s="132" t="s">
        <v>155</v>
      </c>
      <c r="D30" s="133">
        <v>1</v>
      </c>
      <c r="E30" s="134">
        <f>1.5+10.62</f>
        <v>12.12</v>
      </c>
      <c r="F30" s="134">
        <v>0.25</v>
      </c>
      <c r="G30" s="134">
        <f t="shared" si="3"/>
        <v>0.46499999999999997</v>
      </c>
      <c r="H30" s="135">
        <f t="shared" si="2"/>
        <v>1.4089499999999999</v>
      </c>
      <c r="I30" s="136"/>
      <c r="J30" s="135"/>
      <c r="K30" s="217">
        <f t="shared" si="0"/>
        <v>0</v>
      </c>
      <c r="L30" s="218">
        <f t="shared" si="1"/>
        <v>0</v>
      </c>
    </row>
    <row r="31" spans="1:12" s="111" customFormat="1" x14ac:dyDescent="0.2">
      <c r="A31" s="124"/>
      <c r="B31" s="125"/>
      <c r="C31" s="132" t="s">
        <v>156</v>
      </c>
      <c r="D31" s="180">
        <v>1</v>
      </c>
      <c r="E31" s="134">
        <f>1.5+4.1</f>
        <v>5.6</v>
      </c>
      <c r="F31" s="134">
        <v>0.25</v>
      </c>
      <c r="G31" s="134">
        <f t="shared" si="3"/>
        <v>0.46499999999999997</v>
      </c>
      <c r="H31" s="135">
        <f t="shared" si="2"/>
        <v>0.65099999999999991</v>
      </c>
      <c r="I31" s="136"/>
      <c r="J31" s="135"/>
      <c r="K31" s="217">
        <f t="shared" si="0"/>
        <v>0</v>
      </c>
      <c r="L31" s="218">
        <f t="shared" si="1"/>
        <v>0</v>
      </c>
    </row>
    <row r="32" spans="1:12" s="111" customFormat="1" x14ac:dyDescent="0.2">
      <c r="A32" s="124"/>
      <c r="B32" s="125"/>
      <c r="C32" s="132" t="s">
        <v>157</v>
      </c>
      <c r="D32" s="133">
        <v>1</v>
      </c>
      <c r="E32" s="134">
        <v>3.55</v>
      </c>
      <c r="F32" s="134">
        <v>0.25</v>
      </c>
      <c r="G32" s="134">
        <f t="shared" si="3"/>
        <v>0.46499999999999997</v>
      </c>
      <c r="H32" s="135">
        <f t="shared" si="2"/>
        <v>0.41268749999999993</v>
      </c>
      <c r="I32" s="136"/>
      <c r="J32" s="135"/>
      <c r="K32" s="217">
        <f t="shared" si="0"/>
        <v>0</v>
      </c>
      <c r="L32" s="218">
        <f t="shared" si="1"/>
        <v>0</v>
      </c>
    </row>
    <row r="33" spans="1:12" s="111" customFormat="1" x14ac:dyDescent="0.2">
      <c r="A33" s="124"/>
      <c r="B33" s="125"/>
      <c r="C33" s="132" t="s">
        <v>158</v>
      </c>
      <c r="D33" s="133">
        <v>1</v>
      </c>
      <c r="E33" s="134">
        <f>1.5+25.875</f>
        <v>27.375</v>
      </c>
      <c r="F33" s="134">
        <v>0.25</v>
      </c>
      <c r="G33" s="134">
        <f t="shared" si="3"/>
        <v>0.46499999999999997</v>
      </c>
      <c r="H33" s="135">
        <f t="shared" si="2"/>
        <v>3.1823437499999998</v>
      </c>
      <c r="I33" s="136"/>
      <c r="J33" s="135"/>
      <c r="K33" s="217">
        <f t="shared" si="0"/>
        <v>0</v>
      </c>
      <c r="L33" s="218">
        <f t="shared" si="1"/>
        <v>0</v>
      </c>
    </row>
    <row r="34" spans="1:12" s="111" customFormat="1" x14ac:dyDescent="0.2">
      <c r="A34" s="124"/>
      <c r="B34" s="125"/>
      <c r="C34" s="132" t="s">
        <v>159</v>
      </c>
      <c r="D34" s="133">
        <v>1</v>
      </c>
      <c r="E34" s="134">
        <f>1.5+5.85</f>
        <v>7.35</v>
      </c>
      <c r="F34" s="134">
        <v>0.25</v>
      </c>
      <c r="G34" s="134">
        <f t="shared" si="3"/>
        <v>0.46499999999999997</v>
      </c>
      <c r="H34" s="135">
        <f t="shared" si="2"/>
        <v>0.85443749999999985</v>
      </c>
      <c r="I34" s="136"/>
      <c r="J34" s="135"/>
      <c r="K34" s="217">
        <f t="shared" si="0"/>
        <v>0</v>
      </c>
      <c r="L34" s="218">
        <f t="shared" si="1"/>
        <v>0</v>
      </c>
    </row>
    <row r="35" spans="1:12" s="111" customFormat="1" x14ac:dyDescent="0.2">
      <c r="A35" s="124"/>
      <c r="B35" s="125"/>
      <c r="C35" s="132" t="s">
        <v>160</v>
      </c>
      <c r="D35" s="133">
        <v>1</v>
      </c>
      <c r="E35" s="134">
        <v>8.75</v>
      </c>
      <c r="F35" s="134">
        <v>0.25</v>
      </c>
      <c r="G35" s="134">
        <f t="shared" si="3"/>
        <v>0.46499999999999997</v>
      </c>
      <c r="H35" s="135">
        <f t="shared" si="2"/>
        <v>1.0171874999999999</v>
      </c>
      <c r="I35" s="136"/>
      <c r="J35" s="135"/>
      <c r="K35" s="217">
        <f t="shared" si="0"/>
        <v>0</v>
      </c>
      <c r="L35" s="218">
        <f t="shared" si="1"/>
        <v>0</v>
      </c>
    </row>
    <row r="36" spans="1:12" s="111" customFormat="1" x14ac:dyDescent="0.2">
      <c r="A36" s="124"/>
      <c r="B36" s="125"/>
      <c r="C36" s="132" t="s">
        <v>161</v>
      </c>
      <c r="D36" s="133">
        <v>1</v>
      </c>
      <c r="E36" s="134">
        <v>7.3</v>
      </c>
      <c r="F36" s="134">
        <v>0.25</v>
      </c>
      <c r="G36" s="134">
        <f t="shared" si="3"/>
        <v>0.46499999999999997</v>
      </c>
      <c r="H36" s="135">
        <f t="shared" si="2"/>
        <v>0.84862499999999996</v>
      </c>
      <c r="I36" s="136"/>
      <c r="J36" s="135"/>
      <c r="K36" s="217">
        <f t="shared" si="0"/>
        <v>0</v>
      </c>
      <c r="L36" s="218">
        <f t="shared" si="1"/>
        <v>0</v>
      </c>
    </row>
    <row r="37" spans="1:12" s="111" customFormat="1" x14ac:dyDescent="0.2">
      <c r="A37" s="124"/>
      <c r="B37" s="125"/>
      <c r="C37" s="132" t="s">
        <v>162</v>
      </c>
      <c r="D37" s="133">
        <v>1</v>
      </c>
      <c r="E37" s="134">
        <v>2.52</v>
      </c>
      <c r="F37" s="134">
        <v>0.25</v>
      </c>
      <c r="G37" s="134">
        <f t="shared" si="3"/>
        <v>0.46499999999999997</v>
      </c>
      <c r="H37" s="135">
        <f t="shared" si="2"/>
        <v>0.29294999999999999</v>
      </c>
      <c r="I37" s="136"/>
      <c r="J37" s="135"/>
      <c r="K37" s="217">
        <f t="shared" si="0"/>
        <v>0</v>
      </c>
      <c r="L37" s="218">
        <f t="shared" si="1"/>
        <v>0</v>
      </c>
    </row>
    <row r="38" spans="1:12" s="111" customFormat="1" x14ac:dyDescent="0.2">
      <c r="A38" s="124"/>
      <c r="B38" s="125"/>
      <c r="C38" s="132" t="s">
        <v>163</v>
      </c>
      <c r="D38" s="133">
        <v>2</v>
      </c>
      <c r="E38" s="134">
        <f>1.5+8.85</f>
        <v>10.35</v>
      </c>
      <c r="F38" s="134">
        <v>0.25</v>
      </c>
      <c r="G38" s="134">
        <f t="shared" si="3"/>
        <v>0.46499999999999997</v>
      </c>
      <c r="H38" s="135">
        <f t="shared" si="2"/>
        <v>2.4063749999999997</v>
      </c>
      <c r="I38" s="136"/>
      <c r="J38" s="135"/>
      <c r="K38" s="217">
        <f t="shared" si="0"/>
        <v>0</v>
      </c>
      <c r="L38" s="218">
        <f t="shared" si="1"/>
        <v>0</v>
      </c>
    </row>
    <row r="39" spans="1:12" s="111" customFormat="1" x14ac:dyDescent="0.2">
      <c r="A39" s="124"/>
      <c r="B39" s="125"/>
      <c r="C39" s="132" t="s">
        <v>164</v>
      </c>
      <c r="D39" s="133">
        <v>1</v>
      </c>
      <c r="E39" s="134">
        <f>0.475+8.85</f>
        <v>9.3249999999999993</v>
      </c>
      <c r="F39" s="134">
        <v>0.25</v>
      </c>
      <c r="G39" s="134">
        <f t="shared" si="3"/>
        <v>0.46499999999999997</v>
      </c>
      <c r="H39" s="135">
        <f t="shared" si="2"/>
        <v>1.0840312499999998</v>
      </c>
      <c r="I39" s="136"/>
      <c r="J39" s="135"/>
      <c r="K39" s="217">
        <f t="shared" si="0"/>
        <v>0</v>
      </c>
      <c r="L39" s="218">
        <f t="shared" si="1"/>
        <v>0</v>
      </c>
    </row>
    <row r="40" spans="1:12" s="111" customFormat="1" x14ac:dyDescent="0.2">
      <c r="A40" s="124"/>
      <c r="B40" s="125"/>
      <c r="C40" s="132" t="s">
        <v>165</v>
      </c>
      <c r="D40" s="133">
        <v>1</v>
      </c>
      <c r="E40" s="134">
        <f>0.475+5.275</f>
        <v>5.75</v>
      </c>
      <c r="F40" s="134">
        <v>0.25</v>
      </c>
      <c r="G40" s="134">
        <f t="shared" si="3"/>
        <v>0.46499999999999997</v>
      </c>
      <c r="H40" s="135">
        <f t="shared" si="2"/>
        <v>0.66843749999999991</v>
      </c>
      <c r="I40" s="136"/>
      <c r="J40" s="135"/>
      <c r="K40" s="217">
        <f t="shared" si="0"/>
        <v>0</v>
      </c>
      <c r="L40" s="218">
        <f t="shared" si="1"/>
        <v>0</v>
      </c>
    </row>
    <row r="41" spans="1:12" s="111" customFormat="1" x14ac:dyDescent="0.2">
      <c r="A41" s="124"/>
      <c r="B41" s="125"/>
      <c r="C41" s="132" t="s">
        <v>166</v>
      </c>
      <c r="D41" s="133">
        <v>1</v>
      </c>
      <c r="E41" s="134">
        <v>3.5750000000000002</v>
      </c>
      <c r="F41" s="134">
        <v>0.25</v>
      </c>
      <c r="G41" s="134">
        <f t="shared" si="3"/>
        <v>0.46499999999999997</v>
      </c>
      <c r="H41" s="135">
        <f t="shared" si="2"/>
        <v>0.41559374999999998</v>
      </c>
      <c r="I41" s="136"/>
      <c r="J41" s="135"/>
      <c r="K41" s="217">
        <f t="shared" si="0"/>
        <v>0</v>
      </c>
      <c r="L41" s="218">
        <f t="shared" si="1"/>
        <v>0</v>
      </c>
    </row>
    <row r="42" spans="1:12" s="111" customFormat="1" x14ac:dyDescent="0.2">
      <c r="A42" s="124"/>
      <c r="B42" s="125"/>
      <c r="C42" s="132" t="s">
        <v>167</v>
      </c>
      <c r="D42" s="133">
        <v>2</v>
      </c>
      <c r="E42" s="134">
        <v>2.2519999999999998</v>
      </c>
      <c r="F42" s="134">
        <v>0.25</v>
      </c>
      <c r="G42" s="134">
        <f t="shared" si="3"/>
        <v>0.46499999999999997</v>
      </c>
      <c r="H42" s="135">
        <f t="shared" si="2"/>
        <v>0.52358999999999989</v>
      </c>
      <c r="I42" s="136"/>
      <c r="J42" s="135"/>
      <c r="K42" s="217">
        <f t="shared" si="0"/>
        <v>0</v>
      </c>
      <c r="L42" s="218">
        <f t="shared" si="1"/>
        <v>0</v>
      </c>
    </row>
    <row r="43" spans="1:12" s="111" customFormat="1" x14ac:dyDescent="0.2">
      <c r="A43" s="124"/>
      <c r="B43" s="125"/>
      <c r="C43" s="132" t="s">
        <v>168</v>
      </c>
      <c r="D43" s="133">
        <v>1</v>
      </c>
      <c r="E43" s="134">
        <v>7.3</v>
      </c>
      <c r="F43" s="134">
        <v>0.25</v>
      </c>
      <c r="G43" s="134">
        <f t="shared" si="3"/>
        <v>0.46499999999999997</v>
      </c>
      <c r="H43" s="135">
        <f t="shared" si="2"/>
        <v>0.84862499999999996</v>
      </c>
      <c r="I43" s="136"/>
      <c r="J43" s="135"/>
      <c r="K43" s="217">
        <f t="shared" si="0"/>
        <v>0</v>
      </c>
      <c r="L43" s="218">
        <f t="shared" si="1"/>
        <v>0</v>
      </c>
    </row>
    <row r="44" spans="1:12" s="111" customFormat="1" x14ac:dyDescent="0.2">
      <c r="A44" s="124"/>
      <c r="B44" s="125"/>
      <c r="C44" s="132" t="s">
        <v>169</v>
      </c>
      <c r="D44" s="133">
        <v>1</v>
      </c>
      <c r="E44" s="134">
        <f>1.5+5.85</f>
        <v>7.35</v>
      </c>
      <c r="F44" s="134">
        <v>0.25</v>
      </c>
      <c r="G44" s="134">
        <f t="shared" si="3"/>
        <v>0.46499999999999997</v>
      </c>
      <c r="H44" s="135">
        <f t="shared" si="2"/>
        <v>0.85443749999999985</v>
      </c>
      <c r="I44" s="136"/>
      <c r="J44" s="135"/>
      <c r="K44" s="217">
        <f t="shared" si="0"/>
        <v>0</v>
      </c>
      <c r="L44" s="218">
        <f t="shared" si="1"/>
        <v>0</v>
      </c>
    </row>
    <row r="45" spans="1:12" s="111" customFormat="1" x14ac:dyDescent="0.2">
      <c r="A45" s="124"/>
      <c r="B45" s="125"/>
      <c r="C45" s="132" t="s">
        <v>170</v>
      </c>
      <c r="D45" s="133">
        <v>1</v>
      </c>
      <c r="E45" s="134">
        <v>21.57</v>
      </c>
      <c r="F45" s="134">
        <v>0.25</v>
      </c>
      <c r="G45" s="134">
        <f t="shared" si="3"/>
        <v>0.46499999999999997</v>
      </c>
      <c r="H45" s="135">
        <f t="shared" si="2"/>
        <v>2.5075124999999998</v>
      </c>
      <c r="I45" s="136"/>
      <c r="J45" s="135"/>
      <c r="K45" s="217">
        <f t="shared" si="0"/>
        <v>0</v>
      </c>
      <c r="L45" s="218">
        <f t="shared" si="1"/>
        <v>0</v>
      </c>
    </row>
    <row r="46" spans="1:12" s="111" customFormat="1" x14ac:dyDescent="0.2">
      <c r="A46" s="124"/>
      <c r="B46" s="125"/>
      <c r="C46" s="132" t="s">
        <v>171</v>
      </c>
      <c r="D46" s="133">
        <v>1</v>
      </c>
      <c r="E46" s="134">
        <v>9.1750000000000007</v>
      </c>
      <c r="F46" s="134">
        <v>0.25</v>
      </c>
      <c r="G46" s="134">
        <f t="shared" si="3"/>
        <v>0.46499999999999997</v>
      </c>
      <c r="H46" s="135">
        <f t="shared" si="2"/>
        <v>1.06659375</v>
      </c>
      <c r="I46" s="136"/>
      <c r="J46" s="135"/>
      <c r="K46" s="217">
        <f t="shared" si="0"/>
        <v>0</v>
      </c>
      <c r="L46" s="218">
        <f t="shared" si="1"/>
        <v>0</v>
      </c>
    </row>
    <row r="47" spans="1:12" s="111" customFormat="1" x14ac:dyDescent="0.2">
      <c r="A47" s="124"/>
      <c r="B47" s="125"/>
      <c r="C47" s="132" t="s">
        <v>172</v>
      </c>
      <c r="D47" s="133">
        <v>1</v>
      </c>
      <c r="E47" s="134">
        <v>8.85</v>
      </c>
      <c r="F47" s="134">
        <v>0.25</v>
      </c>
      <c r="G47" s="134">
        <f t="shared" si="3"/>
        <v>0.46499999999999997</v>
      </c>
      <c r="H47" s="135">
        <f t="shared" si="2"/>
        <v>1.0288124999999999</v>
      </c>
      <c r="I47" s="136"/>
      <c r="J47" s="135"/>
      <c r="K47" s="217">
        <f t="shared" si="0"/>
        <v>0</v>
      </c>
      <c r="L47" s="218">
        <f t="shared" si="1"/>
        <v>0</v>
      </c>
    </row>
    <row r="48" spans="1:12" s="111" customFormat="1" x14ac:dyDescent="0.2">
      <c r="A48" s="124"/>
      <c r="B48" s="125"/>
      <c r="C48" s="132" t="s">
        <v>173</v>
      </c>
      <c r="D48" s="133">
        <v>1</v>
      </c>
      <c r="E48" s="134">
        <f>1.5+4.1</f>
        <v>5.6</v>
      </c>
      <c r="F48" s="134">
        <v>0.25</v>
      </c>
      <c r="G48" s="134">
        <f t="shared" si="3"/>
        <v>0.46499999999999997</v>
      </c>
      <c r="H48" s="135">
        <f t="shared" si="2"/>
        <v>0.65099999999999991</v>
      </c>
      <c r="I48" s="136"/>
      <c r="J48" s="135"/>
      <c r="K48" s="217">
        <f t="shared" si="0"/>
        <v>0</v>
      </c>
      <c r="L48" s="218">
        <f t="shared" si="1"/>
        <v>0</v>
      </c>
    </row>
    <row r="49" spans="1:12" s="111" customFormat="1" x14ac:dyDescent="0.2">
      <c r="A49" s="124"/>
      <c r="B49" s="125"/>
      <c r="C49" s="132" t="s">
        <v>174</v>
      </c>
      <c r="D49" s="133">
        <v>1</v>
      </c>
      <c r="E49" s="134">
        <f>1.5+7.2</f>
        <v>8.6999999999999993</v>
      </c>
      <c r="F49" s="134">
        <v>0.25</v>
      </c>
      <c r="G49" s="134">
        <f t="shared" si="3"/>
        <v>0.46499999999999997</v>
      </c>
      <c r="H49" s="135">
        <f t="shared" si="2"/>
        <v>1.0113749999999999</v>
      </c>
      <c r="I49" s="136"/>
      <c r="J49" s="135"/>
      <c r="K49" s="217">
        <f t="shared" si="0"/>
        <v>0</v>
      </c>
      <c r="L49" s="218">
        <f t="shared" si="1"/>
        <v>0</v>
      </c>
    </row>
    <row r="50" spans="1:12" s="111" customFormat="1" x14ac:dyDescent="0.2">
      <c r="A50" s="124"/>
      <c r="B50" s="125"/>
      <c r="C50" s="132" t="s">
        <v>175</v>
      </c>
      <c r="D50" s="133">
        <v>1</v>
      </c>
      <c r="E50" s="134">
        <f>1.5+7.2</f>
        <v>8.6999999999999993</v>
      </c>
      <c r="F50" s="134">
        <v>0.25</v>
      </c>
      <c r="G50" s="134">
        <f t="shared" si="3"/>
        <v>0.46499999999999997</v>
      </c>
      <c r="H50" s="135">
        <f t="shared" si="2"/>
        <v>1.0113749999999999</v>
      </c>
      <c r="I50" s="136"/>
      <c r="J50" s="135"/>
      <c r="K50" s="217">
        <f t="shared" si="0"/>
        <v>0</v>
      </c>
      <c r="L50" s="218">
        <f t="shared" si="1"/>
        <v>0</v>
      </c>
    </row>
    <row r="51" spans="1:12" s="111" customFormat="1" x14ac:dyDescent="0.2">
      <c r="A51" s="124"/>
      <c r="B51" s="125"/>
      <c r="C51" s="132" t="s">
        <v>176</v>
      </c>
      <c r="D51" s="133">
        <v>1</v>
      </c>
      <c r="E51" s="134">
        <f>1.5+4.1</f>
        <v>5.6</v>
      </c>
      <c r="F51" s="134">
        <v>0.25</v>
      </c>
      <c r="G51" s="134">
        <f t="shared" si="3"/>
        <v>0.46499999999999997</v>
      </c>
      <c r="H51" s="135">
        <f t="shared" si="2"/>
        <v>0.65099999999999991</v>
      </c>
      <c r="I51" s="136"/>
      <c r="J51" s="135"/>
      <c r="K51" s="217">
        <f t="shared" si="0"/>
        <v>0</v>
      </c>
      <c r="L51" s="218">
        <f t="shared" si="1"/>
        <v>0</v>
      </c>
    </row>
    <row r="52" spans="1:12" s="111" customFormat="1" x14ac:dyDescent="0.2">
      <c r="A52" s="124"/>
      <c r="B52" s="125"/>
      <c r="C52" s="132" t="s">
        <v>177</v>
      </c>
      <c r="D52" s="133">
        <v>1</v>
      </c>
      <c r="E52" s="134">
        <v>9.1750000000000007</v>
      </c>
      <c r="F52" s="134">
        <v>0.25</v>
      </c>
      <c r="G52" s="134">
        <f t="shared" si="3"/>
        <v>0.46499999999999997</v>
      </c>
      <c r="H52" s="135">
        <f t="shared" si="2"/>
        <v>1.06659375</v>
      </c>
      <c r="I52" s="136"/>
      <c r="J52" s="135"/>
      <c r="K52" s="217">
        <f t="shared" si="0"/>
        <v>0</v>
      </c>
      <c r="L52" s="218">
        <f t="shared" si="1"/>
        <v>0</v>
      </c>
    </row>
    <row r="53" spans="1:12" s="111" customFormat="1" x14ac:dyDescent="0.2">
      <c r="A53" s="124"/>
      <c r="B53" s="125"/>
      <c r="C53" s="132" t="s">
        <v>178</v>
      </c>
      <c r="D53" s="133">
        <v>1</v>
      </c>
      <c r="E53" s="134">
        <v>21.57</v>
      </c>
      <c r="F53" s="134">
        <v>0.25</v>
      </c>
      <c r="G53" s="134">
        <f t="shared" si="3"/>
        <v>0.46499999999999997</v>
      </c>
      <c r="H53" s="135">
        <f t="shared" si="2"/>
        <v>2.5075124999999998</v>
      </c>
      <c r="I53" s="136"/>
      <c r="J53" s="135"/>
      <c r="K53" s="217">
        <f t="shared" si="0"/>
        <v>0</v>
      </c>
      <c r="L53" s="218">
        <f t="shared" si="1"/>
        <v>0</v>
      </c>
    </row>
    <row r="54" spans="1:12" s="111" customFormat="1" x14ac:dyDescent="0.2">
      <c r="A54" s="124"/>
      <c r="B54" s="125"/>
      <c r="C54" s="132" t="s">
        <v>179</v>
      </c>
      <c r="D54" s="133">
        <v>1</v>
      </c>
      <c r="E54" s="134">
        <f>1.5+5.58</f>
        <v>7.08</v>
      </c>
      <c r="F54" s="134">
        <v>0.25</v>
      </c>
      <c r="G54" s="134">
        <f t="shared" si="3"/>
        <v>0.46499999999999997</v>
      </c>
      <c r="H54" s="135">
        <f t="shared" si="2"/>
        <v>0.82304999999999995</v>
      </c>
      <c r="I54" s="136"/>
      <c r="J54" s="135"/>
      <c r="K54" s="217">
        <f t="shared" si="0"/>
        <v>0</v>
      </c>
      <c r="L54" s="218">
        <f t="shared" si="1"/>
        <v>0</v>
      </c>
    </row>
    <row r="55" spans="1:12" s="111" customFormat="1" x14ac:dyDescent="0.2">
      <c r="A55" s="124"/>
      <c r="B55" s="125"/>
      <c r="C55" s="132" t="s">
        <v>180</v>
      </c>
      <c r="D55" s="133">
        <v>1</v>
      </c>
      <c r="E55" s="134">
        <v>7.3</v>
      </c>
      <c r="F55" s="134">
        <v>0.25</v>
      </c>
      <c r="G55" s="134">
        <f t="shared" si="3"/>
        <v>0.46499999999999997</v>
      </c>
      <c r="H55" s="135">
        <f t="shared" si="2"/>
        <v>0.84862499999999996</v>
      </c>
      <c r="I55" s="136"/>
      <c r="J55" s="135"/>
      <c r="K55" s="217">
        <f t="shared" si="0"/>
        <v>0</v>
      </c>
      <c r="L55" s="218">
        <f t="shared" si="1"/>
        <v>0</v>
      </c>
    </row>
    <row r="56" spans="1:12" s="111" customFormat="1" x14ac:dyDescent="0.2">
      <c r="A56" s="124"/>
      <c r="B56" s="125"/>
      <c r="C56" s="132" t="s">
        <v>181</v>
      </c>
      <c r="D56" s="133">
        <v>1</v>
      </c>
      <c r="E56" s="134">
        <v>2.5249999999999999</v>
      </c>
      <c r="F56" s="134">
        <v>0.25</v>
      </c>
      <c r="G56" s="134">
        <f t="shared" si="3"/>
        <v>0.46499999999999997</v>
      </c>
      <c r="H56" s="135">
        <f t="shared" si="2"/>
        <v>0.29353124999999997</v>
      </c>
      <c r="I56" s="136"/>
      <c r="J56" s="135"/>
      <c r="K56" s="217">
        <f t="shared" si="0"/>
        <v>0</v>
      </c>
      <c r="L56" s="218">
        <f t="shared" si="1"/>
        <v>0</v>
      </c>
    </row>
    <row r="57" spans="1:12" s="111" customFormat="1" x14ac:dyDescent="0.2">
      <c r="A57" s="124"/>
      <c r="B57" s="125"/>
      <c r="C57" s="132" t="s">
        <v>182</v>
      </c>
      <c r="D57" s="133">
        <v>1</v>
      </c>
      <c r="E57" s="134">
        <v>3.5750000000000002</v>
      </c>
      <c r="F57" s="134">
        <v>0.25</v>
      </c>
      <c r="G57" s="134">
        <f t="shared" si="3"/>
        <v>0.46499999999999997</v>
      </c>
      <c r="H57" s="135">
        <f t="shared" si="2"/>
        <v>0.41559374999999998</v>
      </c>
      <c r="I57" s="136"/>
      <c r="J57" s="135"/>
      <c r="K57" s="217">
        <f t="shared" si="0"/>
        <v>0</v>
      </c>
      <c r="L57" s="218">
        <f t="shared" si="1"/>
        <v>0</v>
      </c>
    </row>
    <row r="58" spans="1:12" s="111" customFormat="1" x14ac:dyDescent="0.2">
      <c r="A58" s="124"/>
      <c r="B58" s="125"/>
      <c r="C58" s="132" t="s">
        <v>183</v>
      </c>
      <c r="D58" s="133">
        <v>1</v>
      </c>
      <c r="E58" s="134">
        <f>0.475+5.275</f>
        <v>5.75</v>
      </c>
      <c r="F58" s="134">
        <v>0.25</v>
      </c>
      <c r="G58" s="134">
        <f t="shared" si="3"/>
        <v>0.46499999999999997</v>
      </c>
      <c r="H58" s="135">
        <f t="shared" si="2"/>
        <v>0.66843749999999991</v>
      </c>
      <c r="I58" s="136"/>
      <c r="J58" s="135"/>
      <c r="K58" s="217">
        <f t="shared" si="0"/>
        <v>0</v>
      </c>
      <c r="L58" s="218">
        <f t="shared" si="1"/>
        <v>0</v>
      </c>
    </row>
    <row r="59" spans="1:12" s="111" customFormat="1" x14ac:dyDescent="0.2">
      <c r="A59" s="124"/>
      <c r="B59" s="125"/>
      <c r="C59" s="132" t="s">
        <v>184</v>
      </c>
      <c r="D59" s="133">
        <v>1</v>
      </c>
      <c r="E59" s="134">
        <f>0.475+8.85</f>
        <v>9.3249999999999993</v>
      </c>
      <c r="F59" s="134">
        <v>0.25</v>
      </c>
      <c r="G59" s="134">
        <f t="shared" si="3"/>
        <v>0.46499999999999997</v>
      </c>
      <c r="H59" s="135">
        <f t="shared" si="2"/>
        <v>1.0840312499999998</v>
      </c>
      <c r="I59" s="136"/>
      <c r="J59" s="135"/>
      <c r="K59" s="217">
        <f t="shared" si="0"/>
        <v>0</v>
      </c>
      <c r="L59" s="218">
        <f t="shared" si="1"/>
        <v>0</v>
      </c>
    </row>
    <row r="60" spans="1:12" s="111" customFormat="1" x14ac:dyDescent="0.2">
      <c r="A60" s="124"/>
      <c r="B60" s="125"/>
      <c r="C60" s="132" t="s">
        <v>185</v>
      </c>
      <c r="D60" s="180">
        <v>4</v>
      </c>
      <c r="E60" s="134">
        <f>1.6*4</f>
        <v>6.4</v>
      </c>
      <c r="F60" s="134">
        <v>0.125</v>
      </c>
      <c r="G60" s="134">
        <f t="shared" si="3"/>
        <v>0.46499999999999997</v>
      </c>
      <c r="H60" s="135">
        <f t="shared" si="2"/>
        <v>1.488</v>
      </c>
      <c r="I60" s="136"/>
      <c r="J60" s="135"/>
      <c r="K60" s="217">
        <f t="shared" si="0"/>
        <v>0</v>
      </c>
      <c r="L60" s="218">
        <f t="shared" si="1"/>
        <v>0</v>
      </c>
    </row>
    <row r="61" spans="1:12" s="111" customFormat="1" x14ac:dyDescent="0.2">
      <c r="A61" s="124"/>
      <c r="B61" s="125"/>
      <c r="C61" s="132" t="s">
        <v>226</v>
      </c>
      <c r="D61" s="133">
        <v>8</v>
      </c>
      <c r="E61" s="134">
        <v>3.3</v>
      </c>
      <c r="F61" s="134">
        <v>0.125</v>
      </c>
      <c r="G61" s="134">
        <f t="shared" si="3"/>
        <v>0.46499999999999997</v>
      </c>
      <c r="H61" s="135">
        <f t="shared" si="2"/>
        <v>1.5344999999999998</v>
      </c>
      <c r="I61" s="136"/>
      <c r="J61" s="135"/>
      <c r="K61" s="217">
        <f t="shared" si="0"/>
        <v>0</v>
      </c>
      <c r="L61" s="218">
        <f t="shared" si="1"/>
        <v>0</v>
      </c>
    </row>
    <row r="62" spans="1:12" x14ac:dyDescent="0.2">
      <c r="A62" s="124"/>
      <c r="B62" s="211"/>
      <c r="C62" s="316"/>
      <c r="D62" s="142"/>
      <c r="E62" s="145"/>
      <c r="F62" s="145"/>
      <c r="G62" s="145"/>
      <c r="H62" s="143"/>
      <c r="I62" s="141"/>
      <c r="J62" s="217"/>
      <c r="K62" s="217">
        <f t="shared" si="0"/>
        <v>0</v>
      </c>
      <c r="L62" s="218">
        <f t="shared" si="1"/>
        <v>0</v>
      </c>
    </row>
    <row r="63" spans="1:12" x14ac:dyDescent="0.2">
      <c r="A63" s="124"/>
      <c r="B63" s="211"/>
      <c r="C63" s="221" t="s">
        <v>117</v>
      </c>
      <c r="D63" s="142"/>
      <c r="E63" s="145"/>
      <c r="F63" s="145"/>
      <c r="G63" s="145"/>
      <c r="H63" s="222">
        <v>44</v>
      </c>
      <c r="I63" s="141" t="s">
        <v>118</v>
      </c>
      <c r="J63" s="217">
        <v>11505.5</v>
      </c>
      <c r="K63" s="217">
        <f t="shared" si="0"/>
        <v>9750.4237288135591</v>
      </c>
      <c r="L63" s="218">
        <f t="shared" si="1"/>
        <v>429018.64406779659</v>
      </c>
    </row>
    <row r="64" spans="1:12" x14ac:dyDescent="0.2">
      <c r="A64" s="124"/>
      <c r="B64" s="211"/>
      <c r="C64" s="223" t="s">
        <v>227</v>
      </c>
      <c r="D64" s="133"/>
      <c r="E64" s="135">
        <f>SUM(E19*D19+E20*D20+E21*D21+D22*E22+D23*E23+D24*E24+D25*E25+D26*E26+D27*E27+D28*E28+D29*E29+D30*E30+D31*E31+D32*E32+D33*E33+D34*E34+D35*E35+D36*E36+D37*E37+D38*E38+D39*E39+D40*E40+D41*E41+D42*E42+D43*E43+D44*E44+D45*E45+D46*E46+D47*E47+D48*E48+D49*E49+D50*E50+D51*E51+D52*E52+D53*E53+D54*E54+D55*E55+D56*E56+D57*E57+D58*E58+D59*E59)</f>
        <v>364.73399999999998</v>
      </c>
      <c r="F64" s="135"/>
      <c r="G64" s="135"/>
      <c r="H64" s="224"/>
      <c r="I64" s="136"/>
      <c r="J64" s="213"/>
      <c r="K64" s="217">
        <f t="shared" si="0"/>
        <v>0</v>
      </c>
      <c r="L64" s="218">
        <f t="shared" si="1"/>
        <v>0</v>
      </c>
    </row>
    <row r="65" spans="1:12" x14ac:dyDescent="0.2">
      <c r="A65" s="124"/>
      <c r="B65" s="211"/>
      <c r="C65" s="223" t="s">
        <v>228</v>
      </c>
      <c r="D65" s="133"/>
      <c r="E65" s="135">
        <f>SUM(D60*E60+D61*E61)</f>
        <v>52</v>
      </c>
      <c r="F65" s="135"/>
      <c r="G65" s="135"/>
      <c r="H65" s="224"/>
      <c r="I65" s="136"/>
      <c r="J65" s="213"/>
      <c r="K65" s="217">
        <f t="shared" si="0"/>
        <v>0</v>
      </c>
      <c r="L65" s="218">
        <f t="shared" si="1"/>
        <v>0</v>
      </c>
    </row>
    <row r="66" spans="1:12" x14ac:dyDescent="0.2">
      <c r="A66" s="139"/>
      <c r="B66" s="215"/>
      <c r="C66" s="223"/>
      <c r="D66" s="133"/>
      <c r="E66" s="135"/>
      <c r="F66" s="135"/>
      <c r="G66" s="135"/>
      <c r="H66" s="224"/>
      <c r="I66" s="136"/>
      <c r="J66" s="213"/>
      <c r="K66" s="217">
        <f t="shared" si="0"/>
        <v>0</v>
      </c>
      <c r="L66" s="218">
        <f t="shared" si="1"/>
        <v>0</v>
      </c>
    </row>
    <row r="67" spans="1:12" ht="33.75" customHeight="1" x14ac:dyDescent="0.2">
      <c r="A67" s="116" t="s">
        <v>229</v>
      </c>
      <c r="B67" s="206">
        <v>5.3</v>
      </c>
      <c r="C67" s="219" t="s">
        <v>230</v>
      </c>
      <c r="D67" s="119"/>
      <c r="E67" s="121"/>
      <c r="F67" s="121"/>
      <c r="G67" s="121"/>
      <c r="H67" s="208"/>
      <c r="I67" s="122"/>
      <c r="J67" s="209"/>
      <c r="K67" s="217">
        <f t="shared" si="0"/>
        <v>0</v>
      </c>
      <c r="L67" s="218">
        <f t="shared" si="1"/>
        <v>0</v>
      </c>
    </row>
    <row r="68" spans="1:12" x14ac:dyDescent="0.2">
      <c r="A68" s="124"/>
      <c r="B68" s="211"/>
      <c r="C68" s="225" t="s">
        <v>231</v>
      </c>
      <c r="D68" s="226">
        <v>4</v>
      </c>
      <c r="E68" s="227">
        <v>5.85</v>
      </c>
      <c r="F68" s="227">
        <v>8.85</v>
      </c>
      <c r="G68" s="227">
        <v>0.13</v>
      </c>
      <c r="H68" s="135">
        <f t="shared" ref="H68:H80" si="4">G68*F68*E68*D68</f>
        <v>26.921700000000001</v>
      </c>
      <c r="I68" s="136"/>
      <c r="J68" s="213"/>
      <c r="K68" s="217">
        <f t="shared" si="0"/>
        <v>0</v>
      </c>
      <c r="L68" s="218">
        <f t="shared" si="1"/>
        <v>0</v>
      </c>
    </row>
    <row r="69" spans="1:12" x14ac:dyDescent="0.2">
      <c r="A69" s="124"/>
      <c r="B69" s="211"/>
      <c r="C69" s="225"/>
      <c r="D69" s="226">
        <v>4</v>
      </c>
      <c r="E69" s="227">
        <v>4.6500000000000004</v>
      </c>
      <c r="F69" s="227">
        <v>6.5750000000000002</v>
      </c>
      <c r="G69" s="227">
        <v>0.13</v>
      </c>
      <c r="H69" s="135">
        <f t="shared" si="4"/>
        <v>15.898350000000001</v>
      </c>
      <c r="I69" s="136"/>
      <c r="J69" s="213"/>
      <c r="K69" s="217">
        <f t="shared" si="0"/>
        <v>0</v>
      </c>
      <c r="L69" s="218">
        <f t="shared" si="1"/>
        <v>0</v>
      </c>
    </row>
    <row r="70" spans="1:12" x14ac:dyDescent="0.2">
      <c r="A70" s="124"/>
      <c r="B70" s="211"/>
      <c r="C70" s="225" t="s">
        <v>232</v>
      </c>
      <c r="D70" s="226">
        <v>1</v>
      </c>
      <c r="E70" s="950">
        <v>93.33</v>
      </c>
      <c r="F70" s="951"/>
      <c r="G70" s="227">
        <v>1.1299999999999999</v>
      </c>
      <c r="H70" s="135">
        <f>D70*E70*G70</f>
        <v>105.46289999999999</v>
      </c>
      <c r="I70" s="136"/>
      <c r="J70" s="213"/>
      <c r="K70" s="217">
        <f t="shared" si="0"/>
        <v>0</v>
      </c>
      <c r="L70" s="218">
        <f t="shared" si="1"/>
        <v>0</v>
      </c>
    </row>
    <row r="71" spans="1:12" x14ac:dyDescent="0.2">
      <c r="A71" s="124"/>
      <c r="B71" s="211"/>
      <c r="C71" s="225" t="s">
        <v>233</v>
      </c>
      <c r="D71" s="226">
        <v>4</v>
      </c>
      <c r="E71" s="227">
        <v>4.0999999999999996</v>
      </c>
      <c r="F71" s="227">
        <v>0.47499999999999998</v>
      </c>
      <c r="G71" s="227">
        <v>0.13</v>
      </c>
      <c r="H71" s="135">
        <f t="shared" si="4"/>
        <v>1.0126999999999999</v>
      </c>
      <c r="I71" s="136"/>
      <c r="J71" s="213"/>
      <c r="K71" s="217">
        <f t="shared" si="0"/>
        <v>0</v>
      </c>
      <c r="L71" s="218">
        <f t="shared" si="1"/>
        <v>0</v>
      </c>
    </row>
    <row r="72" spans="1:12" x14ac:dyDescent="0.2">
      <c r="A72" s="124"/>
      <c r="B72" s="211"/>
      <c r="C72" s="225" t="s">
        <v>234</v>
      </c>
      <c r="D72" s="226">
        <v>4</v>
      </c>
      <c r="E72" s="227">
        <v>4.0999999999999996</v>
      </c>
      <c r="F72" s="227">
        <v>0.47499999999999998</v>
      </c>
      <c r="G72" s="227">
        <v>0.13</v>
      </c>
      <c r="H72" s="135">
        <f t="shared" si="4"/>
        <v>1.0126999999999999</v>
      </c>
      <c r="I72" s="136"/>
      <c r="J72" s="213"/>
      <c r="K72" s="217">
        <f t="shared" si="0"/>
        <v>0</v>
      </c>
      <c r="L72" s="218">
        <f t="shared" si="1"/>
        <v>0</v>
      </c>
    </row>
    <row r="73" spans="1:12" x14ac:dyDescent="0.2">
      <c r="A73" s="124"/>
      <c r="B73" s="211"/>
      <c r="C73" s="225" t="s">
        <v>235</v>
      </c>
      <c r="D73" s="226">
        <v>8</v>
      </c>
      <c r="E73" s="227">
        <v>3.6749999999999998</v>
      </c>
      <c r="F73" s="227">
        <v>1.5</v>
      </c>
      <c r="G73" s="227">
        <v>0.15</v>
      </c>
      <c r="H73" s="135">
        <f t="shared" si="4"/>
        <v>6.6149999999999993</v>
      </c>
      <c r="I73" s="136"/>
      <c r="J73" s="213"/>
      <c r="K73" s="217">
        <f t="shared" si="0"/>
        <v>0</v>
      </c>
      <c r="L73" s="218">
        <f t="shared" si="1"/>
        <v>0</v>
      </c>
    </row>
    <row r="74" spans="1:12" x14ac:dyDescent="0.2">
      <c r="A74" s="124"/>
      <c r="B74" s="211"/>
      <c r="C74" s="225" t="s">
        <v>420</v>
      </c>
      <c r="D74" s="226">
        <v>4</v>
      </c>
      <c r="E74" s="227">
        <v>1.6</v>
      </c>
      <c r="F74" s="227">
        <v>0.72499999999999998</v>
      </c>
      <c r="G74" s="227">
        <v>7.4999999999999997E-2</v>
      </c>
      <c r="H74" s="135">
        <f>G74*F74*E74*D74</f>
        <v>0.34800000000000003</v>
      </c>
      <c r="I74" s="136"/>
      <c r="J74" s="213"/>
      <c r="K74" s="217">
        <f t="shared" ref="K74:K137" si="5">J74*100/118</f>
        <v>0</v>
      </c>
      <c r="L74" s="218">
        <f t="shared" ref="L74:L137" si="6">K74*H74</f>
        <v>0</v>
      </c>
    </row>
    <row r="75" spans="1:12" x14ac:dyDescent="0.2">
      <c r="A75" s="124"/>
      <c r="B75" s="211"/>
      <c r="C75" s="225" t="s">
        <v>421</v>
      </c>
      <c r="D75" s="226">
        <v>4</v>
      </c>
      <c r="E75" s="227">
        <f>1.35+0.3</f>
        <v>1.6500000000000001</v>
      </c>
      <c r="F75" s="227">
        <v>0.6</v>
      </c>
      <c r="G75" s="227">
        <v>7.4999999999999997E-2</v>
      </c>
      <c r="H75" s="135">
        <f>G75*F75*E75*D75</f>
        <v>0.29699999999999999</v>
      </c>
      <c r="I75" s="136"/>
      <c r="J75" s="213"/>
      <c r="K75" s="217">
        <f t="shared" si="5"/>
        <v>0</v>
      </c>
      <c r="L75" s="218">
        <f t="shared" si="6"/>
        <v>0</v>
      </c>
    </row>
    <row r="76" spans="1:12" x14ac:dyDescent="0.2">
      <c r="A76" s="124"/>
      <c r="B76" s="211"/>
      <c r="C76" s="225" t="s">
        <v>422</v>
      </c>
      <c r="D76" s="226">
        <v>4</v>
      </c>
      <c r="E76" s="227">
        <f>1.05+0.3</f>
        <v>1.35</v>
      </c>
      <c r="F76" s="227">
        <v>0.6</v>
      </c>
      <c r="G76" s="227">
        <v>7.4999999999999997E-2</v>
      </c>
      <c r="H76" s="135">
        <f>G76*F76*E76*D76</f>
        <v>0.24299999999999999</v>
      </c>
      <c r="I76" s="136"/>
      <c r="J76" s="213"/>
      <c r="K76" s="217">
        <f t="shared" si="5"/>
        <v>0</v>
      </c>
      <c r="L76" s="218">
        <f t="shared" si="6"/>
        <v>0</v>
      </c>
    </row>
    <row r="77" spans="1:12" x14ac:dyDescent="0.2">
      <c r="A77" s="124"/>
      <c r="B77" s="211"/>
      <c r="C77" s="225" t="s">
        <v>236</v>
      </c>
      <c r="D77" s="226">
        <v>2</v>
      </c>
      <c r="E77" s="227">
        <f>1.2+0.3</f>
        <v>1.5</v>
      </c>
      <c r="F77" s="227">
        <v>0.6</v>
      </c>
      <c r="G77" s="227">
        <v>7.4999999999999997E-2</v>
      </c>
      <c r="H77" s="135">
        <f>G77*F77*E77*D77</f>
        <v>0.13500000000000001</v>
      </c>
      <c r="I77" s="136"/>
      <c r="J77" s="213"/>
      <c r="K77" s="217">
        <f t="shared" si="5"/>
        <v>0</v>
      </c>
      <c r="L77" s="218">
        <f t="shared" si="6"/>
        <v>0</v>
      </c>
    </row>
    <row r="78" spans="1:12" x14ac:dyDescent="0.2">
      <c r="A78" s="124"/>
      <c r="B78" s="211"/>
      <c r="C78" s="225" t="s">
        <v>282</v>
      </c>
      <c r="D78" s="226">
        <v>8</v>
      </c>
      <c r="E78" s="227">
        <f>0.6+0.3</f>
        <v>0.89999999999999991</v>
      </c>
      <c r="F78" s="227">
        <v>0.6</v>
      </c>
      <c r="G78" s="227">
        <v>7.4999999999999997E-2</v>
      </c>
      <c r="H78" s="135">
        <f>G78*F78*E78*D78</f>
        <v>0.32399999999999995</v>
      </c>
      <c r="I78" s="136"/>
      <c r="J78" s="213"/>
      <c r="K78" s="217">
        <f t="shared" si="5"/>
        <v>0</v>
      </c>
      <c r="L78" s="218">
        <f t="shared" si="6"/>
        <v>0</v>
      </c>
    </row>
    <row r="79" spans="1:12" x14ac:dyDescent="0.2">
      <c r="A79" s="124"/>
      <c r="B79" s="211"/>
      <c r="C79" s="225" t="s">
        <v>237</v>
      </c>
      <c r="D79" s="226">
        <v>-1</v>
      </c>
      <c r="E79" s="227">
        <v>2.5499999999999998</v>
      </c>
      <c r="F79" s="227">
        <v>3.45</v>
      </c>
      <c r="G79" s="227">
        <v>0.13</v>
      </c>
      <c r="H79" s="135">
        <f t="shared" si="4"/>
        <v>-1.143675</v>
      </c>
      <c r="I79" s="136"/>
      <c r="J79" s="213"/>
      <c r="K79" s="217">
        <f t="shared" si="5"/>
        <v>0</v>
      </c>
      <c r="L79" s="218">
        <f t="shared" si="6"/>
        <v>0</v>
      </c>
    </row>
    <row r="80" spans="1:12" x14ac:dyDescent="0.2">
      <c r="A80" s="124"/>
      <c r="B80" s="211"/>
      <c r="C80" s="230" t="s">
        <v>238</v>
      </c>
      <c r="D80" s="231">
        <v>-1</v>
      </c>
      <c r="E80" s="232">
        <v>2.0499999999999998</v>
      </c>
      <c r="F80" s="232">
        <v>2.0499999999999998</v>
      </c>
      <c r="G80" s="232">
        <v>0.13</v>
      </c>
      <c r="H80" s="145">
        <f t="shared" si="4"/>
        <v>-0.54632499999999984</v>
      </c>
      <c r="I80" s="141"/>
      <c r="J80" s="217"/>
      <c r="K80" s="217">
        <f t="shared" si="5"/>
        <v>0</v>
      </c>
      <c r="L80" s="218">
        <f t="shared" si="6"/>
        <v>0</v>
      </c>
    </row>
    <row r="81" spans="1:12" x14ac:dyDescent="0.2">
      <c r="A81" s="139"/>
      <c r="B81" s="215"/>
      <c r="C81" s="233" t="s">
        <v>117</v>
      </c>
      <c r="D81" s="142"/>
      <c r="E81" s="143"/>
      <c r="F81" s="143"/>
      <c r="G81" s="143"/>
      <c r="H81" s="222">
        <v>150</v>
      </c>
      <c r="I81" s="141" t="s">
        <v>118</v>
      </c>
      <c r="J81" s="217">
        <f>J63</f>
        <v>11505.5</v>
      </c>
      <c r="K81" s="217">
        <f t="shared" si="5"/>
        <v>9750.4237288135591</v>
      </c>
      <c r="L81" s="218">
        <f t="shared" si="6"/>
        <v>1462563.5593220338</v>
      </c>
    </row>
    <row r="82" spans="1:12" ht="25.5" x14ac:dyDescent="0.2">
      <c r="A82" s="116" t="s">
        <v>239</v>
      </c>
      <c r="B82" s="206">
        <v>5.3</v>
      </c>
      <c r="C82" s="219" t="s">
        <v>240</v>
      </c>
      <c r="D82" s="119"/>
      <c r="E82" s="121"/>
      <c r="F82" s="121"/>
      <c r="G82" s="121"/>
      <c r="H82" s="208"/>
      <c r="I82" s="122"/>
      <c r="J82" s="234"/>
      <c r="K82" s="217">
        <f t="shared" si="5"/>
        <v>0</v>
      </c>
      <c r="L82" s="218">
        <f t="shared" si="6"/>
        <v>0</v>
      </c>
    </row>
    <row r="83" spans="1:12" x14ac:dyDescent="0.2">
      <c r="A83" s="124"/>
      <c r="B83" s="211"/>
      <c r="C83" s="237" t="s">
        <v>241</v>
      </c>
      <c r="D83" s="133">
        <v>2</v>
      </c>
      <c r="E83" s="135">
        <v>3</v>
      </c>
      <c r="F83" s="135">
        <v>1.2</v>
      </c>
      <c r="G83" s="135">
        <v>0.15</v>
      </c>
      <c r="H83" s="134">
        <f>G83*F83*E83*D83</f>
        <v>1.08</v>
      </c>
      <c r="I83" s="136"/>
      <c r="J83" s="236"/>
      <c r="K83" s="217">
        <f t="shared" si="5"/>
        <v>0</v>
      </c>
      <c r="L83" s="218">
        <f t="shared" si="6"/>
        <v>0</v>
      </c>
    </row>
    <row r="84" spans="1:12" x14ac:dyDescent="0.2">
      <c r="A84" s="124"/>
      <c r="B84" s="211"/>
      <c r="C84" s="132" t="s">
        <v>242</v>
      </c>
      <c r="D84" s="133">
        <v>1</v>
      </c>
      <c r="E84" s="135">
        <f>1.2+0.25</f>
        <v>1.45</v>
      </c>
      <c r="F84" s="135">
        <v>2.5499999999999998</v>
      </c>
      <c r="G84" s="135">
        <v>0.15</v>
      </c>
      <c r="H84" s="135">
        <f>G84*F84*E84*D84</f>
        <v>0.55462499999999992</v>
      </c>
      <c r="I84" s="136"/>
      <c r="J84" s="236"/>
      <c r="K84" s="217">
        <f t="shared" si="5"/>
        <v>0</v>
      </c>
      <c r="L84" s="218">
        <f t="shared" si="6"/>
        <v>0</v>
      </c>
    </row>
    <row r="85" spans="1:12" x14ac:dyDescent="0.2">
      <c r="A85" s="124"/>
      <c r="B85" s="211"/>
      <c r="C85" s="237" t="s">
        <v>243</v>
      </c>
      <c r="D85" s="133">
        <v>20</v>
      </c>
      <c r="E85" s="135">
        <v>1.2</v>
      </c>
      <c r="F85" s="135">
        <v>0.25</v>
      </c>
      <c r="G85" s="135">
        <f>0.15/2</f>
        <v>7.4999999999999997E-2</v>
      </c>
      <c r="H85" s="134">
        <f>G85*F85*E85*D85</f>
        <v>0.44999999999999996</v>
      </c>
      <c r="I85" s="136"/>
      <c r="J85" s="236"/>
      <c r="K85" s="217">
        <f t="shared" si="5"/>
        <v>0</v>
      </c>
      <c r="L85" s="218">
        <f t="shared" si="6"/>
        <v>0</v>
      </c>
    </row>
    <row r="86" spans="1:12" x14ac:dyDescent="0.2">
      <c r="A86" s="139"/>
      <c r="B86" s="215"/>
      <c r="C86" s="221" t="s">
        <v>117</v>
      </c>
      <c r="D86" s="142"/>
      <c r="E86" s="145"/>
      <c r="F86" s="145"/>
      <c r="G86" s="145"/>
      <c r="H86" s="216">
        <v>2</v>
      </c>
      <c r="I86" s="141" t="s">
        <v>118</v>
      </c>
      <c r="J86" s="217">
        <f>J81</f>
        <v>11505.5</v>
      </c>
      <c r="K86" s="217">
        <f t="shared" si="5"/>
        <v>9750.4237288135591</v>
      </c>
      <c r="L86" s="218">
        <f t="shared" si="6"/>
        <v>19500.847457627118</v>
      </c>
    </row>
    <row r="87" spans="1:12" ht="39" customHeight="1" x14ac:dyDescent="0.2">
      <c r="A87" s="116">
        <v>3</v>
      </c>
      <c r="B87" s="206">
        <v>5.22</v>
      </c>
      <c r="C87" s="219" t="s">
        <v>244</v>
      </c>
      <c r="D87" s="119"/>
      <c r="E87" s="121"/>
      <c r="F87" s="121"/>
      <c r="G87" s="121"/>
      <c r="H87" s="208"/>
      <c r="I87" s="122"/>
      <c r="J87" s="209"/>
      <c r="K87" s="217">
        <f t="shared" si="5"/>
        <v>0</v>
      </c>
      <c r="L87" s="218">
        <f t="shared" si="6"/>
        <v>0</v>
      </c>
    </row>
    <row r="88" spans="1:12" ht="24.75" customHeight="1" x14ac:dyDescent="0.2">
      <c r="A88" s="124"/>
      <c r="B88" s="211" t="s">
        <v>193</v>
      </c>
      <c r="C88" s="238" t="s">
        <v>245</v>
      </c>
      <c r="D88" s="127"/>
      <c r="E88" s="138"/>
      <c r="F88" s="129"/>
      <c r="G88" s="129"/>
      <c r="H88" s="239"/>
      <c r="I88" s="130"/>
      <c r="J88" s="240"/>
      <c r="K88" s="217">
        <f t="shared" si="5"/>
        <v>0</v>
      </c>
      <c r="L88" s="218">
        <f t="shared" si="6"/>
        <v>0</v>
      </c>
    </row>
    <row r="89" spans="1:12" x14ac:dyDescent="0.2">
      <c r="A89" s="124"/>
      <c r="B89" s="211"/>
      <c r="C89" s="187" t="s">
        <v>191</v>
      </c>
      <c r="D89" s="241"/>
      <c r="E89" s="190">
        <f>H9+H63+H81+H86</f>
        <v>224</v>
      </c>
      <c r="F89" s="190"/>
      <c r="G89" s="135"/>
      <c r="H89" s="212"/>
      <c r="I89" s="136"/>
      <c r="J89" s="213"/>
      <c r="K89" s="217">
        <f t="shared" si="5"/>
        <v>0</v>
      </c>
      <c r="L89" s="218">
        <f t="shared" si="6"/>
        <v>0</v>
      </c>
    </row>
    <row r="90" spans="1:12" x14ac:dyDescent="0.2">
      <c r="A90" s="139"/>
      <c r="B90" s="215"/>
      <c r="C90" s="220" t="s">
        <v>246</v>
      </c>
      <c r="D90" s="133">
        <v>120</v>
      </c>
      <c r="E90" s="190"/>
      <c r="F90" s="135"/>
      <c r="G90" s="135"/>
      <c r="H90" s="242">
        <f>D90*E89</f>
        <v>26880</v>
      </c>
      <c r="I90" s="136" t="s">
        <v>195</v>
      </c>
      <c r="J90" s="213">
        <v>107.85</v>
      </c>
      <c r="K90" s="217">
        <f t="shared" si="5"/>
        <v>91.398305084745758</v>
      </c>
      <c r="L90" s="218">
        <f t="shared" si="6"/>
        <v>2456786.440677966</v>
      </c>
    </row>
    <row r="91" spans="1:12" ht="25.5" x14ac:dyDescent="0.2">
      <c r="A91" s="116">
        <v>4</v>
      </c>
      <c r="B91" s="206">
        <v>5.9</v>
      </c>
      <c r="C91" s="182" t="s">
        <v>247</v>
      </c>
      <c r="D91" s="119"/>
      <c r="E91" s="121"/>
      <c r="F91" s="121"/>
      <c r="G91" s="121"/>
      <c r="H91" s="208"/>
      <c r="I91" s="122"/>
      <c r="J91" s="209"/>
      <c r="K91" s="217">
        <f t="shared" si="5"/>
        <v>0</v>
      </c>
      <c r="L91" s="218">
        <f t="shared" si="6"/>
        <v>0</v>
      </c>
    </row>
    <row r="92" spans="1:12" ht="30" customHeight="1" x14ac:dyDescent="0.2">
      <c r="A92" s="124" t="s">
        <v>248</v>
      </c>
      <c r="B92" s="211" t="s">
        <v>249</v>
      </c>
      <c r="C92" s="244" t="s">
        <v>250</v>
      </c>
      <c r="D92" s="127"/>
      <c r="E92" s="129"/>
      <c r="F92" s="129"/>
      <c r="G92" s="129"/>
      <c r="H92" s="239"/>
      <c r="I92" s="130"/>
      <c r="J92" s="240"/>
      <c r="K92" s="217">
        <f t="shared" si="5"/>
        <v>0</v>
      </c>
      <c r="L92" s="218">
        <f t="shared" si="6"/>
        <v>0</v>
      </c>
    </row>
    <row r="93" spans="1:12" x14ac:dyDescent="0.2">
      <c r="A93" s="124"/>
      <c r="B93" s="211"/>
      <c r="C93" s="225" t="s">
        <v>231</v>
      </c>
      <c r="D93" s="226">
        <f t="shared" ref="D93:F102" si="7">D68</f>
        <v>4</v>
      </c>
      <c r="E93" s="227">
        <f t="shared" si="7"/>
        <v>5.85</v>
      </c>
      <c r="F93" s="227">
        <f t="shared" si="7"/>
        <v>8.85</v>
      </c>
      <c r="G93" s="227"/>
      <c r="H93" s="212">
        <f>E93*F93</f>
        <v>51.772499999999994</v>
      </c>
      <c r="I93" s="136"/>
      <c r="J93" s="213"/>
      <c r="K93" s="217">
        <f t="shared" si="5"/>
        <v>0</v>
      </c>
      <c r="L93" s="218">
        <f t="shared" si="6"/>
        <v>0</v>
      </c>
    </row>
    <row r="94" spans="1:12" x14ac:dyDescent="0.2">
      <c r="A94" s="124"/>
      <c r="B94" s="211"/>
      <c r="C94" s="225"/>
      <c r="D94" s="226">
        <f t="shared" si="7"/>
        <v>4</v>
      </c>
      <c r="E94" s="227">
        <f t="shared" si="7"/>
        <v>4.6500000000000004</v>
      </c>
      <c r="F94" s="227">
        <f t="shared" si="7"/>
        <v>6.5750000000000002</v>
      </c>
      <c r="G94" s="227"/>
      <c r="H94" s="212">
        <f>E94*F94</f>
        <v>30.573750000000004</v>
      </c>
      <c r="I94" s="136"/>
      <c r="J94" s="213"/>
      <c r="K94" s="217">
        <f t="shared" si="5"/>
        <v>0</v>
      </c>
      <c r="L94" s="218">
        <f t="shared" si="6"/>
        <v>0</v>
      </c>
    </row>
    <row r="95" spans="1:12" x14ac:dyDescent="0.2">
      <c r="A95" s="124"/>
      <c r="B95" s="211"/>
      <c r="C95" s="225" t="s">
        <v>232</v>
      </c>
      <c r="D95" s="226">
        <f t="shared" si="7"/>
        <v>1</v>
      </c>
      <c r="E95" s="950">
        <f t="shared" si="7"/>
        <v>93.33</v>
      </c>
      <c r="F95" s="951"/>
      <c r="G95" s="227"/>
      <c r="H95" s="212">
        <f>D95*E95</f>
        <v>93.33</v>
      </c>
      <c r="I95" s="136"/>
      <c r="J95" s="213"/>
      <c r="K95" s="217">
        <f t="shared" si="5"/>
        <v>0</v>
      </c>
      <c r="L95" s="218">
        <f t="shared" si="6"/>
        <v>0</v>
      </c>
    </row>
    <row r="96" spans="1:12" x14ac:dyDescent="0.2">
      <c r="A96" s="124"/>
      <c r="B96" s="211"/>
      <c r="C96" s="225" t="s">
        <v>233</v>
      </c>
      <c r="D96" s="226">
        <f t="shared" si="7"/>
        <v>4</v>
      </c>
      <c r="E96" s="227">
        <f t="shared" si="7"/>
        <v>4.0999999999999996</v>
      </c>
      <c r="F96" s="227">
        <f t="shared" si="7"/>
        <v>0.47499999999999998</v>
      </c>
      <c r="G96" s="135"/>
      <c r="H96" s="212">
        <f t="shared" ref="H96:H104" si="8">F96*E96*D96</f>
        <v>7.7899999999999991</v>
      </c>
      <c r="I96" s="136"/>
      <c r="J96" s="213"/>
      <c r="K96" s="217">
        <f t="shared" si="5"/>
        <v>0</v>
      </c>
      <c r="L96" s="218">
        <f t="shared" si="6"/>
        <v>0</v>
      </c>
    </row>
    <row r="97" spans="1:12" x14ac:dyDescent="0.2">
      <c r="A97" s="124"/>
      <c r="B97" s="211"/>
      <c r="C97" s="225" t="s">
        <v>234</v>
      </c>
      <c r="D97" s="226">
        <f t="shared" si="7"/>
        <v>4</v>
      </c>
      <c r="E97" s="227">
        <f t="shared" si="7"/>
        <v>4.0999999999999996</v>
      </c>
      <c r="F97" s="227">
        <f t="shared" si="7"/>
        <v>0.47499999999999998</v>
      </c>
      <c r="G97" s="135"/>
      <c r="H97" s="212">
        <f t="shared" si="8"/>
        <v>7.7899999999999991</v>
      </c>
      <c r="I97" s="136"/>
      <c r="J97" s="213"/>
      <c r="K97" s="217">
        <f t="shared" si="5"/>
        <v>0</v>
      </c>
      <c r="L97" s="218">
        <f t="shared" si="6"/>
        <v>0</v>
      </c>
    </row>
    <row r="98" spans="1:12" x14ac:dyDescent="0.2">
      <c r="A98" s="124"/>
      <c r="B98" s="211"/>
      <c r="C98" s="225" t="s">
        <v>235</v>
      </c>
      <c r="D98" s="226">
        <f t="shared" si="7"/>
        <v>8</v>
      </c>
      <c r="E98" s="227">
        <f t="shared" si="7"/>
        <v>3.6749999999999998</v>
      </c>
      <c r="F98" s="227">
        <f t="shared" si="7"/>
        <v>1.5</v>
      </c>
      <c r="G98" s="135"/>
      <c r="H98" s="212">
        <f t="shared" si="8"/>
        <v>44.099999999999994</v>
      </c>
      <c r="I98" s="136"/>
      <c r="J98" s="213"/>
      <c r="K98" s="217">
        <f t="shared" si="5"/>
        <v>0</v>
      </c>
      <c r="L98" s="218">
        <f t="shared" si="6"/>
        <v>0</v>
      </c>
    </row>
    <row r="99" spans="1:12" x14ac:dyDescent="0.2">
      <c r="A99" s="124"/>
      <c r="B99" s="211"/>
      <c r="C99" s="225" t="s">
        <v>420</v>
      </c>
      <c r="D99" s="226">
        <f t="shared" si="7"/>
        <v>4</v>
      </c>
      <c r="E99" s="227">
        <f t="shared" si="7"/>
        <v>1.6</v>
      </c>
      <c r="F99" s="227">
        <f t="shared" si="7"/>
        <v>0.72499999999999998</v>
      </c>
      <c r="G99" s="135"/>
      <c r="H99" s="212">
        <f t="shared" si="8"/>
        <v>4.6399999999999997</v>
      </c>
      <c r="I99" s="136"/>
      <c r="J99" s="213"/>
      <c r="K99" s="217">
        <f t="shared" si="5"/>
        <v>0</v>
      </c>
      <c r="L99" s="218">
        <f t="shared" si="6"/>
        <v>0</v>
      </c>
    </row>
    <row r="100" spans="1:12" x14ac:dyDescent="0.2">
      <c r="A100" s="124"/>
      <c r="B100" s="211"/>
      <c r="C100" s="225" t="str">
        <f>C82</f>
        <v>Providing RCC (1:1.5:3) in Staircase excluding the cost of centring, shuttering and reinforcement</v>
      </c>
      <c r="D100" s="226">
        <f t="shared" si="7"/>
        <v>4</v>
      </c>
      <c r="E100" s="227">
        <f t="shared" si="7"/>
        <v>1.6500000000000001</v>
      </c>
      <c r="F100" s="227">
        <f t="shared" si="7"/>
        <v>0.6</v>
      </c>
      <c r="G100" s="135"/>
      <c r="H100" s="212">
        <f t="shared" si="8"/>
        <v>3.96</v>
      </c>
      <c r="I100" s="136"/>
      <c r="J100" s="213"/>
      <c r="K100" s="217">
        <f t="shared" si="5"/>
        <v>0</v>
      </c>
      <c r="L100" s="218">
        <f t="shared" si="6"/>
        <v>0</v>
      </c>
    </row>
    <row r="101" spans="1:12" x14ac:dyDescent="0.2">
      <c r="A101" s="124"/>
      <c r="B101" s="211"/>
      <c r="C101" s="225" t="str">
        <f>C83</f>
        <v>Waist slab</v>
      </c>
      <c r="D101" s="226">
        <f t="shared" si="7"/>
        <v>4</v>
      </c>
      <c r="E101" s="227">
        <f t="shared" si="7"/>
        <v>1.35</v>
      </c>
      <c r="F101" s="227">
        <f t="shared" si="7"/>
        <v>0.6</v>
      </c>
      <c r="G101" s="135"/>
      <c r="H101" s="212">
        <f t="shared" si="8"/>
        <v>3.24</v>
      </c>
      <c r="I101" s="136"/>
      <c r="J101" s="213"/>
      <c r="K101" s="217">
        <f t="shared" si="5"/>
        <v>0</v>
      </c>
      <c r="L101" s="218">
        <f t="shared" si="6"/>
        <v>0</v>
      </c>
    </row>
    <row r="102" spans="1:12" x14ac:dyDescent="0.2">
      <c r="A102" s="124"/>
      <c r="B102" s="211"/>
      <c r="C102" s="225" t="str">
        <f>C84</f>
        <v>Landing</v>
      </c>
      <c r="D102" s="226">
        <f t="shared" si="7"/>
        <v>2</v>
      </c>
      <c r="E102" s="227">
        <f t="shared" si="7"/>
        <v>1.5</v>
      </c>
      <c r="F102" s="227">
        <f t="shared" si="7"/>
        <v>0.6</v>
      </c>
      <c r="G102" s="135"/>
      <c r="H102" s="212">
        <f t="shared" si="8"/>
        <v>1.7999999999999998</v>
      </c>
      <c r="I102" s="136"/>
      <c r="J102" s="213"/>
      <c r="K102" s="217">
        <f t="shared" si="5"/>
        <v>0</v>
      </c>
      <c r="L102" s="218">
        <f t="shared" si="6"/>
        <v>0</v>
      </c>
    </row>
    <row r="103" spans="1:12" x14ac:dyDescent="0.2">
      <c r="A103" s="124"/>
      <c r="B103" s="211"/>
      <c r="C103" s="225" t="s">
        <v>237</v>
      </c>
      <c r="D103" s="226">
        <f t="shared" ref="D103:F104" si="9">D79</f>
        <v>-1</v>
      </c>
      <c r="E103" s="227">
        <f t="shared" si="9"/>
        <v>2.5499999999999998</v>
      </c>
      <c r="F103" s="227">
        <f t="shared" si="9"/>
        <v>3.45</v>
      </c>
      <c r="G103" s="135"/>
      <c r="H103" s="212">
        <f t="shared" si="8"/>
        <v>-8.7974999999999994</v>
      </c>
      <c r="I103" s="136"/>
      <c r="J103" s="213"/>
      <c r="K103" s="217">
        <f t="shared" si="5"/>
        <v>0</v>
      </c>
      <c r="L103" s="218">
        <f t="shared" si="6"/>
        <v>0</v>
      </c>
    </row>
    <row r="104" spans="1:12" x14ac:dyDescent="0.2">
      <c r="A104" s="124"/>
      <c r="B104" s="211"/>
      <c r="C104" s="230" t="s">
        <v>238</v>
      </c>
      <c r="D104" s="226">
        <f t="shared" si="9"/>
        <v>-1</v>
      </c>
      <c r="E104" s="227">
        <f t="shared" si="9"/>
        <v>2.0499999999999998</v>
      </c>
      <c r="F104" s="227">
        <f t="shared" si="9"/>
        <v>2.0499999999999998</v>
      </c>
      <c r="G104" s="135"/>
      <c r="H104" s="212">
        <f t="shared" si="8"/>
        <v>-4.2024999999999997</v>
      </c>
      <c r="I104" s="136"/>
      <c r="J104" s="213"/>
      <c r="K104" s="217">
        <f t="shared" si="5"/>
        <v>0</v>
      </c>
      <c r="L104" s="218">
        <f t="shared" si="6"/>
        <v>0</v>
      </c>
    </row>
    <row r="105" spans="1:12" x14ac:dyDescent="0.2">
      <c r="A105" s="124"/>
      <c r="B105" s="215"/>
      <c r="C105" s="180" t="s">
        <v>117</v>
      </c>
      <c r="D105" s="133"/>
      <c r="E105" s="135"/>
      <c r="F105" s="135"/>
      <c r="G105" s="135"/>
      <c r="H105" s="242">
        <f>SUM(H93:H104)</f>
        <v>235.99624999999997</v>
      </c>
      <c r="I105" s="136" t="s">
        <v>128</v>
      </c>
      <c r="J105" s="213">
        <v>927.25</v>
      </c>
      <c r="K105" s="217">
        <f t="shared" si="5"/>
        <v>785.80508474576266</v>
      </c>
      <c r="L105" s="218">
        <f t="shared" si="6"/>
        <v>185447.05323093216</v>
      </c>
    </row>
    <row r="106" spans="1:12" x14ac:dyDescent="0.2">
      <c r="A106" s="124" t="s">
        <v>252</v>
      </c>
      <c r="B106" s="211" t="s">
        <v>199</v>
      </c>
      <c r="C106" s="245" t="s">
        <v>253</v>
      </c>
      <c r="D106" s="127"/>
      <c r="E106" s="129"/>
      <c r="F106" s="129"/>
      <c r="G106" s="129"/>
      <c r="H106" s="239"/>
      <c r="I106" s="130"/>
      <c r="J106" s="240"/>
      <c r="K106" s="217">
        <f t="shared" si="5"/>
        <v>0</v>
      </c>
      <c r="L106" s="218">
        <f t="shared" si="6"/>
        <v>0</v>
      </c>
    </row>
    <row r="107" spans="1:12" x14ac:dyDescent="0.2">
      <c r="A107" s="124"/>
      <c r="B107" s="211"/>
      <c r="C107" s="187" t="s">
        <v>418</v>
      </c>
      <c r="D107" s="133">
        <f>D12</f>
        <v>0</v>
      </c>
      <c r="E107" s="135">
        <f>1.05+0.25+0.25</f>
        <v>1.55</v>
      </c>
      <c r="F107" s="135">
        <f>2*F12+G12</f>
        <v>0.4</v>
      </c>
      <c r="G107" s="129"/>
      <c r="H107" s="134">
        <f>D107*E107*F107</f>
        <v>0</v>
      </c>
      <c r="I107" s="130"/>
      <c r="J107" s="240"/>
      <c r="K107" s="217">
        <f t="shared" si="5"/>
        <v>0</v>
      </c>
      <c r="L107" s="218">
        <f t="shared" si="6"/>
        <v>0</v>
      </c>
    </row>
    <row r="108" spans="1:12" x14ac:dyDescent="0.2">
      <c r="A108" s="124"/>
      <c r="B108" s="211"/>
      <c r="C108" s="187" t="s">
        <v>293</v>
      </c>
      <c r="D108" s="133">
        <f>D13</f>
        <v>8</v>
      </c>
      <c r="E108" s="135">
        <f>1+0.25+0.25</f>
        <v>1.5</v>
      </c>
      <c r="F108" s="135">
        <f>2*F13+G13</f>
        <v>0.65</v>
      </c>
      <c r="G108" s="129"/>
      <c r="H108" s="134">
        <f>D108*E108*F108</f>
        <v>7.8000000000000007</v>
      </c>
      <c r="I108" s="130"/>
      <c r="J108" s="240"/>
      <c r="K108" s="217">
        <f t="shared" si="5"/>
        <v>0</v>
      </c>
      <c r="L108" s="218">
        <f t="shared" si="6"/>
        <v>0</v>
      </c>
    </row>
    <row r="109" spans="1:12" x14ac:dyDescent="0.2">
      <c r="A109" s="124"/>
      <c r="B109" s="211"/>
      <c r="C109" s="187" t="s">
        <v>222</v>
      </c>
      <c r="D109" s="133">
        <f>D14</f>
        <v>4</v>
      </c>
      <c r="E109" s="135">
        <f>0.9+0.125+0.125</f>
        <v>1.1499999999999999</v>
      </c>
      <c r="F109" s="135">
        <f>2*F14+G14</f>
        <v>0.65</v>
      </c>
      <c r="G109" s="129"/>
      <c r="H109" s="134">
        <f>D109*E109*F109</f>
        <v>2.9899999999999998</v>
      </c>
      <c r="I109" s="130"/>
      <c r="J109" s="240"/>
      <c r="K109" s="217">
        <f t="shared" si="5"/>
        <v>0</v>
      </c>
      <c r="L109" s="218">
        <f t="shared" si="6"/>
        <v>0</v>
      </c>
    </row>
    <row r="110" spans="1:12" x14ac:dyDescent="0.2">
      <c r="A110" s="124"/>
      <c r="B110" s="211"/>
      <c r="C110" s="220" t="s">
        <v>223</v>
      </c>
      <c r="D110" s="133">
        <f>D15</f>
        <v>8</v>
      </c>
      <c r="E110" s="135">
        <f>0.75+0.125+0.125</f>
        <v>1</v>
      </c>
      <c r="F110" s="135">
        <f>2*F15+G15</f>
        <v>0.4</v>
      </c>
      <c r="G110" s="135"/>
      <c r="H110" s="134">
        <f>D110*E110*F110</f>
        <v>3.2</v>
      </c>
      <c r="I110" s="136"/>
      <c r="J110" s="213"/>
      <c r="K110" s="217">
        <f t="shared" si="5"/>
        <v>0</v>
      </c>
      <c r="L110" s="218">
        <f t="shared" si="6"/>
        <v>0</v>
      </c>
    </row>
    <row r="111" spans="1:12" x14ac:dyDescent="0.2">
      <c r="A111" s="124"/>
      <c r="B111" s="211"/>
      <c r="C111" s="220" t="s">
        <v>419</v>
      </c>
      <c r="D111" s="133">
        <f>D16</f>
        <v>0</v>
      </c>
      <c r="E111" s="135">
        <f>0.9 + 0.125 + 0.125</f>
        <v>1.1499999999999999</v>
      </c>
      <c r="F111" s="135">
        <f>2*F16+G16</f>
        <v>0.4</v>
      </c>
      <c r="G111" s="135"/>
      <c r="H111" s="134">
        <f>D111*E111*F111</f>
        <v>0</v>
      </c>
      <c r="I111" s="136"/>
      <c r="J111" s="213"/>
      <c r="K111" s="217">
        <f t="shared" si="5"/>
        <v>0</v>
      </c>
      <c r="L111" s="218">
        <f t="shared" si="6"/>
        <v>0</v>
      </c>
    </row>
    <row r="112" spans="1:12" x14ac:dyDescent="0.2">
      <c r="A112" s="124"/>
      <c r="B112" s="211"/>
      <c r="C112" s="220"/>
      <c r="D112" s="133"/>
      <c r="E112" s="135"/>
      <c r="F112" s="135"/>
      <c r="G112" s="135"/>
      <c r="H112" s="134"/>
      <c r="I112" s="136"/>
      <c r="J112" s="213"/>
      <c r="K112" s="217">
        <f t="shared" si="5"/>
        <v>0</v>
      </c>
      <c r="L112" s="218">
        <f t="shared" si="6"/>
        <v>0</v>
      </c>
    </row>
    <row r="113" spans="1:19" x14ac:dyDescent="0.2">
      <c r="A113" s="124"/>
      <c r="B113" s="211"/>
      <c r="C113" s="220"/>
      <c r="D113" s="133"/>
      <c r="E113" s="135"/>
      <c r="F113" s="135"/>
      <c r="G113" s="135"/>
      <c r="H113" s="134"/>
      <c r="I113" s="136"/>
      <c r="J113" s="213"/>
      <c r="K113" s="217">
        <f t="shared" si="5"/>
        <v>0</v>
      </c>
      <c r="L113" s="218">
        <f t="shared" si="6"/>
        <v>0</v>
      </c>
    </row>
    <row r="114" spans="1:19" x14ac:dyDescent="0.2">
      <c r="A114" s="124"/>
      <c r="B114" s="211"/>
      <c r="C114" s="187" t="s">
        <v>254</v>
      </c>
      <c r="D114" s="133"/>
      <c r="E114" s="135"/>
      <c r="F114" s="135"/>
      <c r="G114" s="135"/>
      <c r="H114" s="212"/>
      <c r="I114" s="136"/>
      <c r="J114" s="213"/>
      <c r="K114" s="217">
        <f t="shared" si="5"/>
        <v>0</v>
      </c>
      <c r="L114" s="218">
        <f t="shared" si="6"/>
        <v>0</v>
      </c>
    </row>
    <row r="115" spans="1:19" x14ac:dyDescent="0.2">
      <c r="A115" s="124"/>
      <c r="B115" s="211"/>
      <c r="C115" s="220" t="s">
        <v>255</v>
      </c>
      <c r="D115" s="133">
        <v>1</v>
      </c>
      <c r="E115" s="135">
        <f>E64</f>
        <v>364.73399999999998</v>
      </c>
      <c r="F115" s="135">
        <f>2*G19+F19</f>
        <v>1.18</v>
      </c>
      <c r="G115" s="135"/>
      <c r="H115" s="212">
        <f>D115*E115*F115</f>
        <v>430.38611999999995</v>
      </c>
      <c r="I115" s="136"/>
      <c r="J115" s="213"/>
      <c r="K115" s="217">
        <f t="shared" si="5"/>
        <v>0</v>
      </c>
      <c r="L115" s="218">
        <f t="shared" si="6"/>
        <v>0</v>
      </c>
    </row>
    <row r="116" spans="1:19" x14ac:dyDescent="0.2">
      <c r="A116" s="124"/>
      <c r="B116" s="211"/>
      <c r="C116" s="220" t="s">
        <v>423</v>
      </c>
      <c r="D116" s="133">
        <v>1</v>
      </c>
      <c r="E116" s="135">
        <f>E65</f>
        <v>52</v>
      </c>
      <c r="F116" s="135">
        <f>2*G60+F60</f>
        <v>1.0549999999999999</v>
      </c>
      <c r="G116" s="135"/>
      <c r="H116" s="212">
        <f>D116*E116*F116</f>
        <v>54.86</v>
      </c>
      <c r="I116" s="136"/>
      <c r="J116" s="213"/>
      <c r="K116" s="217">
        <f t="shared" si="5"/>
        <v>0</v>
      </c>
      <c r="L116" s="218">
        <f t="shared" si="6"/>
        <v>0</v>
      </c>
    </row>
    <row r="117" spans="1:19" x14ac:dyDescent="0.2">
      <c r="A117" s="124"/>
      <c r="B117" s="215"/>
      <c r="C117" s="223" t="s">
        <v>117</v>
      </c>
      <c r="D117" s="133"/>
      <c r="E117" s="135"/>
      <c r="F117" s="135"/>
      <c r="G117" s="135"/>
      <c r="H117" s="242">
        <v>485</v>
      </c>
      <c r="I117" s="136" t="s">
        <v>128</v>
      </c>
      <c r="J117" s="213">
        <v>736.4</v>
      </c>
      <c r="K117" s="217">
        <f t="shared" si="5"/>
        <v>624.06779661016947</v>
      </c>
      <c r="L117" s="218">
        <f t="shared" si="6"/>
        <v>302672.88135593222</v>
      </c>
    </row>
    <row r="118" spans="1:19" x14ac:dyDescent="0.2">
      <c r="A118" s="124" t="s">
        <v>257</v>
      </c>
      <c r="B118" s="211" t="s">
        <v>258</v>
      </c>
      <c r="C118" s="246" t="s">
        <v>259</v>
      </c>
      <c r="D118" s="247"/>
      <c r="E118" s="248"/>
      <c r="F118" s="248"/>
      <c r="G118" s="129"/>
      <c r="H118" s="239"/>
      <c r="I118" s="130"/>
      <c r="J118" s="240"/>
      <c r="K118" s="217">
        <f t="shared" si="5"/>
        <v>0</v>
      </c>
      <c r="L118" s="218">
        <f t="shared" si="6"/>
        <v>0</v>
      </c>
      <c r="P118" s="108"/>
      <c r="Q118" s="108"/>
      <c r="R118" s="108"/>
      <c r="S118" s="108"/>
    </row>
    <row r="119" spans="1:19" x14ac:dyDescent="0.2">
      <c r="A119" s="124"/>
      <c r="B119" s="211"/>
      <c r="C119" s="225" t="s">
        <v>421</v>
      </c>
      <c r="D119" s="226">
        <f t="shared" ref="D119:F122" si="10">D75</f>
        <v>4</v>
      </c>
      <c r="E119" s="227">
        <f t="shared" si="10"/>
        <v>1.6500000000000001</v>
      </c>
      <c r="F119" s="227">
        <f t="shared" si="10"/>
        <v>0.6</v>
      </c>
      <c r="G119" s="227"/>
      <c r="H119" s="212">
        <f>F119*E119*D119</f>
        <v>3.96</v>
      </c>
      <c r="I119" s="136"/>
      <c r="J119" s="213"/>
      <c r="K119" s="217">
        <f t="shared" si="5"/>
        <v>0</v>
      </c>
      <c r="L119" s="218">
        <f t="shared" si="6"/>
        <v>0</v>
      </c>
    </row>
    <row r="120" spans="1:19" x14ac:dyDescent="0.2">
      <c r="A120" s="124"/>
      <c r="B120" s="211"/>
      <c r="C120" s="225" t="s">
        <v>422</v>
      </c>
      <c r="D120" s="226">
        <f t="shared" si="10"/>
        <v>4</v>
      </c>
      <c r="E120" s="227">
        <f t="shared" si="10"/>
        <v>1.35</v>
      </c>
      <c r="F120" s="227">
        <f t="shared" si="10"/>
        <v>0.6</v>
      </c>
      <c r="G120" s="227"/>
      <c r="H120" s="212">
        <f>F120*E120*D120</f>
        <v>3.24</v>
      </c>
      <c r="I120" s="136"/>
      <c r="J120" s="213"/>
      <c r="K120" s="217">
        <f t="shared" si="5"/>
        <v>0</v>
      </c>
      <c r="L120" s="218">
        <f t="shared" si="6"/>
        <v>0</v>
      </c>
    </row>
    <row r="121" spans="1:19" x14ac:dyDescent="0.2">
      <c r="A121" s="124"/>
      <c r="B121" s="211"/>
      <c r="C121" s="225" t="s">
        <v>236</v>
      </c>
      <c r="D121" s="226">
        <f t="shared" si="10"/>
        <v>2</v>
      </c>
      <c r="E121" s="227">
        <f t="shared" si="10"/>
        <v>1.5</v>
      </c>
      <c r="F121" s="227">
        <f t="shared" si="10"/>
        <v>0.6</v>
      </c>
      <c r="G121" s="227"/>
      <c r="H121" s="212">
        <f>F121*E121*D121</f>
        <v>1.7999999999999998</v>
      </c>
      <c r="I121" s="136"/>
      <c r="J121" s="213"/>
      <c r="K121" s="217">
        <f t="shared" si="5"/>
        <v>0</v>
      </c>
      <c r="L121" s="218">
        <f t="shared" si="6"/>
        <v>0</v>
      </c>
    </row>
    <row r="122" spans="1:19" x14ac:dyDescent="0.2">
      <c r="A122" s="124"/>
      <c r="B122" s="211"/>
      <c r="C122" s="225" t="s">
        <v>282</v>
      </c>
      <c r="D122" s="226">
        <f t="shared" si="10"/>
        <v>8</v>
      </c>
      <c r="E122" s="227">
        <f t="shared" si="10"/>
        <v>0.89999999999999991</v>
      </c>
      <c r="F122" s="227">
        <f t="shared" si="10"/>
        <v>0.6</v>
      </c>
      <c r="G122" s="227"/>
      <c r="H122" s="212">
        <f>F122*E122*D122</f>
        <v>4.3199999999999994</v>
      </c>
      <c r="I122" s="136"/>
      <c r="J122" s="213"/>
      <c r="K122" s="217">
        <f t="shared" si="5"/>
        <v>0</v>
      </c>
      <c r="L122" s="218">
        <f t="shared" si="6"/>
        <v>0</v>
      </c>
    </row>
    <row r="123" spans="1:19" x14ac:dyDescent="0.2">
      <c r="A123" s="124"/>
      <c r="B123" s="233"/>
      <c r="C123" s="180" t="s">
        <v>117</v>
      </c>
      <c r="D123" s="133"/>
      <c r="E123" s="135"/>
      <c r="F123" s="135"/>
      <c r="G123" s="135"/>
      <c r="H123" s="242">
        <v>13</v>
      </c>
      <c r="I123" s="136" t="s">
        <v>128</v>
      </c>
      <c r="J123" s="213">
        <v>1028.4000000000001</v>
      </c>
      <c r="K123" s="217">
        <f t="shared" si="5"/>
        <v>871.52542372881373</v>
      </c>
      <c r="L123" s="218">
        <f t="shared" si="6"/>
        <v>11329.830508474579</v>
      </c>
    </row>
    <row r="124" spans="1:19" x14ac:dyDescent="0.2">
      <c r="A124" s="124" t="s">
        <v>261</v>
      </c>
      <c r="B124" s="211" t="s">
        <v>203</v>
      </c>
      <c r="C124" s="250" t="s">
        <v>262</v>
      </c>
      <c r="D124" s="127"/>
      <c r="E124" s="129"/>
      <c r="F124" s="129"/>
      <c r="G124" s="129"/>
      <c r="H124" s="239"/>
      <c r="I124" s="130"/>
      <c r="J124" s="240"/>
      <c r="K124" s="217">
        <f t="shared" si="5"/>
        <v>0</v>
      </c>
      <c r="L124" s="218">
        <f t="shared" si="6"/>
        <v>0</v>
      </c>
    </row>
    <row r="125" spans="1:19" x14ac:dyDescent="0.2">
      <c r="A125" s="124"/>
      <c r="B125" s="211"/>
      <c r="C125" s="132" t="s">
        <v>139</v>
      </c>
      <c r="D125" s="133">
        <v>56</v>
      </c>
      <c r="E125" s="134">
        <f>2*(E7+F7)</f>
        <v>1.7999999999999998</v>
      </c>
      <c r="F125" s="134"/>
      <c r="G125" s="134">
        <f>G7</f>
        <v>2.4</v>
      </c>
      <c r="H125" s="212">
        <f>G125*E125*D125</f>
        <v>241.91999999999996</v>
      </c>
      <c r="I125" s="136"/>
      <c r="J125" s="213"/>
      <c r="K125" s="217">
        <f t="shared" si="5"/>
        <v>0</v>
      </c>
      <c r="L125" s="218">
        <f t="shared" si="6"/>
        <v>0</v>
      </c>
    </row>
    <row r="126" spans="1:19" x14ac:dyDescent="0.2">
      <c r="A126" s="124"/>
      <c r="B126" s="211"/>
      <c r="C126" s="132" t="s">
        <v>140</v>
      </c>
      <c r="D126" s="133">
        <v>12</v>
      </c>
      <c r="E126" s="134">
        <f>2*(E8+F8)</f>
        <v>1.6</v>
      </c>
      <c r="F126" s="134"/>
      <c r="G126" s="134">
        <f>G8</f>
        <v>2.4</v>
      </c>
      <c r="H126" s="212">
        <f>G126*E126*D126</f>
        <v>46.08</v>
      </c>
      <c r="I126" s="136"/>
      <c r="J126" s="213"/>
      <c r="K126" s="217">
        <f t="shared" si="5"/>
        <v>0</v>
      </c>
      <c r="L126" s="218">
        <f t="shared" si="6"/>
        <v>0</v>
      </c>
    </row>
    <row r="127" spans="1:19" x14ac:dyDescent="0.2">
      <c r="A127" s="124"/>
      <c r="B127" s="215"/>
      <c r="C127" s="223" t="s">
        <v>117</v>
      </c>
      <c r="D127" s="133"/>
      <c r="E127" s="135"/>
      <c r="F127" s="135"/>
      <c r="G127" s="135"/>
      <c r="H127" s="242">
        <v>280</v>
      </c>
      <c r="I127" s="136" t="s">
        <v>128</v>
      </c>
      <c r="J127" s="213">
        <v>961.3</v>
      </c>
      <c r="K127" s="217">
        <f t="shared" si="5"/>
        <v>814.66101694915255</v>
      </c>
      <c r="L127" s="218">
        <f t="shared" si="6"/>
        <v>228105.08474576272</v>
      </c>
    </row>
    <row r="128" spans="1:19" x14ac:dyDescent="0.2">
      <c r="A128" s="124" t="s">
        <v>263</v>
      </c>
      <c r="B128" s="211" t="s">
        <v>264</v>
      </c>
      <c r="C128" s="245" t="s">
        <v>265</v>
      </c>
      <c r="D128" s="127"/>
      <c r="E128" s="129"/>
      <c r="F128" s="129"/>
      <c r="G128" s="129"/>
      <c r="H128" s="239"/>
      <c r="I128" s="130"/>
      <c r="J128" s="240"/>
      <c r="K128" s="217">
        <f t="shared" si="5"/>
        <v>0</v>
      </c>
      <c r="L128" s="218">
        <f t="shared" si="6"/>
        <v>0</v>
      </c>
    </row>
    <row r="129" spans="1:12" x14ac:dyDescent="0.2">
      <c r="A129" s="124"/>
      <c r="B129" s="211"/>
      <c r="C129" s="220" t="s">
        <v>241</v>
      </c>
      <c r="D129" s="133">
        <v>2</v>
      </c>
      <c r="E129" s="135">
        <v>3</v>
      </c>
      <c r="F129" s="135">
        <v>1.2</v>
      </c>
      <c r="G129" s="135"/>
      <c r="H129" s="212">
        <f>F129*E129*D129</f>
        <v>7.1999999999999993</v>
      </c>
      <c r="I129" s="136"/>
      <c r="J129" s="213"/>
      <c r="K129" s="217">
        <f t="shared" si="5"/>
        <v>0</v>
      </c>
      <c r="L129" s="218">
        <f t="shared" si="6"/>
        <v>0</v>
      </c>
    </row>
    <row r="130" spans="1:12" x14ac:dyDescent="0.2">
      <c r="A130" s="124"/>
      <c r="B130" s="211"/>
      <c r="C130" s="220" t="s">
        <v>242</v>
      </c>
      <c r="D130" s="133">
        <v>1</v>
      </c>
      <c r="E130" s="135">
        <v>1.2</v>
      </c>
      <c r="F130" s="135">
        <v>2.5499999999999998</v>
      </c>
      <c r="G130" s="134"/>
      <c r="H130" s="212">
        <f>F130*E130*D130</f>
        <v>3.0599999999999996</v>
      </c>
      <c r="I130" s="136"/>
      <c r="J130" s="213"/>
      <c r="K130" s="217">
        <f t="shared" si="5"/>
        <v>0</v>
      </c>
      <c r="L130" s="218">
        <f t="shared" si="6"/>
        <v>0</v>
      </c>
    </row>
    <row r="131" spans="1:12" x14ac:dyDescent="0.2">
      <c r="A131" s="124"/>
      <c r="B131" s="211"/>
      <c r="C131" s="220" t="s">
        <v>266</v>
      </c>
      <c r="D131" s="133">
        <v>2</v>
      </c>
      <c r="E131" s="135">
        <v>3</v>
      </c>
      <c r="F131" s="135">
        <v>0.3</v>
      </c>
      <c r="G131" s="134"/>
      <c r="H131" s="212">
        <f>F131*E131*D131</f>
        <v>1.7999999999999998</v>
      </c>
      <c r="I131" s="136"/>
      <c r="J131" s="213"/>
      <c r="K131" s="217">
        <f t="shared" si="5"/>
        <v>0</v>
      </c>
      <c r="L131" s="218">
        <f t="shared" si="6"/>
        <v>0</v>
      </c>
    </row>
    <row r="132" spans="1:12" x14ac:dyDescent="0.2">
      <c r="A132" s="124"/>
      <c r="B132" s="211"/>
      <c r="C132" s="220" t="s">
        <v>243</v>
      </c>
      <c r="D132" s="133">
        <v>20</v>
      </c>
      <c r="E132" s="135">
        <v>1.2</v>
      </c>
      <c r="F132" s="135">
        <v>0.25</v>
      </c>
      <c r="G132" s="134"/>
      <c r="H132" s="212">
        <f>F132*E132*D132</f>
        <v>6</v>
      </c>
      <c r="I132" s="136"/>
      <c r="J132" s="213"/>
      <c r="K132" s="217">
        <f t="shared" si="5"/>
        <v>0</v>
      </c>
      <c r="L132" s="218">
        <f t="shared" si="6"/>
        <v>0</v>
      </c>
    </row>
    <row r="133" spans="1:12" x14ac:dyDescent="0.2">
      <c r="A133" s="139"/>
      <c r="B133" s="215"/>
      <c r="C133" s="221" t="s">
        <v>117</v>
      </c>
      <c r="D133" s="142"/>
      <c r="E133" s="145"/>
      <c r="F133" s="145"/>
      <c r="G133" s="145"/>
      <c r="H133" s="216">
        <v>18</v>
      </c>
      <c r="I133" s="141" t="s">
        <v>128</v>
      </c>
      <c r="J133" s="217">
        <v>764.95</v>
      </c>
      <c r="K133" s="217">
        <f t="shared" si="5"/>
        <v>648.26271186440681</v>
      </c>
      <c r="L133" s="218">
        <f t="shared" si="6"/>
        <v>11668.728813559323</v>
      </c>
    </row>
    <row r="134" spans="1:12" s="256" customFormat="1" ht="38.25" x14ac:dyDescent="0.2">
      <c r="A134" s="116">
        <v>5</v>
      </c>
      <c r="B134" s="117">
        <v>6.4</v>
      </c>
      <c r="C134" s="251" t="s">
        <v>267</v>
      </c>
      <c r="D134" s="116"/>
      <c r="E134" s="252"/>
      <c r="F134" s="252"/>
      <c r="G134" s="252"/>
      <c r="H134" s="253"/>
      <c r="I134" s="254"/>
      <c r="J134" s="255"/>
      <c r="K134" s="217">
        <f t="shared" si="5"/>
        <v>0</v>
      </c>
      <c r="L134" s="218">
        <f t="shared" si="6"/>
        <v>0</v>
      </c>
    </row>
    <row r="135" spans="1:12" s="256" customFormat="1" ht="30" customHeight="1" x14ac:dyDescent="0.2">
      <c r="A135" s="124"/>
      <c r="B135" s="125" t="s">
        <v>268</v>
      </c>
      <c r="C135" s="257" t="s">
        <v>269</v>
      </c>
      <c r="D135" s="124"/>
      <c r="E135" s="258"/>
      <c r="F135" s="258"/>
      <c r="G135" s="258"/>
      <c r="H135" s="259"/>
      <c r="I135" s="260"/>
      <c r="J135" s="261"/>
      <c r="K135" s="217">
        <f t="shared" si="5"/>
        <v>0</v>
      </c>
      <c r="L135" s="218">
        <f t="shared" si="6"/>
        <v>0</v>
      </c>
    </row>
    <row r="136" spans="1:12" x14ac:dyDescent="0.2">
      <c r="A136" s="124"/>
      <c r="B136" s="125"/>
      <c r="C136" s="262" t="s">
        <v>424</v>
      </c>
      <c r="D136" s="133"/>
      <c r="E136" s="135"/>
      <c r="F136" s="135"/>
      <c r="G136" s="135"/>
      <c r="H136" s="212"/>
      <c r="I136" s="136"/>
      <c r="J136" s="213"/>
      <c r="K136" s="217">
        <f t="shared" si="5"/>
        <v>0</v>
      </c>
      <c r="L136" s="218">
        <f t="shared" si="6"/>
        <v>0</v>
      </c>
    </row>
    <row r="137" spans="1:12" x14ac:dyDescent="0.2">
      <c r="A137" s="124"/>
      <c r="B137" s="211"/>
      <c r="C137" s="225" t="s">
        <v>425</v>
      </c>
      <c r="D137" s="133">
        <v>1</v>
      </c>
      <c r="E137" s="135">
        <f>9.325-(0.6*3+0.3)</f>
        <v>7.2249999999999996</v>
      </c>
      <c r="F137" s="135">
        <v>0.25</v>
      </c>
      <c r="G137" s="135">
        <f t="shared" ref="G137:G159" si="11">3-0.6</f>
        <v>2.4</v>
      </c>
      <c r="H137" s="212">
        <f t="shared" ref="H137:H159" si="12">G137*F137*E137*D137</f>
        <v>4.335</v>
      </c>
      <c r="I137" s="136"/>
      <c r="J137" s="213"/>
      <c r="K137" s="217">
        <f t="shared" si="5"/>
        <v>0</v>
      </c>
      <c r="L137" s="218">
        <f t="shared" si="6"/>
        <v>0</v>
      </c>
    </row>
    <row r="138" spans="1:12" x14ac:dyDescent="0.2">
      <c r="A138" s="124"/>
      <c r="B138" s="211"/>
      <c r="C138" s="325" t="s">
        <v>426</v>
      </c>
      <c r="D138" s="133">
        <v>1</v>
      </c>
      <c r="E138" s="134">
        <f>2.52-0.6+0.3</f>
        <v>2.2199999999999998</v>
      </c>
      <c r="F138" s="135">
        <v>0.25</v>
      </c>
      <c r="G138" s="135">
        <f t="shared" si="11"/>
        <v>2.4</v>
      </c>
      <c r="H138" s="212">
        <f t="shared" si="12"/>
        <v>1.3319999999999999</v>
      </c>
      <c r="I138" s="136"/>
      <c r="J138" s="213"/>
      <c r="K138" s="217">
        <f t="shared" ref="K138:K201" si="13">J138*100/118</f>
        <v>0</v>
      </c>
      <c r="L138" s="218">
        <f t="shared" ref="L138:L201" si="14">K138*H138</f>
        <v>0</v>
      </c>
    </row>
    <row r="139" spans="1:12" x14ac:dyDescent="0.2">
      <c r="A139" s="124"/>
      <c r="B139" s="211"/>
      <c r="C139" s="325" t="s">
        <v>427</v>
      </c>
      <c r="D139" s="133">
        <v>1</v>
      </c>
      <c r="E139" s="135">
        <f>2-0.6+0.3</f>
        <v>1.7</v>
      </c>
      <c r="F139" s="135">
        <v>0.25</v>
      </c>
      <c r="G139" s="135">
        <f t="shared" si="11"/>
        <v>2.4</v>
      </c>
      <c r="H139" s="212">
        <f t="shared" si="12"/>
        <v>1.02</v>
      </c>
      <c r="I139" s="136"/>
      <c r="J139" s="213"/>
      <c r="K139" s="217">
        <f t="shared" si="13"/>
        <v>0</v>
      </c>
      <c r="L139" s="218">
        <f t="shared" si="14"/>
        <v>0</v>
      </c>
    </row>
    <row r="140" spans="1:12" x14ac:dyDescent="0.2">
      <c r="A140" s="124"/>
      <c r="B140" s="211"/>
      <c r="C140" s="325" t="s">
        <v>428</v>
      </c>
      <c r="D140" s="133">
        <v>1</v>
      </c>
      <c r="E140" s="134">
        <f>7.2-0.6+0.3+0.3</f>
        <v>7.2</v>
      </c>
      <c r="F140" s="135">
        <v>0.25</v>
      </c>
      <c r="G140" s="135">
        <f t="shared" si="11"/>
        <v>2.4</v>
      </c>
      <c r="H140" s="212">
        <f t="shared" si="12"/>
        <v>4.32</v>
      </c>
      <c r="I140" s="136"/>
      <c r="J140" s="213"/>
      <c r="K140" s="217">
        <f t="shared" si="13"/>
        <v>0</v>
      </c>
      <c r="L140" s="218">
        <f t="shared" si="14"/>
        <v>0</v>
      </c>
    </row>
    <row r="141" spans="1:12" x14ac:dyDescent="0.2">
      <c r="A141" s="124"/>
      <c r="B141" s="211"/>
      <c r="C141" s="326" t="s">
        <v>429</v>
      </c>
      <c r="D141" s="133">
        <v>1</v>
      </c>
      <c r="E141" s="134">
        <f>3.05-0.6</f>
        <v>2.4499999999999997</v>
      </c>
      <c r="F141" s="135">
        <v>0.25</v>
      </c>
      <c r="G141" s="135">
        <f t="shared" si="11"/>
        <v>2.4</v>
      </c>
      <c r="H141" s="212">
        <f>G141*F141*E141*D141</f>
        <v>1.4699999999999998</v>
      </c>
      <c r="I141" s="136"/>
      <c r="J141" s="213"/>
      <c r="K141" s="217">
        <f t="shared" si="13"/>
        <v>0</v>
      </c>
      <c r="L141" s="218">
        <f t="shared" si="14"/>
        <v>0</v>
      </c>
    </row>
    <row r="142" spans="1:12" x14ac:dyDescent="0.2">
      <c r="A142" s="124"/>
      <c r="B142" s="211"/>
      <c r="C142" s="325" t="s">
        <v>430</v>
      </c>
      <c r="D142" s="133">
        <v>1</v>
      </c>
      <c r="E142" s="134">
        <v>4.6500000000000004</v>
      </c>
      <c r="F142" s="135">
        <v>0.25</v>
      </c>
      <c r="G142" s="135">
        <f t="shared" si="11"/>
        <v>2.4</v>
      </c>
      <c r="H142" s="212">
        <f t="shared" si="12"/>
        <v>2.79</v>
      </c>
      <c r="I142" s="136"/>
      <c r="J142" s="213"/>
      <c r="K142" s="217">
        <f t="shared" si="13"/>
        <v>0</v>
      </c>
      <c r="L142" s="218">
        <f t="shared" si="14"/>
        <v>0</v>
      </c>
    </row>
    <row r="143" spans="1:12" x14ac:dyDescent="0.2">
      <c r="A143" s="124"/>
      <c r="B143" s="211"/>
      <c r="C143" s="325" t="s">
        <v>431</v>
      </c>
      <c r="D143" s="133">
        <v>1</v>
      </c>
      <c r="E143" s="134">
        <f>4.65-0.3*3</f>
        <v>3.7500000000000004</v>
      </c>
      <c r="F143" s="135">
        <v>0.25</v>
      </c>
      <c r="G143" s="135">
        <f t="shared" si="11"/>
        <v>2.4</v>
      </c>
      <c r="H143" s="212">
        <f t="shared" si="12"/>
        <v>2.25</v>
      </c>
      <c r="I143" s="136"/>
      <c r="J143" s="213"/>
      <c r="K143" s="217">
        <f t="shared" si="13"/>
        <v>0</v>
      </c>
      <c r="L143" s="218">
        <f t="shared" si="14"/>
        <v>0</v>
      </c>
    </row>
    <row r="144" spans="1:12" x14ac:dyDescent="0.2">
      <c r="A144" s="124"/>
      <c r="B144" s="211"/>
      <c r="C144" s="325" t="s">
        <v>432</v>
      </c>
      <c r="D144" s="133">
        <v>1</v>
      </c>
      <c r="E144" s="134">
        <f>2.275-0.6</f>
        <v>1.6749999999999998</v>
      </c>
      <c r="F144" s="135">
        <v>0.25</v>
      </c>
      <c r="G144" s="135">
        <f t="shared" si="11"/>
        <v>2.4</v>
      </c>
      <c r="H144" s="212">
        <f t="shared" si="12"/>
        <v>1.0049999999999999</v>
      </c>
      <c r="I144" s="136"/>
      <c r="J144" s="213"/>
      <c r="K144" s="217">
        <f t="shared" si="13"/>
        <v>0</v>
      </c>
      <c r="L144" s="218">
        <f t="shared" si="14"/>
        <v>0</v>
      </c>
    </row>
    <row r="145" spans="1:12" x14ac:dyDescent="0.2">
      <c r="A145" s="124"/>
      <c r="B145" s="211"/>
      <c r="C145" s="325" t="s">
        <v>433</v>
      </c>
      <c r="D145" s="133">
        <v>1</v>
      </c>
      <c r="E145" s="134">
        <f>7.2-0.6*2</f>
        <v>6</v>
      </c>
      <c r="F145" s="135">
        <v>0.25</v>
      </c>
      <c r="G145" s="135">
        <f t="shared" si="11"/>
        <v>2.4</v>
      </c>
      <c r="H145" s="212">
        <f t="shared" si="12"/>
        <v>3.5999999999999996</v>
      </c>
      <c r="I145" s="136"/>
      <c r="J145" s="213"/>
      <c r="K145" s="217">
        <f t="shared" si="13"/>
        <v>0</v>
      </c>
      <c r="L145" s="218">
        <f t="shared" si="14"/>
        <v>0</v>
      </c>
    </row>
    <row r="146" spans="1:12" x14ac:dyDescent="0.2">
      <c r="A146" s="124"/>
      <c r="B146" s="211"/>
      <c r="C146" s="325" t="s">
        <v>434</v>
      </c>
      <c r="D146" s="133">
        <v>1</v>
      </c>
      <c r="E146" s="135">
        <f>2-0.6+0.3</f>
        <v>1.7</v>
      </c>
      <c r="F146" s="135">
        <v>0.25</v>
      </c>
      <c r="G146" s="135">
        <f t="shared" si="11"/>
        <v>2.4</v>
      </c>
      <c r="H146" s="212">
        <f t="shared" si="12"/>
        <v>1.02</v>
      </c>
      <c r="I146" s="136"/>
      <c r="J146" s="213"/>
      <c r="K146" s="217">
        <f t="shared" si="13"/>
        <v>0</v>
      </c>
      <c r="L146" s="218">
        <f t="shared" si="14"/>
        <v>0</v>
      </c>
    </row>
    <row r="147" spans="1:12" x14ac:dyDescent="0.2">
      <c r="A147" s="124"/>
      <c r="B147" s="211"/>
      <c r="C147" s="325" t="s">
        <v>435</v>
      </c>
      <c r="D147" s="133">
        <v>1</v>
      </c>
      <c r="E147" s="134">
        <f>2.3-0.6</f>
        <v>1.6999999999999997</v>
      </c>
      <c r="F147" s="135">
        <v>0.25</v>
      </c>
      <c r="G147" s="135">
        <f t="shared" si="11"/>
        <v>2.4</v>
      </c>
      <c r="H147" s="212">
        <f t="shared" si="12"/>
        <v>1.0199999999999998</v>
      </c>
      <c r="I147" s="136"/>
      <c r="J147" s="213"/>
      <c r="K147" s="217">
        <f t="shared" si="13"/>
        <v>0</v>
      </c>
      <c r="L147" s="218">
        <f t="shared" si="14"/>
        <v>0</v>
      </c>
    </row>
    <row r="148" spans="1:12" x14ac:dyDescent="0.2">
      <c r="A148" s="124"/>
      <c r="B148" s="211"/>
      <c r="C148" s="325" t="s">
        <v>436</v>
      </c>
      <c r="D148" s="133">
        <v>1</v>
      </c>
      <c r="E148" s="134">
        <f>2.275-0.6</f>
        <v>1.6749999999999998</v>
      </c>
      <c r="F148" s="135">
        <v>0.25</v>
      </c>
      <c r="G148" s="135">
        <f t="shared" si="11"/>
        <v>2.4</v>
      </c>
      <c r="H148" s="212">
        <f t="shared" si="12"/>
        <v>1.0049999999999999</v>
      </c>
      <c r="I148" s="136"/>
      <c r="J148" s="213"/>
      <c r="K148" s="217">
        <f t="shared" si="13"/>
        <v>0</v>
      </c>
      <c r="L148" s="218">
        <f t="shared" si="14"/>
        <v>0</v>
      </c>
    </row>
    <row r="149" spans="1:12" x14ac:dyDescent="0.2">
      <c r="A149" s="124"/>
      <c r="B149" s="211"/>
      <c r="C149" s="325" t="s">
        <v>437</v>
      </c>
      <c r="D149" s="133">
        <v>1</v>
      </c>
      <c r="E149" s="135">
        <f>9.325-(0.6*3+0.3)</f>
        <v>7.2249999999999996</v>
      </c>
      <c r="F149" s="135">
        <v>0.25</v>
      </c>
      <c r="G149" s="135">
        <f t="shared" si="11"/>
        <v>2.4</v>
      </c>
      <c r="H149" s="212">
        <f t="shared" si="12"/>
        <v>4.335</v>
      </c>
      <c r="I149" s="136"/>
      <c r="J149" s="213"/>
      <c r="K149" s="217">
        <f t="shared" si="13"/>
        <v>0</v>
      </c>
      <c r="L149" s="218">
        <f t="shared" si="14"/>
        <v>0</v>
      </c>
    </row>
    <row r="150" spans="1:12" x14ac:dyDescent="0.2">
      <c r="A150" s="124"/>
      <c r="B150" s="211"/>
      <c r="C150" s="325" t="s">
        <v>438</v>
      </c>
      <c r="D150" s="133">
        <v>1</v>
      </c>
      <c r="E150" s="135">
        <f>9.325-(0.6*3+0.3)</f>
        <v>7.2249999999999996</v>
      </c>
      <c r="F150" s="135">
        <v>0.25</v>
      </c>
      <c r="G150" s="135">
        <f t="shared" si="11"/>
        <v>2.4</v>
      </c>
      <c r="H150" s="212">
        <f t="shared" si="12"/>
        <v>4.335</v>
      </c>
      <c r="I150" s="136"/>
      <c r="J150" s="213"/>
      <c r="K150" s="217">
        <f t="shared" si="13"/>
        <v>0</v>
      </c>
      <c r="L150" s="218">
        <f t="shared" si="14"/>
        <v>0</v>
      </c>
    </row>
    <row r="151" spans="1:12" x14ac:dyDescent="0.2">
      <c r="A151" s="124"/>
      <c r="B151" s="211"/>
      <c r="C151" s="325" t="s">
        <v>439</v>
      </c>
      <c r="D151" s="133">
        <v>1</v>
      </c>
      <c r="E151" s="135">
        <f>2-0.6+0.3</f>
        <v>1.7</v>
      </c>
      <c r="F151" s="135">
        <v>0.25</v>
      </c>
      <c r="G151" s="135">
        <f t="shared" si="11"/>
        <v>2.4</v>
      </c>
      <c r="H151" s="212">
        <f t="shared" si="12"/>
        <v>1.02</v>
      </c>
      <c r="I151" s="136"/>
      <c r="J151" s="213"/>
      <c r="K151" s="217">
        <f t="shared" si="13"/>
        <v>0</v>
      </c>
      <c r="L151" s="218">
        <f t="shared" si="14"/>
        <v>0</v>
      </c>
    </row>
    <row r="152" spans="1:12" x14ac:dyDescent="0.2">
      <c r="A152" s="124"/>
      <c r="B152" s="211"/>
      <c r="C152" s="325" t="s">
        <v>440</v>
      </c>
      <c r="D152" s="133">
        <v>1</v>
      </c>
      <c r="E152" s="134">
        <f>7.2-0.6+0.3+0.3</f>
        <v>7.2</v>
      </c>
      <c r="F152" s="135">
        <v>0.25</v>
      </c>
      <c r="G152" s="135">
        <f t="shared" si="11"/>
        <v>2.4</v>
      </c>
      <c r="H152" s="212">
        <f t="shared" si="12"/>
        <v>4.32</v>
      </c>
      <c r="I152" s="136"/>
      <c r="J152" s="213"/>
      <c r="K152" s="217">
        <f t="shared" si="13"/>
        <v>0</v>
      </c>
      <c r="L152" s="218">
        <f t="shared" si="14"/>
        <v>0</v>
      </c>
    </row>
    <row r="153" spans="1:12" x14ac:dyDescent="0.2">
      <c r="A153" s="124"/>
      <c r="B153" s="211"/>
      <c r="C153" s="325" t="s">
        <v>441</v>
      </c>
      <c r="D153" s="133">
        <v>1</v>
      </c>
      <c r="E153" s="134">
        <f>7.42-0.6+0.3</f>
        <v>7.12</v>
      </c>
      <c r="F153" s="135">
        <v>0.25</v>
      </c>
      <c r="G153" s="135">
        <f t="shared" si="11"/>
        <v>2.4</v>
      </c>
      <c r="H153" s="212">
        <f t="shared" si="12"/>
        <v>4.2720000000000002</v>
      </c>
      <c r="I153" s="136"/>
      <c r="J153" s="213"/>
      <c r="K153" s="217">
        <f t="shared" si="13"/>
        <v>0</v>
      </c>
      <c r="L153" s="218">
        <f t="shared" si="14"/>
        <v>0</v>
      </c>
    </row>
    <row r="154" spans="1:12" x14ac:dyDescent="0.2">
      <c r="A154" s="124"/>
      <c r="B154" s="211"/>
      <c r="C154" s="325" t="s">
        <v>442</v>
      </c>
      <c r="D154" s="133">
        <v>1</v>
      </c>
      <c r="E154" s="134">
        <f>7.42-0.6+0.3</f>
        <v>7.12</v>
      </c>
      <c r="F154" s="135">
        <v>0.25</v>
      </c>
      <c r="G154" s="135">
        <f t="shared" si="11"/>
        <v>2.4</v>
      </c>
      <c r="H154" s="212">
        <f t="shared" si="12"/>
        <v>4.2720000000000002</v>
      </c>
      <c r="I154" s="136"/>
      <c r="J154" s="213"/>
      <c r="K154" s="217">
        <f t="shared" si="13"/>
        <v>0</v>
      </c>
      <c r="L154" s="218">
        <f t="shared" si="14"/>
        <v>0</v>
      </c>
    </row>
    <row r="155" spans="1:12" x14ac:dyDescent="0.2">
      <c r="A155" s="124"/>
      <c r="B155" s="211"/>
      <c r="C155" s="325" t="s">
        <v>443</v>
      </c>
      <c r="D155" s="133">
        <v>1</v>
      </c>
      <c r="E155" s="134">
        <f>7.2-0.6+0.3+0.3</f>
        <v>7.2</v>
      </c>
      <c r="F155" s="135">
        <v>0.25</v>
      </c>
      <c r="G155" s="135">
        <f t="shared" si="11"/>
        <v>2.4</v>
      </c>
      <c r="H155" s="212">
        <f t="shared" si="12"/>
        <v>4.32</v>
      </c>
      <c r="I155" s="136"/>
      <c r="J155" s="213"/>
      <c r="K155" s="217">
        <f t="shared" si="13"/>
        <v>0</v>
      </c>
      <c r="L155" s="218">
        <f t="shared" si="14"/>
        <v>0</v>
      </c>
    </row>
    <row r="156" spans="1:12" x14ac:dyDescent="0.2">
      <c r="A156" s="124"/>
      <c r="B156" s="211"/>
      <c r="C156" s="325" t="s">
        <v>444</v>
      </c>
      <c r="D156" s="133">
        <v>1</v>
      </c>
      <c r="E156" s="135">
        <f>2-0.6+0.3</f>
        <v>1.7</v>
      </c>
      <c r="F156" s="135">
        <v>0.25</v>
      </c>
      <c r="G156" s="135">
        <f t="shared" si="11"/>
        <v>2.4</v>
      </c>
      <c r="H156" s="212">
        <f t="shared" si="12"/>
        <v>1.02</v>
      </c>
      <c r="I156" s="136"/>
      <c r="J156" s="213"/>
      <c r="K156" s="217">
        <f t="shared" si="13"/>
        <v>0</v>
      </c>
      <c r="L156" s="218">
        <f t="shared" si="14"/>
        <v>0</v>
      </c>
    </row>
    <row r="157" spans="1:12" x14ac:dyDescent="0.2">
      <c r="A157" s="124"/>
      <c r="B157" s="211"/>
      <c r="C157" s="325" t="s">
        <v>445</v>
      </c>
      <c r="D157" s="133">
        <v>1</v>
      </c>
      <c r="E157" s="135">
        <f>2.275-0.6</f>
        <v>1.6749999999999998</v>
      </c>
      <c r="F157" s="135">
        <v>0.25</v>
      </c>
      <c r="G157" s="135">
        <f t="shared" si="11"/>
        <v>2.4</v>
      </c>
      <c r="H157" s="212">
        <f t="shared" si="12"/>
        <v>1.0049999999999999</v>
      </c>
      <c r="I157" s="136"/>
      <c r="J157" s="213"/>
      <c r="K157" s="217">
        <f t="shared" si="13"/>
        <v>0</v>
      </c>
      <c r="L157" s="218">
        <f t="shared" si="14"/>
        <v>0</v>
      </c>
    </row>
    <row r="158" spans="1:12" x14ac:dyDescent="0.2">
      <c r="A158" s="124"/>
      <c r="B158" s="211"/>
      <c r="C158" s="325" t="s">
        <v>446</v>
      </c>
      <c r="D158" s="133">
        <v>1</v>
      </c>
      <c r="E158" s="135">
        <f>2.525-0.6</f>
        <v>1.9249999999999998</v>
      </c>
      <c r="F158" s="135">
        <v>0.25</v>
      </c>
      <c r="G158" s="135">
        <f t="shared" si="11"/>
        <v>2.4</v>
      </c>
      <c r="H158" s="212">
        <f t="shared" si="12"/>
        <v>1.1549999999999998</v>
      </c>
      <c r="I158" s="136"/>
      <c r="J158" s="213"/>
      <c r="K158" s="217">
        <f t="shared" si="13"/>
        <v>0</v>
      </c>
      <c r="L158" s="218">
        <f t="shared" si="14"/>
        <v>0</v>
      </c>
    </row>
    <row r="159" spans="1:12" x14ac:dyDescent="0.2">
      <c r="A159" s="124"/>
      <c r="B159" s="211"/>
      <c r="C159" s="225" t="s">
        <v>447</v>
      </c>
      <c r="D159" s="133">
        <v>1</v>
      </c>
      <c r="E159" s="135">
        <f>9.325-(0.6*3+0.3)</f>
        <v>7.2249999999999996</v>
      </c>
      <c r="F159" s="135">
        <v>0.25</v>
      </c>
      <c r="G159" s="135">
        <f t="shared" si="11"/>
        <v>2.4</v>
      </c>
      <c r="H159" s="212">
        <f t="shared" si="12"/>
        <v>4.335</v>
      </c>
      <c r="I159" s="136"/>
      <c r="J159" s="213"/>
      <c r="K159" s="217">
        <f t="shared" si="13"/>
        <v>0</v>
      </c>
      <c r="L159" s="218">
        <f t="shared" si="14"/>
        <v>0</v>
      </c>
    </row>
    <row r="160" spans="1:12" x14ac:dyDescent="0.2">
      <c r="A160" s="124"/>
      <c r="B160" s="211"/>
      <c r="C160" s="325" t="s">
        <v>448</v>
      </c>
      <c r="D160" s="133"/>
      <c r="E160" s="224">
        <f>SUM(E137*D137+E138*D138+E139*D139+E140*D140+E142*D142+E143*D143+D144*E144+D145*E145+D146*E146+D147*E147+D148*E148+D149*E149+D150*E150+D151*E151+D152*E152+D153*E153+D154*E154+D155*E155+D156*E156+D157*E157+D158*E158+D159*E159)</f>
        <v>96.810000000000016</v>
      </c>
      <c r="F160" s="135"/>
      <c r="G160" s="135"/>
      <c r="H160" s="212"/>
      <c r="I160" s="136"/>
      <c r="J160" s="213"/>
      <c r="K160" s="217">
        <f t="shared" si="13"/>
        <v>0</v>
      </c>
      <c r="L160" s="218">
        <f t="shared" si="14"/>
        <v>0</v>
      </c>
    </row>
    <row r="161" spans="1:12" x14ac:dyDescent="0.2">
      <c r="A161" s="124"/>
      <c r="B161" s="125"/>
      <c r="C161" s="262" t="s">
        <v>449</v>
      </c>
      <c r="D161" s="133"/>
      <c r="E161" s="135"/>
      <c r="F161" s="135"/>
      <c r="G161" s="135"/>
      <c r="H161" s="212"/>
      <c r="I161" s="136"/>
      <c r="J161" s="213"/>
      <c r="K161" s="217">
        <f t="shared" si="13"/>
        <v>0</v>
      </c>
      <c r="L161" s="218">
        <f t="shared" si="14"/>
        <v>0</v>
      </c>
    </row>
    <row r="162" spans="1:12" x14ac:dyDescent="0.2">
      <c r="A162" s="124"/>
      <c r="B162" s="211"/>
      <c r="C162" s="225" t="s">
        <v>450</v>
      </c>
      <c r="D162" s="133">
        <v>1</v>
      </c>
      <c r="E162" s="135">
        <f>6.575-0.6*2+0.3</f>
        <v>5.6749999999999998</v>
      </c>
      <c r="F162" s="135">
        <v>0.25</v>
      </c>
      <c r="G162" s="135">
        <f>3-0.6</f>
        <v>2.4</v>
      </c>
      <c r="H162" s="212">
        <f>G162*F162*E162*D162</f>
        <v>3.4049999999999998</v>
      </c>
      <c r="I162" s="136"/>
      <c r="J162" s="213"/>
      <c r="K162" s="217">
        <f t="shared" si="13"/>
        <v>0</v>
      </c>
      <c r="L162" s="218">
        <f t="shared" si="14"/>
        <v>0</v>
      </c>
    </row>
    <row r="163" spans="1:12" x14ac:dyDescent="0.2">
      <c r="A163" s="124"/>
      <c r="B163" s="211"/>
      <c r="C163" s="225" t="s">
        <v>451</v>
      </c>
      <c r="D163" s="133">
        <v>1</v>
      </c>
      <c r="E163" s="135">
        <f>6.575-0.6*2+0.3</f>
        <v>5.6749999999999998</v>
      </c>
      <c r="F163" s="135">
        <v>0.25</v>
      </c>
      <c r="G163" s="135">
        <f>3-0.6</f>
        <v>2.4</v>
      </c>
      <c r="H163" s="212">
        <f>G163*F163*E163*D163</f>
        <v>3.4049999999999998</v>
      </c>
      <c r="I163" s="136"/>
      <c r="J163" s="213"/>
      <c r="K163" s="217">
        <f t="shared" si="13"/>
        <v>0</v>
      </c>
      <c r="L163" s="218">
        <f t="shared" si="14"/>
        <v>0</v>
      </c>
    </row>
    <row r="164" spans="1:12" x14ac:dyDescent="0.2">
      <c r="A164" s="124"/>
      <c r="B164" s="211"/>
      <c r="C164" s="225" t="s">
        <v>452</v>
      </c>
      <c r="D164" s="133">
        <v>1</v>
      </c>
      <c r="E164" s="135">
        <f>8.85-0.6*3+0.3</f>
        <v>7.35</v>
      </c>
      <c r="F164" s="135">
        <v>0.25</v>
      </c>
      <c r="G164" s="135">
        <f>3-0.6</f>
        <v>2.4</v>
      </c>
      <c r="H164" s="212">
        <f>G164*F164*E164*D164</f>
        <v>4.4099999999999993</v>
      </c>
      <c r="I164" s="136"/>
      <c r="J164" s="213"/>
      <c r="K164" s="217">
        <f t="shared" si="13"/>
        <v>0</v>
      </c>
      <c r="L164" s="218">
        <f t="shared" si="14"/>
        <v>0</v>
      </c>
    </row>
    <row r="165" spans="1:12" x14ac:dyDescent="0.2">
      <c r="A165" s="124"/>
      <c r="B165" s="211"/>
      <c r="C165" s="225" t="s">
        <v>453</v>
      </c>
      <c r="D165" s="133">
        <v>1</v>
      </c>
      <c r="E165" s="135">
        <f>3.8-0.6*2</f>
        <v>2.5999999999999996</v>
      </c>
      <c r="F165" s="135">
        <v>0.25</v>
      </c>
      <c r="G165" s="135">
        <f>3-0.6</f>
        <v>2.4</v>
      </c>
      <c r="H165" s="212">
        <f>G165*F165*E165*D165</f>
        <v>1.5599999999999998</v>
      </c>
      <c r="I165" s="136"/>
      <c r="J165" s="213"/>
      <c r="K165" s="217">
        <f t="shared" si="13"/>
        <v>0</v>
      </c>
      <c r="L165" s="218">
        <f t="shared" si="14"/>
        <v>0</v>
      </c>
    </row>
    <row r="166" spans="1:12" x14ac:dyDescent="0.2">
      <c r="A166" s="124"/>
      <c r="B166" s="211"/>
      <c r="C166" s="225" t="s">
        <v>454</v>
      </c>
      <c r="D166" s="133">
        <v>1</v>
      </c>
      <c r="E166" s="135">
        <f>8.85-0.6*3+0.3</f>
        <v>7.35</v>
      </c>
      <c r="F166" s="135">
        <v>0.25</v>
      </c>
      <c r="G166" s="135">
        <f>3-0.6</f>
        <v>2.4</v>
      </c>
      <c r="H166" s="212">
        <f>G166*F166*E166*D166</f>
        <v>4.4099999999999993</v>
      </c>
      <c r="I166" s="136"/>
      <c r="J166" s="213"/>
      <c r="K166" s="217">
        <f t="shared" si="13"/>
        <v>0</v>
      </c>
      <c r="L166" s="218">
        <f t="shared" si="14"/>
        <v>0</v>
      </c>
    </row>
    <row r="167" spans="1:12" x14ac:dyDescent="0.2">
      <c r="A167" s="124"/>
      <c r="B167" s="211"/>
      <c r="C167" s="326" t="s">
        <v>455</v>
      </c>
      <c r="D167" s="133"/>
      <c r="E167" s="224">
        <f>SUM(E162*D162+E163*D163+D164*E164+D165*E165+D166*E166)</f>
        <v>28.65</v>
      </c>
      <c r="F167" s="135"/>
      <c r="G167" s="135"/>
      <c r="H167" s="212"/>
      <c r="I167" s="136"/>
      <c r="J167" s="213"/>
      <c r="K167" s="217">
        <f t="shared" si="13"/>
        <v>0</v>
      </c>
      <c r="L167" s="218">
        <f t="shared" si="14"/>
        <v>0</v>
      </c>
    </row>
    <row r="168" spans="1:12" x14ac:dyDescent="0.2">
      <c r="A168" s="124"/>
      <c r="B168" s="211"/>
      <c r="C168" s="191" t="s">
        <v>271</v>
      </c>
      <c r="D168" s="133"/>
      <c r="E168" s="134"/>
      <c r="F168" s="134"/>
      <c r="G168" s="134"/>
      <c r="H168" s="212"/>
      <c r="I168" s="136"/>
      <c r="J168" s="236"/>
      <c r="K168" s="217">
        <f t="shared" si="13"/>
        <v>0</v>
      </c>
      <c r="L168" s="218">
        <f t="shared" si="14"/>
        <v>0</v>
      </c>
    </row>
    <row r="169" spans="1:12" x14ac:dyDescent="0.2">
      <c r="A169" s="124"/>
      <c r="B169" s="211"/>
      <c r="C169" s="183" t="s">
        <v>418</v>
      </c>
      <c r="D169" s="133">
        <v>-4</v>
      </c>
      <c r="E169" s="135">
        <v>1.05</v>
      </c>
      <c r="F169" s="135">
        <v>0.25</v>
      </c>
      <c r="G169" s="135">
        <v>2.4</v>
      </c>
      <c r="H169" s="212">
        <f t="shared" ref="H169:H178" si="15">G169*F169*E169*D169</f>
        <v>-2.52</v>
      </c>
      <c r="I169" s="136"/>
      <c r="J169" s="236"/>
      <c r="K169" s="217">
        <f t="shared" si="13"/>
        <v>0</v>
      </c>
      <c r="L169" s="218">
        <f t="shared" si="14"/>
        <v>0</v>
      </c>
    </row>
    <row r="170" spans="1:12" x14ac:dyDescent="0.2">
      <c r="A170" s="124"/>
      <c r="B170" s="211"/>
      <c r="C170" s="183" t="s">
        <v>293</v>
      </c>
      <c r="D170" s="133">
        <v>0</v>
      </c>
      <c r="E170" s="135">
        <v>1</v>
      </c>
      <c r="F170" s="135">
        <v>0.25</v>
      </c>
      <c r="G170" s="135">
        <v>2.1</v>
      </c>
      <c r="H170" s="212">
        <f t="shared" si="15"/>
        <v>0</v>
      </c>
      <c r="I170" s="136"/>
      <c r="J170" s="236"/>
      <c r="K170" s="217">
        <f t="shared" si="13"/>
        <v>0</v>
      </c>
      <c r="L170" s="218">
        <f t="shared" si="14"/>
        <v>0</v>
      </c>
    </row>
    <row r="171" spans="1:12" x14ac:dyDescent="0.2">
      <c r="A171" s="124"/>
      <c r="B171" s="211"/>
      <c r="C171" s="183" t="s">
        <v>222</v>
      </c>
      <c r="D171" s="133">
        <v>0</v>
      </c>
      <c r="E171" s="135">
        <v>0.9</v>
      </c>
      <c r="F171" s="135">
        <v>0.25</v>
      </c>
      <c r="G171" s="135">
        <v>2.1</v>
      </c>
      <c r="H171" s="212">
        <f t="shared" si="15"/>
        <v>0</v>
      </c>
      <c r="I171" s="136"/>
      <c r="J171" s="236"/>
      <c r="K171" s="217">
        <f t="shared" si="13"/>
        <v>0</v>
      </c>
      <c r="L171" s="218">
        <f t="shared" si="14"/>
        <v>0</v>
      </c>
    </row>
    <row r="172" spans="1:12" x14ac:dyDescent="0.2">
      <c r="A172" s="124"/>
      <c r="B172" s="211"/>
      <c r="C172" s="220" t="s">
        <v>223</v>
      </c>
      <c r="D172" s="133">
        <v>0</v>
      </c>
      <c r="E172" s="135">
        <v>0.75</v>
      </c>
      <c r="F172" s="135">
        <v>0.25</v>
      </c>
      <c r="G172" s="135">
        <v>2.1</v>
      </c>
      <c r="H172" s="212">
        <f t="shared" si="15"/>
        <v>0</v>
      </c>
      <c r="I172" s="136"/>
      <c r="J172" s="236"/>
      <c r="K172" s="217">
        <f t="shared" si="13"/>
        <v>0</v>
      </c>
      <c r="L172" s="218">
        <f t="shared" si="14"/>
        <v>0</v>
      </c>
    </row>
    <row r="173" spans="1:12" x14ac:dyDescent="0.2">
      <c r="A173" s="124"/>
      <c r="B173" s="211"/>
      <c r="C173" s="220" t="s">
        <v>419</v>
      </c>
      <c r="D173" s="133">
        <v>0</v>
      </c>
      <c r="E173" s="135">
        <v>0.9</v>
      </c>
      <c r="F173" s="135">
        <v>0.25</v>
      </c>
      <c r="G173" s="135">
        <v>2.4</v>
      </c>
      <c r="H173" s="212">
        <f t="shared" si="15"/>
        <v>0</v>
      </c>
      <c r="I173" s="136"/>
      <c r="J173" s="236"/>
      <c r="K173" s="217">
        <f t="shared" si="13"/>
        <v>0</v>
      </c>
      <c r="L173" s="218">
        <f t="shared" si="14"/>
        <v>0</v>
      </c>
    </row>
    <row r="174" spans="1:12" x14ac:dyDescent="0.2">
      <c r="A174" s="124"/>
      <c r="B174" s="211"/>
      <c r="C174" s="220" t="s">
        <v>456</v>
      </c>
      <c r="D174" s="133">
        <v>-8</v>
      </c>
      <c r="E174" s="135">
        <v>2.4</v>
      </c>
      <c r="F174" s="135">
        <v>0.25</v>
      </c>
      <c r="G174" s="135">
        <v>2.4</v>
      </c>
      <c r="H174" s="212">
        <f t="shared" si="15"/>
        <v>-11.52</v>
      </c>
      <c r="I174" s="136"/>
      <c r="J174" s="236"/>
      <c r="K174" s="217">
        <f t="shared" si="13"/>
        <v>0</v>
      </c>
      <c r="L174" s="218">
        <f t="shared" si="14"/>
        <v>0</v>
      </c>
    </row>
    <row r="175" spans="1:12" x14ac:dyDescent="0.2">
      <c r="A175" s="124"/>
      <c r="B175" s="211"/>
      <c r="C175" s="220" t="s">
        <v>457</v>
      </c>
      <c r="D175" s="133">
        <v>-4</v>
      </c>
      <c r="E175" s="135">
        <v>1.35</v>
      </c>
      <c r="F175" s="135">
        <v>0.25</v>
      </c>
      <c r="G175" s="135">
        <v>1.5</v>
      </c>
      <c r="H175" s="212">
        <f t="shared" si="15"/>
        <v>-2.0250000000000004</v>
      </c>
      <c r="I175" s="136"/>
      <c r="J175" s="236"/>
      <c r="K175" s="217">
        <f t="shared" si="13"/>
        <v>0</v>
      </c>
      <c r="L175" s="218">
        <f t="shared" si="14"/>
        <v>0</v>
      </c>
    </row>
    <row r="176" spans="1:12" x14ac:dyDescent="0.2">
      <c r="A176" s="124"/>
      <c r="B176" s="211"/>
      <c r="C176" s="220" t="s">
        <v>458</v>
      </c>
      <c r="D176" s="133">
        <v>-4</v>
      </c>
      <c r="E176" s="135">
        <v>1.05</v>
      </c>
      <c r="F176" s="135">
        <v>0.25</v>
      </c>
      <c r="G176" s="135">
        <v>1.35</v>
      </c>
      <c r="H176" s="212">
        <f t="shared" si="15"/>
        <v>-1.4175000000000002</v>
      </c>
      <c r="I176" s="136"/>
      <c r="J176" s="236"/>
      <c r="K176" s="217">
        <f t="shared" si="13"/>
        <v>0</v>
      </c>
      <c r="L176" s="218">
        <f t="shared" si="14"/>
        <v>0</v>
      </c>
    </row>
    <row r="177" spans="1:12" x14ac:dyDescent="0.2">
      <c r="A177" s="124"/>
      <c r="B177" s="211"/>
      <c r="C177" s="220" t="s">
        <v>260</v>
      </c>
      <c r="D177" s="133">
        <v>-2</v>
      </c>
      <c r="E177" s="135">
        <v>1.2</v>
      </c>
      <c r="F177" s="135">
        <v>0.25</v>
      </c>
      <c r="G177" s="135">
        <v>1.2</v>
      </c>
      <c r="H177" s="212">
        <f>G177*F177*E177*D177</f>
        <v>-0.72</v>
      </c>
      <c r="I177" s="136"/>
      <c r="J177" s="236"/>
      <c r="K177" s="217">
        <f t="shared" si="13"/>
        <v>0</v>
      </c>
      <c r="L177" s="218">
        <f t="shared" si="14"/>
        <v>0</v>
      </c>
    </row>
    <row r="178" spans="1:12" x14ac:dyDescent="0.2">
      <c r="A178" s="124"/>
      <c r="B178" s="211"/>
      <c r="C178" s="220" t="s">
        <v>273</v>
      </c>
      <c r="D178" s="133">
        <v>-8</v>
      </c>
      <c r="E178" s="135">
        <v>0.6</v>
      </c>
      <c r="F178" s="135">
        <v>0.25</v>
      </c>
      <c r="G178" s="135">
        <v>0.9</v>
      </c>
      <c r="H178" s="212">
        <f t="shared" si="15"/>
        <v>-1.08</v>
      </c>
      <c r="I178" s="136"/>
      <c r="J178" s="236"/>
      <c r="K178" s="217">
        <f t="shared" si="13"/>
        <v>0</v>
      </c>
      <c r="L178" s="218">
        <f t="shared" si="14"/>
        <v>0</v>
      </c>
    </row>
    <row r="179" spans="1:12" x14ac:dyDescent="0.2">
      <c r="A179" s="139"/>
      <c r="B179" s="215"/>
      <c r="C179" s="221" t="s">
        <v>117</v>
      </c>
      <c r="D179" s="142"/>
      <c r="E179" s="145"/>
      <c r="F179" s="145"/>
      <c r="G179" s="145"/>
      <c r="H179" s="216">
        <v>57</v>
      </c>
      <c r="I179" s="141" t="s">
        <v>118</v>
      </c>
      <c r="J179" s="217">
        <v>9105.9500000000007</v>
      </c>
      <c r="K179" s="217">
        <f t="shared" si="13"/>
        <v>7716.9067796610179</v>
      </c>
      <c r="L179" s="218">
        <f t="shared" si="14"/>
        <v>439863.68644067802</v>
      </c>
    </row>
    <row r="180" spans="1:12" ht="38.25" x14ac:dyDescent="0.2">
      <c r="A180" s="116">
        <v>6</v>
      </c>
      <c r="B180" s="117">
        <v>6.13</v>
      </c>
      <c r="C180" s="251" t="s">
        <v>274</v>
      </c>
      <c r="D180" s="119"/>
      <c r="E180" s="121"/>
      <c r="F180" s="121"/>
      <c r="G180" s="121"/>
      <c r="H180" s="263"/>
      <c r="I180" s="122"/>
      <c r="J180" s="209"/>
      <c r="K180" s="217">
        <f t="shared" si="13"/>
        <v>0</v>
      </c>
      <c r="L180" s="218">
        <f t="shared" si="14"/>
        <v>0</v>
      </c>
    </row>
    <row r="181" spans="1:12" ht="27" customHeight="1" x14ac:dyDescent="0.2">
      <c r="A181" s="124"/>
      <c r="B181" s="125" t="s">
        <v>275</v>
      </c>
      <c r="C181" s="257" t="s">
        <v>276</v>
      </c>
      <c r="D181" s="127"/>
      <c r="E181" s="129"/>
      <c r="F181" s="129"/>
      <c r="G181" s="129"/>
      <c r="H181" s="264"/>
      <c r="I181" s="130"/>
      <c r="J181" s="240"/>
      <c r="K181" s="217">
        <f t="shared" si="13"/>
        <v>0</v>
      </c>
      <c r="L181" s="218">
        <f t="shared" si="14"/>
        <v>0</v>
      </c>
    </row>
    <row r="182" spans="1:12" x14ac:dyDescent="0.2">
      <c r="A182" s="124"/>
      <c r="B182" s="211"/>
      <c r="C182" s="187" t="s">
        <v>277</v>
      </c>
      <c r="D182" s="180"/>
      <c r="E182" s="135"/>
      <c r="F182" s="135"/>
      <c r="G182" s="135"/>
      <c r="H182" s="212"/>
      <c r="I182" s="136"/>
      <c r="J182" s="213"/>
      <c r="K182" s="217">
        <f t="shared" si="13"/>
        <v>0</v>
      </c>
      <c r="L182" s="218">
        <f t="shared" si="14"/>
        <v>0</v>
      </c>
    </row>
    <row r="183" spans="1:12" x14ac:dyDescent="0.2">
      <c r="A183" s="124"/>
      <c r="B183" s="211"/>
      <c r="C183" s="225" t="s">
        <v>459</v>
      </c>
      <c r="D183" s="133">
        <v>1</v>
      </c>
      <c r="E183" s="135">
        <v>3.6</v>
      </c>
      <c r="F183" s="135"/>
      <c r="G183" s="135">
        <f t="shared" ref="G183:G201" si="16">3-0.6</f>
        <v>2.4</v>
      </c>
      <c r="H183" s="212">
        <f t="shared" ref="H183:H201" si="17">D183*E183*G183</f>
        <v>8.64</v>
      </c>
      <c r="I183" s="136"/>
      <c r="J183" s="213"/>
      <c r="K183" s="217">
        <f t="shared" si="13"/>
        <v>0</v>
      </c>
      <c r="L183" s="218">
        <f t="shared" si="14"/>
        <v>0</v>
      </c>
    </row>
    <row r="184" spans="1:12" x14ac:dyDescent="0.2">
      <c r="A184" s="124"/>
      <c r="B184" s="211"/>
      <c r="C184" s="225" t="s">
        <v>460</v>
      </c>
      <c r="D184" s="133">
        <v>4</v>
      </c>
      <c r="E184" s="135">
        <v>1.6</v>
      </c>
      <c r="F184" s="135"/>
      <c r="G184" s="135">
        <f t="shared" si="16"/>
        <v>2.4</v>
      </c>
      <c r="H184" s="212">
        <f t="shared" si="17"/>
        <v>15.36</v>
      </c>
      <c r="I184" s="136"/>
      <c r="J184" s="213"/>
      <c r="K184" s="217">
        <f t="shared" si="13"/>
        <v>0</v>
      </c>
      <c r="L184" s="218">
        <f t="shared" si="14"/>
        <v>0</v>
      </c>
    </row>
    <row r="185" spans="1:12" x14ac:dyDescent="0.2">
      <c r="A185" s="124"/>
      <c r="B185" s="211"/>
      <c r="C185" s="225" t="s">
        <v>461</v>
      </c>
      <c r="D185" s="133">
        <v>2</v>
      </c>
      <c r="E185" s="135">
        <v>3.6</v>
      </c>
      <c r="F185" s="135"/>
      <c r="G185" s="135">
        <f t="shared" si="16"/>
        <v>2.4</v>
      </c>
      <c r="H185" s="212">
        <f t="shared" si="17"/>
        <v>17.28</v>
      </c>
      <c r="I185" s="136"/>
      <c r="J185" s="213"/>
      <c r="K185" s="217">
        <f t="shared" si="13"/>
        <v>0</v>
      </c>
      <c r="L185" s="218">
        <f t="shared" si="14"/>
        <v>0</v>
      </c>
    </row>
    <row r="186" spans="1:12" x14ac:dyDescent="0.2">
      <c r="A186" s="124"/>
      <c r="B186" s="211"/>
      <c r="C186" s="225" t="s">
        <v>462</v>
      </c>
      <c r="D186" s="133">
        <v>1</v>
      </c>
      <c r="E186" s="135">
        <f>3.85-0.3</f>
        <v>3.5500000000000003</v>
      </c>
      <c r="F186" s="135"/>
      <c r="G186" s="135">
        <f t="shared" si="16"/>
        <v>2.4</v>
      </c>
      <c r="H186" s="212">
        <f t="shared" si="17"/>
        <v>8.52</v>
      </c>
      <c r="I186" s="136"/>
      <c r="J186" s="213"/>
      <c r="K186" s="217">
        <f t="shared" si="13"/>
        <v>0</v>
      </c>
      <c r="L186" s="218">
        <f t="shared" si="14"/>
        <v>0</v>
      </c>
    </row>
    <row r="187" spans="1:12" x14ac:dyDescent="0.2">
      <c r="A187" s="124"/>
      <c r="B187" s="211"/>
      <c r="C187" s="225" t="s">
        <v>153</v>
      </c>
      <c r="D187" s="133">
        <v>1</v>
      </c>
      <c r="E187" s="135">
        <f>7.2-0.6*2+0.3</f>
        <v>6.3</v>
      </c>
      <c r="F187" s="135"/>
      <c r="G187" s="135">
        <f t="shared" si="16"/>
        <v>2.4</v>
      </c>
      <c r="H187" s="212">
        <f t="shared" si="17"/>
        <v>15.12</v>
      </c>
      <c r="I187" s="136"/>
      <c r="J187" s="213"/>
      <c r="K187" s="217">
        <f t="shared" si="13"/>
        <v>0</v>
      </c>
      <c r="L187" s="218">
        <f t="shared" si="14"/>
        <v>0</v>
      </c>
    </row>
    <row r="188" spans="1:12" x14ac:dyDescent="0.2">
      <c r="A188" s="124"/>
      <c r="B188" s="211"/>
      <c r="C188" s="225" t="s">
        <v>463</v>
      </c>
      <c r="D188" s="133">
        <v>1</v>
      </c>
      <c r="E188" s="135">
        <f>7.2-0.6*2+0.3</f>
        <v>6.3</v>
      </c>
      <c r="F188" s="135"/>
      <c r="G188" s="135">
        <f t="shared" si="16"/>
        <v>2.4</v>
      </c>
      <c r="H188" s="212">
        <f t="shared" si="17"/>
        <v>15.12</v>
      </c>
      <c r="I188" s="136"/>
      <c r="J188" s="213"/>
      <c r="K188" s="217">
        <f t="shared" si="13"/>
        <v>0</v>
      </c>
      <c r="L188" s="218">
        <f t="shared" si="14"/>
        <v>0</v>
      </c>
    </row>
    <row r="189" spans="1:12" x14ac:dyDescent="0.2">
      <c r="A189" s="124"/>
      <c r="B189" s="211"/>
      <c r="C189" s="225" t="s">
        <v>464</v>
      </c>
      <c r="D189" s="133">
        <v>1</v>
      </c>
      <c r="E189" s="135">
        <v>1.625</v>
      </c>
      <c r="F189" s="135"/>
      <c r="G189" s="135">
        <f t="shared" si="16"/>
        <v>2.4</v>
      </c>
      <c r="H189" s="212">
        <f t="shared" si="17"/>
        <v>3.9</v>
      </c>
      <c r="I189" s="136"/>
      <c r="J189" s="213"/>
      <c r="K189" s="217">
        <f t="shared" si="13"/>
        <v>0</v>
      </c>
      <c r="L189" s="218">
        <f t="shared" si="14"/>
        <v>0</v>
      </c>
    </row>
    <row r="190" spans="1:12" x14ac:dyDescent="0.2">
      <c r="A190" s="124"/>
      <c r="B190" s="211"/>
      <c r="C190" s="225" t="s">
        <v>226</v>
      </c>
      <c r="D190" s="133">
        <v>4</v>
      </c>
      <c r="E190" s="135">
        <v>3.3</v>
      </c>
      <c r="F190" s="135"/>
      <c r="G190" s="135">
        <f t="shared" si="16"/>
        <v>2.4</v>
      </c>
      <c r="H190" s="212">
        <f t="shared" si="17"/>
        <v>31.679999999999996</v>
      </c>
      <c r="I190" s="136"/>
      <c r="J190" s="213"/>
      <c r="K190" s="217">
        <f t="shared" si="13"/>
        <v>0</v>
      </c>
      <c r="L190" s="218">
        <f t="shared" si="14"/>
        <v>0</v>
      </c>
    </row>
    <row r="191" spans="1:12" x14ac:dyDescent="0.2">
      <c r="A191" s="124"/>
      <c r="B191" s="211"/>
      <c r="C191" s="225" t="s">
        <v>465</v>
      </c>
      <c r="D191" s="133">
        <v>2</v>
      </c>
      <c r="E191" s="135">
        <f>3.57-0.6*2</f>
        <v>2.37</v>
      </c>
      <c r="F191" s="135"/>
      <c r="G191" s="135">
        <f t="shared" si="16"/>
        <v>2.4</v>
      </c>
      <c r="H191" s="212">
        <f t="shared" si="17"/>
        <v>11.375999999999999</v>
      </c>
      <c r="I191" s="136"/>
      <c r="J191" s="213"/>
      <c r="K191" s="217">
        <f t="shared" si="13"/>
        <v>0</v>
      </c>
      <c r="L191" s="218">
        <f t="shared" si="14"/>
        <v>0</v>
      </c>
    </row>
    <row r="192" spans="1:12" x14ac:dyDescent="0.2">
      <c r="A192" s="124"/>
      <c r="B192" s="211"/>
      <c r="C192" s="225" t="s">
        <v>466</v>
      </c>
      <c r="D192" s="133">
        <v>1</v>
      </c>
      <c r="E192" s="135">
        <v>3.6</v>
      </c>
      <c r="F192" s="135"/>
      <c r="G192" s="135">
        <f t="shared" si="16"/>
        <v>2.4</v>
      </c>
      <c r="H192" s="212">
        <f t="shared" si="17"/>
        <v>8.64</v>
      </c>
      <c r="I192" s="136"/>
      <c r="J192" s="213"/>
      <c r="K192" s="217">
        <f t="shared" si="13"/>
        <v>0</v>
      </c>
      <c r="L192" s="218">
        <f t="shared" si="14"/>
        <v>0</v>
      </c>
    </row>
    <row r="193" spans="1:12" x14ac:dyDescent="0.2">
      <c r="A193" s="124"/>
      <c r="B193" s="211"/>
      <c r="C193" s="225" t="s">
        <v>467</v>
      </c>
      <c r="D193" s="133">
        <v>1</v>
      </c>
      <c r="E193" s="135">
        <f>4.1-0.6</f>
        <v>3.4999999999999996</v>
      </c>
      <c r="F193" s="135"/>
      <c r="G193" s="135">
        <f t="shared" si="16"/>
        <v>2.4</v>
      </c>
      <c r="H193" s="212">
        <f t="shared" si="17"/>
        <v>8.3999999999999986</v>
      </c>
      <c r="I193" s="136"/>
      <c r="J193" s="213"/>
      <c r="K193" s="217">
        <f t="shared" si="13"/>
        <v>0</v>
      </c>
      <c r="L193" s="218">
        <f t="shared" si="14"/>
        <v>0</v>
      </c>
    </row>
    <row r="194" spans="1:12" x14ac:dyDescent="0.2">
      <c r="A194" s="124"/>
      <c r="B194" s="211"/>
      <c r="C194" s="225" t="s">
        <v>468</v>
      </c>
      <c r="D194" s="133">
        <v>1</v>
      </c>
      <c r="E194" s="135">
        <f>7.2-0.6*2+0.3</f>
        <v>6.3</v>
      </c>
      <c r="F194" s="135"/>
      <c r="G194" s="135">
        <f t="shared" si="16"/>
        <v>2.4</v>
      </c>
      <c r="H194" s="212">
        <f t="shared" si="17"/>
        <v>15.12</v>
      </c>
      <c r="I194" s="136"/>
      <c r="J194" s="213"/>
      <c r="K194" s="217">
        <f t="shared" si="13"/>
        <v>0</v>
      </c>
      <c r="L194" s="218">
        <f t="shared" si="14"/>
        <v>0</v>
      </c>
    </row>
    <row r="195" spans="1:12" x14ac:dyDescent="0.2">
      <c r="A195" s="124"/>
      <c r="B195" s="211"/>
      <c r="C195" s="225" t="s">
        <v>469</v>
      </c>
      <c r="D195" s="133">
        <v>1</v>
      </c>
      <c r="E195" s="135">
        <f>3.67-0.6*2</f>
        <v>2.4699999999999998</v>
      </c>
      <c r="F195" s="135"/>
      <c r="G195" s="135">
        <f t="shared" si="16"/>
        <v>2.4</v>
      </c>
      <c r="H195" s="212">
        <f t="shared" si="17"/>
        <v>5.927999999999999</v>
      </c>
      <c r="I195" s="136"/>
      <c r="J195" s="213"/>
      <c r="K195" s="217">
        <f t="shared" si="13"/>
        <v>0</v>
      </c>
      <c r="L195" s="218">
        <f t="shared" si="14"/>
        <v>0</v>
      </c>
    </row>
    <row r="196" spans="1:12" x14ac:dyDescent="0.2">
      <c r="A196" s="124"/>
      <c r="B196" s="211"/>
      <c r="C196" s="225" t="s">
        <v>470</v>
      </c>
      <c r="D196" s="133">
        <v>2</v>
      </c>
      <c r="E196" s="135">
        <f>3.575-0.6</f>
        <v>2.9750000000000001</v>
      </c>
      <c r="F196" s="135"/>
      <c r="G196" s="135">
        <f t="shared" si="16"/>
        <v>2.4</v>
      </c>
      <c r="H196" s="212">
        <f t="shared" si="17"/>
        <v>14.28</v>
      </c>
      <c r="I196" s="136"/>
      <c r="J196" s="213"/>
      <c r="K196" s="217">
        <f t="shared" si="13"/>
        <v>0</v>
      </c>
      <c r="L196" s="218">
        <f t="shared" si="14"/>
        <v>0</v>
      </c>
    </row>
    <row r="197" spans="1:12" x14ac:dyDescent="0.2">
      <c r="A197" s="124"/>
      <c r="B197" s="211"/>
      <c r="C197" s="225" t="s">
        <v>471</v>
      </c>
      <c r="D197" s="133">
        <v>1</v>
      </c>
      <c r="E197" s="135">
        <f>7.2-0.6*2+0.3</f>
        <v>6.3</v>
      </c>
      <c r="F197" s="135"/>
      <c r="G197" s="135">
        <f t="shared" si="16"/>
        <v>2.4</v>
      </c>
      <c r="H197" s="212">
        <f t="shared" si="17"/>
        <v>15.12</v>
      </c>
      <c r="I197" s="136"/>
      <c r="J197" s="213"/>
      <c r="K197" s="217">
        <f t="shared" si="13"/>
        <v>0</v>
      </c>
      <c r="L197" s="218">
        <f t="shared" si="14"/>
        <v>0</v>
      </c>
    </row>
    <row r="198" spans="1:12" x14ac:dyDescent="0.2">
      <c r="A198" s="124"/>
      <c r="B198" s="211"/>
      <c r="C198" s="225" t="s">
        <v>472</v>
      </c>
      <c r="D198" s="133">
        <v>1</v>
      </c>
      <c r="E198" s="135">
        <f>4.1-0.6</f>
        <v>3.4999999999999996</v>
      </c>
      <c r="F198" s="135"/>
      <c r="G198" s="135">
        <f t="shared" si="16"/>
        <v>2.4</v>
      </c>
      <c r="H198" s="212">
        <f t="shared" si="17"/>
        <v>8.3999999999999986</v>
      </c>
      <c r="I198" s="136"/>
      <c r="J198" s="213"/>
      <c r="K198" s="217">
        <f t="shared" si="13"/>
        <v>0</v>
      </c>
      <c r="L198" s="218">
        <f t="shared" si="14"/>
        <v>0</v>
      </c>
    </row>
    <row r="199" spans="1:12" x14ac:dyDescent="0.2">
      <c r="A199" s="124"/>
      <c r="B199" s="211"/>
      <c r="C199" s="225" t="s">
        <v>473</v>
      </c>
      <c r="D199" s="133">
        <v>1</v>
      </c>
      <c r="E199" s="135">
        <v>1.625</v>
      </c>
      <c r="F199" s="135"/>
      <c r="G199" s="135">
        <f t="shared" si="16"/>
        <v>2.4</v>
      </c>
      <c r="H199" s="212">
        <f t="shared" si="17"/>
        <v>3.9</v>
      </c>
      <c r="I199" s="136"/>
      <c r="J199" s="213"/>
      <c r="K199" s="217">
        <f t="shared" si="13"/>
        <v>0</v>
      </c>
      <c r="L199" s="218">
        <f t="shared" si="14"/>
        <v>0</v>
      </c>
    </row>
    <row r="200" spans="1:12" x14ac:dyDescent="0.2">
      <c r="A200" s="124"/>
      <c r="B200" s="211"/>
      <c r="C200" s="225" t="s">
        <v>474</v>
      </c>
      <c r="D200" s="133">
        <v>2</v>
      </c>
      <c r="E200" s="135">
        <f>3.575-0.6</f>
        <v>2.9750000000000001</v>
      </c>
      <c r="F200" s="135"/>
      <c r="G200" s="135">
        <f t="shared" si="16"/>
        <v>2.4</v>
      </c>
      <c r="H200" s="212">
        <f t="shared" si="17"/>
        <v>14.28</v>
      </c>
      <c r="I200" s="136"/>
      <c r="J200" s="213"/>
      <c r="K200" s="217">
        <f t="shared" si="13"/>
        <v>0</v>
      </c>
      <c r="L200" s="218">
        <f t="shared" si="14"/>
        <v>0</v>
      </c>
    </row>
    <row r="201" spans="1:12" x14ac:dyDescent="0.2">
      <c r="A201" s="124"/>
      <c r="B201" s="211"/>
      <c r="C201" s="225" t="s">
        <v>475</v>
      </c>
      <c r="D201" s="133">
        <f>3.675-0.6*2</f>
        <v>2.4749999999999996</v>
      </c>
      <c r="E201" s="135">
        <f>3.575-0.6</f>
        <v>2.9750000000000001</v>
      </c>
      <c r="F201" s="135"/>
      <c r="G201" s="135">
        <f t="shared" si="16"/>
        <v>2.4</v>
      </c>
      <c r="H201" s="212">
        <f t="shared" si="17"/>
        <v>17.671499999999998</v>
      </c>
      <c r="I201" s="136"/>
      <c r="J201" s="213"/>
      <c r="K201" s="217">
        <f t="shared" si="13"/>
        <v>0</v>
      </c>
      <c r="L201" s="218">
        <f t="shared" si="14"/>
        <v>0</v>
      </c>
    </row>
    <row r="202" spans="1:12" x14ac:dyDescent="0.2">
      <c r="A202" s="124"/>
      <c r="B202" s="211"/>
      <c r="C202" s="225" t="s">
        <v>476</v>
      </c>
      <c r="D202" s="133"/>
      <c r="E202" s="190">
        <f>SUM(E183*D183+E185*D185+E186*D186+E187*D187+D188*E188+D189*E189+D190*E190+D191*E191+D192*E192+D193*E193+D194*E194+D195*E195+D196*E196+D197*E197+D198*E198+D199*E199+D200*E200+D201*E201)</f>
        <v>93.073125000000005</v>
      </c>
      <c r="F202" s="135"/>
      <c r="G202" s="135"/>
      <c r="H202" s="212"/>
      <c r="I202" s="136"/>
      <c r="J202" s="213"/>
      <c r="K202" s="217">
        <f t="shared" ref="K202:K265" si="18">J202*100/118</f>
        <v>0</v>
      </c>
      <c r="L202" s="218">
        <f t="shared" ref="L202:L265" si="19">K202*H202</f>
        <v>0</v>
      </c>
    </row>
    <row r="203" spans="1:12" x14ac:dyDescent="0.2">
      <c r="A203" s="124"/>
      <c r="B203" s="211"/>
      <c r="C203" s="262" t="s">
        <v>477</v>
      </c>
      <c r="D203" s="133"/>
      <c r="E203" s="135"/>
      <c r="F203" s="135"/>
      <c r="G203" s="135"/>
      <c r="H203" s="212"/>
      <c r="I203" s="136"/>
      <c r="J203" s="213"/>
      <c r="K203" s="217">
        <f t="shared" si="18"/>
        <v>0</v>
      </c>
      <c r="L203" s="218">
        <f t="shared" si="19"/>
        <v>0</v>
      </c>
    </row>
    <row r="204" spans="1:12" x14ac:dyDescent="0.2">
      <c r="A204" s="124"/>
      <c r="B204" s="211"/>
      <c r="C204" s="225" t="s">
        <v>478</v>
      </c>
      <c r="D204" s="133">
        <v>1</v>
      </c>
      <c r="E204" s="135">
        <v>3.6</v>
      </c>
      <c r="F204" s="135"/>
      <c r="G204" s="135">
        <f>3-0.6</f>
        <v>2.4</v>
      </c>
      <c r="H204" s="212">
        <f t="shared" ref="H204:H209" si="20">D204*E204*G204</f>
        <v>8.64</v>
      </c>
      <c r="I204" s="136"/>
      <c r="J204" s="213"/>
      <c r="K204" s="217">
        <f t="shared" si="18"/>
        <v>0</v>
      </c>
      <c r="L204" s="218">
        <f t="shared" si="19"/>
        <v>0</v>
      </c>
    </row>
    <row r="205" spans="1:12" x14ac:dyDescent="0.2">
      <c r="A205" s="124"/>
      <c r="B205" s="211"/>
      <c r="C205" s="225" t="s">
        <v>479</v>
      </c>
      <c r="D205" s="133">
        <v>1</v>
      </c>
      <c r="E205" s="135">
        <v>3.6</v>
      </c>
      <c r="F205" s="135"/>
      <c r="G205" s="135">
        <f>3-0.6</f>
        <v>2.4</v>
      </c>
      <c r="H205" s="212">
        <f t="shared" si="20"/>
        <v>8.64</v>
      </c>
      <c r="I205" s="136"/>
      <c r="J205" s="213"/>
      <c r="K205" s="217">
        <f t="shared" si="18"/>
        <v>0</v>
      </c>
      <c r="L205" s="218">
        <f t="shared" si="19"/>
        <v>0</v>
      </c>
    </row>
    <row r="206" spans="1:12" x14ac:dyDescent="0.2">
      <c r="A206" s="124"/>
      <c r="B206" s="211"/>
      <c r="C206" s="225" t="s">
        <v>480</v>
      </c>
      <c r="D206" s="133">
        <v>1</v>
      </c>
      <c r="E206" s="135">
        <v>3.6</v>
      </c>
      <c r="F206" s="135"/>
      <c r="G206" s="135">
        <f>3-0.6</f>
        <v>2.4</v>
      </c>
      <c r="H206" s="212">
        <f t="shared" si="20"/>
        <v>8.64</v>
      </c>
      <c r="I206" s="136"/>
      <c r="J206" s="213"/>
      <c r="K206" s="217">
        <f t="shared" si="18"/>
        <v>0</v>
      </c>
      <c r="L206" s="218">
        <f t="shared" si="19"/>
        <v>0</v>
      </c>
    </row>
    <row r="207" spans="1:12" x14ac:dyDescent="0.2">
      <c r="A207" s="124"/>
      <c r="B207" s="211"/>
      <c r="C207" s="225" t="s">
        <v>481</v>
      </c>
      <c r="D207" s="133">
        <v>1</v>
      </c>
      <c r="E207" s="135">
        <v>3.6</v>
      </c>
      <c r="F207" s="135"/>
      <c r="G207" s="135">
        <f>3-0.6</f>
        <v>2.4</v>
      </c>
      <c r="H207" s="212">
        <f t="shared" si="20"/>
        <v>8.64</v>
      </c>
      <c r="I207" s="136"/>
      <c r="J207" s="213"/>
      <c r="K207" s="217">
        <f t="shared" si="18"/>
        <v>0</v>
      </c>
      <c r="L207" s="218">
        <f t="shared" si="19"/>
        <v>0</v>
      </c>
    </row>
    <row r="208" spans="1:12" x14ac:dyDescent="0.2">
      <c r="A208" s="124"/>
      <c r="B208" s="211"/>
      <c r="C208" s="225" t="s">
        <v>482</v>
      </c>
      <c r="D208" s="133">
        <v>8</v>
      </c>
      <c r="E208" s="135">
        <f>1.5*2+3.3</f>
        <v>6.3</v>
      </c>
      <c r="F208" s="135"/>
      <c r="G208" s="135">
        <v>0.6</v>
      </c>
      <c r="H208" s="212">
        <f t="shared" si="20"/>
        <v>30.24</v>
      </c>
      <c r="I208" s="136"/>
      <c r="J208" s="213"/>
      <c r="K208" s="217">
        <f t="shared" si="18"/>
        <v>0</v>
      </c>
      <c r="L208" s="218">
        <f t="shared" si="19"/>
        <v>0</v>
      </c>
    </row>
    <row r="209" spans="1:12" x14ac:dyDescent="0.2">
      <c r="A209" s="124"/>
      <c r="B209" s="211"/>
      <c r="C209" s="225" t="s">
        <v>482</v>
      </c>
      <c r="D209" s="133">
        <v>4</v>
      </c>
      <c r="E209" s="135">
        <v>3.3</v>
      </c>
      <c r="F209" s="135"/>
      <c r="G209" s="135">
        <v>0.6</v>
      </c>
      <c r="H209" s="212">
        <f t="shared" si="20"/>
        <v>7.919999999999999</v>
      </c>
      <c r="I209" s="136"/>
      <c r="J209" s="213"/>
      <c r="K209" s="217">
        <f t="shared" si="18"/>
        <v>0</v>
      </c>
      <c r="L209" s="218">
        <f t="shared" si="19"/>
        <v>0</v>
      </c>
    </row>
    <row r="210" spans="1:12" x14ac:dyDescent="0.2">
      <c r="A210" s="124"/>
      <c r="B210" s="211"/>
      <c r="C210" s="225" t="s">
        <v>483</v>
      </c>
      <c r="D210" s="180"/>
      <c r="E210" s="190">
        <f>SUM(D204*E204+D205*E205+D206*E206+D207*E207+D208*E208+D209*E209)</f>
        <v>78</v>
      </c>
      <c r="F210" s="135"/>
      <c r="G210" s="135"/>
      <c r="H210" s="212"/>
      <c r="I210" s="136"/>
      <c r="J210" s="213"/>
      <c r="K210" s="217">
        <f t="shared" si="18"/>
        <v>0</v>
      </c>
      <c r="L210" s="218">
        <f t="shared" si="19"/>
        <v>0</v>
      </c>
    </row>
    <row r="211" spans="1:12" x14ac:dyDescent="0.2">
      <c r="A211" s="124"/>
      <c r="B211" s="211"/>
      <c r="C211" s="225"/>
      <c r="D211" s="133"/>
      <c r="E211" s="135"/>
      <c r="F211" s="135"/>
      <c r="G211" s="135"/>
      <c r="H211" s="212"/>
      <c r="I211" s="136"/>
      <c r="J211" s="213"/>
      <c r="K211" s="217">
        <f t="shared" si="18"/>
        <v>0</v>
      </c>
      <c r="L211" s="218">
        <f t="shared" si="19"/>
        <v>0</v>
      </c>
    </row>
    <row r="212" spans="1:12" x14ac:dyDescent="0.2">
      <c r="A212" s="124"/>
      <c r="B212" s="211"/>
      <c r="C212" s="191" t="s">
        <v>271</v>
      </c>
      <c r="D212" s="133"/>
      <c r="E212" s="135"/>
      <c r="F212" s="135"/>
      <c r="G212" s="135"/>
      <c r="H212" s="212"/>
      <c r="I212" s="136"/>
      <c r="J212" s="213"/>
      <c r="K212" s="217">
        <f t="shared" si="18"/>
        <v>0</v>
      </c>
      <c r="L212" s="218">
        <f t="shared" si="19"/>
        <v>0</v>
      </c>
    </row>
    <row r="213" spans="1:12" x14ac:dyDescent="0.2">
      <c r="A213" s="124"/>
      <c r="B213" s="211"/>
      <c r="C213" s="183" t="s">
        <v>418</v>
      </c>
      <c r="D213" s="133">
        <v>0</v>
      </c>
      <c r="E213" s="135">
        <v>1.05</v>
      </c>
      <c r="F213" s="135">
        <v>0.125</v>
      </c>
      <c r="G213" s="135">
        <v>2.4</v>
      </c>
      <c r="H213" s="212">
        <f t="shared" ref="H213:H223" si="21">G213*F213*E213*D213</f>
        <v>0</v>
      </c>
      <c r="I213" s="136"/>
      <c r="J213" s="236"/>
      <c r="K213" s="217">
        <f t="shared" si="18"/>
        <v>0</v>
      </c>
      <c r="L213" s="218">
        <f t="shared" si="19"/>
        <v>0</v>
      </c>
    </row>
    <row r="214" spans="1:12" x14ac:dyDescent="0.2">
      <c r="A214" s="124"/>
      <c r="B214" s="211"/>
      <c r="C214" s="183" t="s">
        <v>293</v>
      </c>
      <c r="D214" s="133">
        <v>-8</v>
      </c>
      <c r="E214" s="135">
        <v>1</v>
      </c>
      <c r="F214" s="135">
        <v>0.125</v>
      </c>
      <c r="G214" s="135">
        <v>2.1</v>
      </c>
      <c r="H214" s="212">
        <f t="shared" si="21"/>
        <v>-2.1</v>
      </c>
      <c r="I214" s="136"/>
      <c r="J214" s="236"/>
      <c r="K214" s="217">
        <f t="shared" si="18"/>
        <v>0</v>
      </c>
      <c r="L214" s="218">
        <f t="shared" si="19"/>
        <v>0</v>
      </c>
    </row>
    <row r="215" spans="1:12" x14ac:dyDescent="0.2">
      <c r="A215" s="124"/>
      <c r="B215" s="211"/>
      <c r="C215" s="183" t="s">
        <v>222</v>
      </c>
      <c r="D215" s="133">
        <v>-4</v>
      </c>
      <c r="E215" s="135">
        <v>0.9</v>
      </c>
      <c r="F215" s="135">
        <v>0.125</v>
      </c>
      <c r="G215" s="135">
        <v>2.1</v>
      </c>
      <c r="H215" s="212">
        <f t="shared" si="21"/>
        <v>-0.94500000000000006</v>
      </c>
      <c r="I215" s="136"/>
      <c r="J215" s="236"/>
      <c r="K215" s="217">
        <f t="shared" si="18"/>
        <v>0</v>
      </c>
      <c r="L215" s="218">
        <f t="shared" si="19"/>
        <v>0</v>
      </c>
    </row>
    <row r="216" spans="1:12" x14ac:dyDescent="0.2">
      <c r="A216" s="124"/>
      <c r="B216" s="211"/>
      <c r="C216" s="220" t="s">
        <v>223</v>
      </c>
      <c r="D216" s="133">
        <v>-8</v>
      </c>
      <c r="E216" s="135">
        <v>0.75</v>
      </c>
      <c r="F216" s="135">
        <v>0.125</v>
      </c>
      <c r="G216" s="135">
        <v>2.1</v>
      </c>
      <c r="H216" s="212">
        <f t="shared" si="21"/>
        <v>-1.5750000000000002</v>
      </c>
      <c r="I216" s="136"/>
      <c r="J216" s="236"/>
      <c r="K216" s="217">
        <f t="shared" si="18"/>
        <v>0</v>
      </c>
      <c r="L216" s="218">
        <f t="shared" si="19"/>
        <v>0</v>
      </c>
    </row>
    <row r="217" spans="1:12" x14ac:dyDescent="0.2">
      <c r="A217" s="124"/>
      <c r="B217" s="211"/>
      <c r="C217" s="220" t="s">
        <v>419</v>
      </c>
      <c r="D217" s="133">
        <v>-4</v>
      </c>
      <c r="E217" s="135">
        <v>0.9</v>
      </c>
      <c r="F217" s="135">
        <v>0.125</v>
      </c>
      <c r="G217" s="135">
        <v>2.4</v>
      </c>
      <c r="H217" s="212">
        <f t="shared" si="21"/>
        <v>-1.08</v>
      </c>
      <c r="I217" s="136"/>
      <c r="J217" s="236"/>
      <c r="K217" s="217">
        <f t="shared" si="18"/>
        <v>0</v>
      </c>
      <c r="L217" s="218">
        <f t="shared" si="19"/>
        <v>0</v>
      </c>
    </row>
    <row r="218" spans="1:12" x14ac:dyDescent="0.2">
      <c r="A218" s="124"/>
      <c r="B218" s="211"/>
      <c r="C218" s="220" t="s">
        <v>456</v>
      </c>
      <c r="D218" s="133">
        <v>0</v>
      </c>
      <c r="E218" s="135">
        <v>2.4</v>
      </c>
      <c r="F218" s="135">
        <v>0.125</v>
      </c>
      <c r="G218" s="135">
        <v>2.4</v>
      </c>
      <c r="H218" s="212">
        <f t="shared" si="21"/>
        <v>0</v>
      </c>
      <c r="I218" s="136"/>
      <c r="J218" s="236"/>
      <c r="K218" s="217">
        <f t="shared" si="18"/>
        <v>0</v>
      </c>
      <c r="L218" s="218">
        <f t="shared" si="19"/>
        <v>0</v>
      </c>
    </row>
    <row r="219" spans="1:12" x14ac:dyDescent="0.2">
      <c r="A219" s="124"/>
      <c r="B219" s="211"/>
      <c r="C219" s="220" t="s">
        <v>484</v>
      </c>
      <c r="D219" s="133">
        <v>-4</v>
      </c>
      <c r="E219" s="135">
        <v>1.8</v>
      </c>
      <c r="F219" s="135">
        <v>0.125</v>
      </c>
      <c r="G219" s="135">
        <v>2.4</v>
      </c>
      <c r="H219" s="212">
        <f t="shared" si="21"/>
        <v>-2.16</v>
      </c>
      <c r="I219" s="136"/>
      <c r="J219" s="236"/>
      <c r="K219" s="217">
        <f t="shared" si="18"/>
        <v>0</v>
      </c>
      <c r="L219" s="218">
        <f t="shared" si="19"/>
        <v>0</v>
      </c>
    </row>
    <row r="220" spans="1:12" x14ac:dyDescent="0.2">
      <c r="A220" s="124"/>
      <c r="B220" s="211"/>
      <c r="C220" s="220" t="s">
        <v>457</v>
      </c>
      <c r="D220" s="133">
        <v>-4</v>
      </c>
      <c r="E220" s="135">
        <v>1.35</v>
      </c>
      <c r="F220" s="135">
        <v>0.125</v>
      </c>
      <c r="G220" s="135">
        <v>1.5</v>
      </c>
      <c r="H220" s="212">
        <f t="shared" si="21"/>
        <v>-1.0125000000000002</v>
      </c>
      <c r="I220" s="136"/>
      <c r="J220" s="236"/>
      <c r="K220" s="217">
        <f t="shared" si="18"/>
        <v>0</v>
      </c>
      <c r="L220" s="218">
        <f t="shared" si="19"/>
        <v>0</v>
      </c>
    </row>
    <row r="221" spans="1:12" x14ac:dyDescent="0.2">
      <c r="A221" s="124"/>
      <c r="B221" s="211"/>
      <c r="C221" s="220" t="s">
        <v>458</v>
      </c>
      <c r="D221" s="133">
        <v>0</v>
      </c>
      <c r="E221" s="135">
        <v>1.05</v>
      </c>
      <c r="F221" s="135">
        <v>0.125</v>
      </c>
      <c r="G221" s="135">
        <v>1.35</v>
      </c>
      <c r="H221" s="212">
        <f t="shared" si="21"/>
        <v>0</v>
      </c>
      <c r="I221" s="136"/>
      <c r="J221" s="236"/>
      <c r="K221" s="217">
        <f t="shared" si="18"/>
        <v>0</v>
      </c>
      <c r="L221" s="218">
        <f t="shared" si="19"/>
        <v>0</v>
      </c>
    </row>
    <row r="222" spans="1:12" x14ac:dyDescent="0.2">
      <c r="A222" s="124"/>
      <c r="B222" s="211"/>
      <c r="C222" s="220" t="s">
        <v>260</v>
      </c>
      <c r="D222" s="133">
        <v>0</v>
      </c>
      <c r="E222" s="135">
        <v>1.2</v>
      </c>
      <c r="F222" s="135">
        <v>0.125</v>
      </c>
      <c r="G222" s="135">
        <v>1.2</v>
      </c>
      <c r="H222" s="212">
        <f t="shared" si="21"/>
        <v>0</v>
      </c>
      <c r="I222" s="136"/>
      <c r="J222" s="236"/>
      <c r="K222" s="217">
        <f t="shared" si="18"/>
        <v>0</v>
      </c>
      <c r="L222" s="218">
        <f t="shared" si="19"/>
        <v>0</v>
      </c>
    </row>
    <row r="223" spans="1:12" x14ac:dyDescent="0.2">
      <c r="A223" s="124"/>
      <c r="B223" s="211"/>
      <c r="C223" s="220" t="s">
        <v>273</v>
      </c>
      <c r="D223" s="133">
        <v>0</v>
      </c>
      <c r="E223" s="135">
        <v>0.6</v>
      </c>
      <c r="F223" s="135">
        <v>0.125</v>
      </c>
      <c r="G223" s="135">
        <v>0.9</v>
      </c>
      <c r="H223" s="212">
        <f t="shared" si="21"/>
        <v>0</v>
      </c>
      <c r="I223" s="136"/>
      <c r="J223" s="236"/>
      <c r="K223" s="217">
        <f t="shared" si="18"/>
        <v>0</v>
      </c>
      <c r="L223" s="218">
        <f t="shared" si="19"/>
        <v>0</v>
      </c>
    </row>
    <row r="224" spans="1:12" x14ac:dyDescent="0.2">
      <c r="A224" s="139"/>
      <c r="B224" s="215"/>
      <c r="C224" s="221" t="s">
        <v>117</v>
      </c>
      <c r="D224" s="142"/>
      <c r="E224" s="145"/>
      <c r="F224" s="145"/>
      <c r="G224" s="145"/>
      <c r="H224" s="216">
        <v>250</v>
      </c>
      <c r="I224" s="141" t="s">
        <v>278</v>
      </c>
      <c r="J224" s="217">
        <v>1123.8</v>
      </c>
      <c r="K224" s="217">
        <f t="shared" si="18"/>
        <v>952.37288135593224</v>
      </c>
      <c r="L224" s="218">
        <f t="shared" si="19"/>
        <v>238093.22033898305</v>
      </c>
    </row>
    <row r="225" spans="1:12" x14ac:dyDescent="0.2">
      <c r="A225" s="116">
        <v>7</v>
      </c>
      <c r="B225" s="206">
        <v>13.16</v>
      </c>
      <c r="C225" s="265" t="s">
        <v>279</v>
      </c>
      <c r="D225" s="119"/>
      <c r="E225" s="121"/>
      <c r="F225" s="121"/>
      <c r="G225" s="121"/>
      <c r="H225" s="263"/>
      <c r="I225" s="122"/>
      <c r="J225" s="209"/>
      <c r="K225" s="217">
        <f t="shared" si="18"/>
        <v>0</v>
      </c>
      <c r="L225" s="218">
        <f t="shared" si="19"/>
        <v>0</v>
      </c>
    </row>
    <row r="226" spans="1:12" x14ac:dyDescent="0.2">
      <c r="A226" s="124"/>
      <c r="B226" s="211" t="s">
        <v>280</v>
      </c>
      <c r="C226" s="266" t="s">
        <v>281</v>
      </c>
      <c r="D226" s="127"/>
      <c r="E226" s="129"/>
      <c r="F226" s="129"/>
      <c r="G226" s="129"/>
      <c r="H226" s="239"/>
      <c r="I226" s="130"/>
      <c r="J226" s="240"/>
      <c r="K226" s="217">
        <f t="shared" si="18"/>
        <v>0</v>
      </c>
      <c r="L226" s="218">
        <f t="shared" si="19"/>
        <v>0</v>
      </c>
    </row>
    <row r="227" spans="1:12" x14ac:dyDescent="0.2">
      <c r="A227" s="124"/>
      <c r="B227" s="211"/>
      <c r="C227" s="225" t="s">
        <v>231</v>
      </c>
      <c r="D227" s="226">
        <v>4</v>
      </c>
      <c r="E227" s="227">
        <v>5.85</v>
      </c>
      <c r="F227" s="227">
        <v>8.85</v>
      </c>
      <c r="G227" s="227"/>
      <c r="H227" s="227">
        <f t="shared" ref="H227:H239" si="22">D227*E227*F227</f>
        <v>207.08999999999997</v>
      </c>
      <c r="I227" s="136"/>
      <c r="J227" s="213"/>
      <c r="K227" s="217">
        <f t="shared" si="18"/>
        <v>0</v>
      </c>
      <c r="L227" s="218">
        <f t="shared" si="19"/>
        <v>0</v>
      </c>
    </row>
    <row r="228" spans="1:12" x14ac:dyDescent="0.2">
      <c r="A228" s="124"/>
      <c r="B228" s="211"/>
      <c r="C228" s="225"/>
      <c r="D228" s="226">
        <v>4</v>
      </c>
      <c r="E228" s="227">
        <v>4.6500000000000004</v>
      </c>
      <c r="F228" s="227">
        <v>6.5750000000000002</v>
      </c>
      <c r="G228" s="227"/>
      <c r="H228" s="227">
        <f t="shared" si="22"/>
        <v>122.29500000000002</v>
      </c>
      <c r="I228" s="136"/>
      <c r="J228" s="213"/>
      <c r="K228" s="217">
        <f t="shared" si="18"/>
        <v>0</v>
      </c>
      <c r="L228" s="218">
        <f t="shared" si="19"/>
        <v>0</v>
      </c>
    </row>
    <row r="229" spans="1:12" x14ac:dyDescent="0.2">
      <c r="A229" s="124"/>
      <c r="B229" s="211"/>
      <c r="C229" s="225" t="s">
        <v>232</v>
      </c>
      <c r="D229" s="226">
        <v>1</v>
      </c>
      <c r="E229" s="950">
        <v>93.33</v>
      </c>
      <c r="F229" s="951"/>
      <c r="G229" s="227"/>
      <c r="H229" s="227">
        <f>D229*E229</f>
        <v>93.33</v>
      </c>
      <c r="I229" s="136"/>
      <c r="J229" s="213"/>
      <c r="K229" s="217">
        <f t="shared" si="18"/>
        <v>0</v>
      </c>
      <c r="L229" s="218">
        <f t="shared" si="19"/>
        <v>0</v>
      </c>
    </row>
    <row r="230" spans="1:12" x14ac:dyDescent="0.2">
      <c r="A230" s="124"/>
      <c r="B230" s="211"/>
      <c r="C230" s="225" t="s">
        <v>233</v>
      </c>
      <c r="D230" s="226">
        <v>4</v>
      </c>
      <c r="E230" s="227">
        <v>4.0999999999999996</v>
      </c>
      <c r="F230" s="227">
        <v>0.47499999999999998</v>
      </c>
      <c r="G230" s="227"/>
      <c r="H230" s="227">
        <f t="shared" si="22"/>
        <v>7.7899999999999991</v>
      </c>
      <c r="I230" s="136"/>
      <c r="J230" s="213"/>
      <c r="K230" s="217">
        <f t="shared" si="18"/>
        <v>0</v>
      </c>
      <c r="L230" s="218">
        <f t="shared" si="19"/>
        <v>0</v>
      </c>
    </row>
    <row r="231" spans="1:12" x14ac:dyDescent="0.2">
      <c r="A231" s="124"/>
      <c r="B231" s="211"/>
      <c r="C231" s="225" t="s">
        <v>234</v>
      </c>
      <c r="D231" s="226">
        <v>4</v>
      </c>
      <c r="E231" s="227">
        <v>4.0999999999999996</v>
      </c>
      <c r="F231" s="227">
        <v>0.47499999999999998</v>
      </c>
      <c r="G231" s="227"/>
      <c r="H231" s="227">
        <f t="shared" si="22"/>
        <v>7.7899999999999991</v>
      </c>
      <c r="I231" s="136"/>
      <c r="J231" s="213"/>
      <c r="K231" s="217">
        <f t="shared" si="18"/>
        <v>0</v>
      </c>
      <c r="L231" s="218">
        <f t="shared" si="19"/>
        <v>0</v>
      </c>
    </row>
    <row r="232" spans="1:12" x14ac:dyDescent="0.2">
      <c r="A232" s="124"/>
      <c r="B232" s="211"/>
      <c r="C232" s="225" t="s">
        <v>235</v>
      </c>
      <c r="D232" s="226">
        <v>8</v>
      </c>
      <c r="E232" s="227">
        <v>3.6749999999999998</v>
      </c>
      <c r="F232" s="227">
        <v>1.5</v>
      </c>
      <c r="G232" s="227"/>
      <c r="H232" s="227">
        <f t="shared" si="22"/>
        <v>44.099999999999994</v>
      </c>
      <c r="I232" s="136"/>
      <c r="J232" s="213"/>
      <c r="K232" s="217">
        <f t="shared" si="18"/>
        <v>0</v>
      </c>
      <c r="L232" s="218">
        <f t="shared" si="19"/>
        <v>0</v>
      </c>
    </row>
    <row r="233" spans="1:12" x14ac:dyDescent="0.2">
      <c r="A233" s="124"/>
      <c r="B233" s="211"/>
      <c r="C233" s="225" t="s">
        <v>420</v>
      </c>
      <c r="D233" s="226">
        <v>4</v>
      </c>
      <c r="E233" s="227">
        <v>1.6</v>
      </c>
      <c r="F233" s="227">
        <v>0.72499999999999998</v>
      </c>
      <c r="G233" s="227"/>
      <c r="H233" s="227">
        <f t="shared" si="22"/>
        <v>4.6399999999999997</v>
      </c>
      <c r="I233" s="136"/>
      <c r="J233" s="213"/>
      <c r="K233" s="217">
        <f t="shared" si="18"/>
        <v>0</v>
      </c>
      <c r="L233" s="218">
        <f t="shared" si="19"/>
        <v>0</v>
      </c>
    </row>
    <row r="234" spans="1:12" x14ac:dyDescent="0.2">
      <c r="A234" s="124"/>
      <c r="B234" s="211"/>
      <c r="C234" s="225" t="s">
        <v>421</v>
      </c>
      <c r="D234" s="226">
        <v>4</v>
      </c>
      <c r="E234" s="227">
        <f>1.35+0.3</f>
        <v>1.6500000000000001</v>
      </c>
      <c r="F234" s="227">
        <v>0.6</v>
      </c>
      <c r="G234" s="227"/>
      <c r="H234" s="227">
        <f t="shared" si="22"/>
        <v>3.96</v>
      </c>
      <c r="I234" s="136"/>
      <c r="J234" s="213"/>
      <c r="K234" s="217">
        <f t="shared" si="18"/>
        <v>0</v>
      </c>
      <c r="L234" s="218">
        <f t="shared" si="19"/>
        <v>0</v>
      </c>
    </row>
    <row r="235" spans="1:12" x14ac:dyDescent="0.2">
      <c r="A235" s="124"/>
      <c r="B235" s="211"/>
      <c r="C235" s="225" t="s">
        <v>422</v>
      </c>
      <c r="D235" s="226">
        <v>4</v>
      </c>
      <c r="E235" s="227">
        <f>1.05+0.3</f>
        <v>1.35</v>
      </c>
      <c r="F235" s="227">
        <v>0.6</v>
      </c>
      <c r="G235" s="227"/>
      <c r="H235" s="227">
        <f t="shared" si="22"/>
        <v>3.24</v>
      </c>
      <c r="I235" s="136"/>
      <c r="J235" s="213"/>
      <c r="K235" s="217">
        <f t="shared" si="18"/>
        <v>0</v>
      </c>
      <c r="L235" s="218">
        <f t="shared" si="19"/>
        <v>0</v>
      </c>
    </row>
    <row r="236" spans="1:12" x14ac:dyDescent="0.2">
      <c r="A236" s="124"/>
      <c r="B236" s="211"/>
      <c r="C236" s="225" t="s">
        <v>236</v>
      </c>
      <c r="D236" s="226">
        <v>2</v>
      </c>
      <c r="E236" s="227">
        <f>1.2+0.3</f>
        <v>1.5</v>
      </c>
      <c r="F236" s="227">
        <v>0.6</v>
      </c>
      <c r="G236" s="227"/>
      <c r="H236" s="227">
        <f t="shared" si="22"/>
        <v>1.7999999999999998</v>
      </c>
      <c r="I236" s="136"/>
      <c r="J236" s="213"/>
      <c r="K236" s="217">
        <f t="shared" si="18"/>
        <v>0</v>
      </c>
      <c r="L236" s="218">
        <f t="shared" si="19"/>
        <v>0</v>
      </c>
    </row>
    <row r="237" spans="1:12" x14ac:dyDescent="0.2">
      <c r="A237" s="124"/>
      <c r="B237" s="211"/>
      <c r="C237" s="225" t="s">
        <v>282</v>
      </c>
      <c r="D237" s="226">
        <v>8</v>
      </c>
      <c r="E237" s="227">
        <f>0.6+0.3</f>
        <v>0.89999999999999991</v>
      </c>
      <c r="F237" s="227">
        <v>1.6</v>
      </c>
      <c r="G237" s="227"/>
      <c r="H237" s="227">
        <f>D237*E237*F237</f>
        <v>11.52</v>
      </c>
      <c r="I237" s="136"/>
      <c r="J237" s="213"/>
      <c r="K237" s="217">
        <f t="shared" si="18"/>
        <v>0</v>
      </c>
      <c r="L237" s="218">
        <f t="shared" si="19"/>
        <v>0</v>
      </c>
    </row>
    <row r="238" spans="1:12" x14ac:dyDescent="0.2">
      <c r="A238" s="124"/>
      <c r="B238" s="211"/>
      <c r="C238" s="225" t="s">
        <v>237</v>
      </c>
      <c r="D238" s="226">
        <v>-1</v>
      </c>
      <c r="E238" s="227">
        <v>2.5499999999999998</v>
      </c>
      <c r="F238" s="227">
        <v>3.45</v>
      </c>
      <c r="G238" s="227"/>
      <c r="H238" s="227">
        <f t="shared" si="22"/>
        <v>-8.7974999999999994</v>
      </c>
      <c r="I238" s="136"/>
      <c r="J238" s="213"/>
      <c r="K238" s="217">
        <f t="shared" si="18"/>
        <v>0</v>
      </c>
      <c r="L238" s="218">
        <f t="shared" si="19"/>
        <v>0</v>
      </c>
    </row>
    <row r="239" spans="1:12" x14ac:dyDescent="0.2">
      <c r="A239" s="124"/>
      <c r="B239" s="211"/>
      <c r="C239" s="230" t="s">
        <v>238</v>
      </c>
      <c r="D239" s="231">
        <v>-1</v>
      </c>
      <c r="E239" s="232">
        <v>2.0499999999999998</v>
      </c>
      <c r="F239" s="232">
        <v>2.0499999999999998</v>
      </c>
      <c r="G239" s="232"/>
      <c r="H239" s="227">
        <f t="shared" si="22"/>
        <v>-4.2024999999999997</v>
      </c>
      <c r="I239" s="141"/>
      <c r="J239" s="217"/>
      <c r="K239" s="217">
        <f t="shared" si="18"/>
        <v>0</v>
      </c>
      <c r="L239" s="218">
        <f t="shared" si="19"/>
        <v>0</v>
      </c>
    </row>
    <row r="240" spans="1:12" x14ac:dyDescent="0.2">
      <c r="A240" s="139"/>
      <c r="B240" s="215"/>
      <c r="C240" s="221" t="s">
        <v>117</v>
      </c>
      <c r="D240" s="142"/>
      <c r="E240" s="233"/>
      <c r="F240" s="145"/>
      <c r="G240" s="145"/>
      <c r="H240" s="282">
        <v>420</v>
      </c>
      <c r="I240" s="268" t="s">
        <v>128</v>
      </c>
      <c r="J240" s="269">
        <v>300.45</v>
      </c>
      <c r="K240" s="217">
        <f t="shared" si="18"/>
        <v>254.61864406779662</v>
      </c>
      <c r="L240" s="218">
        <f t="shared" si="19"/>
        <v>106939.83050847458</v>
      </c>
    </row>
    <row r="241" spans="1:12" x14ac:dyDescent="0.2">
      <c r="A241" s="116">
        <v>8</v>
      </c>
      <c r="B241" s="206" t="s">
        <v>283</v>
      </c>
      <c r="C241" s="219" t="s">
        <v>284</v>
      </c>
      <c r="D241" s="119"/>
      <c r="E241" s="121"/>
      <c r="F241" s="121"/>
      <c r="G241" s="121"/>
      <c r="H241" s="208"/>
      <c r="I241" s="122"/>
      <c r="J241" s="209"/>
      <c r="K241" s="217">
        <f t="shared" si="18"/>
        <v>0</v>
      </c>
      <c r="L241" s="218">
        <f t="shared" si="19"/>
        <v>0</v>
      </c>
    </row>
    <row r="242" spans="1:12" ht="25.5" x14ac:dyDescent="0.2">
      <c r="A242" s="124"/>
      <c r="B242" s="211"/>
      <c r="C242" s="220" t="s">
        <v>485</v>
      </c>
      <c r="D242" s="133">
        <v>1</v>
      </c>
      <c r="E242" s="135">
        <f>E160</f>
        <v>96.810000000000016</v>
      </c>
      <c r="F242" s="135"/>
      <c r="G242" s="135">
        <f>3-0.13</f>
        <v>2.87</v>
      </c>
      <c r="H242" s="212">
        <f>SUM(G242*E242*D242)</f>
        <v>277.84470000000005</v>
      </c>
      <c r="I242" s="136"/>
      <c r="J242" s="213"/>
      <c r="K242" s="217">
        <f t="shared" si="18"/>
        <v>0</v>
      </c>
      <c r="L242" s="218">
        <f t="shared" si="19"/>
        <v>0</v>
      </c>
    </row>
    <row r="243" spans="1:12" x14ac:dyDescent="0.2">
      <c r="A243" s="124"/>
      <c r="B243" s="211"/>
      <c r="C243" s="225" t="s">
        <v>486</v>
      </c>
      <c r="D243" s="133">
        <v>2</v>
      </c>
      <c r="E243" s="135">
        <f>E167</f>
        <v>28.65</v>
      </c>
      <c r="F243" s="135"/>
      <c r="G243" s="135">
        <f>3-0.13</f>
        <v>2.87</v>
      </c>
      <c r="H243" s="212">
        <f>SUM(G243*E243*D243)</f>
        <v>164.45099999999999</v>
      </c>
      <c r="I243" s="136"/>
      <c r="J243" s="213"/>
      <c r="K243" s="217">
        <f t="shared" si="18"/>
        <v>0</v>
      </c>
      <c r="L243" s="218">
        <f t="shared" si="19"/>
        <v>0</v>
      </c>
    </row>
    <row r="244" spans="1:12" x14ac:dyDescent="0.2">
      <c r="A244" s="124"/>
      <c r="B244" s="211"/>
      <c r="C244" s="191" t="s">
        <v>271</v>
      </c>
      <c r="D244" s="133"/>
      <c r="E244" s="135"/>
      <c r="F244" s="135"/>
      <c r="G244" s="135"/>
      <c r="H244" s="180"/>
      <c r="I244" s="136"/>
      <c r="J244" s="213"/>
      <c r="K244" s="217">
        <f t="shared" si="18"/>
        <v>0</v>
      </c>
      <c r="L244" s="218">
        <f t="shared" si="19"/>
        <v>0</v>
      </c>
    </row>
    <row r="245" spans="1:12" x14ac:dyDescent="0.2">
      <c r="A245" s="124"/>
      <c r="B245" s="211"/>
      <c r="C245" s="183" t="s">
        <v>418</v>
      </c>
      <c r="D245" s="133">
        <v>-4</v>
      </c>
      <c r="E245" s="135">
        <f>E169</f>
        <v>1.05</v>
      </c>
      <c r="F245" s="135"/>
      <c r="G245" s="135">
        <f>G169</f>
        <v>2.4</v>
      </c>
      <c r="H245" s="212">
        <f>D245*E245*G245</f>
        <v>-10.08</v>
      </c>
      <c r="I245" s="136"/>
      <c r="J245" s="213"/>
      <c r="K245" s="217">
        <f t="shared" si="18"/>
        <v>0</v>
      </c>
      <c r="L245" s="218">
        <f t="shared" si="19"/>
        <v>0</v>
      </c>
    </row>
    <row r="246" spans="1:12" x14ac:dyDescent="0.2">
      <c r="A246" s="124"/>
      <c r="B246" s="211"/>
      <c r="C246" s="183" t="s">
        <v>293</v>
      </c>
      <c r="D246" s="133">
        <v>0</v>
      </c>
      <c r="E246" s="135">
        <f t="shared" ref="E246:E254" si="23">E170</f>
        <v>1</v>
      </c>
      <c r="F246" s="135"/>
      <c r="G246" s="135">
        <f t="shared" ref="G246:G254" si="24">G170</f>
        <v>2.1</v>
      </c>
      <c r="H246" s="212">
        <f t="shared" ref="H246:H254" si="25">D246*E246*G246</f>
        <v>0</v>
      </c>
      <c r="I246" s="136"/>
      <c r="J246" s="213"/>
      <c r="K246" s="217">
        <f t="shared" si="18"/>
        <v>0</v>
      </c>
      <c r="L246" s="218">
        <f t="shared" si="19"/>
        <v>0</v>
      </c>
    </row>
    <row r="247" spans="1:12" x14ac:dyDescent="0.2">
      <c r="A247" s="124"/>
      <c r="B247" s="211"/>
      <c r="C247" s="183" t="s">
        <v>222</v>
      </c>
      <c r="D247" s="133">
        <v>0</v>
      </c>
      <c r="E247" s="135">
        <f t="shared" si="23"/>
        <v>0.9</v>
      </c>
      <c r="F247" s="135"/>
      <c r="G247" s="135">
        <f t="shared" si="24"/>
        <v>2.1</v>
      </c>
      <c r="H247" s="212">
        <f t="shared" si="25"/>
        <v>0</v>
      </c>
      <c r="I247" s="136"/>
      <c r="J247" s="213"/>
      <c r="K247" s="217">
        <f t="shared" si="18"/>
        <v>0</v>
      </c>
      <c r="L247" s="218">
        <f t="shared" si="19"/>
        <v>0</v>
      </c>
    </row>
    <row r="248" spans="1:12" x14ac:dyDescent="0.2">
      <c r="A248" s="124"/>
      <c r="B248" s="211"/>
      <c r="C248" s="220" t="s">
        <v>223</v>
      </c>
      <c r="D248" s="133">
        <v>0</v>
      </c>
      <c r="E248" s="135">
        <f t="shared" si="23"/>
        <v>0.75</v>
      </c>
      <c r="F248" s="135"/>
      <c r="G248" s="135">
        <f t="shared" si="24"/>
        <v>2.1</v>
      </c>
      <c r="H248" s="212">
        <f t="shared" si="25"/>
        <v>0</v>
      </c>
      <c r="I248" s="136"/>
      <c r="J248" s="213"/>
      <c r="K248" s="217">
        <f t="shared" si="18"/>
        <v>0</v>
      </c>
      <c r="L248" s="218">
        <f t="shared" si="19"/>
        <v>0</v>
      </c>
    </row>
    <row r="249" spans="1:12" x14ac:dyDescent="0.2">
      <c r="A249" s="124"/>
      <c r="B249" s="211"/>
      <c r="C249" s="220" t="s">
        <v>419</v>
      </c>
      <c r="D249" s="133">
        <v>-4</v>
      </c>
      <c r="E249" s="135">
        <f t="shared" si="23"/>
        <v>0.9</v>
      </c>
      <c r="F249" s="135"/>
      <c r="G249" s="135">
        <f t="shared" si="24"/>
        <v>2.4</v>
      </c>
      <c r="H249" s="212">
        <f t="shared" si="25"/>
        <v>-8.64</v>
      </c>
      <c r="I249" s="136"/>
      <c r="J249" s="213"/>
      <c r="K249" s="217">
        <f t="shared" si="18"/>
        <v>0</v>
      </c>
      <c r="L249" s="218">
        <f t="shared" si="19"/>
        <v>0</v>
      </c>
    </row>
    <row r="250" spans="1:12" x14ac:dyDescent="0.2">
      <c r="A250" s="124"/>
      <c r="B250" s="211"/>
      <c r="C250" s="220" t="s">
        <v>456</v>
      </c>
      <c r="D250" s="133">
        <v>-8</v>
      </c>
      <c r="E250" s="135">
        <f t="shared" si="23"/>
        <v>2.4</v>
      </c>
      <c r="F250" s="135"/>
      <c r="G250" s="135">
        <f t="shared" si="24"/>
        <v>2.4</v>
      </c>
      <c r="H250" s="212">
        <f t="shared" si="25"/>
        <v>-46.08</v>
      </c>
      <c r="I250" s="136"/>
      <c r="J250" s="213"/>
      <c r="K250" s="217">
        <f t="shared" si="18"/>
        <v>0</v>
      </c>
      <c r="L250" s="218">
        <f t="shared" si="19"/>
        <v>0</v>
      </c>
    </row>
    <row r="251" spans="1:12" x14ac:dyDescent="0.2">
      <c r="A251" s="124"/>
      <c r="B251" s="211"/>
      <c r="C251" s="220" t="s">
        <v>457</v>
      </c>
      <c r="D251" s="133">
        <v>-4</v>
      </c>
      <c r="E251" s="135">
        <f t="shared" si="23"/>
        <v>1.35</v>
      </c>
      <c r="F251" s="135"/>
      <c r="G251" s="135">
        <f t="shared" si="24"/>
        <v>1.5</v>
      </c>
      <c r="H251" s="212">
        <f t="shared" si="25"/>
        <v>-8.1000000000000014</v>
      </c>
      <c r="I251" s="136"/>
      <c r="J251" s="213"/>
      <c r="K251" s="217">
        <f t="shared" si="18"/>
        <v>0</v>
      </c>
      <c r="L251" s="218">
        <f t="shared" si="19"/>
        <v>0</v>
      </c>
    </row>
    <row r="252" spans="1:12" x14ac:dyDescent="0.2">
      <c r="A252" s="124"/>
      <c r="B252" s="211"/>
      <c r="C252" s="220" t="s">
        <v>458</v>
      </c>
      <c r="D252" s="133">
        <v>-4</v>
      </c>
      <c r="E252" s="135">
        <f t="shared" si="23"/>
        <v>1.05</v>
      </c>
      <c r="F252" s="135"/>
      <c r="G252" s="135">
        <f t="shared" si="24"/>
        <v>1.35</v>
      </c>
      <c r="H252" s="212">
        <f t="shared" si="25"/>
        <v>-5.6700000000000008</v>
      </c>
      <c r="I252" s="136"/>
      <c r="J252" s="213"/>
      <c r="K252" s="217">
        <f t="shared" si="18"/>
        <v>0</v>
      </c>
      <c r="L252" s="218">
        <f t="shared" si="19"/>
        <v>0</v>
      </c>
    </row>
    <row r="253" spans="1:12" x14ac:dyDescent="0.2">
      <c r="A253" s="124"/>
      <c r="B253" s="211"/>
      <c r="C253" s="220" t="s">
        <v>260</v>
      </c>
      <c r="D253" s="133">
        <v>-2</v>
      </c>
      <c r="E253" s="135">
        <f t="shared" si="23"/>
        <v>1.2</v>
      </c>
      <c r="F253" s="135"/>
      <c r="G253" s="135">
        <f t="shared" si="24"/>
        <v>1.2</v>
      </c>
      <c r="H253" s="212">
        <f t="shared" si="25"/>
        <v>-2.88</v>
      </c>
      <c r="I253" s="136"/>
      <c r="J253" s="213"/>
      <c r="K253" s="217">
        <f t="shared" si="18"/>
        <v>0</v>
      </c>
      <c r="L253" s="218">
        <f t="shared" si="19"/>
        <v>0</v>
      </c>
    </row>
    <row r="254" spans="1:12" x14ac:dyDescent="0.2">
      <c r="A254" s="124"/>
      <c r="B254" s="211"/>
      <c r="C254" s="220" t="s">
        <v>273</v>
      </c>
      <c r="D254" s="133">
        <v>-8</v>
      </c>
      <c r="E254" s="135">
        <f t="shared" si="23"/>
        <v>0.6</v>
      </c>
      <c r="F254" s="135"/>
      <c r="G254" s="135">
        <f t="shared" si="24"/>
        <v>0.9</v>
      </c>
      <c r="H254" s="212">
        <f t="shared" si="25"/>
        <v>-4.32</v>
      </c>
      <c r="I254" s="136"/>
      <c r="J254" s="213"/>
      <c r="K254" s="217">
        <f t="shared" si="18"/>
        <v>0</v>
      </c>
      <c r="L254" s="218">
        <f t="shared" si="19"/>
        <v>0</v>
      </c>
    </row>
    <row r="255" spans="1:12" x14ac:dyDescent="0.2">
      <c r="A255" s="124"/>
      <c r="B255" s="211"/>
      <c r="C255" s="223" t="s">
        <v>207</v>
      </c>
      <c r="D255" s="133"/>
      <c r="E255" s="135"/>
      <c r="F255" s="135"/>
      <c r="G255" s="135"/>
      <c r="H255" s="212">
        <v>340</v>
      </c>
      <c r="I255" s="136"/>
      <c r="J255" s="213"/>
      <c r="K255" s="217">
        <f t="shared" si="18"/>
        <v>0</v>
      </c>
      <c r="L255" s="218">
        <f t="shared" si="19"/>
        <v>0</v>
      </c>
    </row>
    <row r="256" spans="1:12" x14ac:dyDescent="0.2">
      <c r="A256" s="124"/>
      <c r="B256" s="211"/>
      <c r="C256" s="223"/>
      <c r="D256" s="133"/>
      <c r="E256" s="135"/>
      <c r="F256" s="135"/>
      <c r="G256" s="135"/>
      <c r="H256" s="212"/>
      <c r="I256" s="136"/>
      <c r="J256" s="213"/>
      <c r="K256" s="217">
        <f t="shared" si="18"/>
        <v>0</v>
      </c>
      <c r="L256" s="218">
        <f t="shared" si="19"/>
        <v>0</v>
      </c>
    </row>
    <row r="257" spans="1:12" ht="25.5" x14ac:dyDescent="0.2">
      <c r="A257" s="124"/>
      <c r="B257" s="211"/>
      <c r="C257" s="220" t="s">
        <v>487</v>
      </c>
      <c r="D257" s="133">
        <v>1</v>
      </c>
      <c r="E257" s="135">
        <f>E202</f>
        <v>93.073125000000005</v>
      </c>
      <c r="F257" s="135"/>
      <c r="G257" s="135">
        <f>3-0.13</f>
        <v>2.87</v>
      </c>
      <c r="H257" s="212">
        <f>SUM(G257*E257*D257)</f>
        <v>267.11986875000002</v>
      </c>
      <c r="I257" s="136"/>
      <c r="J257" s="213"/>
      <c r="K257" s="217">
        <f t="shared" si="18"/>
        <v>0</v>
      </c>
      <c r="L257" s="218">
        <f t="shared" si="19"/>
        <v>0</v>
      </c>
    </row>
    <row r="258" spans="1:12" x14ac:dyDescent="0.2">
      <c r="A258" s="124"/>
      <c r="B258" s="211"/>
      <c r="C258" s="183" t="s">
        <v>418</v>
      </c>
      <c r="D258" s="133">
        <v>0</v>
      </c>
      <c r="E258" s="135">
        <f t="shared" ref="E258:E263" si="26">E213</f>
        <v>1.05</v>
      </c>
      <c r="F258" s="135"/>
      <c r="G258" s="135">
        <f t="shared" ref="G258:G263" si="27">G213</f>
        <v>2.4</v>
      </c>
      <c r="H258" s="212">
        <f t="shared" ref="H258:H267" si="28">D258*E258*G258</f>
        <v>0</v>
      </c>
      <c r="I258" s="136"/>
      <c r="J258" s="213"/>
      <c r="K258" s="217">
        <f t="shared" si="18"/>
        <v>0</v>
      </c>
      <c r="L258" s="218">
        <f t="shared" si="19"/>
        <v>0</v>
      </c>
    </row>
    <row r="259" spans="1:12" x14ac:dyDescent="0.2">
      <c r="A259" s="124"/>
      <c r="B259" s="211"/>
      <c r="C259" s="183" t="s">
        <v>293</v>
      </c>
      <c r="D259" s="133">
        <v>-8</v>
      </c>
      <c r="E259" s="135">
        <f t="shared" si="26"/>
        <v>1</v>
      </c>
      <c r="F259" s="135"/>
      <c r="G259" s="135">
        <f t="shared" si="27"/>
        <v>2.1</v>
      </c>
      <c r="H259" s="212">
        <f t="shared" si="28"/>
        <v>-16.8</v>
      </c>
      <c r="I259" s="136"/>
      <c r="J259" s="213"/>
      <c r="K259" s="217">
        <f t="shared" si="18"/>
        <v>0</v>
      </c>
      <c r="L259" s="218">
        <f t="shared" si="19"/>
        <v>0</v>
      </c>
    </row>
    <row r="260" spans="1:12" x14ac:dyDescent="0.2">
      <c r="A260" s="124"/>
      <c r="B260" s="211"/>
      <c r="C260" s="183" t="s">
        <v>222</v>
      </c>
      <c r="D260" s="133">
        <v>-4</v>
      </c>
      <c r="E260" s="135">
        <f t="shared" si="26"/>
        <v>0.9</v>
      </c>
      <c r="F260" s="135"/>
      <c r="G260" s="135">
        <f t="shared" si="27"/>
        <v>2.1</v>
      </c>
      <c r="H260" s="212">
        <f t="shared" si="28"/>
        <v>-7.5600000000000005</v>
      </c>
      <c r="I260" s="136"/>
      <c r="J260" s="213"/>
      <c r="K260" s="217">
        <f t="shared" si="18"/>
        <v>0</v>
      </c>
      <c r="L260" s="218">
        <f t="shared" si="19"/>
        <v>0</v>
      </c>
    </row>
    <row r="261" spans="1:12" x14ac:dyDescent="0.2">
      <c r="A261" s="124"/>
      <c r="B261" s="211"/>
      <c r="C261" s="220" t="s">
        <v>223</v>
      </c>
      <c r="D261" s="133">
        <v>-8</v>
      </c>
      <c r="E261" s="135">
        <f t="shared" si="26"/>
        <v>0.75</v>
      </c>
      <c r="F261" s="135"/>
      <c r="G261" s="135">
        <f t="shared" si="27"/>
        <v>2.1</v>
      </c>
      <c r="H261" s="212">
        <f t="shared" si="28"/>
        <v>-12.600000000000001</v>
      </c>
      <c r="I261" s="136"/>
      <c r="J261" s="213"/>
      <c r="K261" s="217">
        <f t="shared" si="18"/>
        <v>0</v>
      </c>
      <c r="L261" s="218">
        <f t="shared" si="19"/>
        <v>0</v>
      </c>
    </row>
    <row r="262" spans="1:12" x14ac:dyDescent="0.2">
      <c r="A262" s="124"/>
      <c r="B262" s="211"/>
      <c r="C262" s="220" t="s">
        <v>419</v>
      </c>
      <c r="D262" s="133">
        <v>-4</v>
      </c>
      <c r="E262" s="135">
        <f t="shared" si="26"/>
        <v>0.9</v>
      </c>
      <c r="F262" s="135"/>
      <c r="G262" s="135">
        <f t="shared" si="27"/>
        <v>2.4</v>
      </c>
      <c r="H262" s="212">
        <f t="shared" si="28"/>
        <v>-8.64</v>
      </c>
      <c r="I262" s="136"/>
      <c r="J262" s="213"/>
      <c r="K262" s="217">
        <f t="shared" si="18"/>
        <v>0</v>
      </c>
      <c r="L262" s="218">
        <f t="shared" si="19"/>
        <v>0</v>
      </c>
    </row>
    <row r="263" spans="1:12" x14ac:dyDescent="0.2">
      <c r="A263" s="124"/>
      <c r="B263" s="211"/>
      <c r="C263" s="220" t="s">
        <v>456</v>
      </c>
      <c r="D263" s="133">
        <v>0</v>
      </c>
      <c r="E263" s="135">
        <f t="shared" si="26"/>
        <v>2.4</v>
      </c>
      <c r="F263" s="135"/>
      <c r="G263" s="135">
        <f t="shared" si="27"/>
        <v>2.4</v>
      </c>
      <c r="H263" s="212">
        <f t="shared" si="28"/>
        <v>0</v>
      </c>
      <c r="I263" s="136"/>
      <c r="J263" s="213"/>
      <c r="K263" s="217">
        <f t="shared" si="18"/>
        <v>0</v>
      </c>
      <c r="L263" s="218">
        <f t="shared" si="19"/>
        <v>0</v>
      </c>
    </row>
    <row r="264" spans="1:12" x14ac:dyDescent="0.2">
      <c r="A264" s="124"/>
      <c r="B264" s="211"/>
      <c r="C264" s="220" t="s">
        <v>457</v>
      </c>
      <c r="D264" s="133">
        <v>-4</v>
      </c>
      <c r="E264" s="135">
        <f>E220</f>
        <v>1.35</v>
      </c>
      <c r="F264" s="135"/>
      <c r="G264" s="135">
        <f>G220</f>
        <v>1.5</v>
      </c>
      <c r="H264" s="212">
        <f t="shared" si="28"/>
        <v>-8.1000000000000014</v>
      </c>
      <c r="I264" s="136"/>
      <c r="J264" s="213"/>
      <c r="K264" s="217">
        <f t="shared" si="18"/>
        <v>0</v>
      </c>
      <c r="L264" s="218">
        <f t="shared" si="19"/>
        <v>0</v>
      </c>
    </row>
    <row r="265" spans="1:12" x14ac:dyDescent="0.2">
      <c r="A265" s="124"/>
      <c r="B265" s="211"/>
      <c r="C265" s="220" t="s">
        <v>458</v>
      </c>
      <c r="D265" s="133">
        <v>0</v>
      </c>
      <c r="E265" s="135">
        <f>E221</f>
        <v>1.05</v>
      </c>
      <c r="F265" s="135"/>
      <c r="G265" s="135">
        <f>G221</f>
        <v>1.35</v>
      </c>
      <c r="H265" s="212">
        <f t="shared" si="28"/>
        <v>0</v>
      </c>
      <c r="I265" s="136"/>
      <c r="J265" s="213"/>
      <c r="K265" s="217">
        <f t="shared" si="18"/>
        <v>0</v>
      </c>
      <c r="L265" s="218">
        <f t="shared" si="19"/>
        <v>0</v>
      </c>
    </row>
    <row r="266" spans="1:12" x14ac:dyDescent="0.2">
      <c r="A266" s="124"/>
      <c r="B266" s="211"/>
      <c r="C266" s="220" t="s">
        <v>260</v>
      </c>
      <c r="D266" s="133">
        <v>0</v>
      </c>
      <c r="E266" s="135">
        <f>E222</f>
        <v>1.2</v>
      </c>
      <c r="F266" s="135"/>
      <c r="G266" s="135">
        <f>G222</f>
        <v>1.2</v>
      </c>
      <c r="H266" s="212">
        <f t="shared" si="28"/>
        <v>0</v>
      </c>
      <c r="I266" s="136"/>
      <c r="J266" s="213"/>
      <c r="K266" s="217">
        <f t="shared" ref="K266:K329" si="29">J266*100/118</f>
        <v>0</v>
      </c>
      <c r="L266" s="218">
        <f t="shared" ref="L266:L329" si="30">K266*H266</f>
        <v>0</v>
      </c>
    </row>
    <row r="267" spans="1:12" x14ac:dyDescent="0.2">
      <c r="A267" s="124"/>
      <c r="B267" s="211"/>
      <c r="C267" s="220" t="s">
        <v>273</v>
      </c>
      <c r="D267" s="133">
        <v>0</v>
      </c>
      <c r="E267" s="135">
        <f>E223</f>
        <v>0.6</v>
      </c>
      <c r="F267" s="135"/>
      <c r="G267" s="135">
        <f>G223</f>
        <v>0.9</v>
      </c>
      <c r="H267" s="212">
        <f t="shared" si="28"/>
        <v>0</v>
      </c>
      <c r="I267" s="136"/>
      <c r="J267" s="213"/>
      <c r="K267" s="217">
        <f t="shared" si="29"/>
        <v>0</v>
      </c>
      <c r="L267" s="218">
        <f t="shared" si="30"/>
        <v>0</v>
      </c>
    </row>
    <row r="268" spans="1:12" x14ac:dyDescent="0.2">
      <c r="A268" s="124"/>
      <c r="B268" s="211"/>
      <c r="C268" s="223" t="s">
        <v>207</v>
      </c>
      <c r="D268" s="133"/>
      <c r="E268" s="135"/>
      <c r="F268" s="135"/>
      <c r="G268" s="135"/>
      <c r="H268" s="212">
        <v>200</v>
      </c>
      <c r="I268" s="136"/>
      <c r="J268" s="213"/>
      <c r="K268" s="217">
        <f t="shared" si="29"/>
        <v>0</v>
      </c>
      <c r="L268" s="218">
        <f t="shared" si="30"/>
        <v>0</v>
      </c>
    </row>
    <row r="269" spans="1:12" x14ac:dyDescent="0.2">
      <c r="A269" s="139"/>
      <c r="B269" s="215"/>
      <c r="C269" s="221" t="s">
        <v>295</v>
      </c>
      <c r="D269" s="142"/>
      <c r="E269" s="233"/>
      <c r="F269" s="145"/>
      <c r="G269" s="145"/>
      <c r="H269" s="282">
        <f>SUM(H255+H268)</f>
        <v>540</v>
      </c>
      <c r="I269" s="268" t="s">
        <v>128</v>
      </c>
      <c r="J269" s="269">
        <v>343.65</v>
      </c>
      <c r="K269" s="217">
        <f t="shared" si="29"/>
        <v>291.22881355932202</v>
      </c>
      <c r="L269" s="218">
        <f t="shared" si="30"/>
        <v>157263.55932203389</v>
      </c>
    </row>
    <row r="270" spans="1:12" ht="25.5" x14ac:dyDescent="0.2">
      <c r="A270" s="116">
        <v>9</v>
      </c>
      <c r="B270" s="206" t="s">
        <v>296</v>
      </c>
      <c r="C270" s="270" t="s">
        <v>297</v>
      </c>
      <c r="D270" s="119"/>
      <c r="E270" s="271"/>
      <c r="F270" s="121"/>
      <c r="G270" s="121"/>
      <c r="H270" s="272"/>
      <c r="I270" s="254"/>
      <c r="J270" s="255"/>
      <c r="K270" s="217">
        <f t="shared" si="29"/>
        <v>0</v>
      </c>
      <c r="L270" s="218">
        <f t="shared" si="30"/>
        <v>0</v>
      </c>
    </row>
    <row r="271" spans="1:12" x14ac:dyDescent="0.2">
      <c r="A271" s="124"/>
      <c r="B271" s="211"/>
      <c r="C271" s="223" t="s">
        <v>488</v>
      </c>
      <c r="D271" s="133">
        <v>1</v>
      </c>
      <c r="E271" s="135">
        <f>E257</f>
        <v>93.073125000000005</v>
      </c>
      <c r="F271" s="135"/>
      <c r="G271" s="135">
        <f>G257</f>
        <v>2.87</v>
      </c>
      <c r="H271" s="212">
        <f>SUM(G271*E271*D271)</f>
        <v>267.11986875000002</v>
      </c>
      <c r="I271" s="273"/>
      <c r="J271" s="274"/>
      <c r="K271" s="217">
        <f t="shared" si="29"/>
        <v>0</v>
      </c>
      <c r="L271" s="218">
        <f t="shared" si="30"/>
        <v>0</v>
      </c>
    </row>
    <row r="272" spans="1:12" x14ac:dyDescent="0.2">
      <c r="A272" s="139"/>
      <c r="B272" s="215"/>
      <c r="C272" s="223" t="s">
        <v>207</v>
      </c>
      <c r="D272" s="133"/>
      <c r="E272" s="135"/>
      <c r="F272" s="135"/>
      <c r="G272" s="135"/>
      <c r="H272" s="242">
        <v>260</v>
      </c>
      <c r="I272" s="136" t="s">
        <v>278</v>
      </c>
      <c r="J272" s="213">
        <v>395.35</v>
      </c>
      <c r="K272" s="217">
        <f t="shared" si="29"/>
        <v>335.04237288135596</v>
      </c>
      <c r="L272" s="218">
        <f t="shared" si="30"/>
        <v>87111.016949152545</v>
      </c>
    </row>
    <row r="273" spans="1:12" ht="27.75" customHeight="1" x14ac:dyDescent="0.2">
      <c r="A273" s="124">
        <v>10</v>
      </c>
      <c r="B273" s="211" t="s">
        <v>299</v>
      </c>
      <c r="C273" s="276" t="s">
        <v>300</v>
      </c>
      <c r="D273" s="127"/>
      <c r="E273" s="129"/>
      <c r="F273" s="129"/>
      <c r="G273" s="129"/>
      <c r="H273" s="264"/>
      <c r="I273" s="130"/>
      <c r="J273" s="240"/>
      <c r="K273" s="217">
        <f t="shared" si="29"/>
        <v>0</v>
      </c>
      <c r="L273" s="218">
        <f t="shared" si="30"/>
        <v>0</v>
      </c>
    </row>
    <row r="274" spans="1:12" x14ac:dyDescent="0.2">
      <c r="A274" s="124"/>
      <c r="B274" s="211"/>
      <c r="C274" s="225" t="s">
        <v>489</v>
      </c>
      <c r="D274" s="133">
        <v>1</v>
      </c>
      <c r="E274" s="135">
        <f>E160</f>
        <v>96.810000000000016</v>
      </c>
      <c r="F274" s="135"/>
      <c r="G274" s="135">
        <f>3</f>
        <v>3</v>
      </c>
      <c r="H274" s="212">
        <f>G274*E274*D274</f>
        <v>290.43000000000006</v>
      </c>
      <c r="I274" s="180"/>
      <c r="J274" s="213"/>
      <c r="K274" s="217">
        <f t="shared" si="29"/>
        <v>0</v>
      </c>
      <c r="L274" s="218">
        <f t="shared" si="30"/>
        <v>0</v>
      </c>
    </row>
    <row r="275" spans="1:12" x14ac:dyDescent="0.2">
      <c r="A275" s="124"/>
      <c r="B275" s="211"/>
      <c r="C275" s="327" t="s">
        <v>490</v>
      </c>
      <c r="D275" s="180">
        <v>1</v>
      </c>
      <c r="E275" s="134">
        <f>E210</f>
        <v>78</v>
      </c>
      <c r="F275" s="135"/>
      <c r="G275" s="135">
        <f>3</f>
        <v>3</v>
      </c>
      <c r="H275" s="212">
        <f>G275*E275*D275</f>
        <v>234</v>
      </c>
      <c r="I275" s="180"/>
      <c r="J275" s="213"/>
      <c r="K275" s="217">
        <f t="shared" si="29"/>
        <v>0</v>
      </c>
      <c r="L275" s="218">
        <f t="shared" si="30"/>
        <v>0</v>
      </c>
    </row>
    <row r="276" spans="1:12" x14ac:dyDescent="0.2">
      <c r="A276" s="139"/>
      <c r="B276" s="215"/>
      <c r="C276" s="221" t="s">
        <v>117</v>
      </c>
      <c r="D276" s="142"/>
      <c r="E276" s="143"/>
      <c r="F276" s="143"/>
      <c r="G276" s="143"/>
      <c r="H276" s="216">
        <v>520</v>
      </c>
      <c r="I276" s="233" t="s">
        <v>128</v>
      </c>
      <c r="J276" s="217">
        <v>466.05</v>
      </c>
      <c r="K276" s="217">
        <f t="shared" si="29"/>
        <v>394.95762711864404</v>
      </c>
      <c r="L276" s="218">
        <f t="shared" si="30"/>
        <v>205377.96610169491</v>
      </c>
    </row>
    <row r="277" spans="1:12" ht="85.5" x14ac:dyDescent="0.2">
      <c r="A277" s="124">
        <v>11</v>
      </c>
      <c r="B277" s="211">
        <v>13.73</v>
      </c>
      <c r="C277" s="118" t="s">
        <v>304</v>
      </c>
      <c r="D277" s="127"/>
      <c r="E277" s="128"/>
      <c r="F277" s="128"/>
      <c r="G277" s="128"/>
      <c r="H277" s="264"/>
      <c r="I277" s="249"/>
      <c r="J277" s="240"/>
      <c r="K277" s="217">
        <f t="shared" si="29"/>
        <v>0</v>
      </c>
      <c r="L277" s="218">
        <f t="shared" si="30"/>
        <v>0</v>
      </c>
    </row>
    <row r="278" spans="1:12" ht="14.25" x14ac:dyDescent="0.2">
      <c r="A278" s="124"/>
      <c r="B278" s="211" t="s">
        <v>305</v>
      </c>
      <c r="C278" s="118" t="s">
        <v>306</v>
      </c>
      <c r="D278" s="127"/>
      <c r="E278" s="131">
        <v>1500</v>
      </c>
      <c r="F278" s="128"/>
      <c r="G278" s="128"/>
      <c r="H278" s="264"/>
      <c r="I278" s="249" t="s">
        <v>307</v>
      </c>
      <c r="J278" s="240">
        <v>75.8</v>
      </c>
      <c r="K278" s="217">
        <f t="shared" si="29"/>
        <v>64.237288135593218</v>
      </c>
      <c r="L278" s="218">
        <f t="shared" si="30"/>
        <v>0</v>
      </c>
    </row>
    <row r="279" spans="1:12" ht="91.5" customHeight="1" x14ac:dyDescent="0.2">
      <c r="A279" s="116">
        <v>12</v>
      </c>
      <c r="B279" s="175" t="s">
        <v>308</v>
      </c>
      <c r="C279" s="118" t="s">
        <v>309</v>
      </c>
      <c r="D279" s="119"/>
      <c r="E279" s="271"/>
      <c r="F279" s="121"/>
      <c r="G279" s="121"/>
      <c r="H279" s="272"/>
      <c r="I279" s="254"/>
      <c r="J279" s="255"/>
      <c r="K279" s="217">
        <f t="shared" si="29"/>
        <v>0</v>
      </c>
      <c r="L279" s="218">
        <f t="shared" si="30"/>
        <v>0</v>
      </c>
    </row>
    <row r="280" spans="1:12" ht="14.25" x14ac:dyDescent="0.2">
      <c r="A280" s="124"/>
      <c r="B280" s="176"/>
      <c r="C280" s="236" t="s">
        <v>310</v>
      </c>
      <c r="D280" s="133">
        <v>18</v>
      </c>
      <c r="E280" s="135">
        <v>1.2</v>
      </c>
      <c r="F280" s="135">
        <v>0.25</v>
      </c>
      <c r="G280" s="135"/>
      <c r="H280" s="242">
        <f>D280*E280*F280</f>
        <v>5.3999999999999995</v>
      </c>
      <c r="I280" s="273"/>
      <c r="J280" s="274"/>
      <c r="K280" s="217">
        <f t="shared" si="29"/>
        <v>0</v>
      </c>
      <c r="L280" s="218">
        <f t="shared" si="30"/>
        <v>0</v>
      </c>
    </row>
    <row r="281" spans="1:12" ht="14.25" x14ac:dyDescent="0.2">
      <c r="A281" s="124"/>
      <c r="B281" s="176"/>
      <c r="C281" s="278" t="s">
        <v>311</v>
      </c>
      <c r="D281" s="133">
        <v>1</v>
      </c>
      <c r="E281" s="135">
        <v>2.5499999999999998</v>
      </c>
      <c r="F281" s="135">
        <v>1.2</v>
      </c>
      <c r="G281" s="135"/>
      <c r="H281" s="242">
        <f>D281*E281*F281</f>
        <v>3.0599999999999996</v>
      </c>
      <c r="I281" s="273"/>
      <c r="J281" s="274"/>
      <c r="K281" s="217">
        <f t="shared" si="29"/>
        <v>0</v>
      </c>
      <c r="L281" s="218">
        <f t="shared" si="30"/>
        <v>0</v>
      </c>
    </row>
    <row r="282" spans="1:12" ht="14.25" x14ac:dyDescent="0.2">
      <c r="A282" s="139"/>
      <c r="B282" s="280"/>
      <c r="C282" s="281" t="s">
        <v>207</v>
      </c>
      <c r="D282" s="142"/>
      <c r="E282" s="233"/>
      <c r="F282" s="145"/>
      <c r="G282" s="145"/>
      <c r="H282" s="282">
        <v>8</v>
      </c>
      <c r="I282" s="268" t="s">
        <v>278</v>
      </c>
      <c r="J282" s="269">
        <v>1948.25</v>
      </c>
      <c r="K282" s="217">
        <f t="shared" si="29"/>
        <v>1651.0593220338983</v>
      </c>
      <c r="L282" s="218">
        <f t="shared" si="30"/>
        <v>13208.474576271186</v>
      </c>
    </row>
    <row r="283" spans="1:12" ht="100.5" x14ac:dyDescent="0.2">
      <c r="A283" s="116">
        <v>13</v>
      </c>
      <c r="B283" s="206">
        <v>11.41</v>
      </c>
      <c r="C283" s="288" t="s">
        <v>317</v>
      </c>
      <c r="D283" s="119"/>
      <c r="E283" s="121"/>
      <c r="F283" s="121"/>
      <c r="G283" s="121"/>
      <c r="H283" s="208"/>
      <c r="I283" s="122"/>
      <c r="J283" s="209"/>
      <c r="K283" s="217">
        <f t="shared" si="29"/>
        <v>0</v>
      </c>
      <c r="L283" s="218">
        <f t="shared" si="30"/>
        <v>0</v>
      </c>
    </row>
    <row r="284" spans="1:12" ht="25.5" x14ac:dyDescent="0.2">
      <c r="A284" s="124"/>
      <c r="B284" s="211" t="s">
        <v>318</v>
      </c>
      <c r="C284" s="289" t="s">
        <v>319</v>
      </c>
      <c r="D284" s="127"/>
      <c r="E284" s="129"/>
      <c r="F284" s="129"/>
      <c r="G284" s="129"/>
      <c r="H284" s="239"/>
      <c r="I284" s="130"/>
      <c r="J284" s="240"/>
      <c r="K284" s="217">
        <f t="shared" si="29"/>
        <v>0</v>
      </c>
      <c r="L284" s="218">
        <f t="shared" si="30"/>
        <v>0</v>
      </c>
    </row>
    <row r="285" spans="1:12" x14ac:dyDescent="0.2">
      <c r="A285" s="124"/>
      <c r="B285" s="211"/>
      <c r="C285" s="225" t="s">
        <v>491</v>
      </c>
      <c r="D285" s="226">
        <v>4</v>
      </c>
      <c r="E285" s="227">
        <v>5</v>
      </c>
      <c r="F285" s="227">
        <v>3.3</v>
      </c>
      <c r="G285" s="227"/>
      <c r="H285" s="227">
        <f t="shared" ref="H285:H290" si="31">D285*E285*F285</f>
        <v>66</v>
      </c>
      <c r="I285" s="136"/>
      <c r="J285" s="213"/>
      <c r="K285" s="217">
        <f t="shared" si="29"/>
        <v>0</v>
      </c>
      <c r="L285" s="218">
        <f t="shared" si="30"/>
        <v>0</v>
      </c>
    </row>
    <row r="286" spans="1:12" x14ac:dyDescent="0.2">
      <c r="A286" s="124"/>
      <c r="B286" s="211"/>
      <c r="C286" s="225" t="s">
        <v>492</v>
      </c>
      <c r="D286" s="226">
        <v>4</v>
      </c>
      <c r="E286" s="227">
        <v>2.75</v>
      </c>
      <c r="F286" s="227">
        <v>3.2250000000000001</v>
      </c>
      <c r="G286" s="227"/>
      <c r="H286" s="227">
        <f t="shared" si="31"/>
        <v>35.475000000000001</v>
      </c>
      <c r="I286" s="136"/>
      <c r="J286" s="213"/>
      <c r="K286" s="217">
        <f t="shared" si="29"/>
        <v>0</v>
      </c>
      <c r="L286" s="218">
        <f t="shared" si="30"/>
        <v>0</v>
      </c>
    </row>
    <row r="287" spans="1:12" x14ac:dyDescent="0.2">
      <c r="A287" s="124"/>
      <c r="B287" s="211"/>
      <c r="C287" s="225" t="s">
        <v>493</v>
      </c>
      <c r="D287" s="226">
        <v>4</v>
      </c>
      <c r="E287" s="227">
        <v>3.6</v>
      </c>
      <c r="F287" s="227">
        <v>3.2</v>
      </c>
      <c r="G287" s="227"/>
      <c r="H287" s="227">
        <f t="shared" si="31"/>
        <v>46.080000000000005</v>
      </c>
      <c r="I287" s="136"/>
      <c r="J287" s="213"/>
      <c r="K287" s="217">
        <f t="shared" si="29"/>
        <v>0</v>
      </c>
      <c r="L287" s="218">
        <f t="shared" si="30"/>
        <v>0</v>
      </c>
    </row>
    <row r="288" spans="1:12" x14ac:dyDescent="0.2">
      <c r="A288" s="124"/>
      <c r="B288" s="211"/>
      <c r="C288" s="225" t="s">
        <v>493</v>
      </c>
      <c r="D288" s="226">
        <v>4</v>
      </c>
      <c r="E288" s="227">
        <v>3.6</v>
      </c>
      <c r="F288" s="227">
        <v>3.3</v>
      </c>
      <c r="G288" s="227"/>
      <c r="H288" s="227">
        <f t="shared" si="31"/>
        <v>47.519999999999996</v>
      </c>
      <c r="I288" s="136"/>
      <c r="J288" s="213"/>
      <c r="K288" s="217">
        <f t="shared" si="29"/>
        <v>0</v>
      </c>
      <c r="L288" s="218">
        <f t="shared" si="30"/>
        <v>0</v>
      </c>
    </row>
    <row r="289" spans="1:12" x14ac:dyDescent="0.2">
      <c r="A289" s="124"/>
      <c r="B289" s="211"/>
      <c r="C289" s="225" t="s">
        <v>494</v>
      </c>
      <c r="D289" s="226">
        <v>4</v>
      </c>
      <c r="E289" s="227">
        <v>1.6</v>
      </c>
      <c r="F289" s="227">
        <v>1.35</v>
      </c>
      <c r="G289" s="227"/>
      <c r="H289" s="227">
        <f t="shared" si="31"/>
        <v>8.64</v>
      </c>
      <c r="I289" s="136"/>
      <c r="J289" s="213"/>
      <c r="K289" s="217">
        <f t="shared" si="29"/>
        <v>0</v>
      </c>
      <c r="L289" s="218">
        <f t="shared" si="30"/>
        <v>0</v>
      </c>
    </row>
    <row r="290" spans="1:12" x14ac:dyDescent="0.2">
      <c r="A290" s="124"/>
      <c r="B290" s="211"/>
      <c r="C290" s="225" t="s">
        <v>495</v>
      </c>
      <c r="D290" s="226">
        <v>4</v>
      </c>
      <c r="E290" s="227">
        <v>2.13</v>
      </c>
      <c r="F290" s="227">
        <v>0.6</v>
      </c>
      <c r="G290" s="227"/>
      <c r="H290" s="227">
        <f t="shared" si="31"/>
        <v>5.1119999999999992</v>
      </c>
      <c r="I290" s="136"/>
      <c r="J290" s="213"/>
      <c r="K290" s="217">
        <f t="shared" si="29"/>
        <v>0</v>
      </c>
      <c r="L290" s="218">
        <f t="shared" si="30"/>
        <v>0</v>
      </c>
    </row>
    <row r="291" spans="1:12" x14ac:dyDescent="0.2">
      <c r="A291" s="139"/>
      <c r="B291" s="215"/>
      <c r="C291" s="221" t="s">
        <v>117</v>
      </c>
      <c r="D291" s="142"/>
      <c r="E291" s="144"/>
      <c r="F291" s="144"/>
      <c r="G291" s="145"/>
      <c r="H291" s="216">
        <v>180</v>
      </c>
      <c r="I291" s="141" t="s">
        <v>128</v>
      </c>
      <c r="J291" s="217">
        <v>1553.45</v>
      </c>
      <c r="K291" s="217">
        <f t="shared" si="29"/>
        <v>1316.4830508474577</v>
      </c>
      <c r="L291" s="218">
        <f>K291*H291</f>
        <v>236966.94915254237</v>
      </c>
    </row>
    <row r="292" spans="1:12" ht="39" customHeight="1" x14ac:dyDescent="0.2">
      <c r="A292" s="116">
        <v>14</v>
      </c>
      <c r="B292" s="206">
        <v>11.37</v>
      </c>
      <c r="C292" s="207" t="s">
        <v>321</v>
      </c>
      <c r="D292" s="119"/>
      <c r="E292" s="121"/>
      <c r="F292" s="121"/>
      <c r="G292" s="121"/>
      <c r="H292" s="263"/>
      <c r="I292" s="122"/>
      <c r="J292" s="209"/>
      <c r="K292" s="217">
        <f t="shared" si="29"/>
        <v>0</v>
      </c>
      <c r="L292" s="218">
        <f t="shared" si="30"/>
        <v>0</v>
      </c>
    </row>
    <row r="293" spans="1:12" x14ac:dyDescent="0.2">
      <c r="A293" s="124"/>
      <c r="B293" s="211"/>
      <c r="C293" s="220" t="s">
        <v>322</v>
      </c>
      <c r="D293" s="133">
        <v>4</v>
      </c>
      <c r="E293" s="135">
        <v>1.6</v>
      </c>
      <c r="F293" s="135">
        <v>2.25</v>
      </c>
      <c r="G293" s="135"/>
      <c r="H293" s="212">
        <f>F293*E293*D293</f>
        <v>14.4</v>
      </c>
      <c r="I293" s="136"/>
      <c r="J293" s="213"/>
      <c r="K293" s="217">
        <f t="shared" si="29"/>
        <v>0</v>
      </c>
      <c r="L293" s="218">
        <f t="shared" si="30"/>
        <v>0</v>
      </c>
    </row>
    <row r="294" spans="1:12" x14ac:dyDescent="0.2">
      <c r="A294" s="124"/>
      <c r="B294" s="211"/>
      <c r="C294" s="220" t="s">
        <v>322</v>
      </c>
      <c r="D294" s="133">
        <v>4</v>
      </c>
      <c r="E294" s="135">
        <v>1.62</v>
      </c>
      <c r="F294" s="135">
        <v>2.15</v>
      </c>
      <c r="G294" s="135"/>
      <c r="H294" s="212">
        <f>F294*E294*D294</f>
        <v>13.932</v>
      </c>
      <c r="I294" s="136"/>
      <c r="J294" s="213"/>
      <c r="K294" s="217">
        <f t="shared" si="29"/>
        <v>0</v>
      </c>
      <c r="L294" s="218">
        <f t="shared" si="30"/>
        <v>0</v>
      </c>
    </row>
    <row r="295" spans="1:12" x14ac:dyDescent="0.2">
      <c r="A295" s="124"/>
      <c r="B295" s="211"/>
      <c r="C295" s="220" t="s">
        <v>496</v>
      </c>
      <c r="D295" s="133">
        <v>8</v>
      </c>
      <c r="E295" s="135">
        <v>3.3</v>
      </c>
      <c r="F295" s="135">
        <v>1.5</v>
      </c>
      <c r="G295" s="135"/>
      <c r="H295" s="212">
        <f>F295*E295*D295</f>
        <v>39.599999999999994</v>
      </c>
      <c r="I295" s="136"/>
      <c r="J295" s="213"/>
      <c r="K295" s="217">
        <f t="shared" si="29"/>
        <v>0</v>
      </c>
      <c r="L295" s="218">
        <f t="shared" si="30"/>
        <v>0</v>
      </c>
    </row>
    <row r="296" spans="1:12" x14ac:dyDescent="0.2">
      <c r="A296" s="124"/>
      <c r="B296" s="211"/>
      <c r="C296" s="220" t="s">
        <v>497</v>
      </c>
      <c r="D296" s="133">
        <v>4</v>
      </c>
      <c r="E296" s="135">
        <v>3.3</v>
      </c>
      <c r="F296" s="135">
        <v>1.8</v>
      </c>
      <c r="G296" s="135"/>
      <c r="H296" s="212">
        <f>F296*E296*D296</f>
        <v>23.759999999999998</v>
      </c>
      <c r="I296" s="136"/>
      <c r="J296" s="213"/>
      <c r="K296" s="217">
        <f t="shared" si="29"/>
        <v>0</v>
      </c>
      <c r="L296" s="218">
        <f t="shared" si="30"/>
        <v>0</v>
      </c>
    </row>
    <row r="297" spans="1:12" x14ac:dyDescent="0.2">
      <c r="A297" s="139"/>
      <c r="B297" s="215"/>
      <c r="C297" s="221" t="s">
        <v>117</v>
      </c>
      <c r="D297" s="142"/>
      <c r="E297" s="145"/>
      <c r="F297" s="145"/>
      <c r="G297" s="145"/>
      <c r="H297" s="216">
        <v>85</v>
      </c>
      <c r="I297" s="141" t="s">
        <v>128</v>
      </c>
      <c r="J297" s="217">
        <v>1096.55</v>
      </c>
      <c r="K297" s="217">
        <f t="shared" si="29"/>
        <v>929.27966101694915</v>
      </c>
      <c r="L297" s="218">
        <f t="shared" si="30"/>
        <v>78988.771186440674</v>
      </c>
    </row>
    <row r="298" spans="1:12" ht="81.75" customHeight="1" x14ac:dyDescent="0.2">
      <c r="A298" s="124">
        <v>15</v>
      </c>
      <c r="B298" s="211">
        <v>11.23</v>
      </c>
      <c r="C298" s="290" t="s">
        <v>323</v>
      </c>
      <c r="D298" s="133"/>
      <c r="E298" s="135"/>
      <c r="F298" s="135"/>
      <c r="G298" s="135"/>
      <c r="H298" s="242"/>
      <c r="I298" s="136"/>
      <c r="J298" s="213"/>
      <c r="K298" s="217">
        <f t="shared" si="29"/>
        <v>0</v>
      </c>
      <c r="L298" s="218">
        <f t="shared" si="30"/>
        <v>0</v>
      </c>
    </row>
    <row r="299" spans="1:12" x14ac:dyDescent="0.2">
      <c r="A299" s="124"/>
      <c r="B299" s="211" t="s">
        <v>498</v>
      </c>
      <c r="C299" s="237" t="s">
        <v>499</v>
      </c>
      <c r="D299" s="133"/>
      <c r="E299" s="135"/>
      <c r="F299" s="135"/>
      <c r="G299" s="135"/>
      <c r="H299" s="242"/>
      <c r="I299" s="136"/>
      <c r="J299" s="213"/>
      <c r="K299" s="217">
        <f t="shared" si="29"/>
        <v>0</v>
      </c>
      <c r="L299" s="218">
        <f t="shared" si="30"/>
        <v>0</v>
      </c>
    </row>
    <row r="300" spans="1:12" x14ac:dyDescent="0.2">
      <c r="A300" s="124"/>
      <c r="B300" s="211"/>
      <c r="C300" s="223" t="s">
        <v>500</v>
      </c>
      <c r="D300" s="133">
        <v>4</v>
      </c>
      <c r="E300" s="135">
        <v>3.2</v>
      </c>
      <c r="F300" s="135">
        <v>2.5</v>
      </c>
      <c r="G300" s="135"/>
      <c r="H300" s="212">
        <f>F300*E300*D300</f>
        <v>32</v>
      </c>
      <c r="I300" s="136"/>
      <c r="J300" s="213"/>
      <c r="K300" s="217">
        <f t="shared" si="29"/>
        <v>0</v>
      </c>
      <c r="L300" s="218">
        <f t="shared" si="30"/>
        <v>0</v>
      </c>
    </row>
    <row r="301" spans="1:12" x14ac:dyDescent="0.2">
      <c r="A301" s="124"/>
      <c r="B301" s="211"/>
      <c r="C301" s="223" t="s">
        <v>501</v>
      </c>
      <c r="D301" s="133">
        <v>1</v>
      </c>
      <c r="E301" s="954">
        <v>68.3</v>
      </c>
      <c r="F301" s="955"/>
      <c r="G301" s="135"/>
      <c r="H301" s="212">
        <f>D301*E301</f>
        <v>68.3</v>
      </c>
      <c r="I301" s="136"/>
      <c r="J301" s="213"/>
      <c r="K301" s="217">
        <f t="shared" si="29"/>
        <v>0</v>
      </c>
      <c r="L301" s="218">
        <f t="shared" si="30"/>
        <v>0</v>
      </c>
    </row>
    <row r="302" spans="1:12" x14ac:dyDescent="0.2">
      <c r="A302" s="124"/>
      <c r="B302" s="211"/>
      <c r="C302" s="223"/>
      <c r="D302" s="133"/>
      <c r="E302" s="135"/>
      <c r="F302" s="135"/>
      <c r="G302" s="135"/>
      <c r="H302" s="212"/>
      <c r="I302" s="136"/>
      <c r="J302" s="213"/>
      <c r="K302" s="217">
        <f t="shared" si="29"/>
        <v>0</v>
      </c>
      <c r="L302" s="218">
        <f t="shared" si="30"/>
        <v>0</v>
      </c>
    </row>
    <row r="303" spans="1:12" x14ac:dyDescent="0.2">
      <c r="A303" s="139"/>
      <c r="B303" s="211"/>
      <c r="C303" s="223" t="s">
        <v>117</v>
      </c>
      <c r="D303" s="133"/>
      <c r="E303" s="135"/>
      <c r="F303" s="135"/>
      <c r="G303" s="135"/>
      <c r="H303" s="216">
        <v>90</v>
      </c>
      <c r="I303" s="141" t="s">
        <v>128</v>
      </c>
      <c r="J303" s="217">
        <v>2346.8000000000002</v>
      </c>
      <c r="K303" s="217">
        <f t="shared" si="29"/>
        <v>1988.8135593220341</v>
      </c>
      <c r="L303" s="218">
        <f t="shared" si="30"/>
        <v>178993.22033898305</v>
      </c>
    </row>
    <row r="304" spans="1:12" ht="57" x14ac:dyDescent="0.2">
      <c r="A304" s="124">
        <v>16</v>
      </c>
      <c r="B304" s="291">
        <v>8.9</v>
      </c>
      <c r="C304" s="292" t="s">
        <v>325</v>
      </c>
      <c r="D304" s="119"/>
      <c r="E304" s="121"/>
      <c r="F304" s="121"/>
      <c r="G304" s="121"/>
      <c r="H304" s="263"/>
      <c r="I304" s="122"/>
      <c r="J304" s="209"/>
      <c r="K304" s="217">
        <f t="shared" si="29"/>
        <v>0</v>
      </c>
      <c r="L304" s="218">
        <f t="shared" si="30"/>
        <v>0</v>
      </c>
    </row>
    <row r="305" spans="1:12" ht="14.25" x14ac:dyDescent="0.2">
      <c r="A305" s="124"/>
      <c r="B305" s="293" t="s">
        <v>326</v>
      </c>
      <c r="C305" s="294" t="s">
        <v>327</v>
      </c>
      <c r="D305" s="127"/>
      <c r="E305" s="129"/>
      <c r="F305" s="129"/>
      <c r="G305" s="129"/>
      <c r="H305" s="264"/>
      <c r="I305" s="130"/>
      <c r="J305" s="240"/>
      <c r="K305" s="217">
        <f t="shared" si="29"/>
        <v>0</v>
      </c>
      <c r="L305" s="218">
        <f t="shared" si="30"/>
        <v>0</v>
      </c>
    </row>
    <row r="306" spans="1:12" ht="14.25" x14ac:dyDescent="0.2">
      <c r="A306" s="124"/>
      <c r="B306" s="293" t="s">
        <v>328</v>
      </c>
      <c r="C306" s="294" t="s">
        <v>329</v>
      </c>
      <c r="D306" s="127" t="s">
        <v>91</v>
      </c>
      <c r="E306" s="129" t="s">
        <v>91</v>
      </c>
      <c r="F306" s="129"/>
      <c r="G306" s="129" t="s">
        <v>91</v>
      </c>
      <c r="H306" s="264" t="s">
        <v>91</v>
      </c>
      <c r="I306" s="130"/>
      <c r="J306" s="240"/>
      <c r="K306" s="217">
        <f t="shared" si="29"/>
        <v>0</v>
      </c>
      <c r="L306" s="218">
        <v>0</v>
      </c>
    </row>
    <row r="307" spans="1:12" ht="14.25" x14ac:dyDescent="0.2">
      <c r="A307" s="124"/>
      <c r="B307" s="293"/>
      <c r="C307" s="278" t="s">
        <v>502</v>
      </c>
      <c r="D307" s="133">
        <v>4</v>
      </c>
      <c r="E307" s="135">
        <f>(3.2+2.5)*2-0.9</f>
        <v>10.5</v>
      </c>
      <c r="F307" s="135"/>
      <c r="G307" s="135">
        <v>0.1</v>
      </c>
      <c r="H307" s="242">
        <f>D307*E307*G307</f>
        <v>4.2</v>
      </c>
      <c r="I307" s="136"/>
      <c r="J307" s="213"/>
      <c r="K307" s="217">
        <f t="shared" si="29"/>
        <v>0</v>
      </c>
      <c r="L307" s="218">
        <f t="shared" si="30"/>
        <v>0</v>
      </c>
    </row>
    <row r="308" spans="1:12" ht="14.25" x14ac:dyDescent="0.2">
      <c r="A308" s="124"/>
      <c r="B308" s="293"/>
      <c r="C308" s="278" t="s">
        <v>330</v>
      </c>
      <c r="D308" s="133">
        <v>1</v>
      </c>
      <c r="E308" s="135">
        <f xml:space="preserve"> (6.075*2+8.35+2.275*2+4.8+2.8+5.825) -2.8+1.05*4</f>
        <v>39.875000000000007</v>
      </c>
      <c r="F308" s="135"/>
      <c r="G308" s="135">
        <v>0.1</v>
      </c>
      <c r="H308" s="242">
        <f>D308*E308*G308</f>
        <v>3.9875000000000007</v>
      </c>
      <c r="I308" s="136"/>
      <c r="J308" s="213"/>
      <c r="K308" s="217">
        <f t="shared" si="29"/>
        <v>0</v>
      </c>
      <c r="L308" s="218">
        <f t="shared" si="30"/>
        <v>0</v>
      </c>
    </row>
    <row r="309" spans="1:12" ht="14.25" x14ac:dyDescent="0.2">
      <c r="A309" s="124"/>
      <c r="B309" s="295"/>
      <c r="C309" s="296" t="s">
        <v>117</v>
      </c>
      <c r="D309" s="142"/>
      <c r="E309" s="145"/>
      <c r="F309" s="145"/>
      <c r="G309" s="145"/>
      <c r="H309" s="216">
        <v>8</v>
      </c>
      <c r="I309" s="141" t="s">
        <v>334</v>
      </c>
      <c r="J309" s="217">
        <v>3190.3</v>
      </c>
      <c r="K309" s="217">
        <f t="shared" si="29"/>
        <v>2703.6440677966102</v>
      </c>
      <c r="L309" s="218">
        <f t="shared" si="30"/>
        <v>21629.152542372882</v>
      </c>
    </row>
    <row r="310" spans="1:12" ht="58.5" customHeight="1" x14ac:dyDescent="0.2">
      <c r="A310" s="116">
        <v>17</v>
      </c>
      <c r="B310" s="291">
        <v>8.9</v>
      </c>
      <c r="C310" s="292" t="s">
        <v>325</v>
      </c>
      <c r="D310" s="119"/>
      <c r="E310" s="121"/>
      <c r="F310" s="121"/>
      <c r="G310" s="121"/>
      <c r="H310" s="263"/>
      <c r="I310" s="122"/>
      <c r="J310" s="209"/>
      <c r="K310" s="217">
        <f t="shared" si="29"/>
        <v>0</v>
      </c>
      <c r="L310" s="218">
        <f t="shared" si="30"/>
        <v>0</v>
      </c>
    </row>
    <row r="311" spans="1:12" ht="14.25" x14ac:dyDescent="0.2">
      <c r="A311" s="124"/>
      <c r="B311" s="293" t="s">
        <v>326</v>
      </c>
      <c r="C311" s="294" t="s">
        <v>327</v>
      </c>
      <c r="D311" s="127"/>
      <c r="E311" s="129"/>
      <c r="F311" s="129"/>
      <c r="G311" s="129"/>
      <c r="H311" s="264"/>
      <c r="I311" s="130"/>
      <c r="J311" s="240"/>
      <c r="K311" s="217">
        <f t="shared" si="29"/>
        <v>0</v>
      </c>
      <c r="L311" s="218">
        <f t="shared" si="30"/>
        <v>0</v>
      </c>
    </row>
    <row r="312" spans="1:12" ht="14.25" x14ac:dyDescent="0.2">
      <c r="A312" s="124"/>
      <c r="B312" s="293" t="s">
        <v>335</v>
      </c>
      <c r="C312" s="294" t="s">
        <v>336</v>
      </c>
      <c r="D312" s="127" t="s">
        <v>91</v>
      </c>
      <c r="E312" s="129" t="s">
        <v>91</v>
      </c>
      <c r="F312" s="129"/>
      <c r="G312" s="129" t="s">
        <v>91</v>
      </c>
      <c r="H312" s="264" t="s">
        <v>91</v>
      </c>
      <c r="I312" s="130"/>
      <c r="J312" s="240"/>
      <c r="K312" s="217">
        <f t="shared" si="29"/>
        <v>0</v>
      </c>
      <c r="L312" s="218">
        <v>0</v>
      </c>
    </row>
    <row r="313" spans="1:12" ht="14.25" x14ac:dyDescent="0.2">
      <c r="A313" s="124"/>
      <c r="B313" s="293"/>
      <c r="C313" s="278" t="s">
        <v>337</v>
      </c>
      <c r="D313" s="133">
        <v>1</v>
      </c>
      <c r="E313" s="135">
        <f>0.575*2</f>
        <v>1.1499999999999999</v>
      </c>
      <c r="F313" s="135"/>
      <c r="G313" s="135">
        <v>2.1</v>
      </c>
      <c r="H313" s="242">
        <f>D313*E313*G313</f>
        <v>2.415</v>
      </c>
      <c r="I313" s="136"/>
      <c r="J313" s="213"/>
      <c r="K313" s="217">
        <f t="shared" si="29"/>
        <v>0</v>
      </c>
      <c r="L313" s="218">
        <f t="shared" si="30"/>
        <v>0</v>
      </c>
    </row>
    <row r="314" spans="1:12" ht="14.25" x14ac:dyDescent="0.2">
      <c r="A314" s="139"/>
      <c r="B314" s="295"/>
      <c r="C314" s="296" t="s">
        <v>117</v>
      </c>
      <c r="D314" s="142"/>
      <c r="E314" s="145"/>
      <c r="F314" s="145"/>
      <c r="G314" s="145"/>
      <c r="H314" s="216">
        <v>2</v>
      </c>
      <c r="I314" s="141" t="s">
        <v>334</v>
      </c>
      <c r="J314" s="217">
        <v>3617.55</v>
      </c>
      <c r="K314" s="217">
        <f t="shared" si="29"/>
        <v>3065.7203389830506</v>
      </c>
      <c r="L314" s="218">
        <f t="shared" si="30"/>
        <v>6131.4406779661012</v>
      </c>
    </row>
    <row r="315" spans="1:12" ht="87.75" customHeight="1" x14ac:dyDescent="0.2">
      <c r="A315" s="116">
        <v>18</v>
      </c>
      <c r="B315" s="175">
        <v>11.27</v>
      </c>
      <c r="C315" s="118" t="s">
        <v>338</v>
      </c>
      <c r="D315" s="119"/>
      <c r="E315" s="271"/>
      <c r="F315" s="121"/>
      <c r="G315" s="121"/>
      <c r="H315" s="272"/>
      <c r="I315" s="254"/>
      <c r="J315" s="255"/>
      <c r="K315" s="217">
        <f t="shared" si="29"/>
        <v>0</v>
      </c>
      <c r="L315" s="218">
        <f t="shared" si="30"/>
        <v>0</v>
      </c>
    </row>
    <row r="316" spans="1:12" ht="14.25" x14ac:dyDescent="0.2">
      <c r="A316" s="124"/>
      <c r="B316" s="176"/>
      <c r="C316" s="287" t="s">
        <v>503</v>
      </c>
      <c r="D316" s="133">
        <v>20</v>
      </c>
      <c r="E316" s="135">
        <v>1.2</v>
      </c>
      <c r="F316" s="135"/>
      <c r="G316" s="135">
        <v>0.15</v>
      </c>
      <c r="H316" s="242">
        <f>D316*E316*G316</f>
        <v>3.5999999999999996</v>
      </c>
      <c r="I316" s="273"/>
      <c r="J316" s="274"/>
      <c r="K316" s="217">
        <f t="shared" si="29"/>
        <v>0</v>
      </c>
      <c r="L316" s="218">
        <f t="shared" si="30"/>
        <v>0</v>
      </c>
    </row>
    <row r="317" spans="1:12" ht="14.25" x14ac:dyDescent="0.2">
      <c r="A317" s="124"/>
      <c r="B317" s="176"/>
      <c r="C317" s="177" t="s">
        <v>340</v>
      </c>
      <c r="D317" s="133">
        <v>1</v>
      </c>
      <c r="E317" s="135">
        <v>2.5499999999999998</v>
      </c>
      <c r="F317" s="135"/>
      <c r="G317" s="135">
        <v>0.15</v>
      </c>
      <c r="H317" s="242">
        <f>D317*E317*G317</f>
        <v>0.38249999999999995</v>
      </c>
      <c r="I317" s="273"/>
      <c r="J317" s="274"/>
      <c r="K317" s="217">
        <f t="shared" si="29"/>
        <v>0</v>
      </c>
      <c r="L317" s="218">
        <f t="shared" si="30"/>
        <v>0</v>
      </c>
    </row>
    <row r="318" spans="1:12" ht="14.25" x14ac:dyDescent="0.2">
      <c r="A318" s="124"/>
      <c r="B318" s="176"/>
      <c r="C318" s="177" t="s">
        <v>340</v>
      </c>
      <c r="D318" s="133">
        <v>2</v>
      </c>
      <c r="E318" s="135">
        <v>1.2</v>
      </c>
      <c r="F318" s="135"/>
      <c r="G318" s="135">
        <v>0.15</v>
      </c>
      <c r="H318" s="242">
        <f>D318*E318*G318</f>
        <v>0.36</v>
      </c>
      <c r="I318" s="273"/>
      <c r="J318" s="274"/>
      <c r="K318" s="217">
        <f t="shared" si="29"/>
        <v>0</v>
      </c>
      <c r="L318" s="218">
        <f t="shared" si="30"/>
        <v>0</v>
      </c>
    </row>
    <row r="319" spans="1:12" ht="14.25" x14ac:dyDescent="0.2">
      <c r="A319" s="124"/>
      <c r="B319" s="176"/>
      <c r="C319" s="177" t="s">
        <v>341</v>
      </c>
      <c r="D319" s="133">
        <v>2</v>
      </c>
      <c r="E319" s="135">
        <v>4</v>
      </c>
      <c r="F319" s="135"/>
      <c r="G319" s="135">
        <v>0.15</v>
      </c>
      <c r="H319" s="242">
        <f>D319*E319*G319</f>
        <v>1.2</v>
      </c>
      <c r="I319" s="273"/>
      <c r="J319" s="274"/>
      <c r="K319" s="217">
        <f t="shared" si="29"/>
        <v>0</v>
      </c>
      <c r="L319" s="218">
        <f t="shared" si="30"/>
        <v>0</v>
      </c>
    </row>
    <row r="320" spans="1:12" ht="14.25" x14ac:dyDescent="0.2">
      <c r="A320" s="139"/>
      <c r="B320" s="280"/>
      <c r="C320" s="281" t="s">
        <v>207</v>
      </c>
      <c r="D320" s="142"/>
      <c r="E320" s="233"/>
      <c r="F320" s="145"/>
      <c r="G320" s="145"/>
      <c r="H320" s="282">
        <v>5</v>
      </c>
      <c r="I320" s="268" t="s">
        <v>278</v>
      </c>
      <c r="J320" s="269">
        <v>2354.6999999999998</v>
      </c>
      <c r="K320" s="217">
        <f t="shared" si="29"/>
        <v>1995.5084745762708</v>
      </c>
      <c r="L320" s="218">
        <f t="shared" si="30"/>
        <v>9977.5423728813548</v>
      </c>
    </row>
    <row r="321" spans="1:12" ht="25.5" x14ac:dyDescent="0.2">
      <c r="A321" s="116">
        <v>19</v>
      </c>
      <c r="B321" s="206" t="s">
        <v>343</v>
      </c>
      <c r="C321" s="207" t="s">
        <v>344</v>
      </c>
      <c r="D321" s="117"/>
      <c r="E321" s="328"/>
      <c r="F321" s="117"/>
      <c r="G321" s="329"/>
      <c r="H321" s="253"/>
      <c r="I321" s="254"/>
      <c r="J321" s="255"/>
      <c r="K321" s="217">
        <f t="shared" si="29"/>
        <v>0</v>
      </c>
      <c r="L321" s="218">
        <f t="shared" si="30"/>
        <v>0</v>
      </c>
    </row>
    <row r="322" spans="1:12" x14ac:dyDescent="0.2">
      <c r="A322" s="124"/>
      <c r="B322" s="211"/>
      <c r="C322" s="225" t="s">
        <v>491</v>
      </c>
      <c r="D322" s="226">
        <v>4</v>
      </c>
      <c r="E322" s="227">
        <f>(5+3.3)*2-1.05+0.6+2.75</f>
        <v>18.900000000000002</v>
      </c>
      <c r="F322" s="227"/>
      <c r="G322" s="135">
        <v>0.1</v>
      </c>
      <c r="H322" s="212">
        <f t="shared" ref="H322:H327" si="32">G322*E322*D322</f>
        <v>7.5600000000000014</v>
      </c>
      <c r="I322" s="136"/>
      <c r="J322" s="213"/>
      <c r="K322" s="217">
        <f t="shared" si="29"/>
        <v>0</v>
      </c>
      <c r="L322" s="218">
        <f t="shared" si="30"/>
        <v>0</v>
      </c>
    </row>
    <row r="323" spans="1:12" x14ac:dyDescent="0.2">
      <c r="A323" s="124"/>
      <c r="B323" s="211"/>
      <c r="C323" s="225" t="s">
        <v>492</v>
      </c>
      <c r="D323" s="226">
        <v>4</v>
      </c>
      <c r="E323" s="227">
        <f>(2.75+3.22)*2-2.75+0.9+1.6</f>
        <v>11.690000000000001</v>
      </c>
      <c r="F323" s="227"/>
      <c r="G323" s="135">
        <v>0.1</v>
      </c>
      <c r="H323" s="212">
        <f t="shared" si="32"/>
        <v>4.676000000000001</v>
      </c>
      <c r="I323" s="136"/>
      <c r="J323" s="213"/>
      <c r="K323" s="217">
        <f t="shared" si="29"/>
        <v>0</v>
      </c>
      <c r="L323" s="218">
        <f t="shared" si="30"/>
        <v>0</v>
      </c>
    </row>
    <row r="324" spans="1:12" x14ac:dyDescent="0.2">
      <c r="A324" s="124"/>
      <c r="B324" s="211"/>
      <c r="C324" s="225" t="s">
        <v>493</v>
      </c>
      <c r="D324" s="226">
        <v>4</v>
      </c>
      <c r="E324" s="227">
        <f>(3.2+3.6)*2-1+2.4</f>
        <v>15.000000000000002</v>
      </c>
      <c r="F324" s="227"/>
      <c r="G324" s="135">
        <v>0.1</v>
      </c>
      <c r="H324" s="212">
        <f t="shared" si="32"/>
        <v>6.0000000000000009</v>
      </c>
      <c r="I324" s="136"/>
      <c r="J324" s="213"/>
      <c r="K324" s="217">
        <f t="shared" si="29"/>
        <v>0</v>
      </c>
      <c r="L324" s="218">
        <f t="shared" si="30"/>
        <v>0</v>
      </c>
    </row>
    <row r="325" spans="1:12" x14ac:dyDescent="0.2">
      <c r="A325" s="124"/>
      <c r="B325" s="211"/>
      <c r="C325" s="225" t="s">
        <v>493</v>
      </c>
      <c r="D325" s="226">
        <v>4</v>
      </c>
      <c r="E325" s="227">
        <f>(3.6+3.3)*2-1+2.4+0.75</f>
        <v>15.950000000000001</v>
      </c>
      <c r="F325" s="227"/>
      <c r="G325" s="135">
        <v>0.1</v>
      </c>
      <c r="H325" s="212">
        <f t="shared" si="32"/>
        <v>6.3800000000000008</v>
      </c>
      <c r="I325" s="136"/>
      <c r="J325" s="213"/>
      <c r="K325" s="217">
        <f t="shared" si="29"/>
        <v>0</v>
      </c>
      <c r="L325" s="218">
        <f t="shared" si="30"/>
        <v>0</v>
      </c>
    </row>
    <row r="326" spans="1:12" x14ac:dyDescent="0.2">
      <c r="A326" s="124"/>
      <c r="B326" s="211"/>
      <c r="C326" s="225" t="s">
        <v>494</v>
      </c>
      <c r="D326" s="226">
        <v>4</v>
      </c>
      <c r="E326" s="227">
        <f>(1.6+1.35)*2-1.6+1*2+0.75</f>
        <v>7.0500000000000007</v>
      </c>
      <c r="F326" s="227"/>
      <c r="G326" s="135">
        <v>0.1</v>
      </c>
      <c r="H326" s="212">
        <f t="shared" si="32"/>
        <v>2.8200000000000003</v>
      </c>
      <c r="I326" s="136"/>
      <c r="J326" s="213"/>
      <c r="K326" s="217">
        <f t="shared" si="29"/>
        <v>0</v>
      </c>
      <c r="L326" s="218">
        <f t="shared" si="30"/>
        <v>0</v>
      </c>
    </row>
    <row r="327" spans="1:12" x14ac:dyDescent="0.2">
      <c r="A327" s="124"/>
      <c r="B327" s="211"/>
      <c r="C327" s="225" t="s">
        <v>495</v>
      </c>
      <c r="D327" s="226">
        <v>4</v>
      </c>
      <c r="E327" s="227">
        <f>2.13+0.6*2</f>
        <v>3.33</v>
      </c>
      <c r="F327" s="227"/>
      <c r="G327" s="135">
        <v>0.1</v>
      </c>
      <c r="H327" s="212">
        <f t="shared" si="32"/>
        <v>1.3320000000000001</v>
      </c>
      <c r="I327" s="136"/>
      <c r="J327" s="213"/>
      <c r="K327" s="217">
        <f t="shared" si="29"/>
        <v>0</v>
      </c>
      <c r="L327" s="218">
        <f t="shared" si="30"/>
        <v>0</v>
      </c>
    </row>
    <row r="328" spans="1:12" x14ac:dyDescent="0.2">
      <c r="A328" s="124"/>
      <c r="B328" s="211"/>
      <c r="C328" s="225"/>
      <c r="D328" s="133"/>
      <c r="E328" s="135"/>
      <c r="F328" s="135"/>
      <c r="G328" s="135"/>
      <c r="H328" s="212"/>
      <c r="I328" s="273"/>
      <c r="J328" s="274"/>
      <c r="K328" s="217">
        <f t="shared" si="29"/>
        <v>0</v>
      </c>
      <c r="L328" s="218">
        <f t="shared" si="30"/>
        <v>0</v>
      </c>
    </row>
    <row r="329" spans="1:12" x14ac:dyDescent="0.2">
      <c r="A329" s="139"/>
      <c r="B329" s="215"/>
      <c r="C329" s="299" t="s">
        <v>207</v>
      </c>
      <c r="D329" s="142"/>
      <c r="E329" s="145"/>
      <c r="F329" s="145"/>
      <c r="G329" s="145"/>
      <c r="H329" s="216">
        <v>25</v>
      </c>
      <c r="I329" s="268" t="s">
        <v>334</v>
      </c>
      <c r="J329" s="269">
        <v>1623.05</v>
      </c>
      <c r="K329" s="217">
        <f t="shared" si="29"/>
        <v>1375.4661016949153</v>
      </c>
      <c r="L329" s="218">
        <f t="shared" si="30"/>
        <v>34386.652542372882</v>
      </c>
    </row>
    <row r="330" spans="1:12" ht="28.5" customHeight="1" x14ac:dyDescent="0.2">
      <c r="A330" s="116">
        <v>20</v>
      </c>
      <c r="B330" s="206">
        <v>8.31</v>
      </c>
      <c r="C330" s="219" t="s">
        <v>345</v>
      </c>
      <c r="D330" s="119"/>
      <c r="E330" s="121"/>
      <c r="F330" s="121"/>
      <c r="G330" s="121"/>
      <c r="H330" s="208"/>
      <c r="I330" s="122"/>
      <c r="J330" s="209"/>
      <c r="K330" s="217">
        <f t="shared" ref="K330:K393" si="33">J330*100/118</f>
        <v>0</v>
      </c>
      <c r="L330" s="218">
        <f t="shared" ref="L330:L393" si="34">K330*H330</f>
        <v>0</v>
      </c>
    </row>
    <row r="331" spans="1:12" x14ac:dyDescent="0.2">
      <c r="A331" s="124"/>
      <c r="B331" s="211"/>
      <c r="C331" s="220" t="s">
        <v>322</v>
      </c>
      <c r="D331" s="133">
        <v>4</v>
      </c>
      <c r="E331" s="301">
        <f>(1.6+2.25)*2-0.75</f>
        <v>6.95</v>
      </c>
      <c r="F331" s="135">
        <v>2.25</v>
      </c>
      <c r="G331" s="301">
        <v>2.1</v>
      </c>
      <c r="H331" s="302">
        <f>D331*E331*G331</f>
        <v>58.38</v>
      </c>
      <c r="I331" s="136"/>
      <c r="J331" s="213"/>
      <c r="K331" s="217">
        <f t="shared" si="33"/>
        <v>0</v>
      </c>
      <c r="L331" s="218">
        <f t="shared" si="34"/>
        <v>0</v>
      </c>
    </row>
    <row r="332" spans="1:12" x14ac:dyDescent="0.2">
      <c r="A332" s="124"/>
      <c r="B332" s="211"/>
      <c r="C332" s="220" t="s">
        <v>322</v>
      </c>
      <c r="D332" s="133">
        <v>4</v>
      </c>
      <c r="E332" s="301">
        <f>(1.62+2.15)*2-0.75</f>
        <v>6.79</v>
      </c>
      <c r="F332" s="135">
        <v>2.15</v>
      </c>
      <c r="G332" s="301">
        <v>2.1</v>
      </c>
      <c r="H332" s="302">
        <f>D332*E332*G332</f>
        <v>57.036000000000001</v>
      </c>
      <c r="I332" s="136"/>
      <c r="J332" s="213"/>
      <c r="K332" s="217">
        <f t="shared" si="33"/>
        <v>0</v>
      </c>
      <c r="L332" s="218">
        <f t="shared" si="34"/>
        <v>0</v>
      </c>
    </row>
    <row r="333" spans="1:12" x14ac:dyDescent="0.2">
      <c r="A333" s="124"/>
      <c r="B333" s="211"/>
      <c r="C333" s="220" t="s">
        <v>496</v>
      </c>
      <c r="D333" s="133">
        <v>8</v>
      </c>
      <c r="E333" s="301">
        <f>(1.5+3.3)*2-2.4</f>
        <v>7.1999999999999993</v>
      </c>
      <c r="F333" s="135">
        <v>1.5</v>
      </c>
      <c r="G333" s="301">
        <v>2.1</v>
      </c>
      <c r="H333" s="302">
        <f>D333*E333*G333</f>
        <v>120.96</v>
      </c>
      <c r="I333" s="136"/>
      <c r="J333" s="213"/>
      <c r="K333" s="217">
        <f t="shared" si="33"/>
        <v>0</v>
      </c>
      <c r="L333" s="218">
        <f t="shared" si="34"/>
        <v>0</v>
      </c>
    </row>
    <row r="334" spans="1:12" x14ac:dyDescent="0.2">
      <c r="A334" s="124"/>
      <c r="B334" s="211"/>
      <c r="C334" s="220" t="s">
        <v>497</v>
      </c>
      <c r="D334" s="133">
        <v>4</v>
      </c>
      <c r="E334" s="301">
        <f>(3.3+1.8)*2-0.9</f>
        <v>9.2999999999999989</v>
      </c>
      <c r="F334" s="135">
        <v>1.65</v>
      </c>
      <c r="G334" s="301">
        <v>2.1</v>
      </c>
      <c r="H334" s="302">
        <f>D334*E334*G334</f>
        <v>78.11999999999999</v>
      </c>
      <c r="I334" s="136"/>
      <c r="J334" s="213"/>
      <c r="K334" s="217">
        <f t="shared" si="33"/>
        <v>0</v>
      </c>
      <c r="L334" s="218">
        <f t="shared" si="34"/>
        <v>0</v>
      </c>
    </row>
    <row r="335" spans="1:12" x14ac:dyDescent="0.2">
      <c r="A335" s="139"/>
      <c r="B335" s="215"/>
      <c r="C335" s="141" t="s">
        <v>117</v>
      </c>
      <c r="D335" s="142"/>
      <c r="E335" s="145"/>
      <c r="F335" s="145"/>
      <c r="G335" s="145"/>
      <c r="H335" s="216">
        <v>250</v>
      </c>
      <c r="I335" s="141" t="s">
        <v>128</v>
      </c>
      <c r="J335" s="217">
        <v>1267.95</v>
      </c>
      <c r="K335" s="217">
        <f t="shared" si="33"/>
        <v>1074.5338983050847</v>
      </c>
      <c r="L335" s="218">
        <f t="shared" si="34"/>
        <v>268633.4745762712</v>
      </c>
    </row>
    <row r="336" spans="1:12" ht="51" x14ac:dyDescent="0.2">
      <c r="A336" s="116">
        <v>21</v>
      </c>
      <c r="B336" s="206">
        <v>9.1</v>
      </c>
      <c r="C336" s="219" t="s">
        <v>346</v>
      </c>
      <c r="D336" s="119"/>
      <c r="E336" s="121"/>
      <c r="F336" s="121"/>
      <c r="G336" s="121"/>
      <c r="H336" s="208"/>
      <c r="I336" s="122"/>
      <c r="J336" s="209"/>
      <c r="K336" s="217">
        <f t="shared" si="33"/>
        <v>0</v>
      </c>
      <c r="L336" s="218">
        <f t="shared" si="34"/>
        <v>0</v>
      </c>
    </row>
    <row r="337" spans="1:12" x14ac:dyDescent="0.2">
      <c r="A337" s="124"/>
      <c r="B337" s="211"/>
      <c r="C337" s="266" t="s">
        <v>347</v>
      </c>
      <c r="D337" s="127"/>
      <c r="E337" s="129"/>
      <c r="F337" s="129"/>
      <c r="G337" s="129"/>
      <c r="H337" s="239"/>
      <c r="I337" s="130"/>
      <c r="J337" s="240"/>
      <c r="K337" s="217">
        <f t="shared" si="33"/>
        <v>0</v>
      </c>
      <c r="L337" s="218">
        <f t="shared" si="34"/>
        <v>0</v>
      </c>
    </row>
    <row r="338" spans="1:12" ht="31.5" customHeight="1" x14ac:dyDescent="0.2">
      <c r="A338" s="124"/>
      <c r="B338" s="211" t="s">
        <v>348</v>
      </c>
      <c r="C338" s="289" t="s">
        <v>349</v>
      </c>
      <c r="D338" s="127"/>
      <c r="E338" s="129"/>
      <c r="F338" s="129"/>
      <c r="G338" s="129"/>
      <c r="H338" s="239"/>
      <c r="I338" s="130"/>
      <c r="J338" s="240"/>
      <c r="K338" s="217">
        <f t="shared" si="33"/>
        <v>0</v>
      </c>
      <c r="L338" s="218">
        <f t="shared" si="34"/>
        <v>0</v>
      </c>
    </row>
    <row r="339" spans="1:12" ht="14.25" customHeight="1" x14ac:dyDescent="0.2">
      <c r="A339" s="124"/>
      <c r="B339" s="211"/>
      <c r="C339" s="330" t="s">
        <v>418</v>
      </c>
      <c r="D339" s="133">
        <v>4</v>
      </c>
      <c r="E339" s="135">
        <f>2.4*2+1.05*2</f>
        <v>6.9</v>
      </c>
      <c r="F339" s="135">
        <v>0.125</v>
      </c>
      <c r="G339" s="135">
        <v>6.25E-2</v>
      </c>
      <c r="H339" s="303">
        <f>G339*F339*E339*D339</f>
        <v>0.21562500000000001</v>
      </c>
      <c r="I339" s="136"/>
      <c r="J339" s="213"/>
      <c r="K339" s="217">
        <f t="shared" si="33"/>
        <v>0</v>
      </c>
      <c r="L339" s="218">
        <f t="shared" si="34"/>
        <v>0</v>
      </c>
    </row>
    <row r="340" spans="1:12" ht="14.25" customHeight="1" x14ac:dyDescent="0.2">
      <c r="A340" s="124"/>
      <c r="B340" s="211"/>
      <c r="C340" s="330" t="s">
        <v>293</v>
      </c>
      <c r="D340" s="133">
        <v>8</v>
      </c>
      <c r="E340" s="135">
        <f>2.1*2+1</f>
        <v>5.2</v>
      </c>
      <c r="F340" s="135">
        <v>0.125</v>
      </c>
      <c r="G340" s="135">
        <v>6.25E-2</v>
      </c>
      <c r="H340" s="303">
        <f>G340*F340*E340*D340</f>
        <v>0.32500000000000001</v>
      </c>
      <c r="I340" s="136"/>
      <c r="J340" s="213"/>
      <c r="K340" s="217">
        <f t="shared" si="33"/>
        <v>0</v>
      </c>
      <c r="L340" s="218">
        <f t="shared" si="34"/>
        <v>0</v>
      </c>
    </row>
    <row r="341" spans="1:12" ht="14.25" customHeight="1" x14ac:dyDescent="0.2">
      <c r="A341" s="124"/>
      <c r="B341" s="211"/>
      <c r="C341" s="220" t="s">
        <v>504</v>
      </c>
      <c r="D341" s="133">
        <v>4</v>
      </c>
      <c r="E341" s="135">
        <f>2.1*2+0.9</f>
        <v>5.1000000000000005</v>
      </c>
      <c r="F341" s="135">
        <v>0.125</v>
      </c>
      <c r="G341" s="135">
        <v>6.25E-2</v>
      </c>
      <c r="H341" s="303">
        <f>G341*F341*E341*D341</f>
        <v>0.15937500000000002</v>
      </c>
      <c r="I341" s="136"/>
      <c r="J341" s="213"/>
      <c r="K341" s="217">
        <f t="shared" si="33"/>
        <v>0</v>
      </c>
      <c r="L341" s="218">
        <f t="shared" si="34"/>
        <v>0</v>
      </c>
    </row>
    <row r="342" spans="1:12" ht="14.25" customHeight="1" x14ac:dyDescent="0.2">
      <c r="A342" s="124"/>
      <c r="B342" s="211"/>
      <c r="C342" s="220" t="s">
        <v>223</v>
      </c>
      <c r="D342" s="133">
        <v>8</v>
      </c>
      <c r="E342" s="135">
        <f>2.1*2+0.75</f>
        <v>4.95</v>
      </c>
      <c r="F342" s="135">
        <v>0.125</v>
      </c>
      <c r="G342" s="135">
        <v>6.25E-2</v>
      </c>
      <c r="H342" s="303">
        <f>G342*F342*E342*D342</f>
        <v>0.30937500000000001</v>
      </c>
      <c r="I342" s="136"/>
      <c r="J342" s="213"/>
      <c r="K342" s="217">
        <f t="shared" si="33"/>
        <v>0</v>
      </c>
      <c r="L342" s="218">
        <f t="shared" si="34"/>
        <v>0</v>
      </c>
    </row>
    <row r="343" spans="1:12" ht="14.25" customHeight="1" x14ac:dyDescent="0.2">
      <c r="A343" s="124"/>
      <c r="B343" s="211"/>
      <c r="C343" s="220" t="s">
        <v>505</v>
      </c>
      <c r="D343" s="133">
        <v>4</v>
      </c>
      <c r="E343" s="135">
        <f>2.4*2+0.9*2</f>
        <v>6.6</v>
      </c>
      <c r="F343" s="135">
        <v>0.125</v>
      </c>
      <c r="G343" s="135">
        <v>6.25E-2</v>
      </c>
      <c r="H343" s="303">
        <f>G343*F343*E343*D343</f>
        <v>0.20624999999999999</v>
      </c>
      <c r="I343" s="136"/>
      <c r="J343" s="213"/>
      <c r="K343" s="217">
        <f t="shared" si="33"/>
        <v>0</v>
      </c>
      <c r="L343" s="218">
        <f t="shared" si="34"/>
        <v>0</v>
      </c>
    </row>
    <row r="344" spans="1:12" x14ac:dyDescent="0.2">
      <c r="A344" s="139"/>
      <c r="B344" s="215"/>
      <c r="C344" s="141" t="s">
        <v>117</v>
      </c>
      <c r="D344" s="142"/>
      <c r="E344" s="145"/>
      <c r="F344" s="145"/>
      <c r="G344" s="145"/>
      <c r="H344" s="216">
        <v>1</v>
      </c>
      <c r="I344" s="141" t="s">
        <v>118</v>
      </c>
      <c r="J344" s="217">
        <v>116520.3</v>
      </c>
      <c r="K344" s="217">
        <f t="shared" si="33"/>
        <v>98746.016949152545</v>
      </c>
      <c r="L344" s="218">
        <f t="shared" si="34"/>
        <v>98746.016949152545</v>
      </c>
    </row>
    <row r="345" spans="1:12" ht="146.25" customHeight="1" x14ac:dyDescent="0.2">
      <c r="A345" s="116">
        <v>22</v>
      </c>
      <c r="B345" s="206">
        <v>9.1310000000000002</v>
      </c>
      <c r="C345" s="288" t="s">
        <v>351</v>
      </c>
      <c r="D345" s="119"/>
      <c r="E345" s="121"/>
      <c r="F345" s="121"/>
      <c r="G345" s="121"/>
      <c r="H345" s="208"/>
      <c r="I345" s="122"/>
      <c r="J345" s="209"/>
      <c r="K345" s="217">
        <f t="shared" si="33"/>
        <v>0</v>
      </c>
      <c r="L345" s="218">
        <f t="shared" si="34"/>
        <v>0</v>
      </c>
    </row>
    <row r="346" spans="1:12" x14ac:dyDescent="0.2">
      <c r="A346" s="124"/>
      <c r="B346" s="211" t="s">
        <v>352</v>
      </c>
      <c r="C346" s="289" t="s">
        <v>353</v>
      </c>
      <c r="D346" s="127"/>
      <c r="E346" s="129"/>
      <c r="F346" s="129"/>
      <c r="G346" s="129"/>
      <c r="H346" s="239"/>
      <c r="I346" s="130"/>
      <c r="J346" s="240"/>
      <c r="K346" s="217">
        <f t="shared" si="33"/>
        <v>0</v>
      </c>
      <c r="L346" s="218">
        <f t="shared" si="34"/>
        <v>0</v>
      </c>
    </row>
    <row r="347" spans="1:12" ht="14.25" customHeight="1" x14ac:dyDescent="0.2">
      <c r="A347" s="124"/>
      <c r="B347" s="211"/>
      <c r="C347" s="220" t="s">
        <v>223</v>
      </c>
      <c r="D347" s="133">
        <v>8</v>
      </c>
      <c r="E347" s="135">
        <v>0.75</v>
      </c>
      <c r="F347" s="135"/>
      <c r="G347" s="135">
        <v>2.1</v>
      </c>
      <c r="H347" s="303">
        <f>D347*E347*G347</f>
        <v>12.600000000000001</v>
      </c>
      <c r="I347" s="136"/>
      <c r="J347" s="213"/>
      <c r="K347" s="217">
        <f t="shared" si="33"/>
        <v>0</v>
      </c>
      <c r="L347" s="218">
        <f t="shared" si="34"/>
        <v>0</v>
      </c>
    </row>
    <row r="348" spans="1:12" ht="14.25" customHeight="1" x14ac:dyDescent="0.2">
      <c r="A348" s="124"/>
      <c r="B348" s="211"/>
      <c r="C348" s="220" t="s">
        <v>505</v>
      </c>
      <c r="D348" s="133">
        <v>4</v>
      </c>
      <c r="E348" s="135">
        <v>0.9</v>
      </c>
      <c r="F348" s="135"/>
      <c r="G348" s="135">
        <v>2.1</v>
      </c>
      <c r="H348" s="303">
        <f>D348*E348*G348</f>
        <v>7.5600000000000005</v>
      </c>
      <c r="I348" s="136"/>
      <c r="J348" s="213"/>
      <c r="K348" s="217">
        <f t="shared" si="33"/>
        <v>0</v>
      </c>
      <c r="L348" s="218">
        <f t="shared" si="34"/>
        <v>0</v>
      </c>
    </row>
    <row r="349" spans="1:12" x14ac:dyDescent="0.2">
      <c r="A349" s="139"/>
      <c r="B349" s="215"/>
      <c r="C349" s="141" t="s">
        <v>117</v>
      </c>
      <c r="D349" s="142"/>
      <c r="E349" s="145"/>
      <c r="F349" s="145"/>
      <c r="G349" s="145"/>
      <c r="H349" s="216">
        <v>19</v>
      </c>
      <c r="I349" s="141" t="s">
        <v>334</v>
      </c>
      <c r="J349" s="217">
        <v>1801.6</v>
      </c>
      <c r="K349" s="217">
        <f t="shared" si="33"/>
        <v>1526.7796610169491</v>
      </c>
      <c r="L349" s="218">
        <f t="shared" si="34"/>
        <v>29008.813559322032</v>
      </c>
    </row>
    <row r="350" spans="1:12" ht="39" customHeight="1" x14ac:dyDescent="0.2">
      <c r="A350" s="116">
        <v>23</v>
      </c>
      <c r="B350" s="206">
        <v>9.1319999999999997</v>
      </c>
      <c r="C350" s="304" t="s">
        <v>354</v>
      </c>
      <c r="D350" s="119"/>
      <c r="E350" s="121"/>
      <c r="F350" s="121"/>
      <c r="G350" s="121"/>
      <c r="H350" s="263"/>
      <c r="I350" s="122"/>
      <c r="J350" s="209"/>
      <c r="K350" s="217">
        <f t="shared" si="33"/>
        <v>0</v>
      </c>
      <c r="L350" s="218">
        <f t="shared" si="34"/>
        <v>0</v>
      </c>
    </row>
    <row r="351" spans="1:12" x14ac:dyDescent="0.2">
      <c r="A351" s="124"/>
      <c r="B351" s="211"/>
      <c r="C351" s="220" t="s">
        <v>223</v>
      </c>
      <c r="D351" s="133">
        <v>8</v>
      </c>
      <c r="E351" s="135">
        <f>2.1*2+0.75</f>
        <v>4.95</v>
      </c>
      <c r="F351" s="135"/>
      <c r="G351" s="135"/>
      <c r="H351" s="134">
        <f>D351*E351</f>
        <v>39.6</v>
      </c>
      <c r="I351" s="136"/>
      <c r="J351" s="213"/>
      <c r="K351" s="217">
        <f t="shared" si="33"/>
        <v>0</v>
      </c>
      <c r="L351" s="218">
        <f t="shared" si="34"/>
        <v>0</v>
      </c>
    </row>
    <row r="352" spans="1:12" x14ac:dyDescent="0.2">
      <c r="A352" s="124"/>
      <c r="B352" s="211"/>
      <c r="C352" s="220" t="s">
        <v>505</v>
      </c>
      <c r="D352" s="133">
        <v>4</v>
      </c>
      <c r="E352" s="135">
        <f>2.1*2+0.9</f>
        <v>5.1000000000000005</v>
      </c>
      <c r="F352" s="135"/>
      <c r="G352" s="135"/>
      <c r="H352" s="134">
        <f>D352*E352</f>
        <v>20.400000000000002</v>
      </c>
      <c r="I352" s="136"/>
      <c r="J352" s="213"/>
      <c r="K352" s="217">
        <f t="shared" si="33"/>
        <v>0</v>
      </c>
      <c r="L352" s="218">
        <f t="shared" si="34"/>
        <v>0</v>
      </c>
    </row>
    <row r="353" spans="1:12" x14ac:dyDescent="0.2">
      <c r="A353" s="139"/>
      <c r="B353" s="215"/>
      <c r="C353" s="141" t="s">
        <v>117</v>
      </c>
      <c r="D353" s="142">
        <f>SUM(D351:D352)</f>
        <v>12</v>
      </c>
      <c r="E353" s="145"/>
      <c r="F353" s="145"/>
      <c r="G353" s="145"/>
      <c r="H353" s="216">
        <f>( H351+H352)*0.5</f>
        <v>30</v>
      </c>
      <c r="I353" s="141" t="s">
        <v>355</v>
      </c>
      <c r="J353" s="217">
        <v>596.15</v>
      </c>
      <c r="K353" s="217">
        <f t="shared" si="33"/>
        <v>505.21186440677968</v>
      </c>
      <c r="L353" s="218">
        <f t="shared" si="34"/>
        <v>15156.355932203391</v>
      </c>
    </row>
    <row r="354" spans="1:12" ht="85.5" x14ac:dyDescent="0.2">
      <c r="A354" s="331">
        <v>24</v>
      </c>
      <c r="B354" s="332">
        <v>9.2100000000000009</v>
      </c>
      <c r="C354" s="333" t="s">
        <v>506</v>
      </c>
      <c r="D354" s="148"/>
      <c r="E354" s="152"/>
      <c r="F354" s="152"/>
      <c r="G354" s="152"/>
      <c r="H354" s="334"/>
      <c r="I354" s="151"/>
      <c r="J354" s="275"/>
      <c r="K354" s="217">
        <f t="shared" si="33"/>
        <v>0</v>
      </c>
      <c r="L354" s="218">
        <f t="shared" si="34"/>
        <v>0</v>
      </c>
    </row>
    <row r="355" spans="1:12" ht="25.5" x14ac:dyDescent="0.2">
      <c r="A355" s="331"/>
      <c r="B355" s="332" t="s">
        <v>358</v>
      </c>
      <c r="C355" s="173" t="s">
        <v>359</v>
      </c>
      <c r="D355" s="148"/>
      <c r="E355" s="152"/>
      <c r="F355" s="152"/>
      <c r="G355" s="152"/>
      <c r="H355" s="334"/>
      <c r="I355" s="151"/>
      <c r="J355" s="275"/>
      <c r="K355" s="217">
        <f t="shared" si="33"/>
        <v>0</v>
      </c>
      <c r="L355" s="218">
        <f t="shared" si="34"/>
        <v>0</v>
      </c>
    </row>
    <row r="356" spans="1:12" x14ac:dyDescent="0.2">
      <c r="A356" s="331"/>
      <c r="B356" s="332"/>
      <c r="C356" s="173" t="s">
        <v>418</v>
      </c>
      <c r="D356" s="148">
        <v>4</v>
      </c>
      <c r="E356" s="152">
        <v>1.05</v>
      </c>
      <c r="F356" s="152"/>
      <c r="G356" s="152">
        <v>2.1</v>
      </c>
      <c r="H356" s="335">
        <f>D356*E356*G356</f>
        <v>8.82</v>
      </c>
      <c r="I356" s="151"/>
      <c r="J356" s="275"/>
      <c r="K356" s="217">
        <f t="shared" si="33"/>
        <v>0</v>
      </c>
      <c r="L356" s="218">
        <f t="shared" si="34"/>
        <v>0</v>
      </c>
    </row>
    <row r="357" spans="1:12" x14ac:dyDescent="0.2">
      <c r="A357" s="331"/>
      <c r="B357" s="332"/>
      <c r="C357" s="173" t="s">
        <v>293</v>
      </c>
      <c r="D357" s="148">
        <v>8</v>
      </c>
      <c r="E357" s="152">
        <v>1</v>
      </c>
      <c r="F357" s="152"/>
      <c r="G357" s="152">
        <v>2.1</v>
      </c>
      <c r="H357" s="335">
        <f>D357*E357*G357</f>
        <v>16.8</v>
      </c>
      <c r="I357" s="151"/>
      <c r="J357" s="275"/>
      <c r="K357" s="217">
        <f t="shared" si="33"/>
        <v>0</v>
      </c>
      <c r="L357" s="218">
        <f t="shared" si="34"/>
        <v>0</v>
      </c>
    </row>
    <row r="358" spans="1:12" x14ac:dyDescent="0.2">
      <c r="A358" s="331"/>
      <c r="B358" s="332"/>
      <c r="C358" s="173" t="s">
        <v>222</v>
      </c>
      <c r="D358" s="148">
        <v>4</v>
      </c>
      <c r="E358" s="152">
        <v>0.9</v>
      </c>
      <c r="F358" s="152"/>
      <c r="G358" s="152">
        <v>2.1</v>
      </c>
      <c r="H358" s="335">
        <f>D358*E358*G358</f>
        <v>7.5600000000000005</v>
      </c>
      <c r="I358" s="165"/>
      <c r="J358" s="336"/>
      <c r="K358" s="217">
        <f t="shared" si="33"/>
        <v>0</v>
      </c>
      <c r="L358" s="218">
        <f t="shared" si="34"/>
        <v>0</v>
      </c>
    </row>
    <row r="359" spans="1:12" x14ac:dyDescent="0.2">
      <c r="A359" s="331"/>
      <c r="B359" s="332"/>
      <c r="C359" s="337"/>
      <c r="D359" s="156"/>
      <c r="E359" s="159"/>
      <c r="F359" s="159"/>
      <c r="G359" s="159"/>
      <c r="H359" s="338">
        <v>30</v>
      </c>
      <c r="I359" s="155" t="s">
        <v>334</v>
      </c>
      <c r="J359" s="339">
        <v>2392.65</v>
      </c>
      <c r="K359" s="217">
        <f t="shared" si="33"/>
        <v>2027.6694915254238</v>
      </c>
      <c r="L359" s="218">
        <f t="shared" si="34"/>
        <v>60830.084745762717</v>
      </c>
    </row>
    <row r="360" spans="1:12" ht="315.75" customHeight="1" x14ac:dyDescent="0.2">
      <c r="A360" s="116">
        <v>25</v>
      </c>
      <c r="B360" s="206" t="s">
        <v>360</v>
      </c>
      <c r="C360" s="290" t="s">
        <v>361</v>
      </c>
      <c r="D360" s="116"/>
      <c r="E360" s="252"/>
      <c r="F360" s="252"/>
      <c r="G360" s="252"/>
      <c r="H360" s="272"/>
      <c r="I360" s="254"/>
      <c r="J360" s="255"/>
      <c r="K360" s="217">
        <f t="shared" si="33"/>
        <v>0</v>
      </c>
      <c r="L360" s="218">
        <f t="shared" si="34"/>
        <v>0</v>
      </c>
    </row>
    <row r="361" spans="1:12" ht="173.25" customHeight="1" x14ac:dyDescent="0.2">
      <c r="A361" s="306"/>
      <c r="B361" s="211"/>
      <c r="C361" s="307" t="s">
        <v>362</v>
      </c>
      <c r="D361" s="127"/>
      <c r="E361" s="129"/>
      <c r="F361" s="129"/>
      <c r="G361" s="129"/>
      <c r="H361" s="239"/>
      <c r="I361" s="260"/>
      <c r="J361" s="261"/>
      <c r="K361" s="217">
        <f t="shared" si="33"/>
        <v>0</v>
      </c>
      <c r="L361" s="218">
        <f t="shared" si="34"/>
        <v>0</v>
      </c>
    </row>
    <row r="362" spans="1:12" ht="76.5" customHeight="1" x14ac:dyDescent="0.2">
      <c r="A362" s="116">
        <v>26</v>
      </c>
      <c r="B362" s="117" t="s">
        <v>363</v>
      </c>
      <c r="C362" s="288" t="s">
        <v>364</v>
      </c>
      <c r="D362" s="119"/>
      <c r="E362" s="121"/>
      <c r="F362" s="121"/>
      <c r="G362" s="121"/>
      <c r="H362" s="263"/>
      <c r="I362" s="122"/>
      <c r="J362" s="209"/>
      <c r="K362" s="217">
        <f t="shared" si="33"/>
        <v>0</v>
      </c>
      <c r="L362" s="218">
        <f t="shared" si="34"/>
        <v>0</v>
      </c>
    </row>
    <row r="363" spans="1:12" ht="14.25" x14ac:dyDescent="0.2">
      <c r="A363" s="124"/>
      <c r="B363" s="211"/>
      <c r="C363" s="340" t="s">
        <v>484</v>
      </c>
      <c r="D363" s="341">
        <v>4</v>
      </c>
      <c r="E363" s="342">
        <v>2.4</v>
      </c>
      <c r="F363" s="342"/>
      <c r="G363" s="342">
        <v>1.5</v>
      </c>
      <c r="H363" s="343">
        <f>G363*E363*D363</f>
        <v>14.399999999999999</v>
      </c>
      <c r="I363" s="344"/>
      <c r="J363" s="345"/>
      <c r="K363" s="217">
        <f t="shared" si="33"/>
        <v>0</v>
      </c>
      <c r="L363" s="218">
        <f t="shared" si="34"/>
        <v>0</v>
      </c>
    </row>
    <row r="364" spans="1:12" ht="14.25" x14ac:dyDescent="0.2">
      <c r="A364" s="124"/>
      <c r="B364" s="211"/>
      <c r="C364" s="346" t="s">
        <v>457</v>
      </c>
      <c r="D364" s="133">
        <v>8</v>
      </c>
      <c r="E364" s="135">
        <v>1.37</v>
      </c>
      <c r="F364" s="135"/>
      <c r="G364" s="135">
        <v>1.5</v>
      </c>
      <c r="H364" s="212">
        <f>G364*E364*D364</f>
        <v>16.440000000000001</v>
      </c>
      <c r="I364" s="136"/>
      <c r="J364" s="213"/>
      <c r="K364" s="217">
        <f t="shared" si="33"/>
        <v>0</v>
      </c>
      <c r="L364" s="218">
        <f t="shared" si="34"/>
        <v>0</v>
      </c>
    </row>
    <row r="365" spans="1:12" x14ac:dyDescent="0.2">
      <c r="A365" s="124"/>
      <c r="B365" s="211"/>
      <c r="C365" s="220" t="s">
        <v>458</v>
      </c>
      <c r="D365" s="133">
        <v>4</v>
      </c>
      <c r="E365" s="135">
        <v>1.05</v>
      </c>
      <c r="F365" s="135"/>
      <c r="G365" s="135">
        <v>1.35</v>
      </c>
      <c r="H365" s="212">
        <f>G365*E365*D365</f>
        <v>5.6700000000000008</v>
      </c>
      <c r="I365" s="136"/>
      <c r="J365" s="213"/>
      <c r="K365" s="217">
        <f t="shared" si="33"/>
        <v>0</v>
      </c>
      <c r="L365" s="218">
        <f t="shared" si="34"/>
        <v>0</v>
      </c>
    </row>
    <row r="366" spans="1:12" x14ac:dyDescent="0.2">
      <c r="A366" s="124"/>
      <c r="B366" s="211"/>
      <c r="C366" s="220" t="s">
        <v>260</v>
      </c>
      <c r="D366" s="133">
        <v>2</v>
      </c>
      <c r="E366" s="135">
        <v>1.2</v>
      </c>
      <c r="F366" s="135"/>
      <c r="G366" s="135">
        <v>1.2</v>
      </c>
      <c r="H366" s="212">
        <f>D366*E366*G366</f>
        <v>2.88</v>
      </c>
      <c r="I366" s="136"/>
      <c r="J366" s="213"/>
      <c r="K366" s="217">
        <f t="shared" si="33"/>
        <v>0</v>
      </c>
      <c r="L366" s="218">
        <f t="shared" si="34"/>
        <v>0</v>
      </c>
    </row>
    <row r="367" spans="1:12" x14ac:dyDescent="0.2">
      <c r="A367" s="124"/>
      <c r="B367" s="211"/>
      <c r="C367" s="220" t="s">
        <v>273</v>
      </c>
      <c r="D367" s="133">
        <v>8</v>
      </c>
      <c r="E367" s="135">
        <v>0.6</v>
      </c>
      <c r="F367" s="135"/>
      <c r="G367" s="135">
        <v>0.9</v>
      </c>
      <c r="H367" s="212">
        <f>D367*E367*G367</f>
        <v>4.32</v>
      </c>
      <c r="I367" s="136"/>
      <c r="J367" s="213"/>
      <c r="K367" s="217">
        <f t="shared" si="33"/>
        <v>0</v>
      </c>
      <c r="L367" s="218">
        <f t="shared" si="34"/>
        <v>0</v>
      </c>
    </row>
    <row r="368" spans="1:12" x14ac:dyDescent="0.2">
      <c r="A368" s="139"/>
      <c r="B368" s="215"/>
      <c r="C368" s="141" t="s">
        <v>117</v>
      </c>
      <c r="D368" s="142"/>
      <c r="E368" s="145"/>
      <c r="F368" s="145"/>
      <c r="G368" s="145"/>
      <c r="H368" s="216">
        <v>40</v>
      </c>
      <c r="I368" s="141" t="s">
        <v>128</v>
      </c>
      <c r="J368" s="217">
        <v>9628.6</v>
      </c>
      <c r="K368" s="217">
        <f t="shared" si="33"/>
        <v>8159.8305084745762</v>
      </c>
      <c r="L368" s="218">
        <f t="shared" si="34"/>
        <v>326393.22033898305</v>
      </c>
    </row>
    <row r="369" spans="1:12" x14ac:dyDescent="0.2">
      <c r="A369" s="124"/>
      <c r="B369" s="211"/>
      <c r="C369" s="130"/>
      <c r="D369" s="127"/>
      <c r="E369" s="129"/>
      <c r="F369" s="129"/>
      <c r="G369" s="129"/>
      <c r="H369" s="264"/>
      <c r="I369" s="130"/>
      <c r="J369" s="240"/>
      <c r="K369" s="217">
        <f t="shared" si="33"/>
        <v>0</v>
      </c>
      <c r="L369" s="218">
        <f t="shared" si="34"/>
        <v>0</v>
      </c>
    </row>
    <row r="370" spans="1:12" ht="75.75" customHeight="1" x14ac:dyDescent="0.2">
      <c r="A370" s="116">
        <v>27</v>
      </c>
      <c r="B370" s="117" t="s">
        <v>507</v>
      </c>
      <c r="C370" s="288" t="s">
        <v>508</v>
      </c>
      <c r="D370" s="119"/>
      <c r="E370" s="121"/>
      <c r="F370" s="121"/>
      <c r="G370" s="121"/>
      <c r="H370" s="263"/>
      <c r="I370" s="122"/>
      <c r="J370" s="209"/>
      <c r="K370" s="217">
        <f t="shared" si="33"/>
        <v>0</v>
      </c>
      <c r="L370" s="218">
        <f t="shared" si="34"/>
        <v>0</v>
      </c>
    </row>
    <row r="371" spans="1:12" ht="51.75" customHeight="1" x14ac:dyDescent="0.2">
      <c r="A371" s="243"/>
      <c r="B371" s="186" t="s">
        <v>509</v>
      </c>
      <c r="C371" s="288" t="s">
        <v>510</v>
      </c>
      <c r="D371" s="119"/>
      <c r="E371" s="121"/>
      <c r="F371" s="121"/>
      <c r="G371" s="121"/>
      <c r="H371" s="263"/>
      <c r="I371" s="122"/>
      <c r="J371" s="209"/>
      <c r="K371" s="217">
        <f t="shared" si="33"/>
        <v>0</v>
      </c>
      <c r="L371" s="218">
        <f t="shared" si="34"/>
        <v>0</v>
      </c>
    </row>
    <row r="372" spans="1:12" ht="14.25" x14ac:dyDescent="0.2">
      <c r="A372" s="124"/>
      <c r="B372" s="211"/>
      <c r="C372" s="340" t="s">
        <v>511</v>
      </c>
      <c r="D372" s="341">
        <v>8</v>
      </c>
      <c r="E372" s="342">
        <v>2.4</v>
      </c>
      <c r="F372" s="342"/>
      <c r="G372" s="342">
        <v>2.4</v>
      </c>
      <c r="H372" s="343">
        <f>G372*E372*D372</f>
        <v>46.08</v>
      </c>
      <c r="I372" s="344"/>
      <c r="J372" s="345"/>
      <c r="K372" s="217">
        <f t="shared" si="33"/>
        <v>0</v>
      </c>
      <c r="L372" s="218">
        <f t="shared" si="34"/>
        <v>0</v>
      </c>
    </row>
    <row r="373" spans="1:12" x14ac:dyDescent="0.2">
      <c r="A373" s="139"/>
      <c r="B373" s="215"/>
      <c r="C373" s="141" t="s">
        <v>117</v>
      </c>
      <c r="D373" s="142"/>
      <c r="E373" s="145"/>
      <c r="F373" s="145"/>
      <c r="G373" s="145"/>
      <c r="H373" s="216">
        <v>45</v>
      </c>
      <c r="I373" s="141" t="s">
        <v>128</v>
      </c>
      <c r="J373" s="217">
        <v>8287.0499999999993</v>
      </c>
      <c r="K373" s="217">
        <f t="shared" si="33"/>
        <v>7022.9237288135582</v>
      </c>
      <c r="L373" s="218">
        <f t="shared" si="34"/>
        <v>316031.56779661012</v>
      </c>
    </row>
    <row r="374" spans="1:12" ht="57.75" customHeight="1" x14ac:dyDescent="0.2">
      <c r="A374" s="116">
        <v>30</v>
      </c>
      <c r="B374" s="206">
        <v>9.9600000000000009</v>
      </c>
      <c r="C374" s="308" t="s">
        <v>366</v>
      </c>
      <c r="D374" s="119"/>
      <c r="E374" s="121"/>
      <c r="F374" s="121"/>
      <c r="G374" s="121"/>
      <c r="H374" s="263"/>
      <c r="I374" s="122"/>
      <c r="J374" s="209"/>
      <c r="K374" s="217">
        <f t="shared" si="33"/>
        <v>0</v>
      </c>
      <c r="L374" s="218">
        <f t="shared" si="34"/>
        <v>0</v>
      </c>
    </row>
    <row r="375" spans="1:12" ht="21" customHeight="1" x14ac:dyDescent="0.2">
      <c r="A375" s="124"/>
      <c r="B375" s="188" t="s">
        <v>367</v>
      </c>
      <c r="C375" s="278" t="s">
        <v>368</v>
      </c>
      <c r="D375" s="243">
        <v>4</v>
      </c>
      <c r="E375" s="301"/>
      <c r="F375" s="301"/>
      <c r="G375" s="301"/>
      <c r="H375" s="285">
        <f>D375</f>
        <v>4</v>
      </c>
      <c r="I375" s="273" t="s">
        <v>369</v>
      </c>
      <c r="J375" s="274">
        <v>303.25</v>
      </c>
      <c r="K375" s="217">
        <f t="shared" si="33"/>
        <v>256.99152542372883</v>
      </c>
      <c r="L375" s="218">
        <f t="shared" si="34"/>
        <v>1027.9661016949153</v>
      </c>
    </row>
    <row r="376" spans="1:12" ht="20.25" customHeight="1" x14ac:dyDescent="0.2">
      <c r="A376" s="139"/>
      <c r="B376" s="215" t="s">
        <v>370</v>
      </c>
      <c r="C376" s="184" t="s">
        <v>371</v>
      </c>
      <c r="D376" s="139">
        <v>16</v>
      </c>
      <c r="E376" s="310"/>
      <c r="F376" s="310"/>
      <c r="G376" s="310"/>
      <c r="H376" s="282">
        <f>D376</f>
        <v>16</v>
      </c>
      <c r="I376" s="268" t="s">
        <v>369</v>
      </c>
      <c r="J376" s="269">
        <v>260.60000000000002</v>
      </c>
      <c r="K376" s="217">
        <f t="shared" si="33"/>
        <v>220.84745762711867</v>
      </c>
      <c r="L376" s="218">
        <f t="shared" si="34"/>
        <v>3533.5593220338988</v>
      </c>
    </row>
    <row r="377" spans="1:12" ht="58.5" customHeight="1" x14ac:dyDescent="0.2">
      <c r="A377" s="116">
        <v>31</v>
      </c>
      <c r="B377" s="206">
        <v>9.9700000000000006</v>
      </c>
      <c r="C377" s="308" t="s">
        <v>372</v>
      </c>
      <c r="D377" s="119"/>
      <c r="E377" s="121"/>
      <c r="F377" s="121"/>
      <c r="G377" s="121"/>
      <c r="H377" s="263"/>
      <c r="I377" s="122"/>
      <c r="J377" s="209"/>
      <c r="K377" s="217">
        <f t="shared" si="33"/>
        <v>0</v>
      </c>
      <c r="L377" s="218">
        <f t="shared" si="34"/>
        <v>0</v>
      </c>
    </row>
    <row r="378" spans="1:12" ht="21.75" customHeight="1" x14ac:dyDescent="0.2">
      <c r="A378" s="124"/>
      <c r="B378" s="211" t="s">
        <v>373</v>
      </c>
      <c r="C378" s="294" t="s">
        <v>374</v>
      </c>
      <c r="D378" s="139">
        <v>4</v>
      </c>
      <c r="E378" s="310"/>
      <c r="F378" s="310"/>
      <c r="G378" s="310"/>
      <c r="H378" s="282">
        <f>D378</f>
        <v>4</v>
      </c>
      <c r="I378" s="268" t="s">
        <v>369</v>
      </c>
      <c r="J378" s="269">
        <v>130.1</v>
      </c>
      <c r="K378" s="217">
        <f t="shared" si="33"/>
        <v>110.2542372881356</v>
      </c>
      <c r="L378" s="218">
        <f t="shared" si="34"/>
        <v>441.0169491525424</v>
      </c>
    </row>
    <row r="379" spans="1:12" x14ac:dyDescent="0.2">
      <c r="A379" s="139"/>
      <c r="B379" s="188" t="s">
        <v>375</v>
      </c>
      <c r="C379" s="183" t="s">
        <v>376</v>
      </c>
      <c r="D379" s="139">
        <v>16</v>
      </c>
      <c r="E379" s="310"/>
      <c r="F379" s="310"/>
      <c r="G379" s="310"/>
      <c r="H379" s="282">
        <f>D379</f>
        <v>16</v>
      </c>
      <c r="I379" s="268" t="s">
        <v>369</v>
      </c>
      <c r="J379" s="269">
        <v>115.15</v>
      </c>
      <c r="K379" s="217">
        <f t="shared" si="33"/>
        <v>97.584745762711862</v>
      </c>
      <c r="L379" s="218">
        <f t="shared" si="34"/>
        <v>1561.3559322033898</v>
      </c>
    </row>
    <row r="380" spans="1:12" ht="51" x14ac:dyDescent="0.2">
      <c r="A380" s="124">
        <v>32</v>
      </c>
      <c r="B380" s="211">
        <v>9.98</v>
      </c>
      <c r="C380" s="312" t="s">
        <v>377</v>
      </c>
      <c r="D380" s="139">
        <v>16</v>
      </c>
      <c r="E380" s="310"/>
      <c r="F380" s="310"/>
      <c r="G380" s="310"/>
      <c r="H380" s="282">
        <f>D380</f>
        <v>16</v>
      </c>
      <c r="I380" s="268" t="s">
        <v>378</v>
      </c>
      <c r="J380" s="269">
        <v>100.8</v>
      </c>
      <c r="K380" s="217">
        <f t="shared" si="33"/>
        <v>85.423728813559322</v>
      </c>
      <c r="L380" s="218">
        <f t="shared" si="34"/>
        <v>1366.7796610169491</v>
      </c>
    </row>
    <row r="381" spans="1:12" ht="61.5" customHeight="1" x14ac:dyDescent="0.2">
      <c r="A381" s="116">
        <v>33</v>
      </c>
      <c r="B381" s="313">
        <v>9.1</v>
      </c>
      <c r="C381" s="118" t="s">
        <v>379</v>
      </c>
      <c r="D381" s="119"/>
      <c r="E381" s="121"/>
      <c r="F381" s="121"/>
      <c r="G381" s="121"/>
      <c r="H381" s="263"/>
      <c r="I381" s="122"/>
      <c r="J381" s="209"/>
      <c r="K381" s="217">
        <f t="shared" si="33"/>
        <v>0</v>
      </c>
      <c r="L381" s="218">
        <f t="shared" si="34"/>
        <v>0</v>
      </c>
    </row>
    <row r="382" spans="1:12" ht="14.25" x14ac:dyDescent="0.2">
      <c r="A382" s="124"/>
      <c r="B382" s="286" t="s">
        <v>380</v>
      </c>
      <c r="C382" s="177" t="s">
        <v>381</v>
      </c>
      <c r="D382" s="133">
        <v>32</v>
      </c>
      <c r="E382" s="135"/>
      <c r="F382" s="135"/>
      <c r="G382" s="135"/>
      <c r="H382" s="242">
        <v>22</v>
      </c>
      <c r="I382" s="136" t="s">
        <v>382</v>
      </c>
      <c r="J382" s="213">
        <v>66.25</v>
      </c>
      <c r="K382" s="217">
        <f t="shared" si="33"/>
        <v>56.144067796610166</v>
      </c>
      <c r="L382" s="218">
        <f t="shared" si="34"/>
        <v>1235.1694915254236</v>
      </c>
    </row>
    <row r="383" spans="1:12" ht="14.25" x14ac:dyDescent="0.2">
      <c r="A383" s="139"/>
      <c r="B383" s="286" t="s">
        <v>383</v>
      </c>
      <c r="C383" s="177" t="s">
        <v>384</v>
      </c>
      <c r="D383" s="133">
        <v>16</v>
      </c>
      <c r="E383" s="135"/>
      <c r="F383" s="135"/>
      <c r="G383" s="135"/>
      <c r="H383" s="242">
        <v>20</v>
      </c>
      <c r="I383" s="136" t="s">
        <v>382</v>
      </c>
      <c r="J383" s="213">
        <v>59.55</v>
      </c>
      <c r="K383" s="217">
        <f t="shared" si="33"/>
        <v>50.466101694915253</v>
      </c>
      <c r="L383" s="218">
        <f t="shared" si="34"/>
        <v>1009.3220338983051</v>
      </c>
    </row>
    <row r="384" spans="1:12" ht="54.75" customHeight="1" x14ac:dyDescent="0.2">
      <c r="A384" s="116">
        <v>34</v>
      </c>
      <c r="B384" s="175">
        <v>9.1010000000000009</v>
      </c>
      <c r="C384" s="118" t="s">
        <v>385</v>
      </c>
      <c r="D384" s="119"/>
      <c r="E384" s="121"/>
      <c r="F384" s="121"/>
      <c r="G384" s="121"/>
      <c r="H384" s="263"/>
      <c r="I384" s="122"/>
      <c r="J384" s="209"/>
      <c r="K384" s="217">
        <f t="shared" si="33"/>
        <v>0</v>
      </c>
      <c r="L384" s="218">
        <f t="shared" si="34"/>
        <v>0</v>
      </c>
    </row>
    <row r="385" spans="1:12" ht="14.25" x14ac:dyDescent="0.2">
      <c r="A385" s="139"/>
      <c r="B385" s="280" t="s">
        <v>386</v>
      </c>
      <c r="C385" s="297" t="s">
        <v>387</v>
      </c>
      <c r="D385" s="142">
        <v>20</v>
      </c>
      <c r="E385" s="145"/>
      <c r="F385" s="145"/>
      <c r="G385" s="145"/>
      <c r="H385" s="216">
        <v>13</v>
      </c>
      <c r="I385" s="314" t="s">
        <v>382</v>
      </c>
      <c r="J385" s="215">
        <v>72.349999999999994</v>
      </c>
      <c r="K385" s="217">
        <f t="shared" si="33"/>
        <v>61.313559322033889</v>
      </c>
      <c r="L385" s="218">
        <f t="shared" si="34"/>
        <v>797.07627118644052</v>
      </c>
    </row>
    <row r="386" spans="1:12" ht="34.5" customHeight="1" x14ac:dyDescent="0.2">
      <c r="A386" s="116">
        <v>35</v>
      </c>
      <c r="B386" s="206">
        <v>10.28</v>
      </c>
      <c r="C386" s="207" t="s">
        <v>388</v>
      </c>
      <c r="D386" s="119"/>
      <c r="E386" s="120"/>
      <c r="F386" s="120"/>
      <c r="G386" s="120"/>
      <c r="H386" s="208"/>
      <c r="I386" s="122"/>
      <c r="J386" s="209"/>
      <c r="K386" s="217">
        <f t="shared" si="33"/>
        <v>0</v>
      </c>
      <c r="L386" s="218">
        <f t="shared" si="34"/>
        <v>0</v>
      </c>
    </row>
    <row r="387" spans="1:12" x14ac:dyDescent="0.2">
      <c r="A387" s="124"/>
      <c r="B387" s="211"/>
      <c r="C387" s="183" t="s">
        <v>389</v>
      </c>
      <c r="D387" s="133">
        <v>2</v>
      </c>
      <c r="E387" s="135">
        <v>3.76</v>
      </c>
      <c r="F387" s="135"/>
      <c r="G387" s="135"/>
      <c r="H387" s="212">
        <f>E387*D387</f>
        <v>7.52</v>
      </c>
      <c r="I387" s="136"/>
      <c r="J387" s="213"/>
      <c r="K387" s="217">
        <f t="shared" si="33"/>
        <v>0</v>
      </c>
      <c r="L387" s="218">
        <f t="shared" si="34"/>
        <v>0</v>
      </c>
    </row>
    <row r="388" spans="1:12" x14ac:dyDescent="0.2">
      <c r="A388" s="124" t="s">
        <v>91</v>
      </c>
      <c r="B388" s="211"/>
      <c r="C388" s="183" t="s">
        <v>512</v>
      </c>
      <c r="D388" s="133">
        <v>8</v>
      </c>
      <c r="E388" s="135">
        <f>1.5*2+3.3</f>
        <v>6.3</v>
      </c>
      <c r="F388" s="135"/>
      <c r="G388" s="135"/>
      <c r="H388" s="212">
        <f>E388*D388</f>
        <v>50.4</v>
      </c>
      <c r="I388" s="136"/>
      <c r="J388" s="213"/>
      <c r="K388" s="217">
        <f t="shared" si="33"/>
        <v>0</v>
      </c>
      <c r="L388" s="218">
        <f t="shared" si="34"/>
        <v>0</v>
      </c>
    </row>
    <row r="389" spans="1:12" x14ac:dyDescent="0.2">
      <c r="A389" s="124"/>
      <c r="B389" s="211"/>
      <c r="C389" s="183"/>
      <c r="D389" s="133">
        <v>4</v>
      </c>
      <c r="E389" s="135">
        <v>3.3</v>
      </c>
      <c r="F389" s="135"/>
      <c r="G389" s="135"/>
      <c r="H389" s="212">
        <f>E389*D389</f>
        <v>13.2</v>
      </c>
      <c r="I389" s="136"/>
      <c r="J389" s="213"/>
      <c r="K389" s="217">
        <f t="shared" si="33"/>
        <v>0</v>
      </c>
      <c r="L389" s="218">
        <f t="shared" si="34"/>
        <v>0</v>
      </c>
    </row>
    <row r="390" spans="1:12" x14ac:dyDescent="0.2">
      <c r="A390" s="139"/>
      <c r="B390" s="215"/>
      <c r="C390" s="180" t="s">
        <v>117</v>
      </c>
      <c r="D390" s="133"/>
      <c r="E390" s="135"/>
      <c r="F390" s="135"/>
      <c r="G390" s="135"/>
      <c r="H390" s="242">
        <v>350</v>
      </c>
      <c r="I390" s="136" t="s">
        <v>195</v>
      </c>
      <c r="J390" s="213">
        <v>772.4</v>
      </c>
      <c r="K390" s="217">
        <f t="shared" si="33"/>
        <v>654.57627118644064</v>
      </c>
      <c r="L390" s="218">
        <f t="shared" si="34"/>
        <v>229101.69491525422</v>
      </c>
    </row>
    <row r="391" spans="1:12" ht="25.5" x14ac:dyDescent="0.2">
      <c r="A391" s="116">
        <v>36</v>
      </c>
      <c r="B391" s="117">
        <v>13.26</v>
      </c>
      <c r="C391" s="219" t="s">
        <v>390</v>
      </c>
      <c r="D391" s="119"/>
      <c r="E391" s="120"/>
      <c r="F391" s="120"/>
      <c r="G391" s="120"/>
      <c r="H391" s="208"/>
      <c r="I391" s="122"/>
      <c r="J391" s="209"/>
      <c r="K391" s="217">
        <f t="shared" si="33"/>
        <v>0</v>
      </c>
      <c r="L391" s="218">
        <f t="shared" si="34"/>
        <v>0</v>
      </c>
    </row>
    <row r="392" spans="1:12" x14ac:dyDescent="0.2">
      <c r="A392" s="124"/>
      <c r="B392" s="125"/>
      <c r="C392" s="220" t="s">
        <v>391</v>
      </c>
      <c r="D392" s="133"/>
      <c r="E392" s="134"/>
      <c r="F392" s="134"/>
      <c r="G392" s="134"/>
      <c r="H392" s="242">
        <f>H269</f>
        <v>540</v>
      </c>
      <c r="I392" s="136" t="s">
        <v>91</v>
      </c>
      <c r="J392" s="213" t="s">
        <v>91</v>
      </c>
      <c r="K392" s="217">
        <v>0</v>
      </c>
      <c r="L392" s="218">
        <f t="shared" si="34"/>
        <v>0</v>
      </c>
    </row>
    <row r="393" spans="1:12" x14ac:dyDescent="0.2">
      <c r="A393" s="124"/>
      <c r="B393" s="125"/>
      <c r="C393" s="220" t="s">
        <v>392</v>
      </c>
      <c r="D393" s="133"/>
      <c r="E393" s="134"/>
      <c r="F393" s="134"/>
      <c r="G393" s="134"/>
      <c r="H393" s="242">
        <f>H272</f>
        <v>260</v>
      </c>
      <c r="I393" s="136"/>
      <c r="J393" s="213"/>
      <c r="K393" s="217">
        <f t="shared" si="33"/>
        <v>0</v>
      </c>
      <c r="L393" s="218">
        <f t="shared" si="34"/>
        <v>0</v>
      </c>
    </row>
    <row r="394" spans="1:12" x14ac:dyDescent="0.2">
      <c r="A394" s="124"/>
      <c r="B394" s="125"/>
      <c r="C394" s="220" t="s">
        <v>393</v>
      </c>
      <c r="D394" s="133"/>
      <c r="E394" s="134"/>
      <c r="F394" s="134"/>
      <c r="G394" s="134"/>
      <c r="H394" s="242">
        <f>H240</f>
        <v>420</v>
      </c>
      <c r="I394" s="136"/>
      <c r="J394" s="213"/>
      <c r="K394" s="217">
        <f t="shared" ref="K394:K418" si="35">J394*100/118</f>
        <v>0</v>
      </c>
      <c r="L394" s="218">
        <f t="shared" ref="L394:L418" si="36">K394*H394</f>
        <v>0</v>
      </c>
    </row>
    <row r="395" spans="1:12" x14ac:dyDescent="0.2">
      <c r="A395" s="124"/>
      <c r="B395" s="125"/>
      <c r="C395" s="220" t="s">
        <v>394</v>
      </c>
      <c r="D395" s="133" t="s">
        <v>91</v>
      </c>
      <c r="E395" s="134"/>
      <c r="F395" s="134"/>
      <c r="G395" s="134"/>
      <c r="H395" s="242">
        <f>-H335</f>
        <v>-250</v>
      </c>
      <c r="I395" s="136"/>
      <c r="J395" s="213"/>
      <c r="K395" s="217">
        <f t="shared" si="35"/>
        <v>0</v>
      </c>
      <c r="L395" s="218">
        <f t="shared" si="36"/>
        <v>0</v>
      </c>
    </row>
    <row r="396" spans="1:12" x14ac:dyDescent="0.2">
      <c r="A396" s="139"/>
      <c r="B396" s="140"/>
      <c r="C396" s="221" t="s">
        <v>207</v>
      </c>
      <c r="D396" s="142"/>
      <c r="E396" s="143"/>
      <c r="F396" s="143"/>
      <c r="G396" s="143"/>
      <c r="H396" s="216">
        <v>900</v>
      </c>
      <c r="I396" s="141" t="s">
        <v>128</v>
      </c>
      <c r="J396" s="217">
        <v>262.7</v>
      </c>
      <c r="K396" s="217">
        <f t="shared" si="35"/>
        <v>222.62711864406779</v>
      </c>
      <c r="L396" s="218">
        <f t="shared" si="36"/>
        <v>200364.40677966102</v>
      </c>
    </row>
    <row r="397" spans="1:12" x14ac:dyDescent="0.2">
      <c r="A397" s="116">
        <v>37</v>
      </c>
      <c r="B397" s="206" t="s">
        <v>395</v>
      </c>
      <c r="C397" s="207" t="s">
        <v>396</v>
      </c>
      <c r="D397" s="119"/>
      <c r="E397" s="120"/>
      <c r="F397" s="120"/>
      <c r="G397" s="120"/>
      <c r="H397" s="208"/>
      <c r="I397" s="122"/>
      <c r="J397" s="209"/>
      <c r="K397" s="217">
        <f t="shared" si="35"/>
        <v>0</v>
      </c>
      <c r="L397" s="218">
        <f t="shared" si="36"/>
        <v>0</v>
      </c>
    </row>
    <row r="398" spans="1:12" x14ac:dyDescent="0.2">
      <c r="A398" s="139"/>
      <c r="B398" s="140"/>
      <c r="C398" s="316" t="s">
        <v>397</v>
      </c>
      <c r="D398" s="142"/>
      <c r="E398" s="143"/>
      <c r="F398" s="143"/>
      <c r="G398" s="143"/>
      <c r="H398" s="216">
        <v>900</v>
      </c>
      <c r="I398" s="141" t="s">
        <v>128</v>
      </c>
      <c r="J398" s="217">
        <v>142.80000000000001</v>
      </c>
      <c r="K398" s="217">
        <f t="shared" si="35"/>
        <v>121.0169491525424</v>
      </c>
      <c r="L398" s="218">
        <f t="shared" si="36"/>
        <v>108915.25423728816</v>
      </c>
    </row>
    <row r="399" spans="1:12" ht="25.5" x14ac:dyDescent="0.2">
      <c r="A399" s="116">
        <v>38</v>
      </c>
      <c r="B399" s="117">
        <v>13.47</v>
      </c>
      <c r="C399" s="219" t="s">
        <v>398</v>
      </c>
      <c r="D399" s="119"/>
      <c r="E399" s="120"/>
      <c r="F399" s="120"/>
      <c r="G399" s="120"/>
      <c r="H399" s="208"/>
      <c r="I399" s="122"/>
      <c r="J399" s="209"/>
      <c r="K399" s="217">
        <f t="shared" si="35"/>
        <v>0</v>
      </c>
      <c r="L399" s="218">
        <f t="shared" si="36"/>
        <v>0</v>
      </c>
    </row>
    <row r="400" spans="1:12" ht="38.25" x14ac:dyDescent="0.2">
      <c r="A400" s="124"/>
      <c r="B400" s="125" t="s">
        <v>399</v>
      </c>
      <c r="C400" s="238" t="s">
        <v>400</v>
      </c>
      <c r="D400" s="127"/>
      <c r="E400" s="128"/>
      <c r="F400" s="128"/>
      <c r="G400" s="128"/>
      <c r="H400" s="239"/>
      <c r="I400" s="130"/>
      <c r="J400" s="240"/>
      <c r="K400" s="217">
        <f t="shared" si="35"/>
        <v>0</v>
      </c>
      <c r="L400" s="218">
        <f t="shared" si="36"/>
        <v>0</v>
      </c>
    </row>
    <row r="401" spans="1:12" x14ac:dyDescent="0.2">
      <c r="A401" s="139"/>
      <c r="B401" s="140"/>
      <c r="C401" s="316" t="s">
        <v>513</v>
      </c>
      <c r="D401" s="142"/>
      <c r="E401" s="143"/>
      <c r="F401" s="143"/>
      <c r="G401" s="143"/>
      <c r="H401" s="216">
        <v>500</v>
      </c>
      <c r="I401" s="141" t="s">
        <v>128</v>
      </c>
      <c r="J401" s="217">
        <v>171.1</v>
      </c>
      <c r="K401" s="217">
        <f t="shared" si="35"/>
        <v>145</v>
      </c>
      <c r="L401" s="218">
        <f t="shared" si="36"/>
        <v>72500</v>
      </c>
    </row>
    <row r="402" spans="1:12" ht="25.5" x14ac:dyDescent="0.2">
      <c r="A402" s="116">
        <v>39</v>
      </c>
      <c r="B402" s="117">
        <v>13.61</v>
      </c>
      <c r="C402" s="219" t="s">
        <v>402</v>
      </c>
      <c r="D402" s="119"/>
      <c r="E402" s="120"/>
      <c r="F402" s="120"/>
      <c r="G402" s="120"/>
      <c r="H402" s="263"/>
      <c r="I402" s="122"/>
      <c r="J402" s="209"/>
      <c r="K402" s="217">
        <f t="shared" si="35"/>
        <v>0</v>
      </c>
      <c r="L402" s="218">
        <f t="shared" si="36"/>
        <v>0</v>
      </c>
    </row>
    <row r="403" spans="1:12" ht="18.75" customHeight="1" x14ac:dyDescent="0.2">
      <c r="A403" s="124" t="s">
        <v>91</v>
      </c>
      <c r="B403" s="125" t="s">
        <v>403</v>
      </c>
      <c r="C403" s="238" t="s">
        <v>404</v>
      </c>
      <c r="D403" s="127"/>
      <c r="E403" s="128"/>
      <c r="F403" s="128"/>
      <c r="G403" s="128"/>
      <c r="H403" s="264"/>
      <c r="I403" s="130"/>
      <c r="J403" s="240"/>
      <c r="K403" s="217">
        <f t="shared" si="35"/>
        <v>0</v>
      </c>
      <c r="L403" s="218">
        <f t="shared" si="36"/>
        <v>0</v>
      </c>
    </row>
    <row r="404" spans="1:12" ht="15.75" customHeight="1" x14ac:dyDescent="0.2">
      <c r="A404" s="139"/>
      <c r="B404" s="215"/>
      <c r="C404" s="347" t="s">
        <v>91</v>
      </c>
      <c r="D404" s="139">
        <v>1</v>
      </c>
      <c r="E404" s="310">
        <f>H359+E409</f>
        <v>70</v>
      </c>
      <c r="F404" s="310">
        <v>2.5</v>
      </c>
      <c r="G404" s="310"/>
      <c r="H404" s="282">
        <v>170</v>
      </c>
      <c r="I404" s="268" t="s">
        <v>128</v>
      </c>
      <c r="J404" s="269">
        <v>155.9</v>
      </c>
      <c r="K404" s="217">
        <f t="shared" si="35"/>
        <v>132.11864406779662</v>
      </c>
      <c r="L404" s="218">
        <f t="shared" si="36"/>
        <v>22460.169491525427</v>
      </c>
    </row>
    <row r="405" spans="1:12" ht="30.75" customHeight="1" x14ac:dyDescent="0.2">
      <c r="A405" s="116">
        <v>40</v>
      </c>
      <c r="B405" s="206">
        <v>10.18</v>
      </c>
      <c r="C405" s="219" t="s">
        <v>405</v>
      </c>
      <c r="D405" s="139">
        <v>32</v>
      </c>
      <c r="E405" s="310"/>
      <c r="F405" s="310"/>
      <c r="G405" s="310"/>
      <c r="H405" s="218">
        <f>D405</f>
        <v>32</v>
      </c>
      <c r="I405" s="268" t="s">
        <v>406</v>
      </c>
      <c r="J405" s="269">
        <v>220.65</v>
      </c>
      <c r="K405" s="217">
        <f t="shared" si="35"/>
        <v>186.9915254237288</v>
      </c>
      <c r="L405" s="218">
        <f t="shared" si="36"/>
        <v>5983.7288135593217</v>
      </c>
    </row>
    <row r="406" spans="1:12" ht="32.25" customHeight="1" x14ac:dyDescent="0.2">
      <c r="A406" s="234">
        <v>41</v>
      </c>
      <c r="B406" s="206">
        <v>9.4700000000000006</v>
      </c>
      <c r="C406" s="318" t="s">
        <v>407</v>
      </c>
      <c r="D406" s="243"/>
      <c r="E406" s="301" t="s">
        <v>91</v>
      </c>
      <c r="F406" s="301"/>
      <c r="G406" s="301"/>
      <c r="H406" s="302" t="s">
        <v>91</v>
      </c>
      <c r="I406" s="273"/>
      <c r="J406" s="274"/>
      <c r="K406" s="217">
        <f t="shared" si="35"/>
        <v>0</v>
      </c>
      <c r="L406" s="218">
        <v>0</v>
      </c>
    </row>
    <row r="407" spans="1:12" ht="20.25" customHeight="1" x14ac:dyDescent="0.2">
      <c r="A407" s="314"/>
      <c r="B407" s="188" t="s">
        <v>408</v>
      </c>
      <c r="C407" s="220" t="s">
        <v>409</v>
      </c>
      <c r="D407" s="243"/>
      <c r="E407" s="252">
        <f>2.4*8+1.05*4+1*8+0.9*4+1.8*4</f>
        <v>42.2</v>
      </c>
      <c r="F407" s="252"/>
      <c r="G407" s="252"/>
      <c r="H407" s="302">
        <f>SUM(E407:G407)</f>
        <v>42.2</v>
      </c>
      <c r="I407" s="273" t="s">
        <v>307</v>
      </c>
      <c r="J407" s="274">
        <v>175</v>
      </c>
      <c r="K407" s="217">
        <f t="shared" si="35"/>
        <v>148.30508474576271</v>
      </c>
      <c r="L407" s="218">
        <f t="shared" si="36"/>
        <v>6258.4745762711873</v>
      </c>
    </row>
    <row r="408" spans="1:12" ht="42" customHeight="1" x14ac:dyDescent="0.2">
      <c r="A408" s="234">
        <v>42</v>
      </c>
      <c r="B408" s="188">
        <v>9.48</v>
      </c>
      <c r="C408" s="220" t="s">
        <v>410</v>
      </c>
      <c r="D408" s="133"/>
      <c r="E408" s="135"/>
      <c r="F408" s="135"/>
      <c r="G408" s="135"/>
      <c r="H408" s="212"/>
      <c r="I408" s="136"/>
      <c r="J408" s="213"/>
      <c r="K408" s="217">
        <f t="shared" si="35"/>
        <v>0</v>
      </c>
      <c r="L408" s="218">
        <f t="shared" si="36"/>
        <v>0</v>
      </c>
    </row>
    <row r="409" spans="1:12" ht="25.5" x14ac:dyDescent="0.2">
      <c r="A409" s="314"/>
      <c r="B409" s="188" t="s">
        <v>411</v>
      </c>
      <c r="C409" s="220" t="s">
        <v>412</v>
      </c>
      <c r="D409" s="243"/>
      <c r="E409" s="301">
        <f>H368</f>
        <v>40</v>
      </c>
      <c r="F409" s="301"/>
      <c r="G409" s="301"/>
      <c r="H409" s="302">
        <f>E409*24</f>
        <v>960</v>
      </c>
      <c r="I409" s="273" t="s">
        <v>413</v>
      </c>
      <c r="J409" s="274">
        <v>283.35000000000002</v>
      </c>
      <c r="K409" s="217">
        <f t="shared" si="35"/>
        <v>240.12711864406782</v>
      </c>
      <c r="L409" s="218">
        <f t="shared" si="36"/>
        <v>230522.03389830512</v>
      </c>
    </row>
    <row r="410" spans="1:12" ht="38.25" x14ac:dyDescent="0.2">
      <c r="A410" s="348">
        <v>43</v>
      </c>
      <c r="B410" s="206">
        <v>22.5</v>
      </c>
      <c r="C410" s="349" t="s">
        <v>514</v>
      </c>
      <c r="D410" s="119"/>
      <c r="E410" s="271"/>
      <c r="F410" s="121"/>
      <c r="G410" s="121"/>
      <c r="H410" s="272"/>
      <c r="I410" s="254"/>
      <c r="J410" s="255"/>
      <c r="K410" s="217">
        <f t="shared" si="35"/>
        <v>0</v>
      </c>
      <c r="L410" s="218">
        <f t="shared" si="36"/>
        <v>0</v>
      </c>
    </row>
    <row r="411" spans="1:12" ht="38.25" x14ac:dyDescent="0.2">
      <c r="A411" s="348"/>
      <c r="B411" s="211"/>
      <c r="C411" s="276" t="s">
        <v>515</v>
      </c>
      <c r="D411" s="127"/>
      <c r="E411" s="249"/>
      <c r="F411" s="129"/>
      <c r="G411" s="129"/>
      <c r="H411" s="298"/>
      <c r="I411" s="260"/>
      <c r="J411" s="261"/>
      <c r="K411" s="217">
        <f t="shared" si="35"/>
        <v>0</v>
      </c>
      <c r="L411" s="218">
        <f t="shared" si="36"/>
        <v>0</v>
      </c>
    </row>
    <row r="412" spans="1:12" ht="51" x14ac:dyDescent="0.2">
      <c r="A412" s="348"/>
      <c r="B412" s="211"/>
      <c r="C412" s="350" t="s">
        <v>516</v>
      </c>
      <c r="D412" s="127"/>
      <c r="E412" s="249"/>
      <c r="F412" s="129"/>
      <c r="G412" s="129"/>
      <c r="H412" s="298"/>
      <c r="I412" s="260"/>
      <c r="J412" s="261"/>
      <c r="K412" s="217">
        <f t="shared" si="35"/>
        <v>0</v>
      </c>
      <c r="L412" s="218">
        <f t="shared" si="36"/>
        <v>0</v>
      </c>
    </row>
    <row r="413" spans="1:12" ht="38.25" x14ac:dyDescent="0.2">
      <c r="A413" s="348"/>
      <c r="B413" s="211"/>
      <c r="C413" s="276" t="s">
        <v>517</v>
      </c>
      <c r="D413" s="127"/>
      <c r="E413" s="249"/>
      <c r="F413" s="129"/>
      <c r="G413" s="129"/>
      <c r="H413" s="298"/>
      <c r="I413" s="260"/>
      <c r="J413" s="261"/>
      <c r="K413" s="217">
        <f t="shared" si="35"/>
        <v>0</v>
      </c>
      <c r="L413" s="218">
        <f t="shared" si="36"/>
        <v>0</v>
      </c>
    </row>
    <row r="414" spans="1:12" x14ac:dyDescent="0.2">
      <c r="A414" s="348"/>
      <c r="B414" s="211"/>
      <c r="C414" s="220" t="s">
        <v>322</v>
      </c>
      <c r="D414" s="133">
        <v>4</v>
      </c>
      <c r="E414" s="135">
        <v>1.6</v>
      </c>
      <c r="F414" s="135">
        <v>2.25</v>
      </c>
      <c r="G414" s="301"/>
      <c r="H414" s="302">
        <f>F414*E414*D414</f>
        <v>14.4</v>
      </c>
      <c r="I414" s="136"/>
      <c r="J414" s="213"/>
      <c r="K414" s="217">
        <f t="shared" si="35"/>
        <v>0</v>
      </c>
      <c r="L414" s="218">
        <f t="shared" si="36"/>
        <v>0</v>
      </c>
    </row>
    <row r="415" spans="1:12" x14ac:dyDescent="0.2">
      <c r="A415" s="348"/>
      <c r="B415" s="211"/>
      <c r="C415" s="220" t="s">
        <v>518</v>
      </c>
      <c r="D415" s="133">
        <v>4</v>
      </c>
      <c r="E415" s="135">
        <f>(1.6+2.25)*2</f>
        <v>7.7</v>
      </c>
      <c r="F415" s="135">
        <v>0.45</v>
      </c>
      <c r="G415" s="301"/>
      <c r="H415" s="302">
        <f>F415*E415*D415</f>
        <v>13.860000000000001</v>
      </c>
      <c r="I415" s="136"/>
      <c r="J415" s="213"/>
      <c r="K415" s="217">
        <f t="shared" si="35"/>
        <v>0</v>
      </c>
      <c r="L415" s="218">
        <f t="shared" si="36"/>
        <v>0</v>
      </c>
    </row>
    <row r="416" spans="1:12" x14ac:dyDescent="0.2">
      <c r="A416" s="348"/>
      <c r="B416" s="211"/>
      <c r="C416" s="220" t="s">
        <v>322</v>
      </c>
      <c r="D416" s="133">
        <v>4</v>
      </c>
      <c r="E416" s="135">
        <v>1.625</v>
      </c>
      <c r="F416" s="135">
        <v>2.15</v>
      </c>
      <c r="G416" s="301"/>
      <c r="H416" s="302">
        <f>F416*E416*D416</f>
        <v>13.975</v>
      </c>
      <c r="I416" s="136"/>
      <c r="J416" s="213"/>
      <c r="K416" s="217">
        <f t="shared" si="35"/>
        <v>0</v>
      </c>
      <c r="L416" s="218">
        <f t="shared" si="36"/>
        <v>0</v>
      </c>
    </row>
    <row r="417" spans="1:12" x14ac:dyDescent="0.2">
      <c r="A417" s="348"/>
      <c r="B417" s="211"/>
      <c r="C417" s="225" t="s">
        <v>518</v>
      </c>
      <c r="D417" s="188">
        <v>4</v>
      </c>
      <c r="E417" s="301">
        <f>(1.63+2.15)*2</f>
        <v>7.56</v>
      </c>
      <c r="F417" s="301">
        <v>0.45</v>
      </c>
      <c r="G417" s="301"/>
      <c r="H417" s="302">
        <f>F417*E417*D417</f>
        <v>13.607999999999999</v>
      </c>
      <c r="I417" s="136"/>
      <c r="J417" s="213"/>
      <c r="K417" s="217">
        <f t="shared" si="35"/>
        <v>0</v>
      </c>
      <c r="L417" s="218">
        <f t="shared" si="36"/>
        <v>0</v>
      </c>
    </row>
    <row r="418" spans="1:12" x14ac:dyDescent="0.2">
      <c r="A418" s="348"/>
      <c r="B418" s="215"/>
      <c r="C418" s="141" t="s">
        <v>117</v>
      </c>
      <c r="D418" s="142"/>
      <c r="E418" s="145" t="s">
        <v>91</v>
      </c>
      <c r="F418" s="145"/>
      <c r="G418" s="145"/>
      <c r="H418" s="216">
        <v>54</v>
      </c>
      <c r="I418" s="141" t="s">
        <v>128</v>
      </c>
      <c r="J418" s="217">
        <v>617.04999999999995</v>
      </c>
      <c r="K418" s="217">
        <f t="shared" si="35"/>
        <v>522.92372881355925</v>
      </c>
      <c r="L418" s="218">
        <f t="shared" si="36"/>
        <v>28237.881355932201</v>
      </c>
    </row>
    <row r="419" spans="1:12" x14ac:dyDescent="0.2">
      <c r="A419" s="236"/>
      <c r="B419" s="236"/>
      <c r="C419" s="351" t="s">
        <v>521</v>
      </c>
      <c r="D419" s="236"/>
      <c r="E419" s="236"/>
      <c r="F419" s="236"/>
      <c r="G419" s="236"/>
      <c r="H419" s="352"/>
      <c r="I419" s="953" t="s">
        <v>91</v>
      </c>
      <c r="J419" s="953"/>
      <c r="K419" s="353"/>
      <c r="L419" s="214">
        <f>SUM(L7:L418)</f>
        <v>9209667.6040783916</v>
      </c>
    </row>
    <row r="421" spans="1:12" ht="24.95" customHeight="1" x14ac:dyDescent="0.2"/>
  </sheetData>
  <sheetProtection algorithmName="SHA-512" hashValue="2rDdh3DlGQbqhmEbytlEMSDDxS7hbD4bDeKCvuEIf7LDg3IvmoPRxbilMXDRRFeOGbRFqrddKNSmLyvklJ7Yvg==" saltValue="Fl2QynB6rFAgzZggVmSZfg==" spinCount="100000" sheet="1" objects="1" scenarios="1" selectLockedCells="1" selectUnlockedCells="1"/>
  <mergeCells count="6">
    <mergeCell ref="I419:J419"/>
    <mergeCell ref="A3:I3"/>
    <mergeCell ref="E70:F70"/>
    <mergeCell ref="E95:F95"/>
    <mergeCell ref="E229:F229"/>
    <mergeCell ref="E301:F301"/>
  </mergeCells>
  <pageMargins left="0.7" right="0.7" top="0.75" bottom="0.75" header="0.3" footer="0.3"/>
  <pageSetup scale="6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30EC9-B424-4556-A09A-13AEA7A67572}">
  <sheetPr>
    <tabColor rgb="FFFF0000"/>
  </sheetPr>
  <dimension ref="A2:L171"/>
  <sheetViews>
    <sheetView zoomScaleNormal="100" workbookViewId="0">
      <selection activeCell="N29" sqref="N29"/>
    </sheetView>
  </sheetViews>
  <sheetFormatPr defaultRowHeight="12.75" x14ac:dyDescent="0.2"/>
  <cols>
    <col min="1" max="1" width="4.28515625" style="90" customWidth="1"/>
    <col min="2" max="2" width="7.85546875" style="90" customWidth="1"/>
    <col min="3" max="3" width="64.85546875" style="90" customWidth="1"/>
    <col min="4" max="4" width="5.140625" style="90" customWidth="1"/>
    <col min="5" max="5" width="7.28515625" style="90" customWidth="1"/>
    <col min="6" max="6" width="7" style="90" customWidth="1"/>
    <col min="7" max="7" width="6.5703125" style="90" customWidth="1"/>
    <col min="8" max="8" width="8.42578125" style="90" customWidth="1"/>
    <col min="9" max="9" width="5.28515625" style="90" customWidth="1"/>
    <col min="10" max="11" width="10.85546875" style="202" customWidth="1"/>
    <col min="12" max="12" width="11.7109375" style="203" customWidth="1"/>
    <col min="13" max="256" width="9.140625" style="90"/>
    <col min="257" max="257" width="4.28515625" style="90" customWidth="1"/>
    <col min="258" max="258" width="7.85546875" style="90" customWidth="1"/>
    <col min="259" max="259" width="64.85546875" style="90" customWidth="1"/>
    <col min="260" max="260" width="5.140625" style="90" customWidth="1"/>
    <col min="261" max="261" width="7.28515625" style="90" customWidth="1"/>
    <col min="262" max="262" width="7" style="90" customWidth="1"/>
    <col min="263" max="263" width="6.5703125" style="90" customWidth="1"/>
    <col min="264" max="264" width="8.42578125" style="90" customWidth="1"/>
    <col min="265" max="265" width="5.28515625" style="90" customWidth="1"/>
    <col min="266" max="267" width="10.85546875" style="90" customWidth="1"/>
    <col min="268" max="268" width="11.7109375" style="90" customWidth="1"/>
    <col min="269" max="512" width="9.140625" style="90"/>
    <col min="513" max="513" width="4.28515625" style="90" customWidth="1"/>
    <col min="514" max="514" width="7.85546875" style="90" customWidth="1"/>
    <col min="515" max="515" width="64.85546875" style="90" customWidth="1"/>
    <col min="516" max="516" width="5.140625" style="90" customWidth="1"/>
    <col min="517" max="517" width="7.28515625" style="90" customWidth="1"/>
    <col min="518" max="518" width="7" style="90" customWidth="1"/>
    <col min="519" max="519" width="6.5703125" style="90" customWidth="1"/>
    <col min="520" max="520" width="8.42578125" style="90" customWidth="1"/>
    <col min="521" max="521" width="5.28515625" style="90" customWidth="1"/>
    <col min="522" max="523" width="10.85546875" style="90" customWidth="1"/>
    <col min="524" max="524" width="11.7109375" style="90" customWidth="1"/>
    <col min="525" max="768" width="9.140625" style="90"/>
    <col min="769" max="769" width="4.28515625" style="90" customWidth="1"/>
    <col min="770" max="770" width="7.85546875" style="90" customWidth="1"/>
    <col min="771" max="771" width="64.85546875" style="90" customWidth="1"/>
    <col min="772" max="772" width="5.140625" style="90" customWidth="1"/>
    <col min="773" max="773" width="7.28515625" style="90" customWidth="1"/>
    <col min="774" max="774" width="7" style="90" customWidth="1"/>
    <col min="775" max="775" width="6.5703125" style="90" customWidth="1"/>
    <col min="776" max="776" width="8.42578125" style="90" customWidth="1"/>
    <col min="777" max="777" width="5.28515625" style="90" customWidth="1"/>
    <col min="778" max="779" width="10.85546875" style="90" customWidth="1"/>
    <col min="780" max="780" width="11.7109375" style="90" customWidth="1"/>
    <col min="781" max="1024" width="9.140625" style="90"/>
    <col min="1025" max="1025" width="4.28515625" style="90" customWidth="1"/>
    <col min="1026" max="1026" width="7.85546875" style="90" customWidth="1"/>
    <col min="1027" max="1027" width="64.85546875" style="90" customWidth="1"/>
    <col min="1028" max="1028" width="5.140625" style="90" customWidth="1"/>
    <col min="1029" max="1029" width="7.28515625" style="90" customWidth="1"/>
    <col min="1030" max="1030" width="7" style="90" customWidth="1"/>
    <col min="1031" max="1031" width="6.5703125" style="90" customWidth="1"/>
    <col min="1032" max="1032" width="8.42578125" style="90" customWidth="1"/>
    <col min="1033" max="1033" width="5.28515625" style="90" customWidth="1"/>
    <col min="1034" max="1035" width="10.85546875" style="90" customWidth="1"/>
    <col min="1036" max="1036" width="11.7109375" style="90" customWidth="1"/>
    <col min="1037" max="1280" width="9.140625" style="90"/>
    <col min="1281" max="1281" width="4.28515625" style="90" customWidth="1"/>
    <col min="1282" max="1282" width="7.85546875" style="90" customWidth="1"/>
    <col min="1283" max="1283" width="64.85546875" style="90" customWidth="1"/>
    <col min="1284" max="1284" width="5.140625" style="90" customWidth="1"/>
    <col min="1285" max="1285" width="7.28515625" style="90" customWidth="1"/>
    <col min="1286" max="1286" width="7" style="90" customWidth="1"/>
    <col min="1287" max="1287" width="6.5703125" style="90" customWidth="1"/>
    <col min="1288" max="1288" width="8.42578125" style="90" customWidth="1"/>
    <col min="1289" max="1289" width="5.28515625" style="90" customWidth="1"/>
    <col min="1290" max="1291" width="10.85546875" style="90" customWidth="1"/>
    <col min="1292" max="1292" width="11.7109375" style="90" customWidth="1"/>
    <col min="1293" max="1536" width="9.140625" style="90"/>
    <col min="1537" max="1537" width="4.28515625" style="90" customWidth="1"/>
    <col min="1538" max="1538" width="7.85546875" style="90" customWidth="1"/>
    <col min="1539" max="1539" width="64.85546875" style="90" customWidth="1"/>
    <col min="1540" max="1540" width="5.140625" style="90" customWidth="1"/>
    <col min="1541" max="1541" width="7.28515625" style="90" customWidth="1"/>
    <col min="1542" max="1542" width="7" style="90" customWidth="1"/>
    <col min="1543" max="1543" width="6.5703125" style="90" customWidth="1"/>
    <col min="1544" max="1544" width="8.42578125" style="90" customWidth="1"/>
    <col min="1545" max="1545" width="5.28515625" style="90" customWidth="1"/>
    <col min="1546" max="1547" width="10.85546875" style="90" customWidth="1"/>
    <col min="1548" max="1548" width="11.7109375" style="90" customWidth="1"/>
    <col min="1549" max="1792" width="9.140625" style="90"/>
    <col min="1793" max="1793" width="4.28515625" style="90" customWidth="1"/>
    <col min="1794" max="1794" width="7.85546875" style="90" customWidth="1"/>
    <col min="1795" max="1795" width="64.85546875" style="90" customWidth="1"/>
    <col min="1796" max="1796" width="5.140625" style="90" customWidth="1"/>
    <col min="1797" max="1797" width="7.28515625" style="90" customWidth="1"/>
    <col min="1798" max="1798" width="7" style="90" customWidth="1"/>
    <col min="1799" max="1799" width="6.5703125" style="90" customWidth="1"/>
    <col min="1800" max="1800" width="8.42578125" style="90" customWidth="1"/>
    <col min="1801" max="1801" width="5.28515625" style="90" customWidth="1"/>
    <col min="1802" max="1803" width="10.85546875" style="90" customWidth="1"/>
    <col min="1804" max="1804" width="11.7109375" style="90" customWidth="1"/>
    <col min="1805" max="2048" width="9.140625" style="90"/>
    <col min="2049" max="2049" width="4.28515625" style="90" customWidth="1"/>
    <col min="2050" max="2050" width="7.85546875" style="90" customWidth="1"/>
    <col min="2051" max="2051" width="64.85546875" style="90" customWidth="1"/>
    <col min="2052" max="2052" width="5.140625" style="90" customWidth="1"/>
    <col min="2053" max="2053" width="7.28515625" style="90" customWidth="1"/>
    <col min="2054" max="2054" width="7" style="90" customWidth="1"/>
    <col min="2055" max="2055" width="6.5703125" style="90" customWidth="1"/>
    <col min="2056" max="2056" width="8.42578125" style="90" customWidth="1"/>
    <col min="2057" max="2057" width="5.28515625" style="90" customWidth="1"/>
    <col min="2058" max="2059" width="10.85546875" style="90" customWidth="1"/>
    <col min="2060" max="2060" width="11.7109375" style="90" customWidth="1"/>
    <col min="2061" max="2304" width="9.140625" style="90"/>
    <col min="2305" max="2305" width="4.28515625" style="90" customWidth="1"/>
    <col min="2306" max="2306" width="7.85546875" style="90" customWidth="1"/>
    <col min="2307" max="2307" width="64.85546875" style="90" customWidth="1"/>
    <col min="2308" max="2308" width="5.140625" style="90" customWidth="1"/>
    <col min="2309" max="2309" width="7.28515625" style="90" customWidth="1"/>
    <col min="2310" max="2310" width="7" style="90" customWidth="1"/>
    <col min="2311" max="2311" width="6.5703125" style="90" customWidth="1"/>
    <col min="2312" max="2312" width="8.42578125" style="90" customWidth="1"/>
    <col min="2313" max="2313" width="5.28515625" style="90" customWidth="1"/>
    <col min="2314" max="2315" width="10.85546875" style="90" customWidth="1"/>
    <col min="2316" max="2316" width="11.7109375" style="90" customWidth="1"/>
    <col min="2317" max="2560" width="9.140625" style="90"/>
    <col min="2561" max="2561" width="4.28515625" style="90" customWidth="1"/>
    <col min="2562" max="2562" width="7.85546875" style="90" customWidth="1"/>
    <col min="2563" max="2563" width="64.85546875" style="90" customWidth="1"/>
    <col min="2564" max="2564" width="5.140625" style="90" customWidth="1"/>
    <col min="2565" max="2565" width="7.28515625" style="90" customWidth="1"/>
    <col min="2566" max="2566" width="7" style="90" customWidth="1"/>
    <col min="2567" max="2567" width="6.5703125" style="90" customWidth="1"/>
    <col min="2568" max="2568" width="8.42578125" style="90" customWidth="1"/>
    <col min="2569" max="2569" width="5.28515625" style="90" customWidth="1"/>
    <col min="2570" max="2571" width="10.85546875" style="90" customWidth="1"/>
    <col min="2572" max="2572" width="11.7109375" style="90" customWidth="1"/>
    <col min="2573" max="2816" width="9.140625" style="90"/>
    <col min="2817" max="2817" width="4.28515625" style="90" customWidth="1"/>
    <col min="2818" max="2818" width="7.85546875" style="90" customWidth="1"/>
    <col min="2819" max="2819" width="64.85546875" style="90" customWidth="1"/>
    <col min="2820" max="2820" width="5.140625" style="90" customWidth="1"/>
    <col min="2821" max="2821" width="7.28515625" style="90" customWidth="1"/>
    <col min="2822" max="2822" width="7" style="90" customWidth="1"/>
    <col min="2823" max="2823" width="6.5703125" style="90" customWidth="1"/>
    <col min="2824" max="2824" width="8.42578125" style="90" customWidth="1"/>
    <col min="2825" max="2825" width="5.28515625" style="90" customWidth="1"/>
    <col min="2826" max="2827" width="10.85546875" style="90" customWidth="1"/>
    <col min="2828" max="2828" width="11.7109375" style="90" customWidth="1"/>
    <col min="2829" max="3072" width="9.140625" style="90"/>
    <col min="3073" max="3073" width="4.28515625" style="90" customWidth="1"/>
    <col min="3074" max="3074" width="7.85546875" style="90" customWidth="1"/>
    <col min="3075" max="3075" width="64.85546875" style="90" customWidth="1"/>
    <col min="3076" max="3076" width="5.140625" style="90" customWidth="1"/>
    <col min="3077" max="3077" width="7.28515625" style="90" customWidth="1"/>
    <col min="3078" max="3078" width="7" style="90" customWidth="1"/>
    <col min="3079" max="3079" width="6.5703125" style="90" customWidth="1"/>
    <col min="3080" max="3080" width="8.42578125" style="90" customWidth="1"/>
    <col min="3081" max="3081" width="5.28515625" style="90" customWidth="1"/>
    <col min="3082" max="3083" width="10.85546875" style="90" customWidth="1"/>
    <col min="3084" max="3084" width="11.7109375" style="90" customWidth="1"/>
    <col min="3085" max="3328" width="9.140625" style="90"/>
    <col min="3329" max="3329" width="4.28515625" style="90" customWidth="1"/>
    <col min="3330" max="3330" width="7.85546875" style="90" customWidth="1"/>
    <col min="3331" max="3331" width="64.85546875" style="90" customWidth="1"/>
    <col min="3332" max="3332" width="5.140625" style="90" customWidth="1"/>
    <col min="3333" max="3333" width="7.28515625" style="90" customWidth="1"/>
    <col min="3334" max="3334" width="7" style="90" customWidth="1"/>
    <col min="3335" max="3335" width="6.5703125" style="90" customWidth="1"/>
    <col min="3336" max="3336" width="8.42578125" style="90" customWidth="1"/>
    <col min="3337" max="3337" width="5.28515625" style="90" customWidth="1"/>
    <col min="3338" max="3339" width="10.85546875" style="90" customWidth="1"/>
    <col min="3340" max="3340" width="11.7109375" style="90" customWidth="1"/>
    <col min="3341" max="3584" width="9.140625" style="90"/>
    <col min="3585" max="3585" width="4.28515625" style="90" customWidth="1"/>
    <col min="3586" max="3586" width="7.85546875" style="90" customWidth="1"/>
    <col min="3587" max="3587" width="64.85546875" style="90" customWidth="1"/>
    <col min="3588" max="3588" width="5.140625" style="90" customWidth="1"/>
    <col min="3589" max="3589" width="7.28515625" style="90" customWidth="1"/>
    <col min="3590" max="3590" width="7" style="90" customWidth="1"/>
    <col min="3591" max="3591" width="6.5703125" style="90" customWidth="1"/>
    <col min="3592" max="3592" width="8.42578125" style="90" customWidth="1"/>
    <col min="3593" max="3593" width="5.28515625" style="90" customWidth="1"/>
    <col min="3594" max="3595" width="10.85546875" style="90" customWidth="1"/>
    <col min="3596" max="3596" width="11.7109375" style="90" customWidth="1"/>
    <col min="3597" max="3840" width="9.140625" style="90"/>
    <col min="3841" max="3841" width="4.28515625" style="90" customWidth="1"/>
    <col min="3842" max="3842" width="7.85546875" style="90" customWidth="1"/>
    <col min="3843" max="3843" width="64.85546875" style="90" customWidth="1"/>
    <col min="3844" max="3844" width="5.140625" style="90" customWidth="1"/>
    <col min="3845" max="3845" width="7.28515625" style="90" customWidth="1"/>
    <col min="3846" max="3846" width="7" style="90" customWidth="1"/>
    <col min="3847" max="3847" width="6.5703125" style="90" customWidth="1"/>
    <col min="3848" max="3848" width="8.42578125" style="90" customWidth="1"/>
    <col min="3849" max="3849" width="5.28515625" style="90" customWidth="1"/>
    <col min="3850" max="3851" width="10.85546875" style="90" customWidth="1"/>
    <col min="3852" max="3852" width="11.7109375" style="90" customWidth="1"/>
    <col min="3853" max="4096" width="9.140625" style="90"/>
    <col min="4097" max="4097" width="4.28515625" style="90" customWidth="1"/>
    <col min="4098" max="4098" width="7.85546875" style="90" customWidth="1"/>
    <col min="4099" max="4099" width="64.85546875" style="90" customWidth="1"/>
    <col min="4100" max="4100" width="5.140625" style="90" customWidth="1"/>
    <col min="4101" max="4101" width="7.28515625" style="90" customWidth="1"/>
    <col min="4102" max="4102" width="7" style="90" customWidth="1"/>
    <col min="4103" max="4103" width="6.5703125" style="90" customWidth="1"/>
    <col min="4104" max="4104" width="8.42578125" style="90" customWidth="1"/>
    <col min="4105" max="4105" width="5.28515625" style="90" customWidth="1"/>
    <col min="4106" max="4107" width="10.85546875" style="90" customWidth="1"/>
    <col min="4108" max="4108" width="11.7109375" style="90" customWidth="1"/>
    <col min="4109" max="4352" width="9.140625" style="90"/>
    <col min="4353" max="4353" width="4.28515625" style="90" customWidth="1"/>
    <col min="4354" max="4354" width="7.85546875" style="90" customWidth="1"/>
    <col min="4355" max="4355" width="64.85546875" style="90" customWidth="1"/>
    <col min="4356" max="4356" width="5.140625" style="90" customWidth="1"/>
    <col min="4357" max="4357" width="7.28515625" style="90" customWidth="1"/>
    <col min="4358" max="4358" width="7" style="90" customWidth="1"/>
    <col min="4359" max="4359" width="6.5703125" style="90" customWidth="1"/>
    <col min="4360" max="4360" width="8.42578125" style="90" customWidth="1"/>
    <col min="4361" max="4361" width="5.28515625" style="90" customWidth="1"/>
    <col min="4362" max="4363" width="10.85546875" style="90" customWidth="1"/>
    <col min="4364" max="4364" width="11.7109375" style="90" customWidth="1"/>
    <col min="4365" max="4608" width="9.140625" style="90"/>
    <col min="4609" max="4609" width="4.28515625" style="90" customWidth="1"/>
    <col min="4610" max="4610" width="7.85546875" style="90" customWidth="1"/>
    <col min="4611" max="4611" width="64.85546875" style="90" customWidth="1"/>
    <col min="4612" max="4612" width="5.140625" style="90" customWidth="1"/>
    <col min="4613" max="4613" width="7.28515625" style="90" customWidth="1"/>
    <col min="4614" max="4614" width="7" style="90" customWidth="1"/>
    <col min="4615" max="4615" width="6.5703125" style="90" customWidth="1"/>
    <col min="4616" max="4616" width="8.42578125" style="90" customWidth="1"/>
    <col min="4617" max="4617" width="5.28515625" style="90" customWidth="1"/>
    <col min="4618" max="4619" width="10.85546875" style="90" customWidth="1"/>
    <col min="4620" max="4620" width="11.7109375" style="90" customWidth="1"/>
    <col min="4621" max="4864" width="9.140625" style="90"/>
    <col min="4865" max="4865" width="4.28515625" style="90" customWidth="1"/>
    <col min="4866" max="4866" width="7.85546875" style="90" customWidth="1"/>
    <col min="4867" max="4867" width="64.85546875" style="90" customWidth="1"/>
    <col min="4868" max="4868" width="5.140625" style="90" customWidth="1"/>
    <col min="4869" max="4869" width="7.28515625" style="90" customWidth="1"/>
    <col min="4870" max="4870" width="7" style="90" customWidth="1"/>
    <col min="4871" max="4871" width="6.5703125" style="90" customWidth="1"/>
    <col min="4872" max="4872" width="8.42578125" style="90" customWidth="1"/>
    <col min="4873" max="4873" width="5.28515625" style="90" customWidth="1"/>
    <col min="4874" max="4875" width="10.85546875" style="90" customWidth="1"/>
    <col min="4876" max="4876" width="11.7109375" style="90" customWidth="1"/>
    <col min="4877" max="5120" width="9.140625" style="90"/>
    <col min="5121" max="5121" width="4.28515625" style="90" customWidth="1"/>
    <col min="5122" max="5122" width="7.85546875" style="90" customWidth="1"/>
    <col min="5123" max="5123" width="64.85546875" style="90" customWidth="1"/>
    <col min="5124" max="5124" width="5.140625" style="90" customWidth="1"/>
    <col min="5125" max="5125" width="7.28515625" style="90" customWidth="1"/>
    <col min="5126" max="5126" width="7" style="90" customWidth="1"/>
    <col min="5127" max="5127" width="6.5703125" style="90" customWidth="1"/>
    <col min="5128" max="5128" width="8.42578125" style="90" customWidth="1"/>
    <col min="5129" max="5129" width="5.28515625" style="90" customWidth="1"/>
    <col min="5130" max="5131" width="10.85546875" style="90" customWidth="1"/>
    <col min="5132" max="5132" width="11.7109375" style="90" customWidth="1"/>
    <col min="5133" max="5376" width="9.140625" style="90"/>
    <col min="5377" max="5377" width="4.28515625" style="90" customWidth="1"/>
    <col min="5378" max="5378" width="7.85546875" style="90" customWidth="1"/>
    <col min="5379" max="5379" width="64.85546875" style="90" customWidth="1"/>
    <col min="5380" max="5380" width="5.140625" style="90" customWidth="1"/>
    <col min="5381" max="5381" width="7.28515625" style="90" customWidth="1"/>
    <col min="5382" max="5382" width="7" style="90" customWidth="1"/>
    <col min="5383" max="5383" width="6.5703125" style="90" customWidth="1"/>
    <col min="5384" max="5384" width="8.42578125" style="90" customWidth="1"/>
    <col min="5385" max="5385" width="5.28515625" style="90" customWidth="1"/>
    <col min="5386" max="5387" width="10.85546875" style="90" customWidth="1"/>
    <col min="5388" max="5388" width="11.7109375" style="90" customWidth="1"/>
    <col min="5389" max="5632" width="9.140625" style="90"/>
    <col min="5633" max="5633" width="4.28515625" style="90" customWidth="1"/>
    <col min="5634" max="5634" width="7.85546875" style="90" customWidth="1"/>
    <col min="5635" max="5635" width="64.85546875" style="90" customWidth="1"/>
    <col min="5636" max="5636" width="5.140625" style="90" customWidth="1"/>
    <col min="5637" max="5637" width="7.28515625" style="90" customWidth="1"/>
    <col min="5638" max="5638" width="7" style="90" customWidth="1"/>
    <col min="5639" max="5639" width="6.5703125" style="90" customWidth="1"/>
    <col min="5640" max="5640" width="8.42578125" style="90" customWidth="1"/>
    <col min="5641" max="5641" width="5.28515625" style="90" customWidth="1"/>
    <col min="5642" max="5643" width="10.85546875" style="90" customWidth="1"/>
    <col min="5644" max="5644" width="11.7109375" style="90" customWidth="1"/>
    <col min="5645" max="5888" width="9.140625" style="90"/>
    <col min="5889" max="5889" width="4.28515625" style="90" customWidth="1"/>
    <col min="5890" max="5890" width="7.85546875" style="90" customWidth="1"/>
    <col min="5891" max="5891" width="64.85546875" style="90" customWidth="1"/>
    <col min="5892" max="5892" width="5.140625" style="90" customWidth="1"/>
    <col min="5893" max="5893" width="7.28515625" style="90" customWidth="1"/>
    <col min="5894" max="5894" width="7" style="90" customWidth="1"/>
    <col min="5895" max="5895" width="6.5703125" style="90" customWidth="1"/>
    <col min="5896" max="5896" width="8.42578125" style="90" customWidth="1"/>
    <col min="5897" max="5897" width="5.28515625" style="90" customWidth="1"/>
    <col min="5898" max="5899" width="10.85546875" style="90" customWidth="1"/>
    <col min="5900" max="5900" width="11.7109375" style="90" customWidth="1"/>
    <col min="5901" max="6144" width="9.140625" style="90"/>
    <col min="6145" max="6145" width="4.28515625" style="90" customWidth="1"/>
    <col min="6146" max="6146" width="7.85546875" style="90" customWidth="1"/>
    <col min="6147" max="6147" width="64.85546875" style="90" customWidth="1"/>
    <col min="6148" max="6148" width="5.140625" style="90" customWidth="1"/>
    <col min="6149" max="6149" width="7.28515625" style="90" customWidth="1"/>
    <col min="6150" max="6150" width="7" style="90" customWidth="1"/>
    <col min="6151" max="6151" width="6.5703125" style="90" customWidth="1"/>
    <col min="6152" max="6152" width="8.42578125" style="90" customWidth="1"/>
    <col min="6153" max="6153" width="5.28515625" style="90" customWidth="1"/>
    <col min="6154" max="6155" width="10.85546875" style="90" customWidth="1"/>
    <col min="6156" max="6156" width="11.7109375" style="90" customWidth="1"/>
    <col min="6157" max="6400" width="9.140625" style="90"/>
    <col min="6401" max="6401" width="4.28515625" style="90" customWidth="1"/>
    <col min="6402" max="6402" width="7.85546875" style="90" customWidth="1"/>
    <col min="6403" max="6403" width="64.85546875" style="90" customWidth="1"/>
    <col min="6404" max="6404" width="5.140625" style="90" customWidth="1"/>
    <col min="6405" max="6405" width="7.28515625" style="90" customWidth="1"/>
    <col min="6406" max="6406" width="7" style="90" customWidth="1"/>
    <col min="6407" max="6407" width="6.5703125" style="90" customWidth="1"/>
    <col min="6408" max="6408" width="8.42578125" style="90" customWidth="1"/>
    <col min="6409" max="6409" width="5.28515625" style="90" customWidth="1"/>
    <col min="6410" max="6411" width="10.85546875" style="90" customWidth="1"/>
    <col min="6412" max="6412" width="11.7109375" style="90" customWidth="1"/>
    <col min="6413" max="6656" width="9.140625" style="90"/>
    <col min="6657" max="6657" width="4.28515625" style="90" customWidth="1"/>
    <col min="6658" max="6658" width="7.85546875" style="90" customWidth="1"/>
    <col min="6659" max="6659" width="64.85546875" style="90" customWidth="1"/>
    <col min="6660" max="6660" width="5.140625" style="90" customWidth="1"/>
    <col min="6661" max="6661" width="7.28515625" style="90" customWidth="1"/>
    <col min="6662" max="6662" width="7" style="90" customWidth="1"/>
    <col min="6663" max="6663" width="6.5703125" style="90" customWidth="1"/>
    <col min="6664" max="6664" width="8.42578125" style="90" customWidth="1"/>
    <col min="6665" max="6665" width="5.28515625" style="90" customWidth="1"/>
    <col min="6666" max="6667" width="10.85546875" style="90" customWidth="1"/>
    <col min="6668" max="6668" width="11.7109375" style="90" customWidth="1"/>
    <col min="6669" max="6912" width="9.140625" style="90"/>
    <col min="6913" max="6913" width="4.28515625" style="90" customWidth="1"/>
    <col min="6914" max="6914" width="7.85546875" style="90" customWidth="1"/>
    <col min="6915" max="6915" width="64.85546875" style="90" customWidth="1"/>
    <col min="6916" max="6916" width="5.140625" style="90" customWidth="1"/>
    <col min="6917" max="6917" width="7.28515625" style="90" customWidth="1"/>
    <col min="6918" max="6918" width="7" style="90" customWidth="1"/>
    <col min="6919" max="6919" width="6.5703125" style="90" customWidth="1"/>
    <col min="6920" max="6920" width="8.42578125" style="90" customWidth="1"/>
    <col min="6921" max="6921" width="5.28515625" style="90" customWidth="1"/>
    <col min="6922" max="6923" width="10.85546875" style="90" customWidth="1"/>
    <col min="6924" max="6924" width="11.7109375" style="90" customWidth="1"/>
    <col min="6925" max="7168" width="9.140625" style="90"/>
    <col min="7169" max="7169" width="4.28515625" style="90" customWidth="1"/>
    <col min="7170" max="7170" width="7.85546875" style="90" customWidth="1"/>
    <col min="7171" max="7171" width="64.85546875" style="90" customWidth="1"/>
    <col min="7172" max="7172" width="5.140625" style="90" customWidth="1"/>
    <col min="7173" max="7173" width="7.28515625" style="90" customWidth="1"/>
    <col min="7174" max="7174" width="7" style="90" customWidth="1"/>
    <col min="7175" max="7175" width="6.5703125" style="90" customWidth="1"/>
    <col min="7176" max="7176" width="8.42578125" style="90" customWidth="1"/>
    <col min="7177" max="7177" width="5.28515625" style="90" customWidth="1"/>
    <col min="7178" max="7179" width="10.85546875" style="90" customWidth="1"/>
    <col min="7180" max="7180" width="11.7109375" style="90" customWidth="1"/>
    <col min="7181" max="7424" width="9.140625" style="90"/>
    <col min="7425" max="7425" width="4.28515625" style="90" customWidth="1"/>
    <col min="7426" max="7426" width="7.85546875" style="90" customWidth="1"/>
    <col min="7427" max="7427" width="64.85546875" style="90" customWidth="1"/>
    <col min="7428" max="7428" width="5.140625" style="90" customWidth="1"/>
    <col min="7429" max="7429" width="7.28515625" style="90" customWidth="1"/>
    <col min="7430" max="7430" width="7" style="90" customWidth="1"/>
    <col min="7431" max="7431" width="6.5703125" style="90" customWidth="1"/>
    <col min="7432" max="7432" width="8.42578125" style="90" customWidth="1"/>
    <col min="7433" max="7433" width="5.28515625" style="90" customWidth="1"/>
    <col min="7434" max="7435" width="10.85546875" style="90" customWidth="1"/>
    <col min="7436" max="7436" width="11.7109375" style="90" customWidth="1"/>
    <col min="7437" max="7680" width="9.140625" style="90"/>
    <col min="7681" max="7681" width="4.28515625" style="90" customWidth="1"/>
    <col min="7682" max="7682" width="7.85546875" style="90" customWidth="1"/>
    <col min="7683" max="7683" width="64.85546875" style="90" customWidth="1"/>
    <col min="7684" max="7684" width="5.140625" style="90" customWidth="1"/>
    <col min="7685" max="7685" width="7.28515625" style="90" customWidth="1"/>
    <col min="7686" max="7686" width="7" style="90" customWidth="1"/>
    <col min="7687" max="7687" width="6.5703125" style="90" customWidth="1"/>
    <col min="7688" max="7688" width="8.42578125" style="90" customWidth="1"/>
    <col min="7689" max="7689" width="5.28515625" style="90" customWidth="1"/>
    <col min="7690" max="7691" width="10.85546875" style="90" customWidth="1"/>
    <col min="7692" max="7692" width="11.7109375" style="90" customWidth="1"/>
    <col min="7693" max="7936" width="9.140625" style="90"/>
    <col min="7937" max="7937" width="4.28515625" style="90" customWidth="1"/>
    <col min="7938" max="7938" width="7.85546875" style="90" customWidth="1"/>
    <col min="7939" max="7939" width="64.85546875" style="90" customWidth="1"/>
    <col min="7940" max="7940" width="5.140625" style="90" customWidth="1"/>
    <col min="7941" max="7941" width="7.28515625" style="90" customWidth="1"/>
    <col min="7942" max="7942" width="7" style="90" customWidth="1"/>
    <col min="7943" max="7943" width="6.5703125" style="90" customWidth="1"/>
    <col min="7944" max="7944" width="8.42578125" style="90" customWidth="1"/>
    <col min="7945" max="7945" width="5.28515625" style="90" customWidth="1"/>
    <col min="7946" max="7947" width="10.85546875" style="90" customWidth="1"/>
    <col min="7948" max="7948" width="11.7109375" style="90" customWidth="1"/>
    <col min="7949" max="8192" width="9.140625" style="90"/>
    <col min="8193" max="8193" width="4.28515625" style="90" customWidth="1"/>
    <col min="8194" max="8194" width="7.85546875" style="90" customWidth="1"/>
    <col min="8195" max="8195" width="64.85546875" style="90" customWidth="1"/>
    <col min="8196" max="8196" width="5.140625" style="90" customWidth="1"/>
    <col min="8197" max="8197" width="7.28515625" style="90" customWidth="1"/>
    <col min="8198" max="8198" width="7" style="90" customWidth="1"/>
    <col min="8199" max="8199" width="6.5703125" style="90" customWidth="1"/>
    <col min="8200" max="8200" width="8.42578125" style="90" customWidth="1"/>
    <col min="8201" max="8201" width="5.28515625" style="90" customWidth="1"/>
    <col min="8202" max="8203" width="10.85546875" style="90" customWidth="1"/>
    <col min="8204" max="8204" width="11.7109375" style="90" customWidth="1"/>
    <col min="8205" max="8448" width="9.140625" style="90"/>
    <col min="8449" max="8449" width="4.28515625" style="90" customWidth="1"/>
    <col min="8450" max="8450" width="7.85546875" style="90" customWidth="1"/>
    <col min="8451" max="8451" width="64.85546875" style="90" customWidth="1"/>
    <col min="8452" max="8452" width="5.140625" style="90" customWidth="1"/>
    <col min="8453" max="8453" width="7.28515625" style="90" customWidth="1"/>
    <col min="8454" max="8454" width="7" style="90" customWidth="1"/>
    <col min="8455" max="8455" width="6.5703125" style="90" customWidth="1"/>
    <col min="8456" max="8456" width="8.42578125" style="90" customWidth="1"/>
    <col min="8457" max="8457" width="5.28515625" style="90" customWidth="1"/>
    <col min="8458" max="8459" width="10.85546875" style="90" customWidth="1"/>
    <col min="8460" max="8460" width="11.7109375" style="90" customWidth="1"/>
    <col min="8461" max="8704" width="9.140625" style="90"/>
    <col min="8705" max="8705" width="4.28515625" style="90" customWidth="1"/>
    <col min="8706" max="8706" width="7.85546875" style="90" customWidth="1"/>
    <col min="8707" max="8707" width="64.85546875" style="90" customWidth="1"/>
    <col min="8708" max="8708" width="5.140625" style="90" customWidth="1"/>
    <col min="8709" max="8709" width="7.28515625" style="90" customWidth="1"/>
    <col min="8710" max="8710" width="7" style="90" customWidth="1"/>
    <col min="8711" max="8711" width="6.5703125" style="90" customWidth="1"/>
    <col min="8712" max="8712" width="8.42578125" style="90" customWidth="1"/>
    <col min="8713" max="8713" width="5.28515625" style="90" customWidth="1"/>
    <col min="8714" max="8715" width="10.85546875" style="90" customWidth="1"/>
    <col min="8716" max="8716" width="11.7109375" style="90" customWidth="1"/>
    <col min="8717" max="8960" width="9.140625" style="90"/>
    <col min="8961" max="8961" width="4.28515625" style="90" customWidth="1"/>
    <col min="8962" max="8962" width="7.85546875" style="90" customWidth="1"/>
    <col min="8963" max="8963" width="64.85546875" style="90" customWidth="1"/>
    <col min="8964" max="8964" width="5.140625" style="90" customWidth="1"/>
    <col min="8965" max="8965" width="7.28515625" style="90" customWidth="1"/>
    <col min="8966" max="8966" width="7" style="90" customWidth="1"/>
    <col min="8967" max="8967" width="6.5703125" style="90" customWidth="1"/>
    <col min="8968" max="8968" width="8.42578125" style="90" customWidth="1"/>
    <col min="8969" max="8969" width="5.28515625" style="90" customWidth="1"/>
    <col min="8970" max="8971" width="10.85546875" style="90" customWidth="1"/>
    <col min="8972" max="8972" width="11.7109375" style="90" customWidth="1"/>
    <col min="8973" max="9216" width="9.140625" style="90"/>
    <col min="9217" max="9217" width="4.28515625" style="90" customWidth="1"/>
    <col min="9218" max="9218" width="7.85546875" style="90" customWidth="1"/>
    <col min="9219" max="9219" width="64.85546875" style="90" customWidth="1"/>
    <col min="9220" max="9220" width="5.140625" style="90" customWidth="1"/>
    <col min="9221" max="9221" width="7.28515625" style="90" customWidth="1"/>
    <col min="9222" max="9222" width="7" style="90" customWidth="1"/>
    <col min="9223" max="9223" width="6.5703125" style="90" customWidth="1"/>
    <col min="9224" max="9224" width="8.42578125" style="90" customWidth="1"/>
    <col min="9225" max="9225" width="5.28515625" style="90" customWidth="1"/>
    <col min="9226" max="9227" width="10.85546875" style="90" customWidth="1"/>
    <col min="9228" max="9228" width="11.7109375" style="90" customWidth="1"/>
    <col min="9229" max="9472" width="9.140625" style="90"/>
    <col min="9473" max="9473" width="4.28515625" style="90" customWidth="1"/>
    <col min="9474" max="9474" width="7.85546875" style="90" customWidth="1"/>
    <col min="9475" max="9475" width="64.85546875" style="90" customWidth="1"/>
    <col min="9476" max="9476" width="5.140625" style="90" customWidth="1"/>
    <col min="9477" max="9477" width="7.28515625" style="90" customWidth="1"/>
    <col min="9478" max="9478" width="7" style="90" customWidth="1"/>
    <col min="9479" max="9479" width="6.5703125" style="90" customWidth="1"/>
    <col min="9480" max="9480" width="8.42578125" style="90" customWidth="1"/>
    <col min="9481" max="9481" width="5.28515625" style="90" customWidth="1"/>
    <col min="9482" max="9483" width="10.85546875" style="90" customWidth="1"/>
    <col min="9484" max="9484" width="11.7109375" style="90" customWidth="1"/>
    <col min="9485" max="9728" width="9.140625" style="90"/>
    <col min="9729" max="9729" width="4.28515625" style="90" customWidth="1"/>
    <col min="9730" max="9730" width="7.85546875" style="90" customWidth="1"/>
    <col min="9731" max="9731" width="64.85546875" style="90" customWidth="1"/>
    <col min="9732" max="9732" width="5.140625" style="90" customWidth="1"/>
    <col min="9733" max="9733" width="7.28515625" style="90" customWidth="1"/>
    <col min="9734" max="9734" width="7" style="90" customWidth="1"/>
    <col min="9735" max="9735" width="6.5703125" style="90" customWidth="1"/>
    <col min="9736" max="9736" width="8.42578125" style="90" customWidth="1"/>
    <col min="9737" max="9737" width="5.28515625" style="90" customWidth="1"/>
    <col min="9738" max="9739" width="10.85546875" style="90" customWidth="1"/>
    <col min="9740" max="9740" width="11.7109375" style="90" customWidth="1"/>
    <col min="9741" max="9984" width="9.140625" style="90"/>
    <col min="9985" max="9985" width="4.28515625" style="90" customWidth="1"/>
    <col min="9986" max="9986" width="7.85546875" style="90" customWidth="1"/>
    <col min="9987" max="9987" width="64.85546875" style="90" customWidth="1"/>
    <col min="9988" max="9988" width="5.140625" style="90" customWidth="1"/>
    <col min="9989" max="9989" width="7.28515625" style="90" customWidth="1"/>
    <col min="9990" max="9990" width="7" style="90" customWidth="1"/>
    <col min="9991" max="9991" width="6.5703125" style="90" customWidth="1"/>
    <col min="9992" max="9992" width="8.42578125" style="90" customWidth="1"/>
    <col min="9993" max="9993" width="5.28515625" style="90" customWidth="1"/>
    <col min="9994" max="9995" width="10.85546875" style="90" customWidth="1"/>
    <col min="9996" max="9996" width="11.7109375" style="90" customWidth="1"/>
    <col min="9997" max="10240" width="9.140625" style="90"/>
    <col min="10241" max="10241" width="4.28515625" style="90" customWidth="1"/>
    <col min="10242" max="10242" width="7.85546875" style="90" customWidth="1"/>
    <col min="10243" max="10243" width="64.85546875" style="90" customWidth="1"/>
    <col min="10244" max="10244" width="5.140625" style="90" customWidth="1"/>
    <col min="10245" max="10245" width="7.28515625" style="90" customWidth="1"/>
    <col min="10246" max="10246" width="7" style="90" customWidth="1"/>
    <col min="10247" max="10247" width="6.5703125" style="90" customWidth="1"/>
    <col min="10248" max="10248" width="8.42578125" style="90" customWidth="1"/>
    <col min="10249" max="10249" width="5.28515625" style="90" customWidth="1"/>
    <col min="10250" max="10251" width="10.85546875" style="90" customWidth="1"/>
    <col min="10252" max="10252" width="11.7109375" style="90" customWidth="1"/>
    <col min="10253" max="10496" width="9.140625" style="90"/>
    <col min="10497" max="10497" width="4.28515625" style="90" customWidth="1"/>
    <col min="10498" max="10498" width="7.85546875" style="90" customWidth="1"/>
    <col min="10499" max="10499" width="64.85546875" style="90" customWidth="1"/>
    <col min="10500" max="10500" width="5.140625" style="90" customWidth="1"/>
    <col min="10501" max="10501" width="7.28515625" style="90" customWidth="1"/>
    <col min="10502" max="10502" width="7" style="90" customWidth="1"/>
    <col min="10503" max="10503" width="6.5703125" style="90" customWidth="1"/>
    <col min="10504" max="10504" width="8.42578125" style="90" customWidth="1"/>
    <col min="10505" max="10505" width="5.28515625" style="90" customWidth="1"/>
    <col min="10506" max="10507" width="10.85546875" style="90" customWidth="1"/>
    <col min="10508" max="10508" width="11.7109375" style="90" customWidth="1"/>
    <col min="10509" max="10752" width="9.140625" style="90"/>
    <col min="10753" max="10753" width="4.28515625" style="90" customWidth="1"/>
    <col min="10754" max="10754" width="7.85546875" style="90" customWidth="1"/>
    <col min="10755" max="10755" width="64.85546875" style="90" customWidth="1"/>
    <col min="10756" max="10756" width="5.140625" style="90" customWidth="1"/>
    <col min="10757" max="10757" width="7.28515625" style="90" customWidth="1"/>
    <col min="10758" max="10758" width="7" style="90" customWidth="1"/>
    <col min="10759" max="10759" width="6.5703125" style="90" customWidth="1"/>
    <col min="10760" max="10760" width="8.42578125" style="90" customWidth="1"/>
    <col min="10761" max="10761" width="5.28515625" style="90" customWidth="1"/>
    <col min="10762" max="10763" width="10.85546875" style="90" customWidth="1"/>
    <col min="10764" max="10764" width="11.7109375" style="90" customWidth="1"/>
    <col min="10765" max="11008" width="9.140625" style="90"/>
    <col min="11009" max="11009" width="4.28515625" style="90" customWidth="1"/>
    <col min="11010" max="11010" width="7.85546875" style="90" customWidth="1"/>
    <col min="11011" max="11011" width="64.85546875" style="90" customWidth="1"/>
    <col min="11012" max="11012" width="5.140625" style="90" customWidth="1"/>
    <col min="11013" max="11013" width="7.28515625" style="90" customWidth="1"/>
    <col min="11014" max="11014" width="7" style="90" customWidth="1"/>
    <col min="11015" max="11015" width="6.5703125" style="90" customWidth="1"/>
    <col min="11016" max="11016" width="8.42578125" style="90" customWidth="1"/>
    <col min="11017" max="11017" width="5.28515625" style="90" customWidth="1"/>
    <col min="11018" max="11019" width="10.85546875" style="90" customWidth="1"/>
    <col min="11020" max="11020" width="11.7109375" style="90" customWidth="1"/>
    <col min="11021" max="11264" width="9.140625" style="90"/>
    <col min="11265" max="11265" width="4.28515625" style="90" customWidth="1"/>
    <col min="11266" max="11266" width="7.85546875" style="90" customWidth="1"/>
    <col min="11267" max="11267" width="64.85546875" style="90" customWidth="1"/>
    <col min="11268" max="11268" width="5.140625" style="90" customWidth="1"/>
    <col min="11269" max="11269" width="7.28515625" style="90" customWidth="1"/>
    <col min="11270" max="11270" width="7" style="90" customWidth="1"/>
    <col min="11271" max="11271" width="6.5703125" style="90" customWidth="1"/>
    <col min="11272" max="11272" width="8.42578125" style="90" customWidth="1"/>
    <col min="11273" max="11273" width="5.28515625" style="90" customWidth="1"/>
    <col min="11274" max="11275" width="10.85546875" style="90" customWidth="1"/>
    <col min="11276" max="11276" width="11.7109375" style="90" customWidth="1"/>
    <col min="11277" max="11520" width="9.140625" style="90"/>
    <col min="11521" max="11521" width="4.28515625" style="90" customWidth="1"/>
    <col min="11522" max="11522" width="7.85546875" style="90" customWidth="1"/>
    <col min="11523" max="11523" width="64.85546875" style="90" customWidth="1"/>
    <col min="11524" max="11524" width="5.140625" style="90" customWidth="1"/>
    <col min="11525" max="11525" width="7.28515625" style="90" customWidth="1"/>
    <col min="11526" max="11526" width="7" style="90" customWidth="1"/>
    <col min="11527" max="11527" width="6.5703125" style="90" customWidth="1"/>
    <col min="11528" max="11528" width="8.42578125" style="90" customWidth="1"/>
    <col min="11529" max="11529" width="5.28515625" style="90" customWidth="1"/>
    <col min="11530" max="11531" width="10.85546875" style="90" customWidth="1"/>
    <col min="11532" max="11532" width="11.7109375" style="90" customWidth="1"/>
    <col min="11533" max="11776" width="9.140625" style="90"/>
    <col min="11777" max="11777" width="4.28515625" style="90" customWidth="1"/>
    <col min="11778" max="11778" width="7.85546875" style="90" customWidth="1"/>
    <col min="11779" max="11779" width="64.85546875" style="90" customWidth="1"/>
    <col min="11780" max="11780" width="5.140625" style="90" customWidth="1"/>
    <col min="11781" max="11781" width="7.28515625" style="90" customWidth="1"/>
    <col min="11782" max="11782" width="7" style="90" customWidth="1"/>
    <col min="11783" max="11783" width="6.5703125" style="90" customWidth="1"/>
    <col min="11784" max="11784" width="8.42578125" style="90" customWidth="1"/>
    <col min="11785" max="11785" width="5.28515625" style="90" customWidth="1"/>
    <col min="11786" max="11787" width="10.85546875" style="90" customWidth="1"/>
    <col min="11788" max="11788" width="11.7109375" style="90" customWidth="1"/>
    <col min="11789" max="12032" width="9.140625" style="90"/>
    <col min="12033" max="12033" width="4.28515625" style="90" customWidth="1"/>
    <col min="12034" max="12034" width="7.85546875" style="90" customWidth="1"/>
    <col min="12035" max="12035" width="64.85546875" style="90" customWidth="1"/>
    <col min="12036" max="12036" width="5.140625" style="90" customWidth="1"/>
    <col min="12037" max="12037" width="7.28515625" style="90" customWidth="1"/>
    <col min="12038" max="12038" width="7" style="90" customWidth="1"/>
    <col min="12039" max="12039" width="6.5703125" style="90" customWidth="1"/>
    <col min="12040" max="12040" width="8.42578125" style="90" customWidth="1"/>
    <col min="12041" max="12041" width="5.28515625" style="90" customWidth="1"/>
    <col min="12042" max="12043" width="10.85546875" style="90" customWidth="1"/>
    <col min="12044" max="12044" width="11.7109375" style="90" customWidth="1"/>
    <col min="12045" max="12288" width="9.140625" style="90"/>
    <col min="12289" max="12289" width="4.28515625" style="90" customWidth="1"/>
    <col min="12290" max="12290" width="7.85546875" style="90" customWidth="1"/>
    <col min="12291" max="12291" width="64.85546875" style="90" customWidth="1"/>
    <col min="12292" max="12292" width="5.140625" style="90" customWidth="1"/>
    <col min="12293" max="12293" width="7.28515625" style="90" customWidth="1"/>
    <col min="12294" max="12294" width="7" style="90" customWidth="1"/>
    <col min="12295" max="12295" width="6.5703125" style="90" customWidth="1"/>
    <col min="12296" max="12296" width="8.42578125" style="90" customWidth="1"/>
    <col min="12297" max="12297" width="5.28515625" style="90" customWidth="1"/>
    <col min="12298" max="12299" width="10.85546875" style="90" customWidth="1"/>
    <col min="12300" max="12300" width="11.7109375" style="90" customWidth="1"/>
    <col min="12301" max="12544" width="9.140625" style="90"/>
    <col min="12545" max="12545" width="4.28515625" style="90" customWidth="1"/>
    <col min="12546" max="12546" width="7.85546875" style="90" customWidth="1"/>
    <col min="12547" max="12547" width="64.85546875" style="90" customWidth="1"/>
    <col min="12548" max="12548" width="5.140625" style="90" customWidth="1"/>
    <col min="12549" max="12549" width="7.28515625" style="90" customWidth="1"/>
    <col min="12550" max="12550" width="7" style="90" customWidth="1"/>
    <col min="12551" max="12551" width="6.5703125" style="90" customWidth="1"/>
    <col min="12552" max="12552" width="8.42578125" style="90" customWidth="1"/>
    <col min="12553" max="12553" width="5.28515625" style="90" customWidth="1"/>
    <col min="12554" max="12555" width="10.85546875" style="90" customWidth="1"/>
    <col min="12556" max="12556" width="11.7109375" style="90" customWidth="1"/>
    <col min="12557" max="12800" width="9.140625" style="90"/>
    <col min="12801" max="12801" width="4.28515625" style="90" customWidth="1"/>
    <col min="12802" max="12802" width="7.85546875" style="90" customWidth="1"/>
    <col min="12803" max="12803" width="64.85546875" style="90" customWidth="1"/>
    <col min="12804" max="12804" width="5.140625" style="90" customWidth="1"/>
    <col min="12805" max="12805" width="7.28515625" style="90" customWidth="1"/>
    <col min="12806" max="12806" width="7" style="90" customWidth="1"/>
    <col min="12807" max="12807" width="6.5703125" style="90" customWidth="1"/>
    <col min="12808" max="12808" width="8.42578125" style="90" customWidth="1"/>
    <col min="12809" max="12809" width="5.28515625" style="90" customWidth="1"/>
    <col min="12810" max="12811" width="10.85546875" style="90" customWidth="1"/>
    <col min="12812" max="12812" width="11.7109375" style="90" customWidth="1"/>
    <col min="12813" max="13056" width="9.140625" style="90"/>
    <col min="13057" max="13057" width="4.28515625" style="90" customWidth="1"/>
    <col min="13058" max="13058" width="7.85546875" style="90" customWidth="1"/>
    <col min="13059" max="13059" width="64.85546875" style="90" customWidth="1"/>
    <col min="13060" max="13060" width="5.140625" style="90" customWidth="1"/>
    <col min="13061" max="13061" width="7.28515625" style="90" customWidth="1"/>
    <col min="13062" max="13062" width="7" style="90" customWidth="1"/>
    <col min="13063" max="13063" width="6.5703125" style="90" customWidth="1"/>
    <col min="13064" max="13064" width="8.42578125" style="90" customWidth="1"/>
    <col min="13065" max="13065" width="5.28515625" style="90" customWidth="1"/>
    <col min="13066" max="13067" width="10.85546875" style="90" customWidth="1"/>
    <col min="13068" max="13068" width="11.7109375" style="90" customWidth="1"/>
    <col min="13069" max="13312" width="9.140625" style="90"/>
    <col min="13313" max="13313" width="4.28515625" style="90" customWidth="1"/>
    <col min="13314" max="13314" width="7.85546875" style="90" customWidth="1"/>
    <col min="13315" max="13315" width="64.85546875" style="90" customWidth="1"/>
    <col min="13316" max="13316" width="5.140625" style="90" customWidth="1"/>
    <col min="13317" max="13317" width="7.28515625" style="90" customWidth="1"/>
    <col min="13318" max="13318" width="7" style="90" customWidth="1"/>
    <col min="13319" max="13319" width="6.5703125" style="90" customWidth="1"/>
    <col min="13320" max="13320" width="8.42578125" style="90" customWidth="1"/>
    <col min="13321" max="13321" width="5.28515625" style="90" customWidth="1"/>
    <col min="13322" max="13323" width="10.85546875" style="90" customWidth="1"/>
    <col min="13324" max="13324" width="11.7109375" style="90" customWidth="1"/>
    <col min="13325" max="13568" width="9.140625" style="90"/>
    <col min="13569" max="13569" width="4.28515625" style="90" customWidth="1"/>
    <col min="13570" max="13570" width="7.85546875" style="90" customWidth="1"/>
    <col min="13571" max="13571" width="64.85546875" style="90" customWidth="1"/>
    <col min="13572" max="13572" width="5.140625" style="90" customWidth="1"/>
    <col min="13573" max="13573" width="7.28515625" style="90" customWidth="1"/>
    <col min="13574" max="13574" width="7" style="90" customWidth="1"/>
    <col min="13575" max="13575" width="6.5703125" style="90" customWidth="1"/>
    <col min="13576" max="13576" width="8.42578125" style="90" customWidth="1"/>
    <col min="13577" max="13577" width="5.28515625" style="90" customWidth="1"/>
    <col min="13578" max="13579" width="10.85546875" style="90" customWidth="1"/>
    <col min="13580" max="13580" width="11.7109375" style="90" customWidth="1"/>
    <col min="13581" max="13824" width="9.140625" style="90"/>
    <col min="13825" max="13825" width="4.28515625" style="90" customWidth="1"/>
    <col min="13826" max="13826" width="7.85546875" style="90" customWidth="1"/>
    <col min="13827" max="13827" width="64.85546875" style="90" customWidth="1"/>
    <col min="13828" max="13828" width="5.140625" style="90" customWidth="1"/>
    <col min="13829" max="13829" width="7.28515625" style="90" customWidth="1"/>
    <col min="13830" max="13830" width="7" style="90" customWidth="1"/>
    <col min="13831" max="13831" width="6.5703125" style="90" customWidth="1"/>
    <col min="13832" max="13832" width="8.42578125" style="90" customWidth="1"/>
    <col min="13833" max="13833" width="5.28515625" style="90" customWidth="1"/>
    <col min="13834" max="13835" width="10.85546875" style="90" customWidth="1"/>
    <col min="13836" max="13836" width="11.7109375" style="90" customWidth="1"/>
    <col min="13837" max="14080" width="9.140625" style="90"/>
    <col min="14081" max="14081" width="4.28515625" style="90" customWidth="1"/>
    <col min="14082" max="14082" width="7.85546875" style="90" customWidth="1"/>
    <col min="14083" max="14083" width="64.85546875" style="90" customWidth="1"/>
    <col min="14084" max="14084" width="5.140625" style="90" customWidth="1"/>
    <col min="14085" max="14085" width="7.28515625" style="90" customWidth="1"/>
    <col min="14086" max="14086" width="7" style="90" customWidth="1"/>
    <col min="14087" max="14087" width="6.5703125" style="90" customWidth="1"/>
    <col min="14088" max="14088" width="8.42578125" style="90" customWidth="1"/>
    <col min="14089" max="14089" width="5.28515625" style="90" customWidth="1"/>
    <col min="14090" max="14091" width="10.85546875" style="90" customWidth="1"/>
    <col min="14092" max="14092" width="11.7109375" style="90" customWidth="1"/>
    <col min="14093" max="14336" width="9.140625" style="90"/>
    <col min="14337" max="14337" width="4.28515625" style="90" customWidth="1"/>
    <col min="14338" max="14338" width="7.85546875" style="90" customWidth="1"/>
    <col min="14339" max="14339" width="64.85546875" style="90" customWidth="1"/>
    <col min="14340" max="14340" width="5.140625" style="90" customWidth="1"/>
    <col min="14341" max="14341" width="7.28515625" style="90" customWidth="1"/>
    <col min="14342" max="14342" width="7" style="90" customWidth="1"/>
    <col min="14343" max="14343" width="6.5703125" style="90" customWidth="1"/>
    <col min="14344" max="14344" width="8.42578125" style="90" customWidth="1"/>
    <col min="14345" max="14345" width="5.28515625" style="90" customWidth="1"/>
    <col min="14346" max="14347" width="10.85546875" style="90" customWidth="1"/>
    <col min="14348" max="14348" width="11.7109375" style="90" customWidth="1"/>
    <col min="14349" max="14592" width="9.140625" style="90"/>
    <col min="14593" max="14593" width="4.28515625" style="90" customWidth="1"/>
    <col min="14594" max="14594" width="7.85546875" style="90" customWidth="1"/>
    <col min="14595" max="14595" width="64.85546875" style="90" customWidth="1"/>
    <col min="14596" max="14596" width="5.140625" style="90" customWidth="1"/>
    <col min="14597" max="14597" width="7.28515625" style="90" customWidth="1"/>
    <col min="14598" max="14598" width="7" style="90" customWidth="1"/>
    <col min="14599" max="14599" width="6.5703125" style="90" customWidth="1"/>
    <col min="14600" max="14600" width="8.42578125" style="90" customWidth="1"/>
    <col min="14601" max="14601" width="5.28515625" style="90" customWidth="1"/>
    <col min="14602" max="14603" width="10.85546875" style="90" customWidth="1"/>
    <col min="14604" max="14604" width="11.7109375" style="90" customWidth="1"/>
    <col min="14605" max="14848" width="9.140625" style="90"/>
    <col min="14849" max="14849" width="4.28515625" style="90" customWidth="1"/>
    <col min="14850" max="14850" width="7.85546875" style="90" customWidth="1"/>
    <col min="14851" max="14851" width="64.85546875" style="90" customWidth="1"/>
    <col min="14852" max="14852" width="5.140625" style="90" customWidth="1"/>
    <col min="14853" max="14853" width="7.28515625" style="90" customWidth="1"/>
    <col min="14854" max="14854" width="7" style="90" customWidth="1"/>
    <col min="14855" max="14855" width="6.5703125" style="90" customWidth="1"/>
    <col min="14856" max="14856" width="8.42578125" style="90" customWidth="1"/>
    <col min="14857" max="14857" width="5.28515625" style="90" customWidth="1"/>
    <col min="14858" max="14859" width="10.85546875" style="90" customWidth="1"/>
    <col min="14860" max="14860" width="11.7109375" style="90" customWidth="1"/>
    <col min="14861" max="15104" width="9.140625" style="90"/>
    <col min="15105" max="15105" width="4.28515625" style="90" customWidth="1"/>
    <col min="15106" max="15106" width="7.85546875" style="90" customWidth="1"/>
    <col min="15107" max="15107" width="64.85546875" style="90" customWidth="1"/>
    <col min="15108" max="15108" width="5.140625" style="90" customWidth="1"/>
    <col min="15109" max="15109" width="7.28515625" style="90" customWidth="1"/>
    <col min="15110" max="15110" width="7" style="90" customWidth="1"/>
    <col min="15111" max="15111" width="6.5703125" style="90" customWidth="1"/>
    <col min="15112" max="15112" width="8.42578125" style="90" customWidth="1"/>
    <col min="15113" max="15113" width="5.28515625" style="90" customWidth="1"/>
    <col min="15114" max="15115" width="10.85546875" style="90" customWidth="1"/>
    <col min="15116" max="15116" width="11.7109375" style="90" customWidth="1"/>
    <col min="15117" max="15360" width="9.140625" style="90"/>
    <col min="15361" max="15361" width="4.28515625" style="90" customWidth="1"/>
    <col min="15362" max="15362" width="7.85546875" style="90" customWidth="1"/>
    <col min="15363" max="15363" width="64.85546875" style="90" customWidth="1"/>
    <col min="15364" max="15364" width="5.140625" style="90" customWidth="1"/>
    <col min="15365" max="15365" width="7.28515625" style="90" customWidth="1"/>
    <col min="15366" max="15366" width="7" style="90" customWidth="1"/>
    <col min="15367" max="15367" width="6.5703125" style="90" customWidth="1"/>
    <col min="15368" max="15368" width="8.42578125" style="90" customWidth="1"/>
    <col min="15369" max="15369" width="5.28515625" style="90" customWidth="1"/>
    <col min="15370" max="15371" width="10.85546875" style="90" customWidth="1"/>
    <col min="15372" max="15372" width="11.7109375" style="90" customWidth="1"/>
    <col min="15373" max="15616" width="9.140625" style="90"/>
    <col min="15617" max="15617" width="4.28515625" style="90" customWidth="1"/>
    <col min="15618" max="15618" width="7.85546875" style="90" customWidth="1"/>
    <col min="15619" max="15619" width="64.85546875" style="90" customWidth="1"/>
    <col min="15620" max="15620" width="5.140625" style="90" customWidth="1"/>
    <col min="15621" max="15621" width="7.28515625" style="90" customWidth="1"/>
    <col min="15622" max="15622" width="7" style="90" customWidth="1"/>
    <col min="15623" max="15623" width="6.5703125" style="90" customWidth="1"/>
    <col min="15624" max="15624" width="8.42578125" style="90" customWidth="1"/>
    <col min="15625" max="15625" width="5.28515625" style="90" customWidth="1"/>
    <col min="15626" max="15627" width="10.85546875" style="90" customWidth="1"/>
    <col min="15628" max="15628" width="11.7109375" style="90" customWidth="1"/>
    <col min="15629" max="15872" width="9.140625" style="90"/>
    <col min="15873" max="15873" width="4.28515625" style="90" customWidth="1"/>
    <col min="15874" max="15874" width="7.85546875" style="90" customWidth="1"/>
    <col min="15875" max="15875" width="64.85546875" style="90" customWidth="1"/>
    <col min="15876" max="15876" width="5.140625" style="90" customWidth="1"/>
    <col min="15877" max="15877" width="7.28515625" style="90" customWidth="1"/>
    <col min="15878" max="15878" width="7" style="90" customWidth="1"/>
    <col min="15879" max="15879" width="6.5703125" style="90" customWidth="1"/>
    <col min="15880" max="15880" width="8.42578125" style="90" customWidth="1"/>
    <col min="15881" max="15881" width="5.28515625" style="90" customWidth="1"/>
    <col min="15882" max="15883" width="10.85546875" style="90" customWidth="1"/>
    <col min="15884" max="15884" width="11.7109375" style="90" customWidth="1"/>
    <col min="15885" max="16128" width="9.140625" style="90"/>
    <col min="16129" max="16129" width="4.28515625" style="90" customWidth="1"/>
    <col min="16130" max="16130" width="7.85546875" style="90" customWidth="1"/>
    <col min="16131" max="16131" width="64.85546875" style="90" customWidth="1"/>
    <col min="16132" max="16132" width="5.140625" style="90" customWidth="1"/>
    <col min="16133" max="16133" width="7.28515625" style="90" customWidth="1"/>
    <col min="16134" max="16134" width="7" style="90" customWidth="1"/>
    <col min="16135" max="16135" width="6.5703125" style="90" customWidth="1"/>
    <col min="16136" max="16136" width="8.42578125" style="90" customWidth="1"/>
    <col min="16137" max="16137" width="5.28515625" style="90" customWidth="1"/>
    <col min="16138" max="16139" width="10.85546875" style="90" customWidth="1"/>
    <col min="16140" max="16140" width="11.7109375" style="90" customWidth="1"/>
    <col min="16141" max="16384" width="9.140625" style="90"/>
  </cols>
  <sheetData>
    <row r="2" spans="1:12" ht="15" x14ac:dyDescent="0.2">
      <c r="C2" s="106" t="s">
        <v>214</v>
      </c>
    </row>
    <row r="3" spans="1:12" ht="15.75" x14ac:dyDescent="0.2">
      <c r="A3" s="949" t="s">
        <v>522</v>
      </c>
      <c r="B3" s="949"/>
      <c r="C3" s="949"/>
      <c r="D3" s="949"/>
      <c r="E3" s="949"/>
      <c r="F3" s="949"/>
      <c r="G3" s="949"/>
      <c r="H3" s="949"/>
      <c r="I3" s="949"/>
    </row>
    <row r="4" spans="1:12" ht="25.5" x14ac:dyDescent="0.2">
      <c r="A4" s="104" t="s">
        <v>99</v>
      </c>
      <c r="B4" s="105" t="s">
        <v>216</v>
      </c>
      <c r="C4" s="113" t="s">
        <v>101</v>
      </c>
      <c r="D4" s="114" t="s">
        <v>102</v>
      </c>
      <c r="E4" s="107" t="s">
        <v>103</v>
      </c>
      <c r="F4" s="107" t="s">
        <v>104</v>
      </c>
      <c r="G4" s="107" t="s">
        <v>105</v>
      </c>
      <c r="H4" s="179" t="s">
        <v>106</v>
      </c>
      <c r="I4" s="109" t="s">
        <v>107</v>
      </c>
      <c r="J4" s="107" t="s">
        <v>108</v>
      </c>
      <c r="K4" s="107" t="s">
        <v>109</v>
      </c>
      <c r="L4" s="203" t="s">
        <v>95</v>
      </c>
    </row>
    <row r="5" spans="1:12" ht="38.25" x14ac:dyDescent="0.2">
      <c r="A5" s="116">
        <v>1</v>
      </c>
      <c r="B5" s="206" t="s">
        <v>217</v>
      </c>
      <c r="C5" s="207" t="s">
        <v>218</v>
      </c>
      <c r="D5" s="119"/>
      <c r="E5" s="121"/>
      <c r="F5" s="121"/>
      <c r="G5" s="121"/>
      <c r="H5" s="208"/>
      <c r="I5" s="122"/>
      <c r="J5" s="209"/>
      <c r="K5" s="209"/>
      <c r="L5" s="210"/>
    </row>
    <row r="6" spans="1:12" x14ac:dyDescent="0.2">
      <c r="A6" s="124"/>
      <c r="B6" s="211"/>
      <c r="C6" s="132" t="s">
        <v>139</v>
      </c>
      <c r="D6" s="133">
        <v>4</v>
      </c>
      <c r="E6" s="134">
        <v>0.25</v>
      </c>
      <c r="F6" s="134">
        <v>0.6</v>
      </c>
      <c r="G6" s="134">
        <f>2.1+1.5-0.45*2</f>
        <v>2.7</v>
      </c>
      <c r="H6" s="212">
        <f>G6*F6*E6*D6</f>
        <v>1.62</v>
      </c>
      <c r="I6" s="136"/>
      <c r="J6" s="213"/>
      <c r="K6" s="213"/>
      <c r="L6" s="214"/>
    </row>
    <row r="7" spans="1:12" x14ac:dyDescent="0.2">
      <c r="A7" s="124"/>
      <c r="B7" s="211"/>
      <c r="C7" s="132" t="s">
        <v>523</v>
      </c>
      <c r="D7" s="133">
        <v>4</v>
      </c>
      <c r="E7" s="134">
        <v>0.25</v>
      </c>
      <c r="F7" s="134">
        <v>0.3</v>
      </c>
      <c r="G7" s="134">
        <f>2.1+1.5-0.45*2</f>
        <v>2.7</v>
      </c>
      <c r="H7" s="212">
        <f>G7*F7*E7*D7</f>
        <v>0.81</v>
      </c>
      <c r="I7" s="136"/>
      <c r="J7" s="213"/>
      <c r="K7" s="213"/>
      <c r="L7" s="214"/>
    </row>
    <row r="8" spans="1:12" x14ac:dyDescent="0.2">
      <c r="A8" s="124"/>
      <c r="B8" s="211"/>
      <c r="C8" s="132" t="s">
        <v>524</v>
      </c>
      <c r="D8" s="133">
        <v>1</v>
      </c>
      <c r="E8" s="134">
        <f>(3.8+3.05)*2</f>
        <v>13.7</v>
      </c>
      <c r="F8" s="134">
        <v>0.15</v>
      </c>
      <c r="G8" s="134">
        <f>1.6-0.45*2</f>
        <v>0.70000000000000007</v>
      </c>
      <c r="H8" s="212">
        <f>G8*F8*E8*D8</f>
        <v>1.4385000000000001</v>
      </c>
      <c r="I8" s="136"/>
      <c r="J8" s="213"/>
      <c r="K8" s="213"/>
      <c r="L8" s="214"/>
    </row>
    <row r="9" spans="1:12" x14ac:dyDescent="0.2">
      <c r="A9" s="124"/>
      <c r="B9" s="211"/>
      <c r="C9" s="132" t="s">
        <v>525</v>
      </c>
      <c r="D9" s="133">
        <v>45</v>
      </c>
      <c r="E9" s="134">
        <v>0.25</v>
      </c>
      <c r="F9" s="134">
        <v>0.25</v>
      </c>
      <c r="G9" s="134">
        <v>1.2</v>
      </c>
      <c r="H9" s="212">
        <f>G9*F9*E9*D9</f>
        <v>3.375</v>
      </c>
      <c r="I9" s="136"/>
      <c r="J9" s="213"/>
      <c r="K9" s="213"/>
      <c r="L9" s="214"/>
    </row>
    <row r="10" spans="1:12" x14ac:dyDescent="0.2">
      <c r="A10" s="139"/>
      <c r="B10" s="215"/>
      <c r="C10" s="141" t="s">
        <v>117</v>
      </c>
      <c r="D10" s="142" t="s">
        <v>91</v>
      </c>
      <c r="E10" s="143"/>
      <c r="F10" s="143"/>
      <c r="G10" s="143"/>
      <c r="H10" s="216">
        <v>6.5</v>
      </c>
      <c r="I10" s="141" t="s">
        <v>118</v>
      </c>
      <c r="J10" s="217">
        <v>10852.95</v>
      </c>
      <c r="K10" s="217">
        <f>J10*100/118</f>
        <v>9197.4152542372885</v>
      </c>
      <c r="L10" s="218">
        <f>K10*H10</f>
        <v>59783.199152542373</v>
      </c>
    </row>
    <row r="11" spans="1:12" s="202" customFormat="1" ht="25.5" x14ac:dyDescent="0.2">
      <c r="A11" s="116">
        <v>2</v>
      </c>
      <c r="B11" s="206">
        <v>5.3</v>
      </c>
      <c r="C11" s="219" t="s">
        <v>220</v>
      </c>
      <c r="D11" s="119"/>
      <c r="E11" s="121"/>
      <c r="F11" s="121"/>
      <c r="G11" s="121"/>
      <c r="H11" s="208"/>
      <c r="I11" s="122"/>
      <c r="J11" s="209"/>
      <c r="K11" s="217">
        <f t="shared" ref="K11:K74" si="0">J11*100/118</f>
        <v>0</v>
      </c>
      <c r="L11" s="218">
        <f t="shared" ref="L11:L74" si="1">K11*H11</f>
        <v>0</v>
      </c>
    </row>
    <row r="12" spans="1:12" s="202" customFormat="1" x14ac:dyDescent="0.2">
      <c r="A12" s="124"/>
      <c r="B12" s="211"/>
      <c r="C12" s="187" t="s">
        <v>526</v>
      </c>
      <c r="D12" s="133"/>
      <c r="E12" s="135"/>
      <c r="F12" s="135"/>
      <c r="G12" s="135"/>
      <c r="H12" s="212"/>
      <c r="I12" s="136"/>
      <c r="J12" s="213"/>
      <c r="K12" s="217">
        <f t="shared" si="0"/>
        <v>0</v>
      </c>
      <c r="L12" s="218">
        <f t="shared" si="1"/>
        <v>0</v>
      </c>
    </row>
    <row r="13" spans="1:12" s="202" customFormat="1" x14ac:dyDescent="0.2">
      <c r="A13" s="124"/>
      <c r="B13" s="211"/>
      <c r="C13" s="187" t="s">
        <v>224</v>
      </c>
      <c r="D13" s="133"/>
      <c r="E13" s="135"/>
      <c r="F13" s="135"/>
      <c r="G13" s="135"/>
      <c r="H13" s="212"/>
      <c r="I13" s="136"/>
      <c r="J13" s="213"/>
      <c r="K13" s="217">
        <f t="shared" si="0"/>
        <v>0</v>
      </c>
      <c r="L13" s="218">
        <f t="shared" si="1"/>
        <v>0</v>
      </c>
    </row>
    <row r="14" spans="1:12" s="202" customFormat="1" x14ac:dyDescent="0.2">
      <c r="A14" s="124"/>
      <c r="B14" s="211"/>
      <c r="C14" s="132" t="s">
        <v>527</v>
      </c>
      <c r="D14" s="133">
        <v>4</v>
      </c>
      <c r="E14" s="135">
        <v>3.05</v>
      </c>
      <c r="F14" s="135">
        <v>0.25</v>
      </c>
      <c r="G14" s="135">
        <v>0.6</v>
      </c>
      <c r="H14" s="134">
        <f t="shared" ref="H14:H23" si="2">G14*F14*E14*D14</f>
        <v>1.8299999999999998</v>
      </c>
      <c r="I14" s="136"/>
      <c r="J14" s="213"/>
      <c r="K14" s="217">
        <f t="shared" si="0"/>
        <v>0</v>
      </c>
      <c r="L14" s="218">
        <f t="shared" si="1"/>
        <v>0</v>
      </c>
    </row>
    <row r="15" spans="1:12" s="202" customFormat="1" x14ac:dyDescent="0.2">
      <c r="A15" s="124"/>
      <c r="B15" s="211"/>
      <c r="C15" s="132" t="s">
        <v>528</v>
      </c>
      <c r="D15" s="133">
        <v>2</v>
      </c>
      <c r="E15" s="135">
        <v>8.85</v>
      </c>
      <c r="F15" s="135">
        <v>0.25</v>
      </c>
      <c r="G15" s="135">
        <v>0.6</v>
      </c>
      <c r="H15" s="134">
        <f t="shared" si="2"/>
        <v>2.6549999999999998</v>
      </c>
      <c r="I15" s="136"/>
      <c r="J15" s="213"/>
      <c r="K15" s="217">
        <f t="shared" si="0"/>
        <v>0</v>
      </c>
      <c r="L15" s="218">
        <f t="shared" si="1"/>
        <v>0</v>
      </c>
    </row>
    <row r="16" spans="1:12" s="202" customFormat="1" x14ac:dyDescent="0.2">
      <c r="A16" s="124"/>
      <c r="B16" s="211"/>
      <c r="C16" s="132" t="s">
        <v>529</v>
      </c>
      <c r="D16" s="133">
        <v>2</v>
      </c>
      <c r="E16" s="135">
        <v>2.52</v>
      </c>
      <c r="F16" s="135">
        <v>0.25</v>
      </c>
      <c r="G16" s="135">
        <v>0.6</v>
      </c>
      <c r="H16" s="134">
        <f t="shared" si="2"/>
        <v>0.75600000000000001</v>
      </c>
      <c r="I16" s="136"/>
      <c r="J16" s="213"/>
      <c r="K16" s="217">
        <f t="shared" si="0"/>
        <v>0</v>
      </c>
      <c r="L16" s="218">
        <f t="shared" si="1"/>
        <v>0</v>
      </c>
    </row>
    <row r="17" spans="1:12" s="202" customFormat="1" x14ac:dyDescent="0.2">
      <c r="A17" s="124"/>
      <c r="B17" s="211"/>
      <c r="C17" s="132" t="s">
        <v>529</v>
      </c>
      <c r="D17" s="133">
        <v>2</v>
      </c>
      <c r="E17" s="135">
        <v>2.0499999999999998</v>
      </c>
      <c r="F17" s="135">
        <v>0.25</v>
      </c>
      <c r="G17" s="135">
        <v>0.6</v>
      </c>
      <c r="H17" s="134">
        <f t="shared" si="2"/>
        <v>0.61499999999999988</v>
      </c>
      <c r="I17" s="136"/>
      <c r="J17" s="213"/>
      <c r="K17" s="217">
        <f t="shared" si="0"/>
        <v>0</v>
      </c>
      <c r="L17" s="218">
        <f t="shared" si="1"/>
        <v>0</v>
      </c>
    </row>
    <row r="18" spans="1:12" s="202" customFormat="1" x14ac:dyDescent="0.2">
      <c r="A18" s="124"/>
      <c r="B18" s="211"/>
      <c r="C18" s="225" t="s">
        <v>231</v>
      </c>
      <c r="D18" s="226">
        <v>1</v>
      </c>
      <c r="E18" s="227">
        <v>3.05</v>
      </c>
      <c r="F18" s="227">
        <v>8.85</v>
      </c>
      <c r="G18" s="227">
        <v>0.15</v>
      </c>
      <c r="H18" s="135">
        <f t="shared" si="2"/>
        <v>4.0488749999999998</v>
      </c>
      <c r="I18" s="136"/>
      <c r="J18" s="213"/>
      <c r="K18" s="217">
        <f t="shared" si="0"/>
        <v>0</v>
      </c>
      <c r="L18" s="218">
        <f t="shared" si="1"/>
        <v>0</v>
      </c>
    </row>
    <row r="19" spans="1:12" s="202" customFormat="1" x14ac:dyDescent="0.2">
      <c r="A19" s="124"/>
      <c r="B19" s="211"/>
      <c r="C19" s="225" t="s">
        <v>530</v>
      </c>
      <c r="D19" s="226">
        <v>1</v>
      </c>
      <c r="E19" s="227">
        <v>2.25</v>
      </c>
      <c r="F19" s="227">
        <v>2.25</v>
      </c>
      <c r="G19" s="227">
        <v>0.2</v>
      </c>
      <c r="H19" s="135">
        <f t="shared" si="2"/>
        <v>1.0125</v>
      </c>
      <c r="I19" s="136"/>
      <c r="J19" s="213"/>
      <c r="K19" s="217">
        <f t="shared" si="0"/>
        <v>0</v>
      </c>
      <c r="L19" s="218">
        <f t="shared" si="1"/>
        <v>0</v>
      </c>
    </row>
    <row r="20" spans="1:12" s="202" customFormat="1" x14ac:dyDescent="0.2">
      <c r="A20" s="124"/>
      <c r="B20" s="211"/>
      <c r="C20" s="225" t="s">
        <v>531</v>
      </c>
      <c r="D20" s="226">
        <v>1</v>
      </c>
      <c r="E20" s="227">
        <v>5.35</v>
      </c>
      <c r="F20" s="227">
        <v>2.52</v>
      </c>
      <c r="G20" s="227">
        <v>0.15</v>
      </c>
      <c r="H20" s="135">
        <f t="shared" si="2"/>
        <v>2.0223</v>
      </c>
      <c r="I20" s="136"/>
      <c r="J20" s="213"/>
      <c r="K20" s="217">
        <f t="shared" si="0"/>
        <v>0</v>
      </c>
      <c r="L20" s="218">
        <f t="shared" si="1"/>
        <v>0</v>
      </c>
    </row>
    <row r="21" spans="1:12" s="202" customFormat="1" x14ac:dyDescent="0.2">
      <c r="A21" s="124"/>
      <c r="B21" s="211"/>
      <c r="C21" s="225" t="s">
        <v>532</v>
      </c>
      <c r="D21" s="226">
        <v>1</v>
      </c>
      <c r="E21" s="227">
        <v>1.05</v>
      </c>
      <c r="F21" s="227">
        <v>0.6</v>
      </c>
      <c r="G21" s="227">
        <v>7.4999999999999997E-2</v>
      </c>
      <c r="H21" s="135">
        <f>G21*F21*E21*D21</f>
        <v>4.725E-2</v>
      </c>
      <c r="I21" s="136"/>
      <c r="J21" s="213"/>
      <c r="K21" s="217">
        <f t="shared" si="0"/>
        <v>0</v>
      </c>
      <c r="L21" s="218">
        <f t="shared" si="1"/>
        <v>0</v>
      </c>
    </row>
    <row r="22" spans="1:12" s="202" customFormat="1" x14ac:dyDescent="0.2">
      <c r="A22" s="124"/>
      <c r="B22" s="211"/>
      <c r="C22" s="225" t="s">
        <v>260</v>
      </c>
      <c r="D22" s="226">
        <v>1</v>
      </c>
      <c r="E22" s="227">
        <v>1.2</v>
      </c>
      <c r="F22" s="227">
        <v>0.6</v>
      </c>
      <c r="G22" s="227">
        <v>7.4999999999999997E-2</v>
      </c>
      <c r="H22" s="135">
        <f>G22*F22*E22*D22</f>
        <v>5.3999999999999999E-2</v>
      </c>
      <c r="I22" s="136"/>
      <c r="J22" s="213"/>
      <c r="K22" s="217">
        <f t="shared" si="0"/>
        <v>0</v>
      </c>
      <c r="L22" s="218">
        <f t="shared" si="1"/>
        <v>0</v>
      </c>
    </row>
    <row r="23" spans="1:12" s="202" customFormat="1" x14ac:dyDescent="0.2">
      <c r="A23" s="124"/>
      <c r="B23" s="211"/>
      <c r="C23" s="220" t="s">
        <v>533</v>
      </c>
      <c r="D23" s="133">
        <v>1</v>
      </c>
      <c r="E23" s="134">
        <v>150</v>
      </c>
      <c r="F23" s="134">
        <v>0.375</v>
      </c>
      <c r="G23" s="134">
        <v>7.4999999999999997E-2</v>
      </c>
      <c r="H23" s="212">
        <f t="shared" si="2"/>
        <v>4.21875</v>
      </c>
      <c r="I23" s="136"/>
      <c r="J23" s="213"/>
      <c r="K23" s="217">
        <f t="shared" si="0"/>
        <v>0</v>
      </c>
      <c r="L23" s="218">
        <f t="shared" si="1"/>
        <v>0</v>
      </c>
    </row>
    <row r="24" spans="1:12" x14ac:dyDescent="0.2">
      <c r="A24" s="139"/>
      <c r="B24" s="215"/>
      <c r="C24" s="221" t="s">
        <v>117</v>
      </c>
      <c r="D24" s="142"/>
      <c r="E24" s="145"/>
      <c r="F24" s="145"/>
      <c r="G24" s="145"/>
      <c r="H24" s="222">
        <v>16</v>
      </c>
      <c r="I24" s="141" t="s">
        <v>118</v>
      </c>
      <c r="J24" s="217">
        <v>11505.5</v>
      </c>
      <c r="K24" s="217">
        <f t="shared" si="0"/>
        <v>9750.4237288135591</v>
      </c>
      <c r="L24" s="218">
        <f t="shared" si="1"/>
        <v>156006.77966101695</v>
      </c>
    </row>
    <row r="25" spans="1:12" ht="25.5" x14ac:dyDescent="0.2">
      <c r="A25" s="116">
        <v>3</v>
      </c>
      <c r="B25" s="206">
        <v>5.22</v>
      </c>
      <c r="C25" s="219" t="s">
        <v>244</v>
      </c>
      <c r="D25" s="119"/>
      <c r="E25" s="121"/>
      <c r="F25" s="121"/>
      <c r="G25" s="121"/>
      <c r="H25" s="208"/>
      <c r="I25" s="122"/>
      <c r="J25" s="209"/>
      <c r="K25" s="217">
        <f t="shared" si="0"/>
        <v>0</v>
      </c>
      <c r="L25" s="218">
        <f t="shared" si="1"/>
        <v>0</v>
      </c>
    </row>
    <row r="26" spans="1:12" x14ac:dyDescent="0.2">
      <c r="A26" s="124"/>
      <c r="B26" s="211" t="s">
        <v>193</v>
      </c>
      <c r="C26" s="238" t="s">
        <v>245</v>
      </c>
      <c r="D26" s="127"/>
      <c r="E26" s="138"/>
      <c r="F26" s="129"/>
      <c r="G26" s="129"/>
      <c r="H26" s="239"/>
      <c r="I26" s="130"/>
      <c r="J26" s="240"/>
      <c r="K26" s="217">
        <f t="shared" si="0"/>
        <v>0</v>
      </c>
      <c r="L26" s="218">
        <f t="shared" si="1"/>
        <v>0</v>
      </c>
    </row>
    <row r="27" spans="1:12" x14ac:dyDescent="0.2">
      <c r="A27" s="124"/>
      <c r="B27" s="211"/>
      <c r="C27" s="187" t="s">
        <v>191</v>
      </c>
      <c r="D27" s="241"/>
      <c r="E27" s="190">
        <f>H10+H24</f>
        <v>22.5</v>
      </c>
      <c r="F27" s="190"/>
      <c r="G27" s="135"/>
      <c r="H27" s="212"/>
      <c r="I27" s="136"/>
      <c r="J27" s="213"/>
      <c r="K27" s="217">
        <f t="shared" si="0"/>
        <v>0</v>
      </c>
      <c r="L27" s="218">
        <f t="shared" si="1"/>
        <v>0</v>
      </c>
    </row>
    <row r="28" spans="1:12" x14ac:dyDescent="0.2">
      <c r="A28" s="139"/>
      <c r="B28" s="215"/>
      <c r="C28" s="220" t="s">
        <v>246</v>
      </c>
      <c r="D28" s="133">
        <v>105</v>
      </c>
      <c r="E28" s="190"/>
      <c r="F28" s="135"/>
      <c r="G28" s="135"/>
      <c r="H28" s="242">
        <v>2000</v>
      </c>
      <c r="I28" s="136" t="s">
        <v>195</v>
      </c>
      <c r="J28" s="213">
        <v>107.85</v>
      </c>
      <c r="K28" s="217">
        <f t="shared" si="0"/>
        <v>91.398305084745758</v>
      </c>
      <c r="L28" s="218">
        <f t="shared" si="1"/>
        <v>182796.61016949153</v>
      </c>
    </row>
    <row r="29" spans="1:12" ht="25.5" x14ac:dyDescent="0.2">
      <c r="A29" s="116">
        <v>4</v>
      </c>
      <c r="B29" s="206">
        <v>5.9</v>
      </c>
      <c r="C29" s="182" t="s">
        <v>247</v>
      </c>
      <c r="D29" s="119"/>
      <c r="E29" s="121"/>
      <c r="F29" s="121"/>
      <c r="G29" s="121"/>
      <c r="H29" s="208"/>
      <c r="I29" s="122"/>
      <c r="J29" s="209"/>
      <c r="K29" s="217">
        <f t="shared" si="0"/>
        <v>0</v>
      </c>
      <c r="L29" s="218">
        <f t="shared" si="1"/>
        <v>0</v>
      </c>
    </row>
    <row r="30" spans="1:12" ht="14.25" x14ac:dyDescent="0.2">
      <c r="A30" s="124" t="s">
        <v>248</v>
      </c>
      <c r="B30" s="211" t="s">
        <v>249</v>
      </c>
      <c r="C30" s="244" t="s">
        <v>250</v>
      </c>
      <c r="D30" s="127"/>
      <c r="E30" s="129"/>
      <c r="F30" s="129"/>
      <c r="G30" s="129"/>
      <c r="H30" s="239"/>
      <c r="I30" s="130"/>
      <c r="J30" s="240"/>
      <c r="K30" s="217">
        <f t="shared" si="0"/>
        <v>0</v>
      </c>
      <c r="L30" s="218">
        <f t="shared" si="1"/>
        <v>0</v>
      </c>
    </row>
    <row r="31" spans="1:12" x14ac:dyDescent="0.2">
      <c r="A31" s="124"/>
      <c r="B31" s="211"/>
      <c r="C31" s="245"/>
      <c r="D31" s="127"/>
      <c r="E31" s="129"/>
      <c r="F31" s="129"/>
      <c r="G31" s="129"/>
      <c r="H31" s="239"/>
      <c r="I31" s="130"/>
      <c r="J31" s="240"/>
      <c r="K31" s="217">
        <f t="shared" si="0"/>
        <v>0</v>
      </c>
      <c r="L31" s="218">
        <f t="shared" si="1"/>
        <v>0</v>
      </c>
    </row>
    <row r="32" spans="1:12" x14ac:dyDescent="0.2">
      <c r="A32" s="124"/>
      <c r="B32" s="211"/>
      <c r="C32" s="225" t="s">
        <v>231</v>
      </c>
      <c r="D32" s="226">
        <v>1</v>
      </c>
      <c r="E32" s="227">
        <f>E18</f>
        <v>3.05</v>
      </c>
      <c r="F32" s="227">
        <f>F18</f>
        <v>8.85</v>
      </c>
      <c r="G32" s="227"/>
      <c r="H32" s="212">
        <f>E32*F32</f>
        <v>26.992499999999996</v>
      </c>
      <c r="I32" s="136"/>
      <c r="J32" s="213"/>
      <c r="K32" s="217">
        <f t="shared" si="0"/>
        <v>0</v>
      </c>
      <c r="L32" s="218">
        <f t="shared" si="1"/>
        <v>0</v>
      </c>
    </row>
    <row r="33" spans="1:12" x14ac:dyDescent="0.2">
      <c r="A33" s="124"/>
      <c r="B33" s="211"/>
      <c r="C33" s="225"/>
      <c r="D33" s="226">
        <v>1</v>
      </c>
      <c r="E33" s="227">
        <f t="shared" ref="E33:F36" si="3">E19</f>
        <v>2.25</v>
      </c>
      <c r="F33" s="227">
        <f t="shared" si="3"/>
        <v>2.25</v>
      </c>
      <c r="G33" s="232"/>
      <c r="H33" s="212">
        <f>E33*F33</f>
        <v>5.0625</v>
      </c>
      <c r="I33" s="141"/>
      <c r="J33" s="217"/>
      <c r="K33" s="217">
        <f t="shared" si="0"/>
        <v>0</v>
      </c>
      <c r="L33" s="218">
        <f t="shared" si="1"/>
        <v>0</v>
      </c>
    </row>
    <row r="34" spans="1:12" x14ac:dyDescent="0.2">
      <c r="A34" s="124"/>
      <c r="B34" s="211"/>
      <c r="C34" s="225"/>
      <c r="D34" s="226">
        <v>1</v>
      </c>
      <c r="E34" s="227">
        <f t="shared" si="3"/>
        <v>5.35</v>
      </c>
      <c r="F34" s="227">
        <f t="shared" si="3"/>
        <v>2.52</v>
      </c>
      <c r="G34" s="232"/>
      <c r="H34" s="212">
        <f>E34*F34</f>
        <v>13.481999999999999</v>
      </c>
      <c r="I34" s="141"/>
      <c r="J34" s="217"/>
      <c r="K34" s="217">
        <f t="shared" si="0"/>
        <v>0</v>
      </c>
      <c r="L34" s="218">
        <f t="shared" si="1"/>
        <v>0</v>
      </c>
    </row>
    <row r="35" spans="1:12" x14ac:dyDescent="0.2">
      <c r="A35" s="124"/>
      <c r="B35" s="211"/>
      <c r="C35" s="225"/>
      <c r="D35" s="226">
        <v>1</v>
      </c>
      <c r="E35" s="227">
        <f t="shared" si="3"/>
        <v>1.05</v>
      </c>
      <c r="F35" s="227">
        <f t="shared" si="3"/>
        <v>0.6</v>
      </c>
      <c r="G35" s="232"/>
      <c r="H35" s="212">
        <f>E35*F35</f>
        <v>0.63</v>
      </c>
      <c r="I35" s="141"/>
      <c r="J35" s="217"/>
      <c r="K35" s="217">
        <f t="shared" si="0"/>
        <v>0</v>
      </c>
      <c r="L35" s="218">
        <f t="shared" si="1"/>
        <v>0</v>
      </c>
    </row>
    <row r="36" spans="1:12" x14ac:dyDescent="0.2">
      <c r="A36" s="124"/>
      <c r="B36" s="211"/>
      <c r="C36" s="230"/>
      <c r="D36" s="226">
        <v>1</v>
      </c>
      <c r="E36" s="227">
        <f t="shared" si="3"/>
        <v>1.2</v>
      </c>
      <c r="F36" s="227">
        <f t="shared" si="3"/>
        <v>0.6</v>
      </c>
      <c r="G36" s="232"/>
      <c r="H36" s="212">
        <f>E36*F36</f>
        <v>0.72</v>
      </c>
      <c r="I36" s="141"/>
      <c r="J36" s="217"/>
      <c r="K36" s="217">
        <f t="shared" si="0"/>
        <v>0</v>
      </c>
      <c r="L36" s="218">
        <f t="shared" si="1"/>
        <v>0</v>
      </c>
    </row>
    <row r="37" spans="1:12" x14ac:dyDescent="0.2">
      <c r="A37" s="139"/>
      <c r="B37" s="215"/>
      <c r="C37" s="233" t="s">
        <v>117</v>
      </c>
      <c r="D37" s="142"/>
      <c r="E37" s="145"/>
      <c r="F37" s="145"/>
      <c r="G37" s="145"/>
      <c r="H37" s="216">
        <v>45</v>
      </c>
      <c r="I37" s="141" t="s">
        <v>128</v>
      </c>
      <c r="J37" s="217">
        <v>927.25</v>
      </c>
      <c r="K37" s="217">
        <f t="shared" si="0"/>
        <v>785.80508474576266</v>
      </c>
      <c r="L37" s="218">
        <f t="shared" si="1"/>
        <v>35361.228813559319</v>
      </c>
    </row>
    <row r="38" spans="1:12" x14ac:dyDescent="0.2">
      <c r="A38" s="116" t="s">
        <v>252</v>
      </c>
      <c r="B38" s="206" t="s">
        <v>199</v>
      </c>
      <c r="C38" s="265" t="s">
        <v>253</v>
      </c>
      <c r="D38" s="119"/>
      <c r="E38" s="121"/>
      <c r="F38" s="121"/>
      <c r="G38" s="121"/>
      <c r="H38" s="208"/>
      <c r="I38" s="122"/>
      <c r="J38" s="209"/>
      <c r="K38" s="217">
        <f t="shared" si="0"/>
        <v>0</v>
      </c>
      <c r="L38" s="218">
        <f t="shared" si="1"/>
        <v>0</v>
      </c>
    </row>
    <row r="39" spans="1:12" x14ac:dyDescent="0.2">
      <c r="A39" s="124"/>
      <c r="B39" s="211"/>
      <c r="C39" s="187" t="s">
        <v>254</v>
      </c>
      <c r="D39" s="133"/>
      <c r="E39" s="135"/>
      <c r="F39" s="135"/>
      <c r="G39" s="135"/>
      <c r="H39" s="212"/>
      <c r="I39" s="136"/>
      <c r="J39" s="213"/>
      <c r="K39" s="217">
        <f t="shared" si="0"/>
        <v>0</v>
      </c>
      <c r="L39" s="218">
        <f t="shared" si="1"/>
        <v>0</v>
      </c>
    </row>
    <row r="40" spans="1:12" x14ac:dyDescent="0.2">
      <c r="A40" s="124"/>
      <c r="B40" s="211"/>
      <c r="C40" s="220" t="s">
        <v>534</v>
      </c>
      <c r="D40" s="133">
        <f>D14</f>
        <v>4</v>
      </c>
      <c r="E40" s="135">
        <f>E14</f>
        <v>3.05</v>
      </c>
      <c r="F40" s="135">
        <f>2*G14+F14</f>
        <v>1.45</v>
      </c>
      <c r="G40" s="135"/>
      <c r="H40" s="212">
        <f>D40*E40*F40</f>
        <v>17.689999999999998</v>
      </c>
      <c r="I40" s="136"/>
      <c r="J40" s="213"/>
      <c r="K40" s="217">
        <f t="shared" si="0"/>
        <v>0</v>
      </c>
      <c r="L40" s="218">
        <f t="shared" si="1"/>
        <v>0</v>
      </c>
    </row>
    <row r="41" spans="1:12" x14ac:dyDescent="0.2">
      <c r="A41" s="124"/>
      <c r="B41" s="211"/>
      <c r="C41" s="220" t="s">
        <v>535</v>
      </c>
      <c r="D41" s="133">
        <f t="shared" ref="D41:E43" si="4">D15</f>
        <v>2</v>
      </c>
      <c r="E41" s="135">
        <f t="shared" si="4"/>
        <v>8.85</v>
      </c>
      <c r="F41" s="135">
        <f>2*G15+F15</f>
        <v>1.45</v>
      </c>
      <c r="G41" s="135"/>
      <c r="H41" s="212">
        <f>D41*E41*F41</f>
        <v>25.664999999999999</v>
      </c>
      <c r="I41" s="136"/>
      <c r="J41" s="213"/>
      <c r="K41" s="217">
        <f t="shared" si="0"/>
        <v>0</v>
      </c>
      <c r="L41" s="218">
        <f t="shared" si="1"/>
        <v>0</v>
      </c>
    </row>
    <row r="42" spans="1:12" x14ac:dyDescent="0.2">
      <c r="A42" s="124"/>
      <c r="B42" s="211"/>
      <c r="C42" s="220" t="s">
        <v>536</v>
      </c>
      <c r="D42" s="133">
        <f t="shared" si="4"/>
        <v>2</v>
      </c>
      <c r="E42" s="135">
        <f t="shared" si="4"/>
        <v>2.52</v>
      </c>
      <c r="F42" s="135">
        <f>2*G16+F16</f>
        <v>1.45</v>
      </c>
      <c r="G42" s="135"/>
      <c r="H42" s="212">
        <f>D42*E42*F42</f>
        <v>7.3079999999999998</v>
      </c>
      <c r="I42" s="136"/>
      <c r="J42" s="213"/>
      <c r="K42" s="217">
        <f t="shared" si="0"/>
        <v>0</v>
      </c>
      <c r="L42" s="218">
        <f t="shared" si="1"/>
        <v>0</v>
      </c>
    </row>
    <row r="43" spans="1:12" x14ac:dyDescent="0.2">
      <c r="A43" s="124"/>
      <c r="B43" s="211"/>
      <c r="C43" s="220" t="s">
        <v>537</v>
      </c>
      <c r="D43" s="133">
        <f t="shared" si="4"/>
        <v>2</v>
      </c>
      <c r="E43" s="135">
        <f t="shared" si="4"/>
        <v>2.0499999999999998</v>
      </c>
      <c r="F43" s="135">
        <f>2*G17+F17</f>
        <v>1.45</v>
      </c>
      <c r="G43" s="145"/>
      <c r="H43" s="212">
        <f>D43*E43*F43</f>
        <v>5.9449999999999994</v>
      </c>
      <c r="I43" s="141"/>
      <c r="J43" s="217"/>
      <c r="K43" s="217">
        <f t="shared" si="0"/>
        <v>0</v>
      </c>
      <c r="L43" s="218">
        <f t="shared" si="1"/>
        <v>0</v>
      </c>
    </row>
    <row r="44" spans="1:12" x14ac:dyDescent="0.2">
      <c r="A44" s="139"/>
      <c r="B44" s="215"/>
      <c r="C44" s="221" t="s">
        <v>117</v>
      </c>
      <c r="D44" s="142"/>
      <c r="E44" s="145"/>
      <c r="F44" s="145"/>
      <c r="G44" s="145"/>
      <c r="H44" s="216">
        <v>55</v>
      </c>
      <c r="I44" s="141" t="s">
        <v>128</v>
      </c>
      <c r="J44" s="217">
        <v>736.4</v>
      </c>
      <c r="K44" s="217">
        <f t="shared" si="0"/>
        <v>624.06779661016947</v>
      </c>
      <c r="L44" s="218">
        <f t="shared" si="1"/>
        <v>34323.728813559319</v>
      </c>
    </row>
    <row r="45" spans="1:12" x14ac:dyDescent="0.2">
      <c r="A45" s="124" t="s">
        <v>257</v>
      </c>
      <c r="B45" s="211" t="s">
        <v>258</v>
      </c>
      <c r="C45" s="246" t="s">
        <v>259</v>
      </c>
      <c r="D45" s="247"/>
      <c r="E45" s="248"/>
      <c r="F45" s="248"/>
      <c r="G45" s="129"/>
      <c r="H45" s="239"/>
      <c r="I45" s="130"/>
      <c r="J45" s="240"/>
      <c r="K45" s="217">
        <f t="shared" si="0"/>
        <v>0</v>
      </c>
      <c r="L45" s="218">
        <f t="shared" si="1"/>
        <v>0</v>
      </c>
    </row>
    <row r="46" spans="1:12" x14ac:dyDescent="0.2">
      <c r="A46" s="124"/>
      <c r="B46" s="211"/>
      <c r="C46" s="225" t="s">
        <v>532</v>
      </c>
      <c r="D46" s="226">
        <v>1</v>
      </c>
      <c r="E46" s="227">
        <v>1.05</v>
      </c>
      <c r="F46" s="227">
        <v>0.6</v>
      </c>
      <c r="G46" s="135"/>
      <c r="H46" s="212">
        <f>F46*E46*D46</f>
        <v>0.63</v>
      </c>
      <c r="I46" s="136"/>
      <c r="J46" s="213"/>
      <c r="K46" s="217">
        <f t="shared" si="0"/>
        <v>0</v>
      </c>
      <c r="L46" s="218">
        <f t="shared" si="1"/>
        <v>0</v>
      </c>
    </row>
    <row r="47" spans="1:12" x14ac:dyDescent="0.2">
      <c r="A47" s="124"/>
      <c r="B47" s="211"/>
      <c r="C47" s="225" t="s">
        <v>260</v>
      </c>
      <c r="D47" s="226">
        <v>1</v>
      </c>
      <c r="E47" s="227">
        <v>1.2</v>
      </c>
      <c r="F47" s="227">
        <v>0.6</v>
      </c>
      <c r="G47" s="135"/>
      <c r="H47" s="212">
        <f>F47*E47*D47</f>
        <v>0.72</v>
      </c>
      <c r="I47" s="136"/>
      <c r="J47" s="213"/>
      <c r="K47" s="217">
        <f t="shared" si="0"/>
        <v>0</v>
      </c>
      <c r="L47" s="218">
        <f t="shared" si="1"/>
        <v>0</v>
      </c>
    </row>
    <row r="48" spans="1:12" x14ac:dyDescent="0.2">
      <c r="A48" s="124"/>
      <c r="B48" s="233"/>
      <c r="C48" s="180" t="s">
        <v>117</v>
      </c>
      <c r="D48" s="133"/>
      <c r="E48" s="135"/>
      <c r="F48" s="135"/>
      <c r="G48" s="135"/>
      <c r="H48" s="242">
        <f>SUM(H46:H47)</f>
        <v>1.35</v>
      </c>
      <c r="I48" s="136" t="s">
        <v>128</v>
      </c>
      <c r="J48" s="213">
        <v>951.1</v>
      </c>
      <c r="K48" s="217">
        <f t="shared" si="0"/>
        <v>806.01694915254234</v>
      </c>
      <c r="L48" s="218">
        <f t="shared" si="1"/>
        <v>1088.1228813559321</v>
      </c>
    </row>
    <row r="49" spans="1:12" ht="43.5" x14ac:dyDescent="0.2">
      <c r="A49" s="116" t="s">
        <v>261</v>
      </c>
      <c r="B49" s="206" t="s">
        <v>205</v>
      </c>
      <c r="C49" s="292" t="s">
        <v>538</v>
      </c>
      <c r="D49" s="119"/>
      <c r="E49" s="121"/>
      <c r="F49" s="121"/>
      <c r="G49" s="121"/>
      <c r="H49" s="354"/>
      <c r="I49" s="122"/>
      <c r="J49" s="209"/>
      <c r="K49" s="217">
        <f t="shared" si="0"/>
        <v>0</v>
      </c>
      <c r="L49" s="218">
        <f t="shared" si="1"/>
        <v>0</v>
      </c>
    </row>
    <row r="50" spans="1:12" x14ac:dyDescent="0.2">
      <c r="A50" s="124"/>
      <c r="B50" s="211"/>
      <c r="C50" s="220" t="s">
        <v>533</v>
      </c>
      <c r="D50" s="133">
        <v>1</v>
      </c>
      <c r="E50" s="134">
        <f>E23</f>
        <v>150</v>
      </c>
      <c r="F50" s="135"/>
      <c r="G50" s="135">
        <f>2*G23+0.075</f>
        <v>0.22499999999999998</v>
      </c>
      <c r="H50" s="134">
        <f>D50*E50*G50</f>
        <v>33.75</v>
      </c>
      <c r="I50" s="136"/>
      <c r="J50" s="213"/>
      <c r="K50" s="217">
        <f t="shared" si="0"/>
        <v>0</v>
      </c>
      <c r="L50" s="218">
        <f t="shared" si="1"/>
        <v>0</v>
      </c>
    </row>
    <row r="51" spans="1:12" x14ac:dyDescent="0.2">
      <c r="A51" s="139"/>
      <c r="B51" s="215"/>
      <c r="C51" s="221" t="s">
        <v>117</v>
      </c>
      <c r="D51" s="142"/>
      <c r="E51" s="144">
        <f>SUM(E50:E50)</f>
        <v>150</v>
      </c>
      <c r="F51" s="145"/>
      <c r="G51" s="145"/>
      <c r="H51" s="222">
        <v>30</v>
      </c>
      <c r="I51" s="141" t="s">
        <v>334</v>
      </c>
      <c r="J51" s="217">
        <v>392.15</v>
      </c>
      <c r="K51" s="217">
        <f t="shared" si="0"/>
        <v>332.33050847457628</v>
      </c>
      <c r="L51" s="218">
        <f t="shared" si="1"/>
        <v>9969.9152542372885</v>
      </c>
    </row>
    <row r="52" spans="1:12" x14ac:dyDescent="0.2">
      <c r="A52" s="116" t="s">
        <v>263</v>
      </c>
      <c r="B52" s="206" t="s">
        <v>203</v>
      </c>
      <c r="C52" s="182" t="s">
        <v>262</v>
      </c>
      <c r="D52" s="119"/>
      <c r="E52" s="121"/>
      <c r="F52" s="121"/>
      <c r="G52" s="121"/>
      <c r="H52" s="208"/>
      <c r="I52" s="122"/>
      <c r="J52" s="209"/>
      <c r="K52" s="217">
        <f t="shared" si="0"/>
        <v>0</v>
      </c>
      <c r="L52" s="218">
        <f t="shared" si="1"/>
        <v>0</v>
      </c>
    </row>
    <row r="53" spans="1:12" x14ac:dyDescent="0.2">
      <c r="A53" s="124" t="s">
        <v>91</v>
      </c>
      <c r="B53" s="211"/>
      <c r="C53" s="132" t="s">
        <v>139</v>
      </c>
      <c r="D53" s="133">
        <f>D6</f>
        <v>4</v>
      </c>
      <c r="E53" s="134">
        <f>2*(F6+E6)</f>
        <v>1.7</v>
      </c>
      <c r="F53" s="134"/>
      <c r="G53" s="134">
        <v>2.7</v>
      </c>
      <c r="H53" s="212">
        <f>G53*E53*D53</f>
        <v>18.36</v>
      </c>
      <c r="I53" s="136"/>
      <c r="J53" s="213"/>
      <c r="K53" s="217">
        <f t="shared" si="0"/>
        <v>0</v>
      </c>
      <c r="L53" s="218">
        <f t="shared" si="1"/>
        <v>0</v>
      </c>
    </row>
    <row r="54" spans="1:12" x14ac:dyDescent="0.2">
      <c r="A54" s="124"/>
      <c r="B54" s="211"/>
      <c r="C54" s="132" t="s">
        <v>523</v>
      </c>
      <c r="D54" s="133">
        <v>1</v>
      </c>
      <c r="E54" s="134">
        <f>2*(F7+E7)</f>
        <v>1.1000000000000001</v>
      </c>
      <c r="F54" s="134"/>
      <c r="G54" s="134">
        <v>2.7</v>
      </c>
      <c r="H54" s="212">
        <f>G54*E54*D54</f>
        <v>2.9700000000000006</v>
      </c>
      <c r="I54" s="136"/>
      <c r="J54" s="213"/>
      <c r="K54" s="217">
        <f t="shared" si="0"/>
        <v>0</v>
      </c>
      <c r="L54" s="218">
        <f t="shared" si="1"/>
        <v>0</v>
      </c>
    </row>
    <row r="55" spans="1:12" x14ac:dyDescent="0.2">
      <c r="A55" s="124"/>
      <c r="B55" s="211"/>
      <c r="C55" s="132" t="s">
        <v>524</v>
      </c>
      <c r="D55" s="133">
        <v>1</v>
      </c>
      <c r="E55" s="134">
        <f>2*E8</f>
        <v>27.4</v>
      </c>
      <c r="F55" s="134"/>
      <c r="G55" s="134">
        <v>0.7</v>
      </c>
      <c r="H55" s="212">
        <f>G55*E55*D55</f>
        <v>19.179999999999996</v>
      </c>
      <c r="I55" s="136"/>
      <c r="J55" s="213"/>
      <c r="K55" s="217">
        <f t="shared" si="0"/>
        <v>0</v>
      </c>
      <c r="L55" s="218">
        <f t="shared" si="1"/>
        <v>0</v>
      </c>
    </row>
    <row r="56" spans="1:12" x14ac:dyDescent="0.2">
      <c r="A56" s="124"/>
      <c r="B56" s="211"/>
      <c r="C56" s="132" t="s">
        <v>525</v>
      </c>
      <c r="D56" s="133">
        <f>D9</f>
        <v>45</v>
      </c>
      <c r="E56" s="134">
        <f>E9*2</f>
        <v>0.5</v>
      </c>
      <c r="F56" s="134"/>
      <c r="G56" s="134">
        <v>1.2</v>
      </c>
      <c r="H56" s="212">
        <f>G56*E56*D56</f>
        <v>27</v>
      </c>
      <c r="I56" s="136"/>
      <c r="J56" s="213"/>
      <c r="K56" s="217">
        <f t="shared" si="0"/>
        <v>0</v>
      </c>
      <c r="L56" s="218">
        <f t="shared" si="1"/>
        <v>0</v>
      </c>
    </row>
    <row r="57" spans="1:12" x14ac:dyDescent="0.2">
      <c r="A57" s="139"/>
      <c r="B57" s="215"/>
      <c r="C57" s="221" t="s">
        <v>117</v>
      </c>
      <c r="D57" s="142"/>
      <c r="E57" s="145"/>
      <c r="F57" s="145"/>
      <c r="G57" s="145"/>
      <c r="H57" s="216">
        <v>65</v>
      </c>
      <c r="I57" s="141" t="s">
        <v>128</v>
      </c>
      <c r="J57" s="217">
        <v>961.3</v>
      </c>
      <c r="K57" s="217">
        <f t="shared" si="0"/>
        <v>814.66101694915255</v>
      </c>
      <c r="L57" s="218">
        <f t="shared" si="1"/>
        <v>52952.966101694918</v>
      </c>
    </row>
    <row r="58" spans="1:12" s="256" customFormat="1" ht="38.25" x14ac:dyDescent="0.2">
      <c r="A58" s="116">
        <v>5</v>
      </c>
      <c r="B58" s="117">
        <v>6.4</v>
      </c>
      <c r="C58" s="251" t="s">
        <v>267</v>
      </c>
      <c r="D58" s="116"/>
      <c r="E58" s="252"/>
      <c r="F58" s="252"/>
      <c r="G58" s="252"/>
      <c r="H58" s="253"/>
      <c r="I58" s="254"/>
      <c r="J58" s="255"/>
      <c r="K58" s="217">
        <f t="shared" si="0"/>
        <v>0</v>
      </c>
      <c r="L58" s="218">
        <f t="shared" si="1"/>
        <v>0</v>
      </c>
    </row>
    <row r="59" spans="1:12" s="256" customFormat="1" x14ac:dyDescent="0.2">
      <c r="A59" s="124"/>
      <c r="B59" s="125" t="s">
        <v>268</v>
      </c>
      <c r="C59" s="257" t="s">
        <v>269</v>
      </c>
      <c r="D59" s="124"/>
      <c r="E59" s="258"/>
      <c r="F59" s="258"/>
      <c r="G59" s="258"/>
      <c r="H59" s="259"/>
      <c r="I59" s="260"/>
      <c r="J59" s="261"/>
      <c r="K59" s="217">
        <f t="shared" si="0"/>
        <v>0</v>
      </c>
      <c r="L59" s="218">
        <f t="shared" si="1"/>
        <v>0</v>
      </c>
    </row>
    <row r="60" spans="1:12" x14ac:dyDescent="0.2">
      <c r="A60" s="124"/>
      <c r="B60" s="125"/>
      <c r="C60" s="262" t="s">
        <v>424</v>
      </c>
      <c r="D60" s="133"/>
      <c r="E60" s="135"/>
      <c r="F60" s="135"/>
      <c r="G60" s="135"/>
      <c r="H60" s="212"/>
      <c r="I60" s="136"/>
      <c r="J60" s="213"/>
      <c r="K60" s="217">
        <f t="shared" si="0"/>
        <v>0</v>
      </c>
      <c r="L60" s="218">
        <f t="shared" si="1"/>
        <v>0</v>
      </c>
    </row>
    <row r="61" spans="1:12" x14ac:dyDescent="0.2">
      <c r="A61" s="124"/>
      <c r="B61" s="211"/>
      <c r="C61" s="325" t="s">
        <v>539</v>
      </c>
      <c r="D61" s="133">
        <v>1</v>
      </c>
      <c r="E61" s="134">
        <f>3.8*2+3.05-0.6</f>
        <v>10.049999999999999</v>
      </c>
      <c r="F61" s="135">
        <v>0.25</v>
      </c>
      <c r="G61" s="135">
        <f>2.55 - 0.45</f>
        <v>2.0999999999999996</v>
      </c>
      <c r="H61" s="212">
        <f>G61*F61*E61*D61</f>
        <v>5.2762499999999983</v>
      </c>
      <c r="I61" s="136"/>
      <c r="J61" s="213"/>
      <c r="K61" s="217">
        <f t="shared" si="0"/>
        <v>0</v>
      </c>
      <c r="L61" s="218">
        <f t="shared" si="1"/>
        <v>0</v>
      </c>
    </row>
    <row r="62" spans="1:12" x14ac:dyDescent="0.2">
      <c r="A62" s="124"/>
      <c r="B62" s="211"/>
      <c r="C62" s="325" t="s">
        <v>540</v>
      </c>
      <c r="D62" s="133">
        <v>1</v>
      </c>
      <c r="E62" s="134">
        <v>2.52</v>
      </c>
      <c r="F62" s="135">
        <v>0.25</v>
      </c>
      <c r="G62" s="135">
        <f>2.1+1.6-0.45</f>
        <v>3.25</v>
      </c>
      <c r="H62" s="212">
        <f>G62*F62*E62*D62</f>
        <v>2.0474999999999999</v>
      </c>
      <c r="I62" s="136"/>
      <c r="J62" s="213"/>
      <c r="K62" s="217">
        <f t="shared" si="0"/>
        <v>0</v>
      </c>
      <c r="L62" s="218">
        <f t="shared" si="1"/>
        <v>0</v>
      </c>
    </row>
    <row r="63" spans="1:12" x14ac:dyDescent="0.2">
      <c r="A63" s="124"/>
      <c r="B63" s="211"/>
      <c r="C63" s="325"/>
      <c r="D63" s="133">
        <v>1</v>
      </c>
      <c r="E63" s="134">
        <v>2.52</v>
      </c>
      <c r="F63" s="135">
        <v>0.25</v>
      </c>
      <c r="G63" s="135">
        <f>1.6-0.45</f>
        <v>1.1500000000000001</v>
      </c>
      <c r="H63" s="212">
        <f>G63*F63*E63*D63</f>
        <v>0.72450000000000014</v>
      </c>
      <c r="I63" s="136"/>
      <c r="J63" s="213"/>
      <c r="K63" s="217">
        <f t="shared" si="0"/>
        <v>0</v>
      </c>
      <c r="L63" s="218">
        <f t="shared" si="1"/>
        <v>0</v>
      </c>
    </row>
    <row r="64" spans="1:12" x14ac:dyDescent="0.2">
      <c r="A64" s="124"/>
      <c r="B64" s="211"/>
      <c r="C64" s="325"/>
      <c r="D64" s="133">
        <v>1</v>
      </c>
      <c r="E64" s="134">
        <v>3.12</v>
      </c>
      <c r="F64" s="135">
        <v>0.25</v>
      </c>
      <c r="G64" s="135">
        <f>2.55 - 0.45</f>
        <v>2.0999999999999996</v>
      </c>
      <c r="H64" s="212">
        <f>G64*F64*E64*D64</f>
        <v>1.6379999999999997</v>
      </c>
      <c r="I64" s="136"/>
      <c r="J64" s="213"/>
      <c r="K64" s="217">
        <f t="shared" si="0"/>
        <v>0</v>
      </c>
      <c r="L64" s="218">
        <f t="shared" si="1"/>
        <v>0</v>
      </c>
    </row>
    <row r="65" spans="1:12" x14ac:dyDescent="0.2">
      <c r="A65" s="124"/>
      <c r="B65" s="211"/>
      <c r="C65" s="325" t="s">
        <v>541</v>
      </c>
      <c r="D65" s="133"/>
      <c r="E65" s="134">
        <f>SUM(E61*D61+E62*D62+E63*D63+E64*D64)</f>
        <v>18.209999999999997</v>
      </c>
      <c r="F65" s="135"/>
      <c r="G65" s="135"/>
      <c r="H65" s="212"/>
      <c r="I65" s="136"/>
      <c r="J65" s="213"/>
      <c r="K65" s="217">
        <f t="shared" si="0"/>
        <v>0</v>
      </c>
      <c r="L65" s="218">
        <f t="shared" si="1"/>
        <v>0</v>
      </c>
    </row>
    <row r="66" spans="1:12" x14ac:dyDescent="0.2">
      <c r="A66" s="124"/>
      <c r="B66" s="211"/>
      <c r="C66" s="325" t="s">
        <v>542</v>
      </c>
      <c r="D66" s="133"/>
      <c r="E66" s="134"/>
      <c r="F66" s="135"/>
      <c r="G66" s="135"/>
      <c r="H66" s="212"/>
      <c r="I66" s="136"/>
      <c r="J66" s="213"/>
      <c r="K66" s="217">
        <f t="shared" si="0"/>
        <v>0</v>
      </c>
      <c r="L66" s="218">
        <f t="shared" si="1"/>
        <v>0</v>
      </c>
    </row>
    <row r="67" spans="1:12" x14ac:dyDescent="0.2">
      <c r="A67" s="124"/>
      <c r="B67" s="211"/>
      <c r="C67" s="325" t="s">
        <v>289</v>
      </c>
      <c r="D67" s="133">
        <v>1</v>
      </c>
      <c r="E67" s="134">
        <v>3.8</v>
      </c>
      <c r="F67" s="135">
        <v>0.25</v>
      </c>
      <c r="G67" s="135">
        <f>2.55 - 0.45</f>
        <v>2.0999999999999996</v>
      </c>
      <c r="H67" s="212">
        <f>G67*F67*E67*D67</f>
        <v>1.9949999999999997</v>
      </c>
      <c r="I67" s="136"/>
      <c r="J67" s="213"/>
      <c r="K67" s="217">
        <f t="shared" si="0"/>
        <v>0</v>
      </c>
      <c r="L67" s="218">
        <f t="shared" si="1"/>
        <v>0</v>
      </c>
    </row>
    <row r="68" spans="1:12" x14ac:dyDescent="0.2">
      <c r="A68" s="124"/>
      <c r="B68" s="211"/>
      <c r="C68" s="325" t="s">
        <v>543</v>
      </c>
      <c r="D68" s="133">
        <v>1</v>
      </c>
      <c r="E68" s="134">
        <v>2.52</v>
      </c>
      <c r="F68" s="135">
        <v>0.25</v>
      </c>
      <c r="G68" s="135">
        <v>1.35</v>
      </c>
      <c r="H68" s="212">
        <f>G68*F68*E68*D68</f>
        <v>0.85050000000000003</v>
      </c>
      <c r="I68" s="136"/>
      <c r="J68" s="213"/>
      <c r="K68" s="217">
        <f t="shared" si="0"/>
        <v>0</v>
      </c>
      <c r="L68" s="218">
        <f t="shared" si="1"/>
        <v>0</v>
      </c>
    </row>
    <row r="69" spans="1:12" x14ac:dyDescent="0.2">
      <c r="A69" s="124"/>
      <c r="B69" s="211"/>
      <c r="C69" s="325" t="s">
        <v>544</v>
      </c>
      <c r="D69" s="133"/>
      <c r="E69" s="134">
        <f>SUM(E67*D67+E68*D68)</f>
        <v>6.32</v>
      </c>
      <c r="F69" s="135"/>
      <c r="G69" s="135"/>
      <c r="H69" s="212"/>
      <c r="I69" s="136"/>
      <c r="J69" s="213"/>
      <c r="K69" s="217">
        <f t="shared" si="0"/>
        <v>0</v>
      </c>
      <c r="L69" s="218">
        <f t="shared" si="1"/>
        <v>0</v>
      </c>
    </row>
    <row r="70" spans="1:12" x14ac:dyDescent="0.2">
      <c r="A70" s="124"/>
      <c r="B70" s="211"/>
      <c r="C70" s="326" t="s">
        <v>545</v>
      </c>
      <c r="D70" s="133"/>
      <c r="E70" s="134"/>
      <c r="F70" s="135"/>
      <c r="G70" s="135"/>
      <c r="H70" s="212"/>
      <c r="I70" s="136"/>
      <c r="J70" s="213"/>
      <c r="K70" s="217">
        <f t="shared" si="0"/>
        <v>0</v>
      </c>
      <c r="L70" s="218">
        <f t="shared" si="1"/>
        <v>0</v>
      </c>
    </row>
    <row r="71" spans="1:12" x14ac:dyDescent="0.2">
      <c r="A71" s="124"/>
      <c r="B71" s="211"/>
      <c r="C71" s="132"/>
      <c r="D71" s="133">
        <v>1</v>
      </c>
      <c r="E71" s="134">
        <f>E23</f>
        <v>150</v>
      </c>
      <c r="F71" s="135">
        <v>0.25</v>
      </c>
      <c r="G71" s="135">
        <v>1.2</v>
      </c>
      <c r="H71" s="212">
        <f>G71*F71*E71*D71</f>
        <v>45</v>
      </c>
      <c r="I71" s="136"/>
      <c r="J71" s="213"/>
      <c r="K71" s="217">
        <f t="shared" si="0"/>
        <v>0</v>
      </c>
      <c r="L71" s="218">
        <f t="shared" si="1"/>
        <v>0</v>
      </c>
    </row>
    <row r="72" spans="1:12" x14ac:dyDescent="0.2">
      <c r="A72" s="124"/>
      <c r="B72" s="211"/>
      <c r="C72" s="132" t="s">
        <v>546</v>
      </c>
      <c r="D72" s="133"/>
      <c r="E72" s="134">
        <f>SUM(E71*D71)</f>
        <v>150</v>
      </c>
      <c r="F72" s="135"/>
      <c r="G72" s="135"/>
      <c r="H72" s="212"/>
      <c r="I72" s="136"/>
      <c r="J72" s="213"/>
      <c r="K72" s="217">
        <f t="shared" si="0"/>
        <v>0</v>
      </c>
      <c r="L72" s="218">
        <f t="shared" si="1"/>
        <v>0</v>
      </c>
    </row>
    <row r="73" spans="1:12" x14ac:dyDescent="0.2">
      <c r="A73" s="124"/>
      <c r="B73" s="211"/>
      <c r="C73" s="191" t="s">
        <v>271</v>
      </c>
      <c r="D73" s="133"/>
      <c r="E73" s="134"/>
      <c r="F73" s="134"/>
      <c r="G73" s="134"/>
      <c r="H73" s="212"/>
      <c r="I73" s="136"/>
      <c r="J73" s="236"/>
      <c r="K73" s="217">
        <f t="shared" si="0"/>
        <v>0</v>
      </c>
      <c r="L73" s="218">
        <f t="shared" si="1"/>
        <v>0</v>
      </c>
    </row>
    <row r="74" spans="1:12" x14ac:dyDescent="0.2">
      <c r="A74" s="124"/>
      <c r="B74" s="211"/>
      <c r="C74" s="220" t="s">
        <v>293</v>
      </c>
      <c r="D74" s="133">
        <v>-1</v>
      </c>
      <c r="E74" s="135">
        <v>1.05</v>
      </c>
      <c r="F74" s="135">
        <v>0.25</v>
      </c>
      <c r="G74" s="135">
        <v>2.1</v>
      </c>
      <c r="H74" s="212">
        <f>G74*F74*E74*D74</f>
        <v>-0.55125000000000002</v>
      </c>
      <c r="I74" s="136"/>
      <c r="J74" s="236"/>
      <c r="K74" s="217">
        <f t="shared" si="0"/>
        <v>0</v>
      </c>
      <c r="L74" s="218">
        <f t="shared" si="1"/>
        <v>0</v>
      </c>
    </row>
    <row r="75" spans="1:12" x14ac:dyDescent="0.2">
      <c r="A75" s="139"/>
      <c r="B75" s="215"/>
      <c r="C75" s="221" t="s">
        <v>117</v>
      </c>
      <c r="D75" s="142"/>
      <c r="E75" s="145"/>
      <c r="F75" s="145"/>
      <c r="G75" s="145"/>
      <c r="H75" s="216">
        <f>SUM(H61:H74)</f>
        <v>56.980499999999999</v>
      </c>
      <c r="I75" s="141" t="s">
        <v>118</v>
      </c>
      <c r="J75" s="217">
        <v>9105.9500000000007</v>
      </c>
      <c r="K75" s="217">
        <f t="shared" ref="K75:K138" si="5">J75*100/118</f>
        <v>7716.9067796610179</v>
      </c>
      <c r="L75" s="218">
        <f t="shared" ref="L75:L138" si="6">K75*H75</f>
        <v>439713.20675847464</v>
      </c>
    </row>
    <row r="76" spans="1:12" ht="25.5" x14ac:dyDescent="0.2">
      <c r="A76" s="116">
        <v>6</v>
      </c>
      <c r="B76" s="117">
        <v>6.13</v>
      </c>
      <c r="C76" s="251" t="s">
        <v>274</v>
      </c>
      <c r="D76" s="119"/>
      <c r="E76" s="121"/>
      <c r="F76" s="121"/>
      <c r="G76" s="121"/>
      <c r="H76" s="263"/>
      <c r="I76" s="122"/>
      <c r="J76" s="209"/>
      <c r="K76" s="217">
        <f t="shared" si="5"/>
        <v>0</v>
      </c>
      <c r="L76" s="218">
        <f t="shared" si="6"/>
        <v>0</v>
      </c>
    </row>
    <row r="77" spans="1:12" ht="26.25" customHeight="1" x14ac:dyDescent="0.2">
      <c r="A77" s="124"/>
      <c r="B77" s="125" t="s">
        <v>275</v>
      </c>
      <c r="C77" s="257" t="s">
        <v>276</v>
      </c>
      <c r="D77" s="127"/>
      <c r="E77" s="129"/>
      <c r="F77" s="129"/>
      <c r="G77" s="129"/>
      <c r="H77" s="264"/>
      <c r="I77" s="130"/>
      <c r="J77" s="240"/>
      <c r="K77" s="217">
        <f t="shared" si="5"/>
        <v>0</v>
      </c>
      <c r="L77" s="218">
        <f t="shared" si="6"/>
        <v>0</v>
      </c>
    </row>
    <row r="78" spans="1:12" ht="21" customHeight="1" x14ac:dyDescent="0.2">
      <c r="A78" s="124"/>
      <c r="B78" s="211"/>
      <c r="C78" s="187" t="s">
        <v>547</v>
      </c>
      <c r="D78" s="180"/>
      <c r="E78" s="135"/>
      <c r="F78" s="135"/>
      <c r="G78" s="135"/>
      <c r="H78" s="212"/>
      <c r="I78" s="136"/>
      <c r="J78" s="213"/>
      <c r="K78" s="217">
        <f t="shared" si="5"/>
        <v>0</v>
      </c>
      <c r="L78" s="218">
        <f t="shared" si="6"/>
        <v>0</v>
      </c>
    </row>
    <row r="79" spans="1:12" ht="17.25" customHeight="1" x14ac:dyDescent="0.2">
      <c r="A79" s="124"/>
      <c r="B79" s="211"/>
      <c r="C79" s="325" t="s">
        <v>548</v>
      </c>
      <c r="D79" s="133">
        <v>1</v>
      </c>
      <c r="E79" s="134">
        <v>4.8</v>
      </c>
      <c r="F79" s="135"/>
      <c r="G79" s="135">
        <f>2.55 - 0.45</f>
        <v>2.0999999999999996</v>
      </c>
      <c r="H79" s="212">
        <f>D79*E79*G79</f>
        <v>10.079999999999998</v>
      </c>
      <c r="I79" s="136"/>
      <c r="J79" s="213"/>
      <c r="K79" s="217">
        <f t="shared" si="5"/>
        <v>0</v>
      </c>
      <c r="L79" s="218">
        <f t="shared" si="6"/>
        <v>0</v>
      </c>
    </row>
    <row r="80" spans="1:12" ht="20.25" customHeight="1" x14ac:dyDescent="0.2">
      <c r="A80" s="124"/>
      <c r="B80" s="211"/>
      <c r="C80" s="191" t="s">
        <v>271</v>
      </c>
      <c r="D80" s="133"/>
      <c r="E80" s="135"/>
      <c r="F80" s="135"/>
      <c r="G80" s="135"/>
      <c r="H80" s="212"/>
      <c r="I80" s="136"/>
      <c r="J80" s="213"/>
      <c r="K80" s="217">
        <f t="shared" si="5"/>
        <v>0</v>
      </c>
      <c r="L80" s="218">
        <f t="shared" si="6"/>
        <v>0</v>
      </c>
    </row>
    <row r="81" spans="1:12" ht="18.75" customHeight="1" x14ac:dyDescent="0.2">
      <c r="A81" s="124"/>
      <c r="B81" s="211"/>
      <c r="C81" s="183" t="s">
        <v>260</v>
      </c>
      <c r="D81" s="133">
        <v>-1</v>
      </c>
      <c r="E81" s="135">
        <v>1.2</v>
      </c>
      <c r="F81" s="135"/>
      <c r="G81" s="135">
        <v>1.65</v>
      </c>
      <c r="H81" s="212">
        <f>D81*E81*G81</f>
        <v>-1.9799999999999998</v>
      </c>
      <c r="I81" s="136"/>
      <c r="J81" s="213"/>
      <c r="K81" s="217">
        <f t="shared" si="5"/>
        <v>0</v>
      </c>
      <c r="L81" s="218">
        <f t="shared" si="6"/>
        <v>0</v>
      </c>
    </row>
    <row r="82" spans="1:12" ht="12.75" customHeight="1" x14ac:dyDescent="0.2">
      <c r="A82" s="139"/>
      <c r="B82" s="215"/>
      <c r="C82" s="221" t="s">
        <v>117</v>
      </c>
      <c r="D82" s="142"/>
      <c r="E82" s="145"/>
      <c r="F82" s="145"/>
      <c r="G82" s="145"/>
      <c r="H82" s="216">
        <v>7.5</v>
      </c>
      <c r="I82" s="141" t="s">
        <v>278</v>
      </c>
      <c r="J82" s="217">
        <v>1123.8</v>
      </c>
      <c r="K82" s="217">
        <f t="shared" si="5"/>
        <v>952.37288135593224</v>
      </c>
      <c r="L82" s="218">
        <f t="shared" si="6"/>
        <v>7142.7966101694919</v>
      </c>
    </row>
    <row r="83" spans="1:12" ht="12.75" customHeight="1" x14ac:dyDescent="0.2">
      <c r="A83" s="124"/>
      <c r="B83" s="211"/>
      <c r="C83" s="355" t="s">
        <v>549</v>
      </c>
      <c r="D83" s="127"/>
      <c r="E83" s="129">
        <f>SUM(E79*D79)</f>
        <v>4.8</v>
      </c>
      <c r="F83" s="129"/>
      <c r="G83" s="129"/>
      <c r="H83" s="264"/>
      <c r="I83" s="130"/>
      <c r="J83" s="240"/>
      <c r="K83" s="217">
        <f t="shared" si="5"/>
        <v>0</v>
      </c>
      <c r="L83" s="218">
        <f t="shared" si="6"/>
        <v>0</v>
      </c>
    </row>
    <row r="84" spans="1:12" ht="24.75" customHeight="1" x14ac:dyDescent="0.2">
      <c r="A84" s="116">
        <v>7</v>
      </c>
      <c r="B84" s="206">
        <v>13.16</v>
      </c>
      <c r="C84" s="265" t="s">
        <v>279</v>
      </c>
      <c r="D84" s="119"/>
      <c r="E84" s="121"/>
      <c r="F84" s="121"/>
      <c r="G84" s="121"/>
      <c r="H84" s="263"/>
      <c r="I84" s="122"/>
      <c r="J84" s="209"/>
      <c r="K84" s="217">
        <f t="shared" si="5"/>
        <v>0</v>
      </c>
      <c r="L84" s="218">
        <f t="shared" si="6"/>
        <v>0</v>
      </c>
    </row>
    <row r="85" spans="1:12" ht="20.25" customHeight="1" x14ac:dyDescent="0.2">
      <c r="A85" s="124"/>
      <c r="B85" s="211" t="s">
        <v>280</v>
      </c>
      <c r="C85" s="266" t="s">
        <v>550</v>
      </c>
      <c r="D85" s="127"/>
      <c r="E85" s="129"/>
      <c r="F85" s="129"/>
      <c r="G85" s="129"/>
      <c r="H85" s="239"/>
      <c r="I85" s="130"/>
      <c r="J85" s="240"/>
      <c r="K85" s="217">
        <f t="shared" si="5"/>
        <v>0</v>
      </c>
      <c r="L85" s="218">
        <f t="shared" si="6"/>
        <v>0</v>
      </c>
    </row>
    <row r="86" spans="1:12" ht="15.75" customHeight="1" x14ac:dyDescent="0.2">
      <c r="A86" s="124"/>
      <c r="B86" s="211"/>
      <c r="C86" s="266"/>
      <c r="D86" s="226">
        <v>1</v>
      </c>
      <c r="E86" s="227">
        <v>2.52</v>
      </c>
      <c r="F86" s="227">
        <v>3.8</v>
      </c>
      <c r="G86" s="135"/>
      <c r="H86" s="212">
        <f>SUM(F86*E86*D86)</f>
        <v>9.5759999999999987</v>
      </c>
      <c r="I86" s="136"/>
      <c r="J86" s="213"/>
      <c r="K86" s="217">
        <f t="shared" si="5"/>
        <v>0</v>
      </c>
      <c r="L86" s="218">
        <f t="shared" si="6"/>
        <v>0</v>
      </c>
    </row>
    <row r="87" spans="1:12" ht="15.75" customHeight="1" x14ac:dyDescent="0.2">
      <c r="A87" s="124"/>
      <c r="B87" s="211"/>
      <c r="C87" s="266"/>
      <c r="D87" s="226">
        <v>1</v>
      </c>
      <c r="E87" s="227">
        <v>2.52</v>
      </c>
      <c r="F87" s="227">
        <v>4.8</v>
      </c>
      <c r="G87" s="135"/>
      <c r="H87" s="212">
        <f>SUM(F87*E87*D87)</f>
        <v>12.096</v>
      </c>
      <c r="I87" s="136"/>
      <c r="J87" s="213"/>
      <c r="K87" s="217">
        <f t="shared" si="5"/>
        <v>0</v>
      </c>
      <c r="L87" s="218">
        <f t="shared" si="6"/>
        <v>0</v>
      </c>
    </row>
    <row r="88" spans="1:12" ht="15.75" customHeight="1" x14ac:dyDescent="0.2">
      <c r="A88" s="124"/>
      <c r="B88" s="211"/>
      <c r="C88" s="266"/>
      <c r="D88" s="226">
        <v>1</v>
      </c>
      <c r="E88" s="227">
        <v>2.0499999999999998</v>
      </c>
      <c r="F88" s="227">
        <v>2.0499999999999998</v>
      </c>
      <c r="G88" s="135"/>
      <c r="H88" s="212">
        <f>SUM(F88*E88*D88)</f>
        <v>4.2024999999999997</v>
      </c>
      <c r="I88" s="136"/>
      <c r="J88" s="213"/>
      <c r="K88" s="217">
        <f t="shared" si="5"/>
        <v>0</v>
      </c>
      <c r="L88" s="218">
        <f t="shared" si="6"/>
        <v>0</v>
      </c>
    </row>
    <row r="89" spans="1:12" ht="15.75" customHeight="1" x14ac:dyDescent="0.2">
      <c r="A89" s="124"/>
      <c r="B89" s="211"/>
      <c r="C89" s="266"/>
      <c r="D89" s="226">
        <v>1</v>
      </c>
      <c r="E89" s="227">
        <v>2.0499999999999998</v>
      </c>
      <c r="F89" s="227">
        <v>5.35</v>
      </c>
      <c r="G89" s="135"/>
      <c r="H89" s="212">
        <f>SUM(F89*E89*D89)</f>
        <v>10.967499999999998</v>
      </c>
      <c r="I89" s="136"/>
      <c r="J89" s="213"/>
      <c r="K89" s="217">
        <f t="shared" si="5"/>
        <v>0</v>
      </c>
      <c r="L89" s="218">
        <f t="shared" si="6"/>
        <v>0</v>
      </c>
    </row>
    <row r="90" spans="1:12" x14ac:dyDescent="0.2">
      <c r="A90" s="139"/>
      <c r="B90" s="215"/>
      <c r="C90" s="223" t="s">
        <v>117</v>
      </c>
      <c r="D90" s="142"/>
      <c r="E90" s="233"/>
      <c r="F90" s="145"/>
      <c r="G90" s="145"/>
      <c r="H90" s="282">
        <v>35</v>
      </c>
      <c r="I90" s="268" t="s">
        <v>128</v>
      </c>
      <c r="J90" s="269">
        <v>300.45</v>
      </c>
      <c r="K90" s="217">
        <f t="shared" si="5"/>
        <v>254.61864406779662</v>
      </c>
      <c r="L90" s="218">
        <f t="shared" si="6"/>
        <v>8911.6525423728817</v>
      </c>
    </row>
    <row r="91" spans="1:12" x14ac:dyDescent="0.2">
      <c r="A91" s="116"/>
      <c r="B91" s="206" t="s">
        <v>283</v>
      </c>
      <c r="C91" s="219" t="s">
        <v>551</v>
      </c>
      <c r="D91" s="119"/>
      <c r="E91" s="121"/>
      <c r="F91" s="121"/>
      <c r="G91" s="121"/>
      <c r="H91" s="208"/>
      <c r="I91" s="122"/>
      <c r="J91" s="209"/>
      <c r="K91" s="217">
        <f t="shared" si="5"/>
        <v>0</v>
      </c>
      <c r="L91" s="218">
        <f t="shared" si="6"/>
        <v>0</v>
      </c>
    </row>
    <row r="92" spans="1:12" x14ac:dyDescent="0.2">
      <c r="A92" s="124">
        <v>8</v>
      </c>
      <c r="B92" s="211"/>
      <c r="C92" s="225" t="s">
        <v>552</v>
      </c>
      <c r="D92" s="226">
        <v>1</v>
      </c>
      <c r="E92" s="227">
        <f>E65</f>
        <v>18.209999999999997</v>
      </c>
      <c r="F92" s="135"/>
      <c r="G92" s="135">
        <f>2.1+1.5-0.2</f>
        <v>3.4</v>
      </c>
      <c r="H92" s="212">
        <f>G92*E92*D92</f>
        <v>61.913999999999987</v>
      </c>
      <c r="I92" s="136"/>
      <c r="J92" s="213"/>
      <c r="K92" s="217">
        <f t="shared" si="5"/>
        <v>0</v>
      </c>
      <c r="L92" s="218">
        <f t="shared" si="6"/>
        <v>0</v>
      </c>
    </row>
    <row r="93" spans="1:12" x14ac:dyDescent="0.2">
      <c r="A93" s="124"/>
      <c r="B93" s="211"/>
      <c r="C93" s="225" t="s">
        <v>553</v>
      </c>
      <c r="D93" s="226">
        <v>2</v>
      </c>
      <c r="E93" s="227">
        <f>E69</f>
        <v>6.32</v>
      </c>
      <c r="F93" s="135"/>
      <c r="G93" s="135">
        <f>2.1+1.5-0.2</f>
        <v>3.4</v>
      </c>
      <c r="H93" s="212"/>
      <c r="I93" s="136"/>
      <c r="J93" s="213"/>
      <c r="K93" s="217">
        <f t="shared" si="5"/>
        <v>0</v>
      </c>
      <c r="L93" s="218">
        <f t="shared" si="6"/>
        <v>0</v>
      </c>
    </row>
    <row r="94" spans="1:12" x14ac:dyDescent="0.2">
      <c r="A94" s="124"/>
      <c r="B94" s="211"/>
      <c r="C94" s="225" t="s">
        <v>554</v>
      </c>
      <c r="D94" s="226">
        <v>1</v>
      </c>
      <c r="E94" s="227">
        <f>E79</f>
        <v>4.8</v>
      </c>
      <c r="F94" s="135"/>
      <c r="G94" s="135">
        <v>2.1</v>
      </c>
      <c r="H94" s="212">
        <f>G94*E94*D94</f>
        <v>10.08</v>
      </c>
      <c r="I94" s="136"/>
      <c r="J94" s="213"/>
      <c r="K94" s="217">
        <f t="shared" si="5"/>
        <v>0</v>
      </c>
      <c r="L94" s="218">
        <f t="shared" si="6"/>
        <v>0</v>
      </c>
    </row>
    <row r="95" spans="1:12" x14ac:dyDescent="0.2">
      <c r="A95" s="124"/>
      <c r="B95" s="211"/>
      <c r="C95" s="191" t="s">
        <v>271</v>
      </c>
      <c r="D95" s="133"/>
      <c r="E95" s="135"/>
      <c r="F95" s="135"/>
      <c r="G95" s="135"/>
      <c r="H95" s="212"/>
      <c r="I95" s="136"/>
      <c r="J95" s="213"/>
      <c r="K95" s="217">
        <f t="shared" si="5"/>
        <v>0</v>
      </c>
      <c r="L95" s="218">
        <f t="shared" si="6"/>
        <v>0</v>
      </c>
    </row>
    <row r="96" spans="1:12" x14ac:dyDescent="0.2">
      <c r="A96" s="124"/>
      <c r="B96" s="211"/>
      <c r="C96" s="183" t="s">
        <v>293</v>
      </c>
      <c r="D96" s="133">
        <v>-1</v>
      </c>
      <c r="E96" s="135">
        <v>1</v>
      </c>
      <c r="F96" s="135"/>
      <c r="G96" s="135">
        <v>2.1</v>
      </c>
      <c r="H96" s="212">
        <f>G96*E96*D96</f>
        <v>-2.1</v>
      </c>
      <c r="I96" s="136"/>
      <c r="J96" s="213"/>
      <c r="K96" s="217">
        <f t="shared" si="5"/>
        <v>0</v>
      </c>
      <c r="L96" s="218">
        <f t="shared" si="6"/>
        <v>0</v>
      </c>
    </row>
    <row r="97" spans="1:12" ht="14.25" x14ac:dyDescent="0.2">
      <c r="A97" s="124"/>
      <c r="B97" s="211"/>
      <c r="C97" s="340" t="s">
        <v>260</v>
      </c>
      <c r="D97" s="341">
        <v>-1</v>
      </c>
      <c r="E97" s="342">
        <v>1.2</v>
      </c>
      <c r="F97" s="135"/>
      <c r="G97" s="135">
        <v>1.65</v>
      </c>
      <c r="H97" s="212">
        <f>G97*E97*D97</f>
        <v>-1.9799999999999998</v>
      </c>
      <c r="I97" s="136"/>
      <c r="J97" s="213"/>
      <c r="K97" s="217">
        <f t="shared" si="5"/>
        <v>0</v>
      </c>
      <c r="L97" s="218">
        <f t="shared" si="6"/>
        <v>0</v>
      </c>
    </row>
    <row r="98" spans="1:12" x14ac:dyDescent="0.2">
      <c r="A98" s="139"/>
      <c r="B98" s="215"/>
      <c r="C98" s="221" t="s">
        <v>117</v>
      </c>
      <c r="D98" s="142"/>
      <c r="E98" s="233"/>
      <c r="F98" s="145"/>
      <c r="G98" s="145"/>
      <c r="H98" s="282">
        <v>65</v>
      </c>
      <c r="I98" s="268" t="s">
        <v>128</v>
      </c>
      <c r="J98" s="269">
        <v>343.65</v>
      </c>
      <c r="K98" s="217">
        <f t="shared" si="5"/>
        <v>291.22881355932202</v>
      </c>
      <c r="L98" s="218">
        <f t="shared" si="6"/>
        <v>18929.872881355932</v>
      </c>
    </row>
    <row r="99" spans="1:12" x14ac:dyDescent="0.2">
      <c r="A99" s="116">
        <v>9</v>
      </c>
      <c r="B99" s="206" t="s">
        <v>299</v>
      </c>
      <c r="C99" s="349" t="s">
        <v>300</v>
      </c>
      <c r="D99" s="119"/>
      <c r="E99" s="121"/>
      <c r="F99" s="121"/>
      <c r="G99" s="121"/>
      <c r="H99" s="263"/>
      <c r="I99" s="122"/>
      <c r="J99" s="209"/>
      <c r="K99" s="217">
        <f t="shared" si="5"/>
        <v>0</v>
      </c>
      <c r="L99" s="218">
        <f t="shared" si="6"/>
        <v>0</v>
      </c>
    </row>
    <row r="100" spans="1:12" x14ac:dyDescent="0.2">
      <c r="A100" s="124"/>
      <c r="B100" s="211"/>
      <c r="C100" s="225" t="s">
        <v>489</v>
      </c>
      <c r="D100" s="133">
        <v>1</v>
      </c>
      <c r="E100" s="135">
        <f>E65</f>
        <v>18.209999999999997</v>
      </c>
      <c r="F100" s="135"/>
      <c r="G100" s="135">
        <f>2.1+1.6</f>
        <v>3.7</v>
      </c>
      <c r="H100" s="134">
        <f>G100*E100*D100</f>
        <v>67.376999999999995</v>
      </c>
      <c r="I100" s="180"/>
      <c r="J100" s="213"/>
      <c r="K100" s="217">
        <f t="shared" si="5"/>
        <v>0</v>
      </c>
      <c r="L100" s="218">
        <f t="shared" si="6"/>
        <v>0</v>
      </c>
    </row>
    <row r="101" spans="1:12" x14ac:dyDescent="0.2">
      <c r="A101" s="124"/>
      <c r="B101" s="211"/>
      <c r="C101" s="225" t="s">
        <v>555</v>
      </c>
      <c r="D101" s="133">
        <v>1</v>
      </c>
      <c r="E101" s="135">
        <f>E83</f>
        <v>4.8</v>
      </c>
      <c r="F101" s="135"/>
      <c r="G101" s="135">
        <f>G100</f>
        <v>3.7</v>
      </c>
      <c r="H101" s="134">
        <f>G101*E101*D101</f>
        <v>17.760000000000002</v>
      </c>
      <c r="I101" s="180"/>
      <c r="J101" s="213"/>
      <c r="K101" s="217">
        <f t="shared" si="5"/>
        <v>0</v>
      </c>
      <c r="L101" s="218">
        <f t="shared" si="6"/>
        <v>0</v>
      </c>
    </row>
    <row r="102" spans="1:12" x14ac:dyDescent="0.2">
      <c r="A102" s="124"/>
      <c r="B102" s="211"/>
      <c r="C102" s="262" t="s">
        <v>556</v>
      </c>
      <c r="D102" s="133">
        <v>2</v>
      </c>
      <c r="E102" s="135">
        <f>E72</f>
        <v>150</v>
      </c>
      <c r="F102" s="135"/>
      <c r="G102" s="135">
        <v>1.2</v>
      </c>
      <c r="H102" s="134">
        <f>G102*E102*D102</f>
        <v>360</v>
      </c>
      <c r="I102" s="180"/>
      <c r="J102" s="213"/>
      <c r="K102" s="217">
        <f t="shared" si="5"/>
        <v>0</v>
      </c>
      <c r="L102" s="218">
        <f t="shared" si="6"/>
        <v>0</v>
      </c>
    </row>
    <row r="103" spans="1:12" x14ac:dyDescent="0.2">
      <c r="A103" s="124"/>
      <c r="B103" s="211"/>
      <c r="C103" s="356" t="s">
        <v>557</v>
      </c>
      <c r="D103" s="142">
        <v>1</v>
      </c>
      <c r="E103" s="145">
        <f>E102</f>
        <v>150</v>
      </c>
      <c r="F103" s="145"/>
      <c r="G103" s="145">
        <f>0.325+0.075</f>
        <v>0.4</v>
      </c>
      <c r="H103" s="134">
        <f>G103*E103*D103</f>
        <v>60</v>
      </c>
      <c r="I103" s="233"/>
      <c r="J103" s="217"/>
      <c r="K103" s="217">
        <f t="shared" si="5"/>
        <v>0</v>
      </c>
      <c r="L103" s="218">
        <f t="shared" si="6"/>
        <v>0</v>
      </c>
    </row>
    <row r="104" spans="1:12" x14ac:dyDescent="0.2">
      <c r="A104" s="139"/>
      <c r="B104" s="215"/>
      <c r="C104" s="221" t="s">
        <v>117</v>
      </c>
      <c r="D104" s="142"/>
      <c r="E104" s="143"/>
      <c r="F104" s="143"/>
      <c r="G104" s="143"/>
      <c r="H104" s="222">
        <v>500</v>
      </c>
      <c r="I104" s="233" t="s">
        <v>128</v>
      </c>
      <c r="J104" s="217">
        <v>466.05</v>
      </c>
      <c r="K104" s="217">
        <f t="shared" si="5"/>
        <v>394.95762711864404</v>
      </c>
      <c r="L104" s="218">
        <f t="shared" si="6"/>
        <v>197478.81355932201</v>
      </c>
    </row>
    <row r="105" spans="1:12" ht="71.25" x14ac:dyDescent="0.2">
      <c r="A105" s="124">
        <v>10</v>
      </c>
      <c r="B105" s="211">
        <v>13.73</v>
      </c>
      <c r="C105" s="118" t="s">
        <v>304</v>
      </c>
      <c r="D105" s="127"/>
      <c r="E105" s="128"/>
      <c r="F105" s="128"/>
      <c r="G105" s="128"/>
      <c r="H105" s="264"/>
      <c r="I105" s="249"/>
      <c r="J105" s="240"/>
      <c r="K105" s="217">
        <f t="shared" si="5"/>
        <v>0</v>
      </c>
      <c r="L105" s="218">
        <f t="shared" si="6"/>
        <v>0</v>
      </c>
    </row>
    <row r="106" spans="1:12" ht="14.25" x14ac:dyDescent="0.2">
      <c r="A106" s="139"/>
      <c r="B106" s="215" t="s">
        <v>305</v>
      </c>
      <c r="C106" s="297" t="s">
        <v>306</v>
      </c>
      <c r="D106" s="142"/>
      <c r="E106" s="143">
        <v>45</v>
      </c>
      <c r="F106" s="143"/>
      <c r="G106" s="143"/>
      <c r="H106" s="216"/>
      <c r="I106" s="233" t="s">
        <v>307</v>
      </c>
      <c r="J106" s="217">
        <v>75.8</v>
      </c>
      <c r="K106" s="217">
        <f t="shared" si="5"/>
        <v>64.237288135593218</v>
      </c>
      <c r="L106" s="218">
        <f t="shared" si="6"/>
        <v>0</v>
      </c>
    </row>
    <row r="107" spans="1:12" ht="71.25" x14ac:dyDescent="0.2">
      <c r="A107" s="124"/>
      <c r="B107" s="176" t="s">
        <v>308</v>
      </c>
      <c r="C107" s="126" t="s">
        <v>309</v>
      </c>
      <c r="D107" s="127"/>
      <c r="E107" s="128"/>
      <c r="F107" s="128"/>
      <c r="G107" s="128"/>
      <c r="H107" s="264"/>
      <c r="I107" s="249"/>
      <c r="J107" s="240">
        <v>2</v>
      </c>
      <c r="K107" s="217">
        <f t="shared" si="5"/>
        <v>1.6949152542372881</v>
      </c>
      <c r="L107" s="218">
        <f t="shared" si="6"/>
        <v>0</v>
      </c>
    </row>
    <row r="108" spans="1:12" ht="14.25" x14ac:dyDescent="0.2">
      <c r="A108" s="124"/>
      <c r="B108" s="211"/>
      <c r="C108" s="118" t="s">
        <v>558</v>
      </c>
      <c r="D108" s="127">
        <v>1</v>
      </c>
      <c r="E108" s="128">
        <v>2.0499999999999998</v>
      </c>
      <c r="F108" s="128">
        <v>5.35</v>
      </c>
      <c r="G108" s="128"/>
      <c r="H108" s="264">
        <f>SUM(D108:G108)</f>
        <v>8.3999999999999986</v>
      </c>
      <c r="I108" s="249" t="s">
        <v>91</v>
      </c>
      <c r="J108" s="240"/>
      <c r="K108" s="217">
        <f t="shared" si="5"/>
        <v>0</v>
      </c>
      <c r="L108" s="218">
        <f t="shared" si="6"/>
        <v>0</v>
      </c>
    </row>
    <row r="109" spans="1:12" ht="14.25" x14ac:dyDescent="0.2">
      <c r="A109" s="124"/>
      <c r="B109" s="211"/>
      <c r="C109" s="118" t="s">
        <v>559</v>
      </c>
      <c r="D109" s="127">
        <v>1</v>
      </c>
      <c r="E109" s="128">
        <v>2.5499999999999998</v>
      </c>
      <c r="F109" s="128">
        <v>2.0750000000000002</v>
      </c>
      <c r="G109" s="128"/>
      <c r="H109" s="264">
        <f>SUM(D109:G109)</f>
        <v>5.625</v>
      </c>
      <c r="I109" s="249"/>
      <c r="J109" s="240"/>
      <c r="K109" s="217">
        <f t="shared" si="5"/>
        <v>0</v>
      </c>
      <c r="L109" s="218">
        <f t="shared" si="6"/>
        <v>0</v>
      </c>
    </row>
    <row r="110" spans="1:12" ht="14.25" x14ac:dyDescent="0.2">
      <c r="A110" s="139"/>
      <c r="B110" s="211"/>
      <c r="C110" s="281" t="s">
        <v>207</v>
      </c>
      <c r="D110" s="142"/>
      <c r="E110" s="233"/>
      <c r="F110" s="145"/>
      <c r="G110" s="145"/>
      <c r="H110" s="282">
        <v>12</v>
      </c>
      <c r="I110" s="268" t="s">
        <v>278</v>
      </c>
      <c r="J110" s="269">
        <v>1948.25</v>
      </c>
      <c r="K110" s="217">
        <f t="shared" si="5"/>
        <v>1651.0593220338983</v>
      </c>
      <c r="L110" s="218">
        <f t="shared" si="6"/>
        <v>19812.711864406781</v>
      </c>
    </row>
    <row r="111" spans="1:12" ht="71.25" x14ac:dyDescent="0.2">
      <c r="A111" s="124"/>
      <c r="B111" s="175">
        <v>11.27</v>
      </c>
      <c r="C111" s="118" t="s">
        <v>338</v>
      </c>
      <c r="D111" s="127"/>
      <c r="E111" s="128"/>
      <c r="F111" s="128"/>
      <c r="G111" s="128"/>
      <c r="H111" s="264"/>
      <c r="I111" s="249"/>
      <c r="J111" s="240"/>
      <c r="K111" s="217">
        <f t="shared" si="5"/>
        <v>0</v>
      </c>
      <c r="L111" s="218">
        <f t="shared" si="6"/>
        <v>0</v>
      </c>
    </row>
    <row r="112" spans="1:12" ht="14.25" x14ac:dyDescent="0.2">
      <c r="A112" s="124"/>
      <c r="B112" s="211"/>
      <c r="C112" s="118" t="s">
        <v>540</v>
      </c>
      <c r="D112" s="127"/>
      <c r="E112" s="128">
        <f>(2.05+5.35)*2-1</f>
        <v>13.799999999999999</v>
      </c>
      <c r="F112" s="128"/>
      <c r="G112" s="128">
        <v>0.1</v>
      </c>
      <c r="H112" s="264">
        <f>SUM(E112*G112)</f>
        <v>1.38</v>
      </c>
      <c r="I112" s="249"/>
      <c r="J112" s="240"/>
      <c r="K112" s="217">
        <f t="shared" si="5"/>
        <v>0</v>
      </c>
      <c r="L112" s="218">
        <f t="shared" si="6"/>
        <v>0</v>
      </c>
    </row>
    <row r="113" spans="1:12" ht="14.25" x14ac:dyDescent="0.2">
      <c r="A113" s="124"/>
      <c r="B113" s="211"/>
      <c r="C113" s="118" t="s">
        <v>560</v>
      </c>
      <c r="D113" s="127"/>
      <c r="E113" s="128">
        <f>2.55+2.075*2-1</f>
        <v>5.7</v>
      </c>
      <c r="F113" s="128"/>
      <c r="G113" s="128">
        <v>0.1</v>
      </c>
      <c r="H113" s="264">
        <f>SUM(E113*G113)</f>
        <v>0.57000000000000006</v>
      </c>
      <c r="I113" s="249"/>
      <c r="J113" s="240"/>
      <c r="K113" s="217">
        <f t="shared" si="5"/>
        <v>0</v>
      </c>
      <c r="L113" s="218">
        <f t="shared" si="6"/>
        <v>0</v>
      </c>
    </row>
    <row r="114" spans="1:12" ht="14.25" x14ac:dyDescent="0.2">
      <c r="A114" s="124"/>
      <c r="B114" s="211"/>
      <c r="C114" s="281" t="s">
        <v>207</v>
      </c>
      <c r="D114" s="142"/>
      <c r="E114" s="233"/>
      <c r="F114" s="145"/>
      <c r="G114" s="145"/>
      <c r="H114" s="282">
        <f>SUM(H112:H113)</f>
        <v>1.95</v>
      </c>
      <c r="I114" s="268" t="s">
        <v>278</v>
      </c>
      <c r="J114" s="269">
        <v>2354.6999999999998</v>
      </c>
      <c r="K114" s="217">
        <f t="shared" si="5"/>
        <v>1995.5084745762708</v>
      </c>
      <c r="L114" s="218">
        <f t="shared" si="6"/>
        <v>3891.241525423728</v>
      </c>
    </row>
    <row r="115" spans="1:12" ht="18.75" customHeight="1" x14ac:dyDescent="0.2">
      <c r="A115" s="116">
        <v>11</v>
      </c>
      <c r="B115" s="206">
        <v>8.31</v>
      </c>
      <c r="C115" s="219" t="s">
        <v>345</v>
      </c>
      <c r="D115" s="133"/>
      <c r="E115" s="135"/>
      <c r="F115" s="135"/>
      <c r="G115" s="135"/>
      <c r="H115" s="212"/>
      <c r="I115" s="180"/>
      <c r="J115" s="213"/>
      <c r="K115" s="217">
        <f t="shared" si="5"/>
        <v>0</v>
      </c>
      <c r="L115" s="218">
        <f t="shared" si="6"/>
        <v>0</v>
      </c>
    </row>
    <row r="116" spans="1:12" ht="16.5" customHeight="1" x14ac:dyDescent="0.2">
      <c r="A116" s="124"/>
      <c r="B116" s="211"/>
      <c r="C116" s="220" t="s">
        <v>524</v>
      </c>
      <c r="D116" s="243">
        <v>1</v>
      </c>
      <c r="E116" s="301">
        <v>3.45</v>
      </c>
      <c r="F116" s="301"/>
      <c r="G116" s="301">
        <v>2.5499999999999998</v>
      </c>
      <c r="H116" s="302">
        <f>D116*E116*G116</f>
        <v>8.7974999999999994</v>
      </c>
      <c r="I116" s="180"/>
      <c r="J116" s="213"/>
      <c r="K116" s="217">
        <f t="shared" si="5"/>
        <v>0</v>
      </c>
      <c r="L116" s="218">
        <f t="shared" si="6"/>
        <v>0</v>
      </c>
    </row>
    <row r="117" spans="1:12" ht="14.25" x14ac:dyDescent="0.2">
      <c r="A117" s="124"/>
      <c r="B117" s="211"/>
      <c r="C117" s="177"/>
      <c r="D117" s="133">
        <v>1</v>
      </c>
      <c r="E117" s="134">
        <v>0</v>
      </c>
      <c r="F117" s="134"/>
      <c r="G117" s="134">
        <v>0</v>
      </c>
      <c r="H117" s="302">
        <f>D117*E117*G117</f>
        <v>0</v>
      </c>
      <c r="I117" s="180"/>
      <c r="J117" s="213"/>
      <c r="K117" s="217">
        <f t="shared" si="5"/>
        <v>0</v>
      </c>
      <c r="L117" s="218">
        <f t="shared" si="6"/>
        <v>0</v>
      </c>
    </row>
    <row r="118" spans="1:12" x14ac:dyDescent="0.2">
      <c r="A118" s="124"/>
      <c r="B118" s="211"/>
      <c r="C118" s="141" t="s">
        <v>117</v>
      </c>
      <c r="D118" s="142"/>
      <c r="E118" s="145"/>
      <c r="F118" s="145"/>
      <c r="G118" s="145"/>
      <c r="H118" s="216">
        <v>8</v>
      </c>
      <c r="I118" s="141" t="s">
        <v>128</v>
      </c>
      <c r="J118" s="217">
        <v>1267.95</v>
      </c>
      <c r="K118" s="217">
        <f t="shared" si="5"/>
        <v>1074.5338983050847</v>
      </c>
      <c r="L118" s="218">
        <f t="shared" si="6"/>
        <v>8596.2711864406774</v>
      </c>
    </row>
    <row r="119" spans="1:12" ht="38.25" x14ac:dyDescent="0.2">
      <c r="A119" s="116">
        <v>12</v>
      </c>
      <c r="B119" s="206">
        <v>9.1</v>
      </c>
      <c r="C119" s="219" t="s">
        <v>346</v>
      </c>
      <c r="D119" s="119"/>
      <c r="E119" s="121"/>
      <c r="F119" s="121"/>
      <c r="G119" s="121"/>
      <c r="H119" s="208"/>
      <c r="I119" s="122"/>
      <c r="J119" s="209"/>
      <c r="K119" s="217">
        <f t="shared" si="5"/>
        <v>0</v>
      </c>
      <c r="L119" s="218">
        <f t="shared" si="6"/>
        <v>0</v>
      </c>
    </row>
    <row r="120" spans="1:12" x14ac:dyDescent="0.2">
      <c r="A120" s="124"/>
      <c r="B120" s="211"/>
      <c r="C120" s="266" t="s">
        <v>347</v>
      </c>
      <c r="D120" s="127"/>
      <c r="E120" s="129"/>
      <c r="F120" s="129"/>
      <c r="G120" s="129"/>
      <c r="H120" s="239"/>
      <c r="I120" s="130"/>
      <c r="J120" s="240"/>
      <c r="K120" s="217">
        <f t="shared" si="5"/>
        <v>0</v>
      </c>
      <c r="L120" s="218">
        <f t="shared" si="6"/>
        <v>0</v>
      </c>
    </row>
    <row r="121" spans="1:12" ht="25.5" x14ac:dyDescent="0.2">
      <c r="A121" s="124"/>
      <c r="B121" s="211" t="s">
        <v>348</v>
      </c>
      <c r="C121" s="289" t="s">
        <v>349</v>
      </c>
      <c r="D121" s="127"/>
      <c r="E121" s="129"/>
      <c r="F121" s="129"/>
      <c r="G121" s="129"/>
      <c r="H121" s="239"/>
      <c r="I121" s="130"/>
      <c r="J121" s="240"/>
      <c r="K121" s="217">
        <f t="shared" si="5"/>
        <v>0</v>
      </c>
      <c r="L121" s="218">
        <f t="shared" si="6"/>
        <v>0</v>
      </c>
    </row>
    <row r="122" spans="1:12" x14ac:dyDescent="0.2">
      <c r="A122" s="124"/>
      <c r="B122" s="211"/>
      <c r="C122" s="220" t="s">
        <v>561</v>
      </c>
      <c r="D122" s="133">
        <v>1</v>
      </c>
      <c r="E122" s="135">
        <f>2.1*1</f>
        <v>2.1</v>
      </c>
      <c r="F122" s="135">
        <v>0.125</v>
      </c>
      <c r="G122" s="135">
        <v>7.4999999999999997E-2</v>
      </c>
      <c r="H122" s="303">
        <f>G122*F122*E122*D122</f>
        <v>1.96875E-2</v>
      </c>
      <c r="I122" s="136"/>
      <c r="J122" s="213"/>
      <c r="K122" s="217">
        <f t="shared" si="5"/>
        <v>0</v>
      </c>
      <c r="L122" s="218">
        <f t="shared" si="6"/>
        <v>0</v>
      </c>
    </row>
    <row r="123" spans="1:12" x14ac:dyDescent="0.2">
      <c r="A123" s="139"/>
      <c r="B123" s="215"/>
      <c r="C123" s="141" t="s">
        <v>117</v>
      </c>
      <c r="D123" s="142"/>
      <c r="E123" s="145"/>
      <c r="F123" s="145"/>
      <c r="G123" s="145"/>
      <c r="H123" s="357">
        <f>H122</f>
        <v>1.96875E-2</v>
      </c>
      <c r="I123" s="141" t="s">
        <v>118</v>
      </c>
      <c r="J123" s="217">
        <v>116520.3</v>
      </c>
      <c r="K123" s="217">
        <f t="shared" si="5"/>
        <v>98746.016949152545</v>
      </c>
      <c r="L123" s="218">
        <f t="shared" si="6"/>
        <v>1944.0622086864407</v>
      </c>
    </row>
    <row r="124" spans="1:12" ht="146.25" customHeight="1" x14ac:dyDescent="0.2">
      <c r="A124" s="116">
        <v>13</v>
      </c>
      <c r="B124" s="206">
        <v>9.1310000000000002</v>
      </c>
      <c r="C124" s="288" t="s">
        <v>562</v>
      </c>
      <c r="D124" s="119"/>
      <c r="E124" s="121"/>
      <c r="F124" s="121"/>
      <c r="G124" s="121"/>
      <c r="H124" s="208"/>
      <c r="I124" s="122"/>
      <c r="J124" s="209"/>
      <c r="K124" s="217">
        <f t="shared" si="5"/>
        <v>0</v>
      </c>
      <c r="L124" s="218">
        <f t="shared" si="6"/>
        <v>0</v>
      </c>
    </row>
    <row r="125" spans="1:12" x14ac:dyDescent="0.2">
      <c r="A125" s="124"/>
      <c r="B125" s="211" t="s">
        <v>352</v>
      </c>
      <c r="C125" s="289" t="s">
        <v>353</v>
      </c>
      <c r="D125" s="127"/>
      <c r="E125" s="129"/>
      <c r="F125" s="129"/>
      <c r="G125" s="129"/>
      <c r="H125" s="239"/>
      <c r="I125" s="130"/>
      <c r="J125" s="240"/>
      <c r="K125" s="217">
        <f t="shared" si="5"/>
        <v>0</v>
      </c>
      <c r="L125" s="218">
        <f t="shared" si="6"/>
        <v>0</v>
      </c>
    </row>
    <row r="126" spans="1:12" x14ac:dyDescent="0.2">
      <c r="A126" s="124"/>
      <c r="B126" s="211"/>
      <c r="C126" s="220" t="s">
        <v>293</v>
      </c>
      <c r="D126" s="133">
        <v>1</v>
      </c>
      <c r="E126" s="135">
        <v>1.05</v>
      </c>
      <c r="F126" s="135"/>
      <c r="G126" s="135">
        <v>2.1</v>
      </c>
      <c r="H126" s="303">
        <f>D126*E126*G126</f>
        <v>2.2050000000000001</v>
      </c>
      <c r="I126" s="136"/>
      <c r="J126" s="213"/>
      <c r="K126" s="217">
        <f t="shared" si="5"/>
        <v>0</v>
      </c>
      <c r="L126" s="218">
        <f t="shared" si="6"/>
        <v>0</v>
      </c>
    </row>
    <row r="127" spans="1:12" x14ac:dyDescent="0.2">
      <c r="A127" s="139"/>
      <c r="B127" s="215"/>
      <c r="C127" s="141" t="s">
        <v>117</v>
      </c>
      <c r="D127" s="142"/>
      <c r="E127" s="145"/>
      <c r="F127" s="145"/>
      <c r="G127" s="145"/>
      <c r="H127" s="216">
        <v>2</v>
      </c>
      <c r="I127" s="141" t="s">
        <v>334</v>
      </c>
      <c r="J127" s="217">
        <v>1801.6</v>
      </c>
      <c r="K127" s="217">
        <f t="shared" si="5"/>
        <v>1526.7796610169491</v>
      </c>
      <c r="L127" s="218">
        <f t="shared" si="6"/>
        <v>3053.5593220338983</v>
      </c>
    </row>
    <row r="128" spans="1:12" ht="39" customHeight="1" x14ac:dyDescent="0.2">
      <c r="A128" s="116">
        <v>14</v>
      </c>
      <c r="B128" s="206">
        <v>9.1319999999999997</v>
      </c>
      <c r="C128" s="304" t="s">
        <v>563</v>
      </c>
      <c r="D128" s="119"/>
      <c r="E128" s="121"/>
      <c r="F128" s="121"/>
      <c r="G128" s="121"/>
      <c r="H128" s="263"/>
      <c r="I128" s="122"/>
      <c r="J128" s="209"/>
      <c r="K128" s="217">
        <f t="shared" si="5"/>
        <v>0</v>
      </c>
      <c r="L128" s="218">
        <f t="shared" si="6"/>
        <v>0</v>
      </c>
    </row>
    <row r="129" spans="1:12" x14ac:dyDescent="0.2">
      <c r="A129" s="124"/>
      <c r="B129" s="211"/>
      <c r="C129" s="220" t="s">
        <v>293</v>
      </c>
      <c r="D129" s="133">
        <v>1</v>
      </c>
      <c r="E129" s="135">
        <f>2.1*1</f>
        <v>2.1</v>
      </c>
      <c r="F129" s="135"/>
      <c r="G129" s="135"/>
      <c r="H129" s="134">
        <f>D129*E129</f>
        <v>2.1</v>
      </c>
      <c r="I129" s="136"/>
      <c r="J129" s="213"/>
      <c r="K129" s="217">
        <f t="shared" si="5"/>
        <v>0</v>
      </c>
      <c r="L129" s="218">
        <f t="shared" si="6"/>
        <v>0</v>
      </c>
    </row>
    <row r="130" spans="1:12" x14ac:dyDescent="0.2">
      <c r="A130" s="139"/>
      <c r="B130" s="215"/>
      <c r="C130" s="141" t="s">
        <v>117</v>
      </c>
      <c r="D130" s="142">
        <f>SUM(D129:D129)</f>
        <v>1</v>
      </c>
      <c r="E130" s="145"/>
      <c r="F130" s="145"/>
      <c r="G130" s="145"/>
      <c r="H130" s="216">
        <f>SUM(H129:H129)*0.5</f>
        <v>1.05</v>
      </c>
      <c r="I130" s="141" t="s">
        <v>355</v>
      </c>
      <c r="J130" s="217">
        <v>596.15</v>
      </c>
      <c r="K130" s="217">
        <f t="shared" si="5"/>
        <v>505.21186440677968</v>
      </c>
      <c r="L130" s="218">
        <f t="shared" si="6"/>
        <v>530.47245762711873</v>
      </c>
    </row>
    <row r="131" spans="1:12" ht="61.5" customHeight="1" x14ac:dyDescent="0.2">
      <c r="A131" s="124">
        <v>15</v>
      </c>
      <c r="B131" s="117" t="s">
        <v>363</v>
      </c>
      <c r="C131" s="358" t="s">
        <v>364</v>
      </c>
      <c r="D131" s="142"/>
      <c r="E131" s="145"/>
      <c r="F131" s="145"/>
      <c r="G131" s="145"/>
      <c r="H131" s="216"/>
      <c r="I131" s="141"/>
      <c r="J131" s="217"/>
      <c r="K131" s="217">
        <f t="shared" si="5"/>
        <v>0</v>
      </c>
      <c r="L131" s="218">
        <f t="shared" si="6"/>
        <v>0</v>
      </c>
    </row>
    <row r="132" spans="1:12" x14ac:dyDescent="0.2">
      <c r="A132" s="124"/>
      <c r="B132" s="211"/>
      <c r="C132" s="220" t="s">
        <v>260</v>
      </c>
      <c r="D132" s="133">
        <v>1</v>
      </c>
      <c r="E132" s="135">
        <v>1.2</v>
      </c>
      <c r="F132" s="135"/>
      <c r="G132" s="135">
        <v>1.65</v>
      </c>
      <c r="H132" s="212">
        <f>G132*E132*D132</f>
        <v>1.9799999999999998</v>
      </c>
      <c r="I132" s="136"/>
      <c r="J132" s="213"/>
      <c r="K132" s="217">
        <f t="shared" si="5"/>
        <v>0</v>
      </c>
      <c r="L132" s="218">
        <f t="shared" si="6"/>
        <v>0</v>
      </c>
    </row>
    <row r="133" spans="1:12" ht="14.25" x14ac:dyDescent="0.2">
      <c r="A133" s="139"/>
      <c r="B133" s="215"/>
      <c r="C133" s="141" t="s">
        <v>117</v>
      </c>
      <c r="D133" s="142"/>
      <c r="E133" s="145"/>
      <c r="F133" s="145"/>
      <c r="G133" s="145"/>
      <c r="H133" s="216">
        <f>SUM(H132:H132)</f>
        <v>1.9799999999999998</v>
      </c>
      <c r="I133" s="141" t="s">
        <v>128</v>
      </c>
      <c r="J133" s="359">
        <v>9628.6</v>
      </c>
      <c r="K133" s="217">
        <f t="shared" si="5"/>
        <v>8159.8305084745762</v>
      </c>
      <c r="L133" s="218">
        <f t="shared" si="6"/>
        <v>16156.464406779658</v>
      </c>
    </row>
    <row r="134" spans="1:12" ht="57" x14ac:dyDescent="0.2">
      <c r="A134" s="116">
        <v>18</v>
      </c>
      <c r="B134" s="206">
        <v>9.9600000000000009</v>
      </c>
      <c r="C134" s="308" t="s">
        <v>564</v>
      </c>
      <c r="D134" s="119"/>
      <c r="E134" s="121"/>
      <c r="F134" s="121"/>
      <c r="G134" s="121"/>
      <c r="H134" s="263"/>
      <c r="I134" s="122"/>
      <c r="J134" s="209"/>
      <c r="K134" s="217">
        <f t="shared" si="5"/>
        <v>0</v>
      </c>
      <c r="L134" s="218">
        <f t="shared" si="6"/>
        <v>0</v>
      </c>
    </row>
    <row r="135" spans="1:12" x14ac:dyDescent="0.2">
      <c r="A135" s="139"/>
      <c r="B135" s="215" t="s">
        <v>370</v>
      </c>
      <c r="C135" s="184" t="s">
        <v>371</v>
      </c>
      <c r="D135" s="142">
        <v>2</v>
      </c>
      <c r="E135" s="145"/>
      <c r="F135" s="145"/>
      <c r="G135" s="145"/>
      <c r="H135" s="216">
        <f>D135</f>
        <v>2</v>
      </c>
      <c r="I135" s="141" t="s">
        <v>369</v>
      </c>
      <c r="J135" s="217">
        <v>260.60000000000002</v>
      </c>
      <c r="K135" s="217">
        <f t="shared" si="5"/>
        <v>220.84745762711867</v>
      </c>
      <c r="L135" s="218">
        <f t="shared" si="6"/>
        <v>441.69491525423734</v>
      </c>
    </row>
    <row r="136" spans="1:12" ht="57" x14ac:dyDescent="0.2">
      <c r="A136" s="116">
        <v>19</v>
      </c>
      <c r="B136" s="206">
        <v>9.9700000000000006</v>
      </c>
      <c r="C136" s="308" t="s">
        <v>372</v>
      </c>
      <c r="D136" s="119"/>
      <c r="E136" s="121"/>
      <c r="F136" s="121"/>
      <c r="G136" s="121"/>
      <c r="H136" s="263"/>
      <c r="I136" s="122"/>
      <c r="J136" s="209"/>
      <c r="K136" s="217">
        <f t="shared" si="5"/>
        <v>0</v>
      </c>
      <c r="L136" s="218">
        <f t="shared" si="6"/>
        <v>0</v>
      </c>
    </row>
    <row r="137" spans="1:12" x14ac:dyDescent="0.2">
      <c r="A137" s="139"/>
      <c r="B137" s="215" t="s">
        <v>375</v>
      </c>
      <c r="C137" s="184" t="s">
        <v>376</v>
      </c>
      <c r="D137" s="142">
        <v>1</v>
      </c>
      <c r="E137" s="145"/>
      <c r="F137" s="145"/>
      <c r="G137" s="145"/>
      <c r="H137" s="216">
        <f>D137</f>
        <v>1</v>
      </c>
      <c r="I137" s="141" t="s">
        <v>369</v>
      </c>
      <c r="J137" s="217">
        <v>115.15</v>
      </c>
      <c r="K137" s="217">
        <f t="shared" si="5"/>
        <v>97.584745762711862</v>
      </c>
      <c r="L137" s="218">
        <f t="shared" si="6"/>
        <v>97.584745762711862</v>
      </c>
    </row>
    <row r="138" spans="1:12" ht="57" x14ac:dyDescent="0.2">
      <c r="A138" s="116">
        <v>20</v>
      </c>
      <c r="B138" s="313">
        <v>9.1</v>
      </c>
      <c r="C138" s="118" t="s">
        <v>379</v>
      </c>
      <c r="D138" s="119"/>
      <c r="E138" s="121"/>
      <c r="F138" s="121"/>
      <c r="G138" s="121"/>
      <c r="H138" s="263"/>
      <c r="I138" s="122"/>
      <c r="J138" s="209"/>
      <c r="K138" s="217">
        <f t="shared" si="5"/>
        <v>0</v>
      </c>
      <c r="L138" s="218">
        <f t="shared" si="6"/>
        <v>0</v>
      </c>
    </row>
    <row r="139" spans="1:12" ht="14.25" x14ac:dyDescent="0.2">
      <c r="A139" s="139"/>
      <c r="B139" s="280" t="s">
        <v>380</v>
      </c>
      <c r="C139" s="297" t="s">
        <v>381</v>
      </c>
      <c r="D139" s="142">
        <v>2</v>
      </c>
      <c r="E139" s="145"/>
      <c r="F139" s="145"/>
      <c r="G139" s="145"/>
      <c r="H139" s="216">
        <v>2</v>
      </c>
      <c r="I139" s="141" t="s">
        <v>382</v>
      </c>
      <c r="J139" s="217">
        <v>66.25</v>
      </c>
      <c r="K139" s="217">
        <f t="shared" ref="K139:K164" si="7">J139*100/118</f>
        <v>56.144067796610166</v>
      </c>
      <c r="L139" s="218">
        <f t="shared" ref="L139:L163" si="8">K139*H139</f>
        <v>112.28813559322033</v>
      </c>
    </row>
    <row r="140" spans="1:12" ht="25.5" x14ac:dyDescent="0.2">
      <c r="A140" s="116">
        <v>21</v>
      </c>
      <c r="B140" s="117">
        <v>13.26</v>
      </c>
      <c r="C140" s="219" t="s">
        <v>565</v>
      </c>
      <c r="D140" s="119"/>
      <c r="E140" s="120"/>
      <c r="F140" s="120"/>
      <c r="G140" s="120"/>
      <c r="H140" s="208"/>
      <c r="I140" s="122"/>
      <c r="J140" s="209"/>
      <c r="K140" s="217">
        <f t="shared" si="7"/>
        <v>0</v>
      </c>
      <c r="L140" s="218">
        <f t="shared" si="8"/>
        <v>0</v>
      </c>
    </row>
    <row r="141" spans="1:12" x14ac:dyDescent="0.2">
      <c r="A141" s="139"/>
      <c r="B141" s="140"/>
      <c r="C141" s="316" t="s">
        <v>566</v>
      </c>
      <c r="D141" s="142"/>
      <c r="E141" s="143"/>
      <c r="F141" s="143"/>
      <c r="G141" s="143"/>
      <c r="H141" s="216">
        <f>H90+H98</f>
        <v>100</v>
      </c>
      <c r="I141" s="141" t="s">
        <v>128</v>
      </c>
      <c r="J141" s="217">
        <v>262.7</v>
      </c>
      <c r="K141" s="217">
        <f t="shared" si="7"/>
        <v>222.62711864406779</v>
      </c>
      <c r="L141" s="218">
        <f t="shared" si="8"/>
        <v>22262.711864406778</v>
      </c>
    </row>
    <row r="142" spans="1:12" x14ac:dyDescent="0.2">
      <c r="A142" s="116">
        <v>22</v>
      </c>
      <c r="B142" s="206" t="s">
        <v>395</v>
      </c>
      <c r="C142" s="207" t="s">
        <v>567</v>
      </c>
      <c r="D142" s="119"/>
      <c r="E142" s="120"/>
      <c r="F142" s="120"/>
      <c r="G142" s="120"/>
      <c r="H142" s="208"/>
      <c r="I142" s="122"/>
      <c r="J142" s="209"/>
      <c r="K142" s="217">
        <f t="shared" si="7"/>
        <v>0</v>
      </c>
      <c r="L142" s="218">
        <f t="shared" si="8"/>
        <v>0</v>
      </c>
    </row>
    <row r="143" spans="1:12" x14ac:dyDescent="0.2">
      <c r="A143" s="139"/>
      <c r="B143" s="140"/>
      <c r="C143" s="316" t="s">
        <v>568</v>
      </c>
      <c r="D143" s="142"/>
      <c r="E143" s="143"/>
      <c r="F143" s="143"/>
      <c r="G143" s="143"/>
      <c r="H143" s="216">
        <f>H141</f>
        <v>100</v>
      </c>
      <c r="I143" s="141" t="s">
        <v>128</v>
      </c>
      <c r="J143" s="217">
        <v>142.80000000000001</v>
      </c>
      <c r="K143" s="217">
        <f t="shared" si="7"/>
        <v>121.0169491525424</v>
      </c>
      <c r="L143" s="218">
        <f t="shared" si="8"/>
        <v>12101.69491525424</v>
      </c>
    </row>
    <row r="144" spans="1:12" ht="25.5" x14ac:dyDescent="0.2">
      <c r="A144" s="116">
        <v>23</v>
      </c>
      <c r="B144" s="117">
        <v>13.47</v>
      </c>
      <c r="C144" s="219" t="s">
        <v>398</v>
      </c>
      <c r="D144" s="119"/>
      <c r="E144" s="120"/>
      <c r="F144" s="120"/>
      <c r="G144" s="120"/>
      <c r="H144" s="208"/>
      <c r="I144" s="122"/>
      <c r="J144" s="209"/>
      <c r="K144" s="217">
        <f t="shared" si="7"/>
        <v>0</v>
      </c>
      <c r="L144" s="218">
        <f t="shared" si="8"/>
        <v>0</v>
      </c>
    </row>
    <row r="145" spans="1:12" ht="38.25" x14ac:dyDescent="0.2">
      <c r="A145" s="124"/>
      <c r="B145" s="125" t="s">
        <v>399</v>
      </c>
      <c r="C145" s="238" t="s">
        <v>400</v>
      </c>
      <c r="D145" s="127"/>
      <c r="E145" s="128"/>
      <c r="F145" s="128"/>
      <c r="G145" s="128"/>
      <c r="H145" s="239"/>
      <c r="I145" s="130"/>
      <c r="J145" s="240"/>
      <c r="K145" s="217">
        <f t="shared" si="7"/>
        <v>0</v>
      </c>
      <c r="L145" s="218">
        <f t="shared" si="8"/>
        <v>0</v>
      </c>
    </row>
    <row r="146" spans="1:12" x14ac:dyDescent="0.2">
      <c r="A146" s="139"/>
      <c r="B146" s="140"/>
      <c r="C146" s="316" t="s">
        <v>513</v>
      </c>
      <c r="D146" s="142"/>
      <c r="E146" s="143"/>
      <c r="F146" s="143"/>
      <c r="G146" s="143"/>
      <c r="H146" s="216">
        <f>H104</f>
        <v>500</v>
      </c>
      <c r="I146" s="141" t="s">
        <v>128</v>
      </c>
      <c r="J146" s="217">
        <v>171.1</v>
      </c>
      <c r="K146" s="217">
        <f t="shared" si="7"/>
        <v>145</v>
      </c>
      <c r="L146" s="218">
        <f t="shared" si="8"/>
        <v>72500</v>
      </c>
    </row>
    <row r="147" spans="1:12" ht="25.5" x14ac:dyDescent="0.2">
      <c r="A147" s="116">
        <v>24</v>
      </c>
      <c r="B147" s="117">
        <v>13.62</v>
      </c>
      <c r="C147" s="219" t="s">
        <v>569</v>
      </c>
      <c r="D147" s="119"/>
      <c r="E147" s="120"/>
      <c r="F147" s="120"/>
      <c r="G147" s="120"/>
      <c r="H147" s="263"/>
      <c r="I147" s="122"/>
      <c r="J147" s="209"/>
      <c r="K147" s="217">
        <f t="shared" si="7"/>
        <v>0</v>
      </c>
      <c r="L147" s="218">
        <f t="shared" si="8"/>
        <v>0</v>
      </c>
    </row>
    <row r="148" spans="1:12" ht="25.5" x14ac:dyDescent="0.2">
      <c r="A148" s="124" t="s">
        <v>91</v>
      </c>
      <c r="B148" s="125" t="s">
        <v>570</v>
      </c>
      <c r="C148" s="238" t="s">
        <v>571</v>
      </c>
      <c r="D148" s="127"/>
      <c r="E148" s="128"/>
      <c r="F148" s="128"/>
      <c r="G148" s="128"/>
      <c r="H148" s="264"/>
      <c r="I148" s="130"/>
      <c r="J148" s="240"/>
      <c r="K148" s="217">
        <f t="shared" si="7"/>
        <v>0</v>
      </c>
      <c r="L148" s="218">
        <f t="shared" si="8"/>
        <v>0</v>
      </c>
    </row>
    <row r="149" spans="1:12" ht="14.25" x14ac:dyDescent="0.2">
      <c r="A149" s="139"/>
      <c r="B149" s="215"/>
      <c r="C149" s="360" t="s">
        <v>572</v>
      </c>
      <c r="D149" s="142"/>
      <c r="E149" s="145">
        <f>H159+(E162*F162*D162)</f>
        <v>3.5</v>
      </c>
      <c r="F149" s="145">
        <v>3</v>
      </c>
      <c r="G149" s="145"/>
      <c r="H149" s="216">
        <v>9</v>
      </c>
      <c r="I149" s="141" t="s">
        <v>128</v>
      </c>
      <c r="J149" s="359">
        <v>226.25</v>
      </c>
      <c r="K149" s="217">
        <f t="shared" si="7"/>
        <v>191.73728813559322</v>
      </c>
      <c r="L149" s="218">
        <f t="shared" si="8"/>
        <v>1725.6355932203389</v>
      </c>
    </row>
    <row r="150" spans="1:12" ht="28.5" x14ac:dyDescent="0.2">
      <c r="A150" s="116">
        <v>25</v>
      </c>
      <c r="B150" s="206" t="s">
        <v>573</v>
      </c>
      <c r="C150" s="361" t="s">
        <v>574</v>
      </c>
      <c r="D150" s="119"/>
      <c r="E150" s="121"/>
      <c r="F150" s="121"/>
      <c r="G150" s="121"/>
      <c r="H150" s="263"/>
      <c r="I150" s="122"/>
      <c r="J150" s="209"/>
      <c r="K150" s="217">
        <f t="shared" si="7"/>
        <v>0</v>
      </c>
      <c r="L150" s="218">
        <f t="shared" si="8"/>
        <v>0</v>
      </c>
    </row>
    <row r="151" spans="1:12" ht="42.75" x14ac:dyDescent="0.2">
      <c r="A151" s="124"/>
      <c r="B151" s="211"/>
      <c r="C151" s="362" t="s">
        <v>575</v>
      </c>
      <c r="D151" s="127"/>
      <c r="E151" s="129"/>
      <c r="F151" s="129"/>
      <c r="G151" s="129"/>
      <c r="H151" s="264"/>
      <c r="I151" s="130"/>
      <c r="J151" s="240"/>
      <c r="K151" s="217">
        <f t="shared" si="7"/>
        <v>0</v>
      </c>
      <c r="L151" s="218">
        <f t="shared" si="8"/>
        <v>0</v>
      </c>
    </row>
    <row r="152" spans="1:12" ht="28.5" x14ac:dyDescent="0.2">
      <c r="A152" s="124"/>
      <c r="B152" s="211"/>
      <c r="C152" s="362" t="s">
        <v>576</v>
      </c>
      <c r="D152" s="127"/>
      <c r="E152" s="129"/>
      <c r="F152" s="129"/>
      <c r="G152" s="129"/>
      <c r="H152" s="264"/>
      <c r="I152" s="130"/>
      <c r="J152" s="240"/>
      <c r="K152" s="217">
        <f t="shared" si="7"/>
        <v>0</v>
      </c>
      <c r="L152" s="218">
        <f t="shared" si="8"/>
        <v>0</v>
      </c>
    </row>
    <row r="153" spans="1:12" ht="62.25" customHeight="1" x14ac:dyDescent="0.2">
      <c r="A153" s="124"/>
      <c r="B153" s="211"/>
      <c r="C153" s="362" t="s">
        <v>577</v>
      </c>
      <c r="D153" s="127"/>
      <c r="E153" s="129"/>
      <c r="F153" s="129"/>
      <c r="G153" s="129"/>
      <c r="H153" s="264"/>
      <c r="I153" s="130"/>
      <c r="J153" s="240"/>
      <c r="K153" s="217">
        <f t="shared" si="7"/>
        <v>0</v>
      </c>
      <c r="L153" s="218">
        <f t="shared" si="8"/>
        <v>0</v>
      </c>
    </row>
    <row r="154" spans="1:12" ht="14.25" x14ac:dyDescent="0.2">
      <c r="A154" s="124"/>
      <c r="B154" s="211"/>
      <c r="C154" s="126"/>
      <c r="D154" s="127"/>
      <c r="E154" s="249"/>
      <c r="F154" s="129"/>
      <c r="G154" s="129"/>
      <c r="H154" s="298"/>
      <c r="I154" s="260"/>
      <c r="J154" s="261"/>
      <c r="K154" s="217">
        <f t="shared" si="7"/>
        <v>0</v>
      </c>
      <c r="L154" s="218">
        <f t="shared" si="8"/>
        <v>0</v>
      </c>
    </row>
    <row r="155" spans="1:12" ht="14.25" x14ac:dyDescent="0.2">
      <c r="A155" s="124"/>
      <c r="B155" s="211"/>
      <c r="C155" s="177" t="s">
        <v>578</v>
      </c>
      <c r="D155" s="188">
        <v>4</v>
      </c>
      <c r="E155" s="956">
        <v>99.47</v>
      </c>
      <c r="F155" s="957"/>
      <c r="G155" s="301"/>
      <c r="H155" s="302">
        <f>D155*E155</f>
        <v>397.88</v>
      </c>
      <c r="I155" s="136"/>
      <c r="J155" s="213"/>
      <c r="K155" s="217">
        <f t="shared" si="7"/>
        <v>0</v>
      </c>
      <c r="L155" s="218">
        <f t="shared" si="8"/>
        <v>0</v>
      </c>
    </row>
    <row r="156" spans="1:12" ht="14.25" x14ac:dyDescent="0.2">
      <c r="A156" s="124"/>
      <c r="B156" s="211"/>
      <c r="C156" s="177"/>
      <c r="D156" s="188">
        <v>1</v>
      </c>
      <c r="E156" s="956">
        <v>56.28</v>
      </c>
      <c r="F156" s="957"/>
      <c r="G156" s="301"/>
      <c r="H156" s="302">
        <f>D156*E156</f>
        <v>56.28</v>
      </c>
      <c r="I156" s="136"/>
      <c r="J156" s="213"/>
      <c r="K156" s="217">
        <f t="shared" si="7"/>
        <v>0</v>
      </c>
      <c r="L156" s="218">
        <f t="shared" si="8"/>
        <v>0</v>
      </c>
    </row>
    <row r="157" spans="1:12" ht="14.25" x14ac:dyDescent="0.2">
      <c r="A157" s="139"/>
      <c r="B157" s="215"/>
      <c r="C157" s="281" t="s">
        <v>117</v>
      </c>
      <c r="D157" s="142"/>
      <c r="E157" s="145"/>
      <c r="F157" s="145"/>
      <c r="G157" s="145"/>
      <c r="H157" s="216">
        <v>445</v>
      </c>
      <c r="I157" s="141" t="s">
        <v>128</v>
      </c>
      <c r="J157" s="217">
        <v>1138.1199999999999</v>
      </c>
      <c r="K157" s="217">
        <f t="shared" si="7"/>
        <v>964.50847457627106</v>
      </c>
      <c r="L157" s="218">
        <f t="shared" si="8"/>
        <v>429206.2711864406</v>
      </c>
    </row>
    <row r="158" spans="1:12" ht="57" x14ac:dyDescent="0.2">
      <c r="A158" s="124">
        <v>26</v>
      </c>
      <c r="B158" s="211">
        <v>10.5</v>
      </c>
      <c r="C158" s="300" t="s">
        <v>579</v>
      </c>
      <c r="D158" s="127"/>
      <c r="E158" s="129"/>
      <c r="F158" s="129"/>
      <c r="G158" s="129"/>
      <c r="H158" s="264"/>
      <c r="I158" s="130"/>
      <c r="J158" s="240"/>
      <c r="K158" s="217">
        <f t="shared" si="7"/>
        <v>0</v>
      </c>
      <c r="L158" s="218">
        <f t="shared" si="8"/>
        <v>0</v>
      </c>
    </row>
    <row r="159" spans="1:12" ht="14.25" x14ac:dyDescent="0.2">
      <c r="A159" s="139"/>
      <c r="B159" s="215" t="s">
        <v>580</v>
      </c>
      <c r="C159" s="281" t="s">
        <v>581</v>
      </c>
      <c r="D159" s="215">
        <v>1</v>
      </c>
      <c r="E159" s="310">
        <v>1</v>
      </c>
      <c r="F159" s="310">
        <v>2</v>
      </c>
      <c r="G159" s="310"/>
      <c r="H159" s="363">
        <f>F159*E159*D159</f>
        <v>2</v>
      </c>
      <c r="I159" s="141" t="s">
        <v>128</v>
      </c>
      <c r="J159" s="217">
        <v>5563.75</v>
      </c>
      <c r="K159" s="217">
        <f t="shared" si="7"/>
        <v>4715.0423728813557</v>
      </c>
      <c r="L159" s="218">
        <f t="shared" si="8"/>
        <v>9430.0847457627115</v>
      </c>
    </row>
    <row r="160" spans="1:12" ht="42.75" x14ac:dyDescent="0.2">
      <c r="A160" s="124">
        <v>27</v>
      </c>
      <c r="B160" s="211">
        <v>10.25</v>
      </c>
      <c r="C160" s="300" t="s">
        <v>582</v>
      </c>
      <c r="D160" s="211"/>
      <c r="E160" s="258"/>
      <c r="F160" s="258"/>
      <c r="G160" s="258"/>
      <c r="H160" s="259"/>
      <c r="I160" s="130"/>
      <c r="J160" s="240"/>
      <c r="K160" s="217">
        <f t="shared" si="7"/>
        <v>0</v>
      </c>
      <c r="L160" s="218">
        <f t="shared" si="8"/>
        <v>0</v>
      </c>
    </row>
    <row r="161" spans="1:12" ht="28.5" x14ac:dyDescent="0.2">
      <c r="A161" s="124"/>
      <c r="B161" s="211" t="s">
        <v>583</v>
      </c>
      <c r="C161" s="300" t="s">
        <v>584</v>
      </c>
      <c r="D161" s="211"/>
      <c r="E161" s="258"/>
      <c r="F161" s="258"/>
      <c r="G161" s="258"/>
      <c r="H161" s="259"/>
      <c r="I161" s="130"/>
      <c r="J161" s="240"/>
      <c r="K161" s="217">
        <f t="shared" si="7"/>
        <v>0</v>
      </c>
      <c r="L161" s="218">
        <f t="shared" si="8"/>
        <v>0</v>
      </c>
    </row>
    <row r="162" spans="1:12" ht="14.25" x14ac:dyDescent="0.2">
      <c r="A162" s="124"/>
      <c r="B162" s="211"/>
      <c r="C162" s="300" t="s">
        <v>585</v>
      </c>
      <c r="D162" s="127">
        <v>1</v>
      </c>
      <c r="E162" s="129">
        <v>1.5</v>
      </c>
      <c r="F162" s="129">
        <v>1</v>
      </c>
      <c r="G162" s="129"/>
      <c r="H162" s="363">
        <f>F162*E162*D162*20</f>
        <v>30</v>
      </c>
      <c r="I162" s="141" t="s">
        <v>413</v>
      </c>
      <c r="J162" s="217">
        <v>172.6</v>
      </c>
      <c r="K162" s="217">
        <f t="shared" si="7"/>
        <v>146.27118644067798</v>
      </c>
      <c r="L162" s="218">
        <f t="shared" si="8"/>
        <v>4388.1355932203396</v>
      </c>
    </row>
    <row r="163" spans="1:12" ht="85.5" x14ac:dyDescent="0.2">
      <c r="A163" s="243">
        <v>28</v>
      </c>
      <c r="B163" s="188">
        <v>12.22</v>
      </c>
      <c r="C163" s="177" t="s">
        <v>586</v>
      </c>
      <c r="D163" s="133"/>
      <c r="E163" s="301"/>
      <c r="F163" s="301"/>
      <c r="G163" s="301"/>
      <c r="H163" s="285">
        <v>5</v>
      </c>
      <c r="I163" s="273" t="s">
        <v>378</v>
      </c>
      <c r="J163" s="274">
        <v>298.25</v>
      </c>
      <c r="K163" s="217">
        <f t="shared" si="7"/>
        <v>252.75423728813558</v>
      </c>
      <c r="L163" s="218">
        <f t="shared" si="8"/>
        <v>1263.7711864406779</v>
      </c>
    </row>
    <row r="164" spans="1:12" ht="42.75" x14ac:dyDescent="0.2">
      <c r="A164" s="139">
        <v>29</v>
      </c>
      <c r="B164" s="215"/>
      <c r="C164" s="297" t="s">
        <v>587</v>
      </c>
      <c r="D164" s="142">
        <v>2</v>
      </c>
      <c r="E164" s="310"/>
      <c r="F164" s="310"/>
      <c r="G164" s="310"/>
      <c r="H164" s="282">
        <v>10000</v>
      </c>
      <c r="I164" s="273" t="s">
        <v>378</v>
      </c>
      <c r="J164" s="269">
        <v>11</v>
      </c>
      <c r="K164" s="217">
        <f t="shared" si="7"/>
        <v>9.3220338983050848</v>
      </c>
      <c r="L164" s="218">
        <f>K164*H164</f>
        <v>93220.338983050853</v>
      </c>
    </row>
    <row r="165" spans="1:12" ht="15" x14ac:dyDescent="0.25">
      <c r="A165" s="314"/>
      <c r="B165" s="314"/>
      <c r="C165" s="364" t="s">
        <v>588</v>
      </c>
      <c r="D165" s="365"/>
      <c r="E165" s="365"/>
      <c r="F165" s="365"/>
      <c r="G165" s="365"/>
      <c r="H165" s="366"/>
      <c r="I165" s="958" t="s">
        <v>91</v>
      </c>
      <c r="J165" s="958"/>
      <c r="K165" s="367"/>
      <c r="L165" s="368">
        <f>SUM(L5:L164)</f>
        <v>1905193.8880349577</v>
      </c>
    </row>
    <row r="171" spans="1:12" x14ac:dyDescent="0.2">
      <c r="C171" s="369"/>
    </row>
  </sheetData>
  <sheetProtection algorithmName="SHA-512" hashValue="PLNkxfaleDnued0qwt3RLTdPHNhdpN54f+1Teko/TXMvW1NvjBq58Cn6+bVwuddWa8ag+rQbgEbvRaIWKGHQkw==" saltValue="GzXkcdNlsYjXqyehaeXpdQ==" spinCount="100000" sheet="1" objects="1" scenarios="1" selectLockedCells="1" selectUnlockedCells="1"/>
  <mergeCells count="4">
    <mergeCell ref="A3:I3"/>
    <mergeCell ref="E155:F155"/>
    <mergeCell ref="E156:F156"/>
    <mergeCell ref="I165:J165"/>
  </mergeCells>
  <pageMargins left="0.5" right="0.5" top="1" bottom="0.5" header="0.5" footer="0.5"/>
  <pageSetup scale="70" orientation="portrait" horizontalDpi="4294967293"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1A857-679C-44C0-8691-B16B452B752C}">
  <dimension ref="A1:F20"/>
  <sheetViews>
    <sheetView workbookViewId="0">
      <selection activeCell="F15" sqref="F15"/>
    </sheetView>
  </sheetViews>
  <sheetFormatPr defaultRowHeight="12.75" x14ac:dyDescent="0.2"/>
  <cols>
    <col min="1" max="1" width="12.7109375" style="103" customWidth="1"/>
    <col min="2" max="2" width="44.42578125" style="90" customWidth="1"/>
    <col min="3" max="3" width="27.42578125" style="103" customWidth="1"/>
    <col min="4" max="5" width="9.140625" style="90"/>
    <col min="6" max="6" width="10.7109375" style="90" bestFit="1" customWidth="1"/>
    <col min="7" max="7" width="9.140625" style="90"/>
    <col min="8" max="8" width="10" style="90" bestFit="1" customWidth="1"/>
    <col min="9" max="256" width="9.140625" style="90"/>
    <col min="257" max="257" width="12.7109375" style="90" customWidth="1"/>
    <col min="258" max="258" width="44.42578125" style="90" customWidth="1"/>
    <col min="259" max="259" width="27.42578125" style="90" customWidth="1"/>
    <col min="260" max="261" width="9.140625" style="90"/>
    <col min="262" max="262" width="10.7109375" style="90" bestFit="1" customWidth="1"/>
    <col min="263" max="263" width="9.140625" style="90"/>
    <col min="264" max="264" width="10" style="90" bestFit="1" customWidth="1"/>
    <col min="265" max="512" width="9.140625" style="90"/>
    <col min="513" max="513" width="12.7109375" style="90" customWidth="1"/>
    <col min="514" max="514" width="44.42578125" style="90" customWidth="1"/>
    <col min="515" max="515" width="27.42578125" style="90" customWidth="1"/>
    <col min="516" max="517" width="9.140625" style="90"/>
    <col min="518" max="518" width="10.7109375" style="90" bestFit="1" customWidth="1"/>
    <col min="519" max="519" width="9.140625" style="90"/>
    <col min="520" max="520" width="10" style="90" bestFit="1" customWidth="1"/>
    <col min="521" max="768" width="9.140625" style="90"/>
    <col min="769" max="769" width="12.7109375" style="90" customWidth="1"/>
    <col min="770" max="770" width="44.42578125" style="90" customWidth="1"/>
    <col min="771" max="771" width="27.42578125" style="90" customWidth="1"/>
    <col min="772" max="773" width="9.140625" style="90"/>
    <col min="774" max="774" width="10.7109375" style="90" bestFit="1" customWidth="1"/>
    <col min="775" max="775" width="9.140625" style="90"/>
    <col min="776" max="776" width="10" style="90" bestFit="1" customWidth="1"/>
    <col min="777" max="1024" width="9.140625" style="90"/>
    <col min="1025" max="1025" width="12.7109375" style="90" customWidth="1"/>
    <col min="1026" max="1026" width="44.42578125" style="90" customWidth="1"/>
    <col min="1027" max="1027" width="27.42578125" style="90" customWidth="1"/>
    <col min="1028" max="1029" width="9.140625" style="90"/>
    <col min="1030" max="1030" width="10.7109375" style="90" bestFit="1" customWidth="1"/>
    <col min="1031" max="1031" width="9.140625" style="90"/>
    <col min="1032" max="1032" width="10" style="90" bestFit="1" customWidth="1"/>
    <col min="1033" max="1280" width="9.140625" style="90"/>
    <col min="1281" max="1281" width="12.7109375" style="90" customWidth="1"/>
    <col min="1282" max="1282" width="44.42578125" style="90" customWidth="1"/>
    <col min="1283" max="1283" width="27.42578125" style="90" customWidth="1"/>
    <col min="1284" max="1285" width="9.140625" style="90"/>
    <col min="1286" max="1286" width="10.7109375" style="90" bestFit="1" customWidth="1"/>
    <col min="1287" max="1287" width="9.140625" style="90"/>
    <col min="1288" max="1288" width="10" style="90" bestFit="1" customWidth="1"/>
    <col min="1289" max="1536" width="9.140625" style="90"/>
    <col min="1537" max="1537" width="12.7109375" style="90" customWidth="1"/>
    <col min="1538" max="1538" width="44.42578125" style="90" customWidth="1"/>
    <col min="1539" max="1539" width="27.42578125" style="90" customWidth="1"/>
    <col min="1540" max="1541" width="9.140625" style="90"/>
    <col min="1542" max="1542" width="10.7109375" style="90" bestFit="1" customWidth="1"/>
    <col min="1543" max="1543" width="9.140625" style="90"/>
    <col min="1544" max="1544" width="10" style="90" bestFit="1" customWidth="1"/>
    <col min="1545" max="1792" width="9.140625" style="90"/>
    <col min="1793" max="1793" width="12.7109375" style="90" customWidth="1"/>
    <col min="1794" max="1794" width="44.42578125" style="90" customWidth="1"/>
    <col min="1795" max="1795" width="27.42578125" style="90" customWidth="1"/>
    <col min="1796" max="1797" width="9.140625" style="90"/>
    <col min="1798" max="1798" width="10.7109375" style="90" bestFit="1" customWidth="1"/>
    <col min="1799" max="1799" width="9.140625" style="90"/>
    <col min="1800" max="1800" width="10" style="90" bestFit="1" customWidth="1"/>
    <col min="1801" max="2048" width="9.140625" style="90"/>
    <col min="2049" max="2049" width="12.7109375" style="90" customWidth="1"/>
    <col min="2050" max="2050" width="44.42578125" style="90" customWidth="1"/>
    <col min="2051" max="2051" width="27.42578125" style="90" customWidth="1"/>
    <col min="2052" max="2053" width="9.140625" style="90"/>
    <col min="2054" max="2054" width="10.7109375" style="90" bestFit="1" customWidth="1"/>
    <col min="2055" max="2055" width="9.140625" style="90"/>
    <col min="2056" max="2056" width="10" style="90" bestFit="1" customWidth="1"/>
    <col min="2057" max="2304" width="9.140625" style="90"/>
    <col min="2305" max="2305" width="12.7109375" style="90" customWidth="1"/>
    <col min="2306" max="2306" width="44.42578125" style="90" customWidth="1"/>
    <col min="2307" max="2307" width="27.42578125" style="90" customWidth="1"/>
    <col min="2308" max="2309" width="9.140625" style="90"/>
    <col min="2310" max="2310" width="10.7109375" style="90" bestFit="1" customWidth="1"/>
    <col min="2311" max="2311" width="9.140625" style="90"/>
    <col min="2312" max="2312" width="10" style="90" bestFit="1" customWidth="1"/>
    <col min="2313" max="2560" width="9.140625" style="90"/>
    <col min="2561" max="2561" width="12.7109375" style="90" customWidth="1"/>
    <col min="2562" max="2562" width="44.42578125" style="90" customWidth="1"/>
    <col min="2563" max="2563" width="27.42578125" style="90" customWidth="1"/>
    <col min="2564" max="2565" width="9.140625" style="90"/>
    <col min="2566" max="2566" width="10.7109375" style="90" bestFit="1" customWidth="1"/>
    <col min="2567" max="2567" width="9.140625" style="90"/>
    <col min="2568" max="2568" width="10" style="90" bestFit="1" customWidth="1"/>
    <col min="2569" max="2816" width="9.140625" style="90"/>
    <col min="2817" max="2817" width="12.7109375" style="90" customWidth="1"/>
    <col min="2818" max="2818" width="44.42578125" style="90" customWidth="1"/>
    <col min="2819" max="2819" width="27.42578125" style="90" customWidth="1"/>
    <col min="2820" max="2821" width="9.140625" style="90"/>
    <col min="2822" max="2822" width="10.7109375" style="90" bestFit="1" customWidth="1"/>
    <col min="2823" max="2823" width="9.140625" style="90"/>
    <col min="2824" max="2824" width="10" style="90" bestFit="1" customWidth="1"/>
    <col min="2825" max="3072" width="9.140625" style="90"/>
    <col min="3073" max="3073" width="12.7109375" style="90" customWidth="1"/>
    <col min="3074" max="3074" width="44.42578125" style="90" customWidth="1"/>
    <col min="3075" max="3075" width="27.42578125" style="90" customWidth="1"/>
    <col min="3076" max="3077" width="9.140625" style="90"/>
    <col min="3078" max="3078" width="10.7109375" style="90" bestFit="1" customWidth="1"/>
    <col min="3079" max="3079" width="9.140625" style="90"/>
    <col min="3080" max="3080" width="10" style="90" bestFit="1" customWidth="1"/>
    <col min="3081" max="3328" width="9.140625" style="90"/>
    <col min="3329" max="3329" width="12.7109375" style="90" customWidth="1"/>
    <col min="3330" max="3330" width="44.42578125" style="90" customWidth="1"/>
    <col min="3331" max="3331" width="27.42578125" style="90" customWidth="1"/>
    <col min="3332" max="3333" width="9.140625" style="90"/>
    <col min="3334" max="3334" width="10.7109375" style="90" bestFit="1" customWidth="1"/>
    <col min="3335" max="3335" width="9.140625" style="90"/>
    <col min="3336" max="3336" width="10" style="90" bestFit="1" customWidth="1"/>
    <col min="3337" max="3584" width="9.140625" style="90"/>
    <col min="3585" max="3585" width="12.7109375" style="90" customWidth="1"/>
    <col min="3586" max="3586" width="44.42578125" style="90" customWidth="1"/>
    <col min="3587" max="3587" width="27.42578125" style="90" customWidth="1"/>
    <col min="3588" max="3589" width="9.140625" style="90"/>
    <col min="3590" max="3590" width="10.7109375" style="90" bestFit="1" customWidth="1"/>
    <col min="3591" max="3591" width="9.140625" style="90"/>
    <col min="3592" max="3592" width="10" style="90" bestFit="1" customWidth="1"/>
    <col min="3593" max="3840" width="9.140625" style="90"/>
    <col min="3841" max="3841" width="12.7109375" style="90" customWidth="1"/>
    <col min="3842" max="3842" width="44.42578125" style="90" customWidth="1"/>
    <col min="3843" max="3843" width="27.42578125" style="90" customWidth="1"/>
    <col min="3844" max="3845" width="9.140625" style="90"/>
    <col min="3846" max="3846" width="10.7109375" style="90" bestFit="1" customWidth="1"/>
    <col min="3847" max="3847" width="9.140625" style="90"/>
    <col min="3848" max="3848" width="10" style="90" bestFit="1" customWidth="1"/>
    <col min="3849" max="4096" width="9.140625" style="90"/>
    <col min="4097" max="4097" width="12.7109375" style="90" customWidth="1"/>
    <col min="4098" max="4098" width="44.42578125" style="90" customWidth="1"/>
    <col min="4099" max="4099" width="27.42578125" style="90" customWidth="1"/>
    <col min="4100" max="4101" width="9.140625" style="90"/>
    <col min="4102" max="4102" width="10.7109375" style="90" bestFit="1" customWidth="1"/>
    <col min="4103" max="4103" width="9.140625" style="90"/>
    <col min="4104" max="4104" width="10" style="90" bestFit="1" customWidth="1"/>
    <col min="4105" max="4352" width="9.140625" style="90"/>
    <col min="4353" max="4353" width="12.7109375" style="90" customWidth="1"/>
    <col min="4354" max="4354" width="44.42578125" style="90" customWidth="1"/>
    <col min="4355" max="4355" width="27.42578125" style="90" customWidth="1"/>
    <col min="4356" max="4357" width="9.140625" style="90"/>
    <col min="4358" max="4358" width="10.7109375" style="90" bestFit="1" customWidth="1"/>
    <col min="4359" max="4359" width="9.140625" style="90"/>
    <col min="4360" max="4360" width="10" style="90" bestFit="1" customWidth="1"/>
    <col min="4361" max="4608" width="9.140625" style="90"/>
    <col min="4609" max="4609" width="12.7109375" style="90" customWidth="1"/>
    <col min="4610" max="4610" width="44.42578125" style="90" customWidth="1"/>
    <col min="4611" max="4611" width="27.42578125" style="90" customWidth="1"/>
    <col min="4612" max="4613" width="9.140625" style="90"/>
    <col min="4614" max="4614" width="10.7109375" style="90" bestFit="1" customWidth="1"/>
    <col min="4615" max="4615" width="9.140625" style="90"/>
    <col min="4616" max="4616" width="10" style="90" bestFit="1" customWidth="1"/>
    <col min="4617" max="4864" width="9.140625" style="90"/>
    <col min="4865" max="4865" width="12.7109375" style="90" customWidth="1"/>
    <col min="4866" max="4866" width="44.42578125" style="90" customWidth="1"/>
    <col min="4867" max="4867" width="27.42578125" style="90" customWidth="1"/>
    <col min="4868" max="4869" width="9.140625" style="90"/>
    <col min="4870" max="4870" width="10.7109375" style="90" bestFit="1" customWidth="1"/>
    <col min="4871" max="4871" width="9.140625" style="90"/>
    <col min="4872" max="4872" width="10" style="90" bestFit="1" customWidth="1"/>
    <col min="4873" max="5120" width="9.140625" style="90"/>
    <col min="5121" max="5121" width="12.7109375" style="90" customWidth="1"/>
    <col min="5122" max="5122" width="44.42578125" style="90" customWidth="1"/>
    <col min="5123" max="5123" width="27.42578125" style="90" customWidth="1"/>
    <col min="5124" max="5125" width="9.140625" style="90"/>
    <col min="5126" max="5126" width="10.7109375" style="90" bestFit="1" customWidth="1"/>
    <col min="5127" max="5127" width="9.140625" style="90"/>
    <col min="5128" max="5128" width="10" style="90" bestFit="1" customWidth="1"/>
    <col min="5129" max="5376" width="9.140625" style="90"/>
    <col min="5377" max="5377" width="12.7109375" style="90" customWidth="1"/>
    <col min="5378" max="5378" width="44.42578125" style="90" customWidth="1"/>
    <col min="5379" max="5379" width="27.42578125" style="90" customWidth="1"/>
    <col min="5380" max="5381" width="9.140625" style="90"/>
    <col min="5382" max="5382" width="10.7109375" style="90" bestFit="1" customWidth="1"/>
    <col min="5383" max="5383" width="9.140625" style="90"/>
    <col min="5384" max="5384" width="10" style="90" bestFit="1" customWidth="1"/>
    <col min="5385" max="5632" width="9.140625" style="90"/>
    <col min="5633" max="5633" width="12.7109375" style="90" customWidth="1"/>
    <col min="5634" max="5634" width="44.42578125" style="90" customWidth="1"/>
    <col min="5635" max="5635" width="27.42578125" style="90" customWidth="1"/>
    <col min="5636" max="5637" width="9.140625" style="90"/>
    <col min="5638" max="5638" width="10.7109375" style="90" bestFit="1" customWidth="1"/>
    <col min="5639" max="5639" width="9.140625" style="90"/>
    <col min="5640" max="5640" width="10" style="90" bestFit="1" customWidth="1"/>
    <col min="5641" max="5888" width="9.140625" style="90"/>
    <col min="5889" max="5889" width="12.7109375" style="90" customWidth="1"/>
    <col min="5890" max="5890" width="44.42578125" style="90" customWidth="1"/>
    <col min="5891" max="5891" width="27.42578125" style="90" customWidth="1"/>
    <col min="5892" max="5893" width="9.140625" style="90"/>
    <col min="5894" max="5894" width="10.7109375" style="90" bestFit="1" customWidth="1"/>
    <col min="5895" max="5895" width="9.140625" style="90"/>
    <col min="5896" max="5896" width="10" style="90" bestFit="1" customWidth="1"/>
    <col min="5897" max="6144" width="9.140625" style="90"/>
    <col min="6145" max="6145" width="12.7109375" style="90" customWidth="1"/>
    <col min="6146" max="6146" width="44.42578125" style="90" customWidth="1"/>
    <col min="6147" max="6147" width="27.42578125" style="90" customWidth="1"/>
    <col min="6148" max="6149" width="9.140625" style="90"/>
    <col min="6150" max="6150" width="10.7109375" style="90" bestFit="1" customWidth="1"/>
    <col min="6151" max="6151" width="9.140625" style="90"/>
    <col min="6152" max="6152" width="10" style="90" bestFit="1" customWidth="1"/>
    <col min="6153" max="6400" width="9.140625" style="90"/>
    <col min="6401" max="6401" width="12.7109375" style="90" customWidth="1"/>
    <col min="6402" max="6402" width="44.42578125" style="90" customWidth="1"/>
    <col min="6403" max="6403" width="27.42578125" style="90" customWidth="1"/>
    <col min="6404" max="6405" width="9.140625" style="90"/>
    <col min="6406" max="6406" width="10.7109375" style="90" bestFit="1" customWidth="1"/>
    <col min="6407" max="6407" width="9.140625" style="90"/>
    <col min="6408" max="6408" width="10" style="90" bestFit="1" customWidth="1"/>
    <col min="6409" max="6656" width="9.140625" style="90"/>
    <col min="6657" max="6657" width="12.7109375" style="90" customWidth="1"/>
    <col min="6658" max="6658" width="44.42578125" style="90" customWidth="1"/>
    <col min="6659" max="6659" width="27.42578125" style="90" customWidth="1"/>
    <col min="6660" max="6661" width="9.140625" style="90"/>
    <col min="6662" max="6662" width="10.7109375" style="90" bestFit="1" customWidth="1"/>
    <col min="6663" max="6663" width="9.140625" style="90"/>
    <col min="6664" max="6664" width="10" style="90" bestFit="1" customWidth="1"/>
    <col min="6665" max="6912" width="9.140625" style="90"/>
    <col min="6913" max="6913" width="12.7109375" style="90" customWidth="1"/>
    <col min="6914" max="6914" width="44.42578125" style="90" customWidth="1"/>
    <col min="6915" max="6915" width="27.42578125" style="90" customWidth="1"/>
    <col min="6916" max="6917" width="9.140625" style="90"/>
    <col min="6918" max="6918" width="10.7109375" style="90" bestFit="1" customWidth="1"/>
    <col min="6919" max="6919" width="9.140625" style="90"/>
    <col min="6920" max="6920" width="10" style="90" bestFit="1" customWidth="1"/>
    <col min="6921" max="7168" width="9.140625" style="90"/>
    <col min="7169" max="7169" width="12.7109375" style="90" customWidth="1"/>
    <col min="7170" max="7170" width="44.42578125" style="90" customWidth="1"/>
    <col min="7171" max="7171" width="27.42578125" style="90" customWidth="1"/>
    <col min="7172" max="7173" width="9.140625" style="90"/>
    <col min="7174" max="7174" width="10.7109375" style="90" bestFit="1" customWidth="1"/>
    <col min="7175" max="7175" width="9.140625" style="90"/>
    <col min="7176" max="7176" width="10" style="90" bestFit="1" customWidth="1"/>
    <col min="7177" max="7424" width="9.140625" style="90"/>
    <col min="7425" max="7425" width="12.7109375" style="90" customWidth="1"/>
    <col min="7426" max="7426" width="44.42578125" style="90" customWidth="1"/>
    <col min="7427" max="7427" width="27.42578125" style="90" customWidth="1"/>
    <col min="7428" max="7429" width="9.140625" style="90"/>
    <col min="7430" max="7430" width="10.7109375" style="90" bestFit="1" customWidth="1"/>
    <col min="7431" max="7431" width="9.140625" style="90"/>
    <col min="7432" max="7432" width="10" style="90" bestFit="1" customWidth="1"/>
    <col min="7433" max="7680" width="9.140625" style="90"/>
    <col min="7681" max="7681" width="12.7109375" style="90" customWidth="1"/>
    <col min="7682" max="7682" width="44.42578125" style="90" customWidth="1"/>
    <col min="7683" max="7683" width="27.42578125" style="90" customWidth="1"/>
    <col min="7684" max="7685" width="9.140625" style="90"/>
    <col min="7686" max="7686" width="10.7109375" style="90" bestFit="1" customWidth="1"/>
    <col min="7687" max="7687" width="9.140625" style="90"/>
    <col min="7688" max="7688" width="10" style="90" bestFit="1" customWidth="1"/>
    <col min="7689" max="7936" width="9.140625" style="90"/>
    <col min="7937" max="7937" width="12.7109375" style="90" customWidth="1"/>
    <col min="7938" max="7938" width="44.42578125" style="90" customWidth="1"/>
    <col min="7939" max="7939" width="27.42578125" style="90" customWidth="1"/>
    <col min="7940" max="7941" width="9.140625" style="90"/>
    <col min="7942" max="7942" width="10.7109375" style="90" bestFit="1" customWidth="1"/>
    <col min="7943" max="7943" width="9.140625" style="90"/>
    <col min="7944" max="7944" width="10" style="90" bestFit="1" customWidth="1"/>
    <col min="7945" max="8192" width="9.140625" style="90"/>
    <col min="8193" max="8193" width="12.7109375" style="90" customWidth="1"/>
    <col min="8194" max="8194" width="44.42578125" style="90" customWidth="1"/>
    <col min="8195" max="8195" width="27.42578125" style="90" customWidth="1"/>
    <col min="8196" max="8197" width="9.140625" style="90"/>
    <col min="8198" max="8198" width="10.7109375" style="90" bestFit="1" customWidth="1"/>
    <col min="8199" max="8199" width="9.140625" style="90"/>
    <col min="8200" max="8200" width="10" style="90" bestFit="1" customWidth="1"/>
    <col min="8201" max="8448" width="9.140625" style="90"/>
    <col min="8449" max="8449" width="12.7109375" style="90" customWidth="1"/>
    <col min="8450" max="8450" width="44.42578125" style="90" customWidth="1"/>
    <col min="8451" max="8451" width="27.42578125" style="90" customWidth="1"/>
    <col min="8452" max="8453" width="9.140625" style="90"/>
    <col min="8454" max="8454" width="10.7109375" style="90" bestFit="1" customWidth="1"/>
    <col min="8455" max="8455" width="9.140625" style="90"/>
    <col min="8456" max="8456" width="10" style="90" bestFit="1" customWidth="1"/>
    <col min="8457" max="8704" width="9.140625" style="90"/>
    <col min="8705" max="8705" width="12.7109375" style="90" customWidth="1"/>
    <col min="8706" max="8706" width="44.42578125" style="90" customWidth="1"/>
    <col min="8707" max="8707" width="27.42578125" style="90" customWidth="1"/>
    <col min="8708" max="8709" width="9.140625" style="90"/>
    <col min="8710" max="8710" width="10.7109375" style="90" bestFit="1" customWidth="1"/>
    <col min="8711" max="8711" width="9.140625" style="90"/>
    <col min="8712" max="8712" width="10" style="90" bestFit="1" customWidth="1"/>
    <col min="8713" max="8960" width="9.140625" style="90"/>
    <col min="8961" max="8961" width="12.7109375" style="90" customWidth="1"/>
    <col min="8962" max="8962" width="44.42578125" style="90" customWidth="1"/>
    <col min="8963" max="8963" width="27.42578125" style="90" customWidth="1"/>
    <col min="8964" max="8965" width="9.140625" style="90"/>
    <col min="8966" max="8966" width="10.7109375" style="90" bestFit="1" customWidth="1"/>
    <col min="8967" max="8967" width="9.140625" style="90"/>
    <col min="8968" max="8968" width="10" style="90" bestFit="1" customWidth="1"/>
    <col min="8969" max="9216" width="9.140625" style="90"/>
    <col min="9217" max="9217" width="12.7109375" style="90" customWidth="1"/>
    <col min="9218" max="9218" width="44.42578125" style="90" customWidth="1"/>
    <col min="9219" max="9219" width="27.42578125" style="90" customWidth="1"/>
    <col min="9220" max="9221" width="9.140625" style="90"/>
    <col min="9222" max="9222" width="10.7109375" style="90" bestFit="1" customWidth="1"/>
    <col min="9223" max="9223" width="9.140625" style="90"/>
    <col min="9224" max="9224" width="10" style="90" bestFit="1" customWidth="1"/>
    <col min="9225" max="9472" width="9.140625" style="90"/>
    <col min="9473" max="9473" width="12.7109375" style="90" customWidth="1"/>
    <col min="9474" max="9474" width="44.42578125" style="90" customWidth="1"/>
    <col min="9475" max="9475" width="27.42578125" style="90" customWidth="1"/>
    <col min="9476" max="9477" width="9.140625" style="90"/>
    <col min="9478" max="9478" width="10.7109375" style="90" bestFit="1" customWidth="1"/>
    <col min="9479" max="9479" width="9.140625" style="90"/>
    <col min="9480" max="9480" width="10" style="90" bestFit="1" customWidth="1"/>
    <col min="9481" max="9728" width="9.140625" style="90"/>
    <col min="9729" max="9729" width="12.7109375" style="90" customWidth="1"/>
    <col min="9730" max="9730" width="44.42578125" style="90" customWidth="1"/>
    <col min="9731" max="9731" width="27.42578125" style="90" customWidth="1"/>
    <col min="9732" max="9733" width="9.140625" style="90"/>
    <col min="9734" max="9734" width="10.7109375" style="90" bestFit="1" customWidth="1"/>
    <col min="9735" max="9735" width="9.140625" style="90"/>
    <col min="9736" max="9736" width="10" style="90" bestFit="1" customWidth="1"/>
    <col min="9737" max="9984" width="9.140625" style="90"/>
    <col min="9985" max="9985" width="12.7109375" style="90" customWidth="1"/>
    <col min="9986" max="9986" width="44.42578125" style="90" customWidth="1"/>
    <col min="9987" max="9987" width="27.42578125" style="90" customWidth="1"/>
    <col min="9988" max="9989" width="9.140625" style="90"/>
    <col min="9990" max="9990" width="10.7109375" style="90" bestFit="1" customWidth="1"/>
    <col min="9991" max="9991" width="9.140625" style="90"/>
    <col min="9992" max="9992" width="10" style="90" bestFit="1" customWidth="1"/>
    <col min="9993" max="10240" width="9.140625" style="90"/>
    <col min="10241" max="10241" width="12.7109375" style="90" customWidth="1"/>
    <col min="10242" max="10242" width="44.42578125" style="90" customWidth="1"/>
    <col min="10243" max="10243" width="27.42578125" style="90" customWidth="1"/>
    <col min="10244" max="10245" width="9.140625" style="90"/>
    <col min="10246" max="10246" width="10.7109375" style="90" bestFit="1" customWidth="1"/>
    <col min="10247" max="10247" width="9.140625" style="90"/>
    <col min="10248" max="10248" width="10" style="90" bestFit="1" customWidth="1"/>
    <col min="10249" max="10496" width="9.140625" style="90"/>
    <col min="10497" max="10497" width="12.7109375" style="90" customWidth="1"/>
    <col min="10498" max="10498" width="44.42578125" style="90" customWidth="1"/>
    <col min="10499" max="10499" width="27.42578125" style="90" customWidth="1"/>
    <col min="10500" max="10501" width="9.140625" style="90"/>
    <col min="10502" max="10502" width="10.7109375" style="90" bestFit="1" customWidth="1"/>
    <col min="10503" max="10503" width="9.140625" style="90"/>
    <col min="10504" max="10504" width="10" style="90" bestFit="1" customWidth="1"/>
    <col min="10505" max="10752" width="9.140625" style="90"/>
    <col min="10753" max="10753" width="12.7109375" style="90" customWidth="1"/>
    <col min="10754" max="10754" width="44.42578125" style="90" customWidth="1"/>
    <col min="10755" max="10755" width="27.42578125" style="90" customWidth="1"/>
    <col min="10756" max="10757" width="9.140625" style="90"/>
    <col min="10758" max="10758" width="10.7109375" style="90" bestFit="1" customWidth="1"/>
    <col min="10759" max="10759" width="9.140625" style="90"/>
    <col min="10760" max="10760" width="10" style="90" bestFit="1" customWidth="1"/>
    <col min="10761" max="11008" width="9.140625" style="90"/>
    <col min="11009" max="11009" width="12.7109375" style="90" customWidth="1"/>
    <col min="11010" max="11010" width="44.42578125" style="90" customWidth="1"/>
    <col min="11011" max="11011" width="27.42578125" style="90" customWidth="1"/>
    <col min="11012" max="11013" width="9.140625" style="90"/>
    <col min="11014" max="11014" width="10.7109375" style="90" bestFit="1" customWidth="1"/>
    <col min="11015" max="11015" width="9.140625" style="90"/>
    <col min="11016" max="11016" width="10" style="90" bestFit="1" customWidth="1"/>
    <col min="11017" max="11264" width="9.140625" style="90"/>
    <col min="11265" max="11265" width="12.7109375" style="90" customWidth="1"/>
    <col min="11266" max="11266" width="44.42578125" style="90" customWidth="1"/>
    <col min="11267" max="11267" width="27.42578125" style="90" customWidth="1"/>
    <col min="11268" max="11269" width="9.140625" style="90"/>
    <col min="11270" max="11270" width="10.7109375" style="90" bestFit="1" customWidth="1"/>
    <col min="11271" max="11271" width="9.140625" style="90"/>
    <col min="11272" max="11272" width="10" style="90" bestFit="1" customWidth="1"/>
    <col min="11273" max="11520" width="9.140625" style="90"/>
    <col min="11521" max="11521" width="12.7109375" style="90" customWidth="1"/>
    <col min="11522" max="11522" width="44.42578125" style="90" customWidth="1"/>
    <col min="11523" max="11523" width="27.42578125" style="90" customWidth="1"/>
    <col min="11524" max="11525" width="9.140625" style="90"/>
    <col min="11526" max="11526" width="10.7109375" style="90" bestFit="1" customWidth="1"/>
    <col min="11527" max="11527" width="9.140625" style="90"/>
    <col min="11528" max="11528" width="10" style="90" bestFit="1" customWidth="1"/>
    <col min="11529" max="11776" width="9.140625" style="90"/>
    <col min="11777" max="11777" width="12.7109375" style="90" customWidth="1"/>
    <col min="11778" max="11778" width="44.42578125" style="90" customWidth="1"/>
    <col min="11779" max="11779" width="27.42578125" style="90" customWidth="1"/>
    <col min="11780" max="11781" width="9.140625" style="90"/>
    <col min="11782" max="11782" width="10.7109375" style="90" bestFit="1" customWidth="1"/>
    <col min="11783" max="11783" width="9.140625" style="90"/>
    <col min="11784" max="11784" width="10" style="90" bestFit="1" customWidth="1"/>
    <col min="11785" max="12032" width="9.140625" style="90"/>
    <col min="12033" max="12033" width="12.7109375" style="90" customWidth="1"/>
    <col min="12034" max="12034" width="44.42578125" style="90" customWidth="1"/>
    <col min="12035" max="12035" width="27.42578125" style="90" customWidth="1"/>
    <col min="12036" max="12037" width="9.140625" style="90"/>
    <col min="12038" max="12038" width="10.7109375" style="90" bestFit="1" customWidth="1"/>
    <col min="12039" max="12039" width="9.140625" style="90"/>
    <col min="12040" max="12040" width="10" style="90" bestFit="1" customWidth="1"/>
    <col min="12041" max="12288" width="9.140625" style="90"/>
    <col min="12289" max="12289" width="12.7109375" style="90" customWidth="1"/>
    <col min="12290" max="12290" width="44.42578125" style="90" customWidth="1"/>
    <col min="12291" max="12291" width="27.42578125" style="90" customWidth="1"/>
    <col min="12292" max="12293" width="9.140625" style="90"/>
    <col min="12294" max="12294" width="10.7109375" style="90" bestFit="1" customWidth="1"/>
    <col min="12295" max="12295" width="9.140625" style="90"/>
    <col min="12296" max="12296" width="10" style="90" bestFit="1" customWidth="1"/>
    <col min="12297" max="12544" width="9.140625" style="90"/>
    <col min="12545" max="12545" width="12.7109375" style="90" customWidth="1"/>
    <col min="12546" max="12546" width="44.42578125" style="90" customWidth="1"/>
    <col min="12547" max="12547" width="27.42578125" style="90" customWidth="1"/>
    <col min="12548" max="12549" width="9.140625" style="90"/>
    <col min="12550" max="12550" width="10.7109375" style="90" bestFit="1" customWidth="1"/>
    <col min="12551" max="12551" width="9.140625" style="90"/>
    <col min="12552" max="12552" width="10" style="90" bestFit="1" customWidth="1"/>
    <col min="12553" max="12800" width="9.140625" style="90"/>
    <col min="12801" max="12801" width="12.7109375" style="90" customWidth="1"/>
    <col min="12802" max="12802" width="44.42578125" style="90" customWidth="1"/>
    <col min="12803" max="12803" width="27.42578125" style="90" customWidth="1"/>
    <col min="12804" max="12805" width="9.140625" style="90"/>
    <col min="12806" max="12806" width="10.7109375" style="90" bestFit="1" customWidth="1"/>
    <col min="12807" max="12807" width="9.140625" style="90"/>
    <col min="12808" max="12808" width="10" style="90" bestFit="1" customWidth="1"/>
    <col min="12809" max="13056" width="9.140625" style="90"/>
    <col min="13057" max="13057" width="12.7109375" style="90" customWidth="1"/>
    <col min="13058" max="13058" width="44.42578125" style="90" customWidth="1"/>
    <col min="13059" max="13059" width="27.42578125" style="90" customWidth="1"/>
    <col min="13060" max="13061" width="9.140625" style="90"/>
    <col min="13062" max="13062" width="10.7109375" style="90" bestFit="1" customWidth="1"/>
    <col min="13063" max="13063" width="9.140625" style="90"/>
    <col min="13064" max="13064" width="10" style="90" bestFit="1" customWidth="1"/>
    <col min="13065" max="13312" width="9.140625" style="90"/>
    <col min="13313" max="13313" width="12.7109375" style="90" customWidth="1"/>
    <col min="13314" max="13314" width="44.42578125" style="90" customWidth="1"/>
    <col min="13315" max="13315" width="27.42578125" style="90" customWidth="1"/>
    <col min="13316" max="13317" width="9.140625" style="90"/>
    <col min="13318" max="13318" width="10.7109375" style="90" bestFit="1" customWidth="1"/>
    <col min="13319" max="13319" width="9.140625" style="90"/>
    <col min="13320" max="13320" width="10" style="90" bestFit="1" customWidth="1"/>
    <col min="13321" max="13568" width="9.140625" style="90"/>
    <col min="13569" max="13569" width="12.7109375" style="90" customWidth="1"/>
    <col min="13570" max="13570" width="44.42578125" style="90" customWidth="1"/>
    <col min="13571" max="13571" width="27.42578125" style="90" customWidth="1"/>
    <col min="13572" max="13573" width="9.140625" style="90"/>
    <col min="13574" max="13574" width="10.7109375" style="90" bestFit="1" customWidth="1"/>
    <col min="13575" max="13575" width="9.140625" style="90"/>
    <col min="13576" max="13576" width="10" style="90" bestFit="1" customWidth="1"/>
    <col min="13577" max="13824" width="9.140625" style="90"/>
    <col min="13825" max="13825" width="12.7109375" style="90" customWidth="1"/>
    <col min="13826" max="13826" width="44.42578125" style="90" customWidth="1"/>
    <col min="13827" max="13827" width="27.42578125" style="90" customWidth="1"/>
    <col min="13828" max="13829" width="9.140625" style="90"/>
    <col min="13830" max="13830" width="10.7109375" style="90" bestFit="1" customWidth="1"/>
    <col min="13831" max="13831" width="9.140625" style="90"/>
    <col min="13832" max="13832" width="10" style="90" bestFit="1" customWidth="1"/>
    <col min="13833" max="14080" width="9.140625" style="90"/>
    <col min="14081" max="14081" width="12.7109375" style="90" customWidth="1"/>
    <col min="14082" max="14082" width="44.42578125" style="90" customWidth="1"/>
    <col min="14083" max="14083" width="27.42578125" style="90" customWidth="1"/>
    <col min="14084" max="14085" width="9.140625" style="90"/>
    <col min="14086" max="14086" width="10.7109375" style="90" bestFit="1" customWidth="1"/>
    <col min="14087" max="14087" width="9.140625" style="90"/>
    <col min="14088" max="14088" width="10" style="90" bestFit="1" customWidth="1"/>
    <col min="14089" max="14336" width="9.140625" style="90"/>
    <col min="14337" max="14337" width="12.7109375" style="90" customWidth="1"/>
    <col min="14338" max="14338" width="44.42578125" style="90" customWidth="1"/>
    <col min="14339" max="14339" width="27.42578125" style="90" customWidth="1"/>
    <col min="14340" max="14341" width="9.140625" style="90"/>
    <col min="14342" max="14342" width="10.7109375" style="90" bestFit="1" customWidth="1"/>
    <col min="14343" max="14343" width="9.140625" style="90"/>
    <col min="14344" max="14344" width="10" style="90" bestFit="1" customWidth="1"/>
    <col min="14345" max="14592" width="9.140625" style="90"/>
    <col min="14593" max="14593" width="12.7109375" style="90" customWidth="1"/>
    <col min="14594" max="14594" width="44.42578125" style="90" customWidth="1"/>
    <col min="14595" max="14595" width="27.42578125" style="90" customWidth="1"/>
    <col min="14596" max="14597" width="9.140625" style="90"/>
    <col min="14598" max="14598" width="10.7109375" style="90" bestFit="1" customWidth="1"/>
    <col min="14599" max="14599" width="9.140625" style="90"/>
    <col min="14600" max="14600" width="10" style="90" bestFit="1" customWidth="1"/>
    <col min="14601" max="14848" width="9.140625" style="90"/>
    <col min="14849" max="14849" width="12.7109375" style="90" customWidth="1"/>
    <col min="14850" max="14850" width="44.42578125" style="90" customWidth="1"/>
    <col min="14851" max="14851" width="27.42578125" style="90" customWidth="1"/>
    <col min="14852" max="14853" width="9.140625" style="90"/>
    <col min="14854" max="14854" width="10.7109375" style="90" bestFit="1" customWidth="1"/>
    <col min="14855" max="14855" width="9.140625" style="90"/>
    <col min="14856" max="14856" width="10" style="90" bestFit="1" customWidth="1"/>
    <col min="14857" max="15104" width="9.140625" style="90"/>
    <col min="15105" max="15105" width="12.7109375" style="90" customWidth="1"/>
    <col min="15106" max="15106" width="44.42578125" style="90" customWidth="1"/>
    <col min="15107" max="15107" width="27.42578125" style="90" customWidth="1"/>
    <col min="15108" max="15109" width="9.140625" style="90"/>
    <col min="15110" max="15110" width="10.7109375" style="90" bestFit="1" customWidth="1"/>
    <col min="15111" max="15111" width="9.140625" style="90"/>
    <col min="15112" max="15112" width="10" style="90" bestFit="1" customWidth="1"/>
    <col min="15113" max="15360" width="9.140625" style="90"/>
    <col min="15361" max="15361" width="12.7109375" style="90" customWidth="1"/>
    <col min="15362" max="15362" width="44.42578125" style="90" customWidth="1"/>
    <col min="15363" max="15363" width="27.42578125" style="90" customWidth="1"/>
    <col min="15364" max="15365" width="9.140625" style="90"/>
    <col min="15366" max="15366" width="10.7109375" style="90" bestFit="1" customWidth="1"/>
    <col min="15367" max="15367" width="9.140625" style="90"/>
    <col min="15368" max="15368" width="10" style="90" bestFit="1" customWidth="1"/>
    <col min="15369" max="15616" width="9.140625" style="90"/>
    <col min="15617" max="15617" width="12.7109375" style="90" customWidth="1"/>
    <col min="15618" max="15618" width="44.42578125" style="90" customWidth="1"/>
    <col min="15619" max="15619" width="27.42578125" style="90" customWidth="1"/>
    <col min="15620" max="15621" width="9.140625" style="90"/>
    <col min="15622" max="15622" width="10.7109375" style="90" bestFit="1" customWidth="1"/>
    <col min="15623" max="15623" width="9.140625" style="90"/>
    <col min="15624" max="15624" width="10" style="90" bestFit="1" customWidth="1"/>
    <col min="15625" max="15872" width="9.140625" style="90"/>
    <col min="15873" max="15873" width="12.7109375" style="90" customWidth="1"/>
    <col min="15874" max="15874" width="44.42578125" style="90" customWidth="1"/>
    <col min="15875" max="15875" width="27.42578125" style="90" customWidth="1"/>
    <col min="15876" max="15877" width="9.140625" style="90"/>
    <col min="15878" max="15878" width="10.7109375" style="90" bestFit="1" customWidth="1"/>
    <col min="15879" max="15879" width="9.140625" style="90"/>
    <col min="15880" max="15880" width="10" style="90" bestFit="1" customWidth="1"/>
    <col min="15881" max="16128" width="9.140625" style="90"/>
    <col min="16129" max="16129" width="12.7109375" style="90" customWidth="1"/>
    <col min="16130" max="16130" width="44.42578125" style="90" customWidth="1"/>
    <col min="16131" max="16131" width="27.42578125" style="90" customWidth="1"/>
    <col min="16132" max="16133" width="9.140625" style="90"/>
    <col min="16134" max="16134" width="10.7109375" style="90" bestFit="1" customWidth="1"/>
    <col min="16135" max="16135" width="9.140625" style="90"/>
    <col min="16136" max="16136" width="10" style="90" bestFit="1" customWidth="1"/>
    <col min="16137" max="16384" width="9.140625" style="90"/>
  </cols>
  <sheetData>
    <row r="1" spans="1:6" ht="60" customHeight="1" x14ac:dyDescent="0.4">
      <c r="A1" s="946" t="s">
        <v>589</v>
      </c>
      <c r="B1" s="947"/>
      <c r="C1" s="948"/>
      <c r="D1" s="89"/>
      <c r="E1" s="89"/>
      <c r="F1" s="89"/>
    </row>
    <row r="2" spans="1:6" ht="15" customHeight="1" x14ac:dyDescent="0.4">
      <c r="A2" s="91"/>
      <c r="B2" s="91"/>
      <c r="C2" s="91"/>
      <c r="D2" s="89"/>
      <c r="E2" s="89"/>
      <c r="F2" s="89"/>
    </row>
    <row r="3" spans="1:6" ht="15" customHeight="1" x14ac:dyDescent="0.4">
      <c r="A3" s="92" t="s">
        <v>91</v>
      </c>
      <c r="B3" s="93" t="s">
        <v>590</v>
      </c>
      <c r="C3" s="94"/>
      <c r="D3" s="94"/>
      <c r="E3" s="94"/>
      <c r="F3" s="94"/>
    </row>
    <row r="4" spans="1:6" ht="20.25" x14ac:dyDescent="0.3">
      <c r="A4" s="95" t="s">
        <v>93</v>
      </c>
      <c r="B4" s="96" t="s">
        <v>94</v>
      </c>
      <c r="C4" s="95" t="s">
        <v>95</v>
      </c>
      <c r="D4" s="96"/>
      <c r="E4" s="96"/>
    </row>
    <row r="5" spans="1:6" ht="20.25" x14ac:dyDescent="0.3">
      <c r="A5" s="95"/>
      <c r="B5" s="96"/>
      <c r="C5" s="95"/>
      <c r="D5" s="96"/>
      <c r="E5" s="96"/>
    </row>
    <row r="6" spans="1:6" ht="20.25" x14ac:dyDescent="0.3">
      <c r="A6" s="95">
        <v>1</v>
      </c>
      <c r="B6" s="96" t="s">
        <v>68</v>
      </c>
      <c r="C6" s="97">
        <f>'Tower-2 Plinth'!L105</f>
        <v>8125458.1355932206</v>
      </c>
      <c r="D6" s="96"/>
      <c r="E6" s="96"/>
    </row>
    <row r="7" spans="1:6" ht="20.25" x14ac:dyDescent="0.3">
      <c r="A7" s="95">
        <v>2</v>
      </c>
      <c r="B7" s="96" t="s">
        <v>69</v>
      </c>
      <c r="C7" s="97">
        <f>'Tower-2 Ground'!L286</f>
        <v>5702031.2261189045</v>
      </c>
      <c r="D7" s="96"/>
      <c r="E7" s="96"/>
    </row>
    <row r="8" spans="1:6" ht="20.25" x14ac:dyDescent="0.3">
      <c r="A8" s="95">
        <v>3</v>
      </c>
      <c r="B8" s="96" t="s">
        <v>70</v>
      </c>
      <c r="C8" s="97">
        <f>'Tower-2 First &amp; Second'!L429</f>
        <v>7078572.9725677958</v>
      </c>
      <c r="D8" s="96"/>
      <c r="E8" s="96"/>
    </row>
    <row r="9" spans="1:6" ht="20.25" x14ac:dyDescent="0.3">
      <c r="A9" s="95">
        <v>4</v>
      </c>
      <c r="B9" s="98" t="s">
        <v>72</v>
      </c>
      <c r="C9" s="97">
        <f>C8</f>
        <v>7078572.9725677958</v>
      </c>
      <c r="D9" s="96"/>
      <c r="E9" s="96"/>
    </row>
    <row r="10" spans="1:6" ht="20.25" x14ac:dyDescent="0.3">
      <c r="A10" s="95">
        <v>5</v>
      </c>
      <c r="B10" s="96" t="s">
        <v>73</v>
      </c>
      <c r="C10" s="97">
        <f>'Tower-2 3RD'!L456</f>
        <v>7922519.5423728824</v>
      </c>
      <c r="D10" s="96"/>
      <c r="E10" s="96"/>
    </row>
    <row r="11" spans="1:6" ht="20.25" x14ac:dyDescent="0.3">
      <c r="A11" s="95">
        <v>6</v>
      </c>
      <c r="B11" s="96" t="s">
        <v>71</v>
      </c>
      <c r="C11" s="97">
        <f>'Tower-2 Terrace'!L289</f>
        <v>644136.01426261012</v>
      </c>
      <c r="D11" s="96"/>
      <c r="E11" s="96"/>
    </row>
    <row r="12" spans="1:6" ht="20.25" x14ac:dyDescent="0.3">
      <c r="A12" s="95">
        <v>7</v>
      </c>
      <c r="B12" s="96" t="s">
        <v>591</v>
      </c>
      <c r="C12" s="97">
        <f>1724000*100/118</f>
        <v>1461016.9491525423</v>
      </c>
      <c r="D12" s="96"/>
      <c r="E12" s="96"/>
    </row>
    <row r="13" spans="1:6" ht="20.25" x14ac:dyDescent="0.3">
      <c r="A13" s="370">
        <v>8</v>
      </c>
      <c r="B13" s="99" t="s">
        <v>96</v>
      </c>
      <c r="C13" s="100">
        <f>SUM(C6:C12)</f>
        <v>38012307.812635757</v>
      </c>
      <c r="D13" s="96"/>
      <c r="E13" s="96"/>
    </row>
    <row r="14" spans="1:6" ht="19.5" customHeight="1" x14ac:dyDescent="0.3">
      <c r="A14" s="95"/>
      <c r="B14" s="96"/>
      <c r="C14" s="101"/>
    </row>
    <row r="17" spans="3:6" x14ac:dyDescent="0.2">
      <c r="C17" s="371"/>
      <c r="F17" s="102"/>
    </row>
    <row r="20" spans="3:6" x14ac:dyDescent="0.2">
      <c r="C20" s="371"/>
    </row>
  </sheetData>
  <sheetProtection algorithmName="SHA-512" hashValue="9P33vNOaFG+R43MFw5WlegXp5B33n1/bPo6JgAjIase+HFmQRddmf/kmsm2y3vXJ4gw5UxWZE7j2GCn1svpstg==" saltValue="vmwDe3S4rl23R3jmN3d/Jg==" spinCount="100000" sheet="1" objects="1" scenarios="1" selectLockedCells="1" selectUnlockedCells="1"/>
  <mergeCells count="1">
    <mergeCell ref="A1:C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69893-DA86-467F-AB71-115CE2BD98B8}">
  <dimension ref="A2:R106"/>
  <sheetViews>
    <sheetView view="pageBreakPreview" zoomScaleNormal="100" zoomScaleSheetLayoutView="100" workbookViewId="0">
      <selection activeCell="F15" sqref="F15"/>
    </sheetView>
  </sheetViews>
  <sheetFormatPr defaultRowHeight="12.75" x14ac:dyDescent="0.25"/>
  <cols>
    <col min="1" max="1" width="5.140625" style="104" customWidth="1"/>
    <col min="2" max="2" width="7.85546875" style="105" customWidth="1"/>
    <col min="3" max="3" width="57.28515625" style="113" customWidth="1"/>
    <col min="4" max="4" width="4.7109375" style="114" customWidth="1"/>
    <col min="5" max="5" width="8.85546875" style="107" customWidth="1"/>
    <col min="6" max="6" width="8" style="107" customWidth="1"/>
    <col min="7" max="7" width="8.5703125" style="107" customWidth="1"/>
    <col min="8" max="8" width="8.85546875" style="108" customWidth="1"/>
    <col min="9" max="9" width="5.140625" style="109" customWidth="1"/>
    <col min="10" max="11" width="9.140625" style="108"/>
    <col min="12" max="12" width="12.140625" style="110" customWidth="1"/>
    <col min="13" max="256" width="9.140625" style="111"/>
    <col min="257" max="257" width="5.140625" style="111" customWidth="1"/>
    <col min="258" max="258" width="7.85546875" style="111" customWidth="1"/>
    <col min="259" max="259" width="57.28515625" style="111" customWidth="1"/>
    <col min="260" max="260" width="4.7109375" style="111" customWidth="1"/>
    <col min="261" max="261" width="8.85546875" style="111" customWidth="1"/>
    <col min="262" max="262" width="8" style="111" customWidth="1"/>
    <col min="263" max="263" width="8.5703125" style="111" customWidth="1"/>
    <col min="264" max="264" width="8.85546875" style="111" customWidth="1"/>
    <col min="265" max="265" width="5.140625" style="111" customWidth="1"/>
    <col min="266" max="267" width="9.140625" style="111"/>
    <col min="268" max="268" width="12.140625" style="111" customWidth="1"/>
    <col min="269" max="512" width="9.140625" style="111"/>
    <col min="513" max="513" width="5.140625" style="111" customWidth="1"/>
    <col min="514" max="514" width="7.85546875" style="111" customWidth="1"/>
    <col min="515" max="515" width="57.28515625" style="111" customWidth="1"/>
    <col min="516" max="516" width="4.7109375" style="111" customWidth="1"/>
    <col min="517" max="517" width="8.85546875" style="111" customWidth="1"/>
    <col min="518" max="518" width="8" style="111" customWidth="1"/>
    <col min="519" max="519" width="8.5703125" style="111" customWidth="1"/>
    <col min="520" max="520" width="8.85546875" style="111" customWidth="1"/>
    <col min="521" max="521" width="5.140625" style="111" customWidth="1"/>
    <col min="522" max="523" width="9.140625" style="111"/>
    <col min="524" max="524" width="12.140625" style="111" customWidth="1"/>
    <col min="525" max="768" width="9.140625" style="111"/>
    <col min="769" max="769" width="5.140625" style="111" customWidth="1"/>
    <col min="770" max="770" width="7.85546875" style="111" customWidth="1"/>
    <col min="771" max="771" width="57.28515625" style="111" customWidth="1"/>
    <col min="772" max="772" width="4.7109375" style="111" customWidth="1"/>
    <col min="773" max="773" width="8.85546875" style="111" customWidth="1"/>
    <col min="774" max="774" width="8" style="111" customWidth="1"/>
    <col min="775" max="775" width="8.5703125" style="111" customWidth="1"/>
    <col min="776" max="776" width="8.85546875" style="111" customWidth="1"/>
    <col min="777" max="777" width="5.140625" style="111" customWidth="1"/>
    <col min="778" max="779" width="9.140625" style="111"/>
    <col min="780" max="780" width="12.140625" style="111" customWidth="1"/>
    <col min="781" max="1024" width="9.140625" style="111"/>
    <col min="1025" max="1025" width="5.140625" style="111" customWidth="1"/>
    <col min="1026" max="1026" width="7.85546875" style="111" customWidth="1"/>
    <col min="1027" max="1027" width="57.28515625" style="111" customWidth="1"/>
    <col min="1028" max="1028" width="4.7109375" style="111" customWidth="1"/>
    <col min="1029" max="1029" width="8.85546875" style="111" customWidth="1"/>
    <col min="1030" max="1030" width="8" style="111" customWidth="1"/>
    <col min="1031" max="1031" width="8.5703125" style="111" customWidth="1"/>
    <col min="1032" max="1032" width="8.85546875" style="111" customWidth="1"/>
    <col min="1033" max="1033" width="5.140625" style="111" customWidth="1"/>
    <col min="1034" max="1035" width="9.140625" style="111"/>
    <col min="1036" max="1036" width="12.140625" style="111" customWidth="1"/>
    <col min="1037" max="1280" width="9.140625" style="111"/>
    <col min="1281" max="1281" width="5.140625" style="111" customWidth="1"/>
    <col min="1282" max="1282" width="7.85546875" style="111" customWidth="1"/>
    <col min="1283" max="1283" width="57.28515625" style="111" customWidth="1"/>
    <col min="1284" max="1284" width="4.7109375" style="111" customWidth="1"/>
    <col min="1285" max="1285" width="8.85546875" style="111" customWidth="1"/>
    <col min="1286" max="1286" width="8" style="111" customWidth="1"/>
    <col min="1287" max="1287" width="8.5703125" style="111" customWidth="1"/>
    <col min="1288" max="1288" width="8.85546875" style="111" customWidth="1"/>
    <col min="1289" max="1289" width="5.140625" style="111" customWidth="1"/>
    <col min="1290" max="1291" width="9.140625" style="111"/>
    <col min="1292" max="1292" width="12.140625" style="111" customWidth="1"/>
    <col min="1293" max="1536" width="9.140625" style="111"/>
    <col min="1537" max="1537" width="5.140625" style="111" customWidth="1"/>
    <col min="1538" max="1538" width="7.85546875" style="111" customWidth="1"/>
    <col min="1539" max="1539" width="57.28515625" style="111" customWidth="1"/>
    <col min="1540" max="1540" width="4.7109375" style="111" customWidth="1"/>
    <col min="1541" max="1541" width="8.85546875" style="111" customWidth="1"/>
    <col min="1542" max="1542" width="8" style="111" customWidth="1"/>
    <col min="1543" max="1543" width="8.5703125" style="111" customWidth="1"/>
    <col min="1544" max="1544" width="8.85546875" style="111" customWidth="1"/>
    <col min="1545" max="1545" width="5.140625" style="111" customWidth="1"/>
    <col min="1546" max="1547" width="9.140625" style="111"/>
    <col min="1548" max="1548" width="12.140625" style="111" customWidth="1"/>
    <col min="1549" max="1792" width="9.140625" style="111"/>
    <col min="1793" max="1793" width="5.140625" style="111" customWidth="1"/>
    <col min="1794" max="1794" width="7.85546875" style="111" customWidth="1"/>
    <col min="1795" max="1795" width="57.28515625" style="111" customWidth="1"/>
    <col min="1796" max="1796" width="4.7109375" style="111" customWidth="1"/>
    <col min="1797" max="1797" width="8.85546875" style="111" customWidth="1"/>
    <col min="1798" max="1798" width="8" style="111" customWidth="1"/>
    <col min="1799" max="1799" width="8.5703125" style="111" customWidth="1"/>
    <col min="1800" max="1800" width="8.85546875" style="111" customWidth="1"/>
    <col min="1801" max="1801" width="5.140625" style="111" customWidth="1"/>
    <col min="1802" max="1803" width="9.140625" style="111"/>
    <col min="1804" max="1804" width="12.140625" style="111" customWidth="1"/>
    <col min="1805" max="2048" width="9.140625" style="111"/>
    <col min="2049" max="2049" width="5.140625" style="111" customWidth="1"/>
    <col min="2050" max="2050" width="7.85546875" style="111" customWidth="1"/>
    <col min="2051" max="2051" width="57.28515625" style="111" customWidth="1"/>
    <col min="2052" max="2052" width="4.7109375" style="111" customWidth="1"/>
    <col min="2053" max="2053" width="8.85546875" style="111" customWidth="1"/>
    <col min="2054" max="2054" width="8" style="111" customWidth="1"/>
    <col min="2055" max="2055" width="8.5703125" style="111" customWidth="1"/>
    <col min="2056" max="2056" width="8.85546875" style="111" customWidth="1"/>
    <col min="2057" max="2057" width="5.140625" style="111" customWidth="1"/>
    <col min="2058" max="2059" width="9.140625" style="111"/>
    <col min="2060" max="2060" width="12.140625" style="111" customWidth="1"/>
    <col min="2061" max="2304" width="9.140625" style="111"/>
    <col min="2305" max="2305" width="5.140625" style="111" customWidth="1"/>
    <col min="2306" max="2306" width="7.85546875" style="111" customWidth="1"/>
    <col min="2307" max="2307" width="57.28515625" style="111" customWidth="1"/>
    <col min="2308" max="2308" width="4.7109375" style="111" customWidth="1"/>
    <col min="2309" max="2309" width="8.85546875" style="111" customWidth="1"/>
    <col min="2310" max="2310" width="8" style="111" customWidth="1"/>
    <col min="2311" max="2311" width="8.5703125" style="111" customWidth="1"/>
    <col min="2312" max="2312" width="8.85546875" style="111" customWidth="1"/>
    <col min="2313" max="2313" width="5.140625" style="111" customWidth="1"/>
    <col min="2314" max="2315" width="9.140625" style="111"/>
    <col min="2316" max="2316" width="12.140625" style="111" customWidth="1"/>
    <col min="2317" max="2560" width="9.140625" style="111"/>
    <col min="2561" max="2561" width="5.140625" style="111" customWidth="1"/>
    <col min="2562" max="2562" width="7.85546875" style="111" customWidth="1"/>
    <col min="2563" max="2563" width="57.28515625" style="111" customWidth="1"/>
    <col min="2564" max="2564" width="4.7109375" style="111" customWidth="1"/>
    <col min="2565" max="2565" width="8.85546875" style="111" customWidth="1"/>
    <col min="2566" max="2566" width="8" style="111" customWidth="1"/>
    <col min="2567" max="2567" width="8.5703125" style="111" customWidth="1"/>
    <col min="2568" max="2568" width="8.85546875" style="111" customWidth="1"/>
    <col min="2569" max="2569" width="5.140625" style="111" customWidth="1"/>
    <col min="2570" max="2571" width="9.140625" style="111"/>
    <col min="2572" max="2572" width="12.140625" style="111" customWidth="1"/>
    <col min="2573" max="2816" width="9.140625" style="111"/>
    <col min="2817" max="2817" width="5.140625" style="111" customWidth="1"/>
    <col min="2818" max="2818" width="7.85546875" style="111" customWidth="1"/>
    <col min="2819" max="2819" width="57.28515625" style="111" customWidth="1"/>
    <col min="2820" max="2820" width="4.7109375" style="111" customWidth="1"/>
    <col min="2821" max="2821" width="8.85546875" style="111" customWidth="1"/>
    <col min="2822" max="2822" width="8" style="111" customWidth="1"/>
    <col min="2823" max="2823" width="8.5703125" style="111" customWidth="1"/>
    <col min="2824" max="2824" width="8.85546875" style="111" customWidth="1"/>
    <col min="2825" max="2825" width="5.140625" style="111" customWidth="1"/>
    <col min="2826" max="2827" width="9.140625" style="111"/>
    <col min="2828" max="2828" width="12.140625" style="111" customWidth="1"/>
    <col min="2829" max="3072" width="9.140625" style="111"/>
    <col min="3073" max="3073" width="5.140625" style="111" customWidth="1"/>
    <col min="3074" max="3074" width="7.85546875" style="111" customWidth="1"/>
    <col min="3075" max="3075" width="57.28515625" style="111" customWidth="1"/>
    <col min="3076" max="3076" width="4.7109375" style="111" customWidth="1"/>
    <col min="3077" max="3077" width="8.85546875" style="111" customWidth="1"/>
    <col min="3078" max="3078" width="8" style="111" customWidth="1"/>
    <col min="3079" max="3079" width="8.5703125" style="111" customWidth="1"/>
    <col min="3080" max="3080" width="8.85546875" style="111" customWidth="1"/>
    <col min="3081" max="3081" width="5.140625" style="111" customWidth="1"/>
    <col min="3082" max="3083" width="9.140625" style="111"/>
    <col min="3084" max="3084" width="12.140625" style="111" customWidth="1"/>
    <col min="3085" max="3328" width="9.140625" style="111"/>
    <col min="3329" max="3329" width="5.140625" style="111" customWidth="1"/>
    <col min="3330" max="3330" width="7.85546875" style="111" customWidth="1"/>
    <col min="3331" max="3331" width="57.28515625" style="111" customWidth="1"/>
    <col min="3332" max="3332" width="4.7109375" style="111" customWidth="1"/>
    <col min="3333" max="3333" width="8.85546875" style="111" customWidth="1"/>
    <col min="3334" max="3334" width="8" style="111" customWidth="1"/>
    <col min="3335" max="3335" width="8.5703125" style="111" customWidth="1"/>
    <col min="3336" max="3336" width="8.85546875" style="111" customWidth="1"/>
    <col min="3337" max="3337" width="5.140625" style="111" customWidth="1"/>
    <col min="3338" max="3339" width="9.140625" style="111"/>
    <col min="3340" max="3340" width="12.140625" style="111" customWidth="1"/>
    <col min="3341" max="3584" width="9.140625" style="111"/>
    <col min="3585" max="3585" width="5.140625" style="111" customWidth="1"/>
    <col min="3586" max="3586" width="7.85546875" style="111" customWidth="1"/>
    <col min="3587" max="3587" width="57.28515625" style="111" customWidth="1"/>
    <col min="3588" max="3588" width="4.7109375" style="111" customWidth="1"/>
    <col min="3589" max="3589" width="8.85546875" style="111" customWidth="1"/>
    <col min="3590" max="3590" width="8" style="111" customWidth="1"/>
    <col min="3591" max="3591" width="8.5703125" style="111" customWidth="1"/>
    <col min="3592" max="3592" width="8.85546875" style="111" customWidth="1"/>
    <col min="3593" max="3593" width="5.140625" style="111" customWidth="1"/>
    <col min="3594" max="3595" width="9.140625" style="111"/>
    <col min="3596" max="3596" width="12.140625" style="111" customWidth="1"/>
    <col min="3597" max="3840" width="9.140625" style="111"/>
    <col min="3841" max="3841" width="5.140625" style="111" customWidth="1"/>
    <col min="3842" max="3842" width="7.85546875" style="111" customWidth="1"/>
    <col min="3843" max="3843" width="57.28515625" style="111" customWidth="1"/>
    <col min="3844" max="3844" width="4.7109375" style="111" customWidth="1"/>
    <col min="3845" max="3845" width="8.85546875" style="111" customWidth="1"/>
    <col min="3846" max="3846" width="8" style="111" customWidth="1"/>
    <col min="3847" max="3847" width="8.5703125" style="111" customWidth="1"/>
    <col min="3848" max="3848" width="8.85546875" style="111" customWidth="1"/>
    <col min="3849" max="3849" width="5.140625" style="111" customWidth="1"/>
    <col min="3850" max="3851" width="9.140625" style="111"/>
    <col min="3852" max="3852" width="12.140625" style="111" customWidth="1"/>
    <col min="3853" max="4096" width="9.140625" style="111"/>
    <col min="4097" max="4097" width="5.140625" style="111" customWidth="1"/>
    <col min="4098" max="4098" width="7.85546875" style="111" customWidth="1"/>
    <col min="4099" max="4099" width="57.28515625" style="111" customWidth="1"/>
    <col min="4100" max="4100" width="4.7109375" style="111" customWidth="1"/>
    <col min="4101" max="4101" width="8.85546875" style="111" customWidth="1"/>
    <col min="4102" max="4102" width="8" style="111" customWidth="1"/>
    <col min="4103" max="4103" width="8.5703125" style="111" customWidth="1"/>
    <col min="4104" max="4104" width="8.85546875" style="111" customWidth="1"/>
    <col min="4105" max="4105" width="5.140625" style="111" customWidth="1"/>
    <col min="4106" max="4107" width="9.140625" style="111"/>
    <col min="4108" max="4108" width="12.140625" style="111" customWidth="1"/>
    <col min="4109" max="4352" width="9.140625" style="111"/>
    <col min="4353" max="4353" width="5.140625" style="111" customWidth="1"/>
    <col min="4354" max="4354" width="7.85546875" style="111" customWidth="1"/>
    <col min="4355" max="4355" width="57.28515625" style="111" customWidth="1"/>
    <col min="4356" max="4356" width="4.7109375" style="111" customWidth="1"/>
    <col min="4357" max="4357" width="8.85546875" style="111" customWidth="1"/>
    <col min="4358" max="4358" width="8" style="111" customWidth="1"/>
    <col min="4359" max="4359" width="8.5703125" style="111" customWidth="1"/>
    <col min="4360" max="4360" width="8.85546875" style="111" customWidth="1"/>
    <col min="4361" max="4361" width="5.140625" style="111" customWidth="1"/>
    <col min="4362" max="4363" width="9.140625" style="111"/>
    <col min="4364" max="4364" width="12.140625" style="111" customWidth="1"/>
    <col min="4365" max="4608" width="9.140625" style="111"/>
    <col min="4609" max="4609" width="5.140625" style="111" customWidth="1"/>
    <col min="4610" max="4610" width="7.85546875" style="111" customWidth="1"/>
    <col min="4611" max="4611" width="57.28515625" style="111" customWidth="1"/>
    <col min="4612" max="4612" width="4.7109375" style="111" customWidth="1"/>
    <col min="4613" max="4613" width="8.85546875" style="111" customWidth="1"/>
    <col min="4614" max="4614" width="8" style="111" customWidth="1"/>
    <col min="4615" max="4615" width="8.5703125" style="111" customWidth="1"/>
    <col min="4616" max="4616" width="8.85546875" style="111" customWidth="1"/>
    <col min="4617" max="4617" width="5.140625" style="111" customWidth="1"/>
    <col min="4618" max="4619" width="9.140625" style="111"/>
    <col min="4620" max="4620" width="12.140625" style="111" customWidth="1"/>
    <col min="4621" max="4864" width="9.140625" style="111"/>
    <col min="4865" max="4865" width="5.140625" style="111" customWidth="1"/>
    <col min="4866" max="4866" width="7.85546875" style="111" customWidth="1"/>
    <col min="4867" max="4867" width="57.28515625" style="111" customWidth="1"/>
    <col min="4868" max="4868" width="4.7109375" style="111" customWidth="1"/>
    <col min="4869" max="4869" width="8.85546875" style="111" customWidth="1"/>
    <col min="4870" max="4870" width="8" style="111" customWidth="1"/>
    <col min="4871" max="4871" width="8.5703125" style="111" customWidth="1"/>
    <col min="4872" max="4872" width="8.85546875" style="111" customWidth="1"/>
    <col min="4873" max="4873" width="5.140625" style="111" customWidth="1"/>
    <col min="4874" max="4875" width="9.140625" style="111"/>
    <col min="4876" max="4876" width="12.140625" style="111" customWidth="1"/>
    <col min="4877" max="5120" width="9.140625" style="111"/>
    <col min="5121" max="5121" width="5.140625" style="111" customWidth="1"/>
    <col min="5122" max="5122" width="7.85546875" style="111" customWidth="1"/>
    <col min="5123" max="5123" width="57.28515625" style="111" customWidth="1"/>
    <col min="5124" max="5124" width="4.7109375" style="111" customWidth="1"/>
    <col min="5125" max="5125" width="8.85546875" style="111" customWidth="1"/>
    <col min="5126" max="5126" width="8" style="111" customWidth="1"/>
    <col min="5127" max="5127" width="8.5703125" style="111" customWidth="1"/>
    <col min="5128" max="5128" width="8.85546875" style="111" customWidth="1"/>
    <col min="5129" max="5129" width="5.140625" style="111" customWidth="1"/>
    <col min="5130" max="5131" width="9.140625" style="111"/>
    <col min="5132" max="5132" width="12.140625" style="111" customWidth="1"/>
    <col min="5133" max="5376" width="9.140625" style="111"/>
    <col min="5377" max="5377" width="5.140625" style="111" customWidth="1"/>
    <col min="5378" max="5378" width="7.85546875" style="111" customWidth="1"/>
    <col min="5379" max="5379" width="57.28515625" style="111" customWidth="1"/>
    <col min="5380" max="5380" width="4.7109375" style="111" customWidth="1"/>
    <col min="5381" max="5381" width="8.85546875" style="111" customWidth="1"/>
    <col min="5382" max="5382" width="8" style="111" customWidth="1"/>
    <col min="5383" max="5383" width="8.5703125" style="111" customWidth="1"/>
    <col min="5384" max="5384" width="8.85546875" style="111" customWidth="1"/>
    <col min="5385" max="5385" width="5.140625" style="111" customWidth="1"/>
    <col min="5386" max="5387" width="9.140625" style="111"/>
    <col min="5388" max="5388" width="12.140625" style="111" customWidth="1"/>
    <col min="5389" max="5632" width="9.140625" style="111"/>
    <col min="5633" max="5633" width="5.140625" style="111" customWidth="1"/>
    <col min="5634" max="5634" width="7.85546875" style="111" customWidth="1"/>
    <col min="5635" max="5635" width="57.28515625" style="111" customWidth="1"/>
    <col min="5636" max="5636" width="4.7109375" style="111" customWidth="1"/>
    <col min="5637" max="5637" width="8.85546875" style="111" customWidth="1"/>
    <col min="5638" max="5638" width="8" style="111" customWidth="1"/>
    <col min="5639" max="5639" width="8.5703125" style="111" customWidth="1"/>
    <col min="5640" max="5640" width="8.85546875" style="111" customWidth="1"/>
    <col min="5641" max="5641" width="5.140625" style="111" customWidth="1"/>
    <col min="5642" max="5643" width="9.140625" style="111"/>
    <col min="5644" max="5644" width="12.140625" style="111" customWidth="1"/>
    <col min="5645" max="5888" width="9.140625" style="111"/>
    <col min="5889" max="5889" width="5.140625" style="111" customWidth="1"/>
    <col min="5890" max="5890" width="7.85546875" style="111" customWidth="1"/>
    <col min="5891" max="5891" width="57.28515625" style="111" customWidth="1"/>
    <col min="5892" max="5892" width="4.7109375" style="111" customWidth="1"/>
    <col min="5893" max="5893" width="8.85546875" style="111" customWidth="1"/>
    <col min="5894" max="5894" width="8" style="111" customWidth="1"/>
    <col min="5895" max="5895" width="8.5703125" style="111" customWidth="1"/>
    <col min="5896" max="5896" width="8.85546875" style="111" customWidth="1"/>
    <col min="5897" max="5897" width="5.140625" style="111" customWidth="1"/>
    <col min="5898" max="5899" width="9.140625" style="111"/>
    <col min="5900" max="5900" width="12.140625" style="111" customWidth="1"/>
    <col min="5901" max="6144" width="9.140625" style="111"/>
    <col min="6145" max="6145" width="5.140625" style="111" customWidth="1"/>
    <col min="6146" max="6146" width="7.85546875" style="111" customWidth="1"/>
    <col min="6147" max="6147" width="57.28515625" style="111" customWidth="1"/>
    <col min="6148" max="6148" width="4.7109375" style="111" customWidth="1"/>
    <col min="6149" max="6149" width="8.85546875" style="111" customWidth="1"/>
    <col min="6150" max="6150" width="8" style="111" customWidth="1"/>
    <col min="6151" max="6151" width="8.5703125" style="111" customWidth="1"/>
    <col min="6152" max="6152" width="8.85546875" style="111" customWidth="1"/>
    <col min="6153" max="6153" width="5.140625" style="111" customWidth="1"/>
    <col min="6154" max="6155" width="9.140625" style="111"/>
    <col min="6156" max="6156" width="12.140625" style="111" customWidth="1"/>
    <col min="6157" max="6400" width="9.140625" style="111"/>
    <col min="6401" max="6401" width="5.140625" style="111" customWidth="1"/>
    <col min="6402" max="6402" width="7.85546875" style="111" customWidth="1"/>
    <col min="6403" max="6403" width="57.28515625" style="111" customWidth="1"/>
    <col min="6404" max="6404" width="4.7109375" style="111" customWidth="1"/>
    <col min="6405" max="6405" width="8.85546875" style="111" customWidth="1"/>
    <col min="6406" max="6406" width="8" style="111" customWidth="1"/>
    <col min="6407" max="6407" width="8.5703125" style="111" customWidth="1"/>
    <col min="6408" max="6408" width="8.85546875" style="111" customWidth="1"/>
    <col min="6409" max="6409" width="5.140625" style="111" customWidth="1"/>
    <col min="6410" max="6411" width="9.140625" style="111"/>
    <col min="6412" max="6412" width="12.140625" style="111" customWidth="1"/>
    <col min="6413" max="6656" width="9.140625" style="111"/>
    <col min="6657" max="6657" width="5.140625" style="111" customWidth="1"/>
    <col min="6658" max="6658" width="7.85546875" style="111" customWidth="1"/>
    <col min="6659" max="6659" width="57.28515625" style="111" customWidth="1"/>
    <col min="6660" max="6660" width="4.7109375" style="111" customWidth="1"/>
    <col min="6661" max="6661" width="8.85546875" style="111" customWidth="1"/>
    <col min="6662" max="6662" width="8" style="111" customWidth="1"/>
    <col min="6663" max="6663" width="8.5703125" style="111" customWidth="1"/>
    <col min="6664" max="6664" width="8.85546875" style="111" customWidth="1"/>
    <col min="6665" max="6665" width="5.140625" style="111" customWidth="1"/>
    <col min="6666" max="6667" width="9.140625" style="111"/>
    <col min="6668" max="6668" width="12.140625" style="111" customWidth="1"/>
    <col min="6669" max="6912" width="9.140625" style="111"/>
    <col min="6913" max="6913" width="5.140625" style="111" customWidth="1"/>
    <col min="6914" max="6914" width="7.85546875" style="111" customWidth="1"/>
    <col min="6915" max="6915" width="57.28515625" style="111" customWidth="1"/>
    <col min="6916" max="6916" width="4.7109375" style="111" customWidth="1"/>
    <col min="6917" max="6917" width="8.85546875" style="111" customWidth="1"/>
    <col min="6918" max="6918" width="8" style="111" customWidth="1"/>
    <col min="6919" max="6919" width="8.5703125" style="111" customWidth="1"/>
    <col min="6920" max="6920" width="8.85546875" style="111" customWidth="1"/>
    <col min="6921" max="6921" width="5.140625" style="111" customWidth="1"/>
    <col min="6922" max="6923" width="9.140625" style="111"/>
    <col min="6924" max="6924" width="12.140625" style="111" customWidth="1"/>
    <col min="6925" max="7168" width="9.140625" style="111"/>
    <col min="7169" max="7169" width="5.140625" style="111" customWidth="1"/>
    <col min="7170" max="7170" width="7.85546875" style="111" customWidth="1"/>
    <col min="7171" max="7171" width="57.28515625" style="111" customWidth="1"/>
    <col min="7172" max="7172" width="4.7109375" style="111" customWidth="1"/>
    <col min="7173" max="7173" width="8.85546875" style="111" customWidth="1"/>
    <col min="7174" max="7174" width="8" style="111" customWidth="1"/>
    <col min="7175" max="7175" width="8.5703125" style="111" customWidth="1"/>
    <col min="7176" max="7176" width="8.85546875" style="111" customWidth="1"/>
    <col min="7177" max="7177" width="5.140625" style="111" customWidth="1"/>
    <col min="7178" max="7179" width="9.140625" style="111"/>
    <col min="7180" max="7180" width="12.140625" style="111" customWidth="1"/>
    <col min="7181" max="7424" width="9.140625" style="111"/>
    <col min="7425" max="7425" width="5.140625" style="111" customWidth="1"/>
    <col min="7426" max="7426" width="7.85546875" style="111" customWidth="1"/>
    <col min="7427" max="7427" width="57.28515625" style="111" customWidth="1"/>
    <col min="7428" max="7428" width="4.7109375" style="111" customWidth="1"/>
    <col min="7429" max="7429" width="8.85546875" style="111" customWidth="1"/>
    <col min="7430" max="7430" width="8" style="111" customWidth="1"/>
    <col min="7431" max="7431" width="8.5703125" style="111" customWidth="1"/>
    <col min="7432" max="7432" width="8.85546875" style="111" customWidth="1"/>
    <col min="7433" max="7433" width="5.140625" style="111" customWidth="1"/>
    <col min="7434" max="7435" width="9.140625" style="111"/>
    <col min="7436" max="7436" width="12.140625" style="111" customWidth="1"/>
    <col min="7437" max="7680" width="9.140625" style="111"/>
    <col min="7681" max="7681" width="5.140625" style="111" customWidth="1"/>
    <col min="7682" max="7682" width="7.85546875" style="111" customWidth="1"/>
    <col min="7683" max="7683" width="57.28515625" style="111" customWidth="1"/>
    <col min="7684" max="7684" width="4.7109375" style="111" customWidth="1"/>
    <col min="7685" max="7685" width="8.85546875" style="111" customWidth="1"/>
    <col min="7686" max="7686" width="8" style="111" customWidth="1"/>
    <col min="7687" max="7687" width="8.5703125" style="111" customWidth="1"/>
    <col min="7688" max="7688" width="8.85546875" style="111" customWidth="1"/>
    <col min="7689" max="7689" width="5.140625" style="111" customWidth="1"/>
    <col min="7690" max="7691" width="9.140625" style="111"/>
    <col min="7692" max="7692" width="12.140625" style="111" customWidth="1"/>
    <col min="7693" max="7936" width="9.140625" style="111"/>
    <col min="7937" max="7937" width="5.140625" style="111" customWidth="1"/>
    <col min="7938" max="7938" width="7.85546875" style="111" customWidth="1"/>
    <col min="7939" max="7939" width="57.28515625" style="111" customWidth="1"/>
    <col min="7940" max="7940" width="4.7109375" style="111" customWidth="1"/>
    <col min="7941" max="7941" width="8.85546875" style="111" customWidth="1"/>
    <col min="7942" max="7942" width="8" style="111" customWidth="1"/>
    <col min="7943" max="7943" width="8.5703125" style="111" customWidth="1"/>
    <col min="7944" max="7944" width="8.85546875" style="111" customWidth="1"/>
    <col min="7945" max="7945" width="5.140625" style="111" customWidth="1"/>
    <col min="7946" max="7947" width="9.140625" style="111"/>
    <col min="7948" max="7948" width="12.140625" style="111" customWidth="1"/>
    <col min="7949" max="8192" width="9.140625" style="111"/>
    <col min="8193" max="8193" width="5.140625" style="111" customWidth="1"/>
    <col min="8194" max="8194" width="7.85546875" style="111" customWidth="1"/>
    <col min="8195" max="8195" width="57.28515625" style="111" customWidth="1"/>
    <col min="8196" max="8196" width="4.7109375" style="111" customWidth="1"/>
    <col min="8197" max="8197" width="8.85546875" style="111" customWidth="1"/>
    <col min="8198" max="8198" width="8" style="111" customWidth="1"/>
    <col min="8199" max="8199" width="8.5703125" style="111" customWidth="1"/>
    <col min="8200" max="8200" width="8.85546875" style="111" customWidth="1"/>
    <col min="8201" max="8201" width="5.140625" style="111" customWidth="1"/>
    <col min="8202" max="8203" width="9.140625" style="111"/>
    <col min="8204" max="8204" width="12.140625" style="111" customWidth="1"/>
    <col min="8205" max="8448" width="9.140625" style="111"/>
    <col min="8449" max="8449" width="5.140625" style="111" customWidth="1"/>
    <col min="8450" max="8450" width="7.85546875" style="111" customWidth="1"/>
    <col min="8451" max="8451" width="57.28515625" style="111" customWidth="1"/>
    <col min="8452" max="8452" width="4.7109375" style="111" customWidth="1"/>
    <col min="8453" max="8453" width="8.85546875" style="111" customWidth="1"/>
    <col min="8454" max="8454" width="8" style="111" customWidth="1"/>
    <col min="8455" max="8455" width="8.5703125" style="111" customWidth="1"/>
    <col min="8456" max="8456" width="8.85546875" style="111" customWidth="1"/>
    <col min="8457" max="8457" width="5.140625" style="111" customWidth="1"/>
    <col min="8458" max="8459" width="9.140625" style="111"/>
    <col min="8460" max="8460" width="12.140625" style="111" customWidth="1"/>
    <col min="8461" max="8704" width="9.140625" style="111"/>
    <col min="8705" max="8705" width="5.140625" style="111" customWidth="1"/>
    <col min="8706" max="8706" width="7.85546875" style="111" customWidth="1"/>
    <col min="8707" max="8707" width="57.28515625" style="111" customWidth="1"/>
    <col min="8708" max="8708" width="4.7109375" style="111" customWidth="1"/>
    <col min="8709" max="8709" width="8.85546875" style="111" customWidth="1"/>
    <col min="8710" max="8710" width="8" style="111" customWidth="1"/>
    <col min="8711" max="8711" width="8.5703125" style="111" customWidth="1"/>
    <col min="8712" max="8712" width="8.85546875" style="111" customWidth="1"/>
    <col min="8713" max="8713" width="5.140625" style="111" customWidth="1"/>
    <col min="8714" max="8715" width="9.140625" style="111"/>
    <col min="8716" max="8716" width="12.140625" style="111" customWidth="1"/>
    <col min="8717" max="8960" width="9.140625" style="111"/>
    <col min="8961" max="8961" width="5.140625" style="111" customWidth="1"/>
    <col min="8962" max="8962" width="7.85546875" style="111" customWidth="1"/>
    <col min="8963" max="8963" width="57.28515625" style="111" customWidth="1"/>
    <col min="8964" max="8964" width="4.7109375" style="111" customWidth="1"/>
    <col min="8965" max="8965" width="8.85546875" style="111" customWidth="1"/>
    <col min="8966" max="8966" width="8" style="111" customWidth="1"/>
    <col min="8967" max="8967" width="8.5703125" style="111" customWidth="1"/>
    <col min="8968" max="8968" width="8.85546875" style="111" customWidth="1"/>
    <col min="8969" max="8969" width="5.140625" style="111" customWidth="1"/>
    <col min="8970" max="8971" width="9.140625" style="111"/>
    <col min="8972" max="8972" width="12.140625" style="111" customWidth="1"/>
    <col min="8973" max="9216" width="9.140625" style="111"/>
    <col min="9217" max="9217" width="5.140625" style="111" customWidth="1"/>
    <col min="9218" max="9218" width="7.85546875" style="111" customWidth="1"/>
    <col min="9219" max="9219" width="57.28515625" style="111" customWidth="1"/>
    <col min="9220" max="9220" width="4.7109375" style="111" customWidth="1"/>
    <col min="9221" max="9221" width="8.85546875" style="111" customWidth="1"/>
    <col min="9222" max="9222" width="8" style="111" customWidth="1"/>
    <col min="9223" max="9223" width="8.5703125" style="111" customWidth="1"/>
    <col min="9224" max="9224" width="8.85546875" style="111" customWidth="1"/>
    <col min="9225" max="9225" width="5.140625" style="111" customWidth="1"/>
    <col min="9226" max="9227" width="9.140625" style="111"/>
    <col min="9228" max="9228" width="12.140625" style="111" customWidth="1"/>
    <col min="9229" max="9472" width="9.140625" style="111"/>
    <col min="9473" max="9473" width="5.140625" style="111" customWidth="1"/>
    <col min="9474" max="9474" width="7.85546875" style="111" customWidth="1"/>
    <col min="9475" max="9475" width="57.28515625" style="111" customWidth="1"/>
    <col min="9476" max="9476" width="4.7109375" style="111" customWidth="1"/>
    <col min="9477" max="9477" width="8.85546875" style="111" customWidth="1"/>
    <col min="9478" max="9478" width="8" style="111" customWidth="1"/>
    <col min="9479" max="9479" width="8.5703125" style="111" customWidth="1"/>
    <col min="9480" max="9480" width="8.85546875" style="111" customWidth="1"/>
    <col min="9481" max="9481" width="5.140625" style="111" customWidth="1"/>
    <col min="9482" max="9483" width="9.140625" style="111"/>
    <col min="9484" max="9484" width="12.140625" style="111" customWidth="1"/>
    <col min="9485" max="9728" width="9.140625" style="111"/>
    <col min="9729" max="9729" width="5.140625" style="111" customWidth="1"/>
    <col min="9730" max="9730" width="7.85546875" style="111" customWidth="1"/>
    <col min="9731" max="9731" width="57.28515625" style="111" customWidth="1"/>
    <col min="9732" max="9732" width="4.7109375" style="111" customWidth="1"/>
    <col min="9733" max="9733" width="8.85546875" style="111" customWidth="1"/>
    <col min="9734" max="9734" width="8" style="111" customWidth="1"/>
    <col min="9735" max="9735" width="8.5703125" style="111" customWidth="1"/>
    <col min="9736" max="9736" width="8.85546875" style="111" customWidth="1"/>
    <col min="9737" max="9737" width="5.140625" style="111" customWidth="1"/>
    <col min="9738" max="9739" width="9.140625" style="111"/>
    <col min="9740" max="9740" width="12.140625" style="111" customWidth="1"/>
    <col min="9741" max="9984" width="9.140625" style="111"/>
    <col min="9985" max="9985" width="5.140625" style="111" customWidth="1"/>
    <col min="9986" max="9986" width="7.85546875" style="111" customWidth="1"/>
    <col min="9987" max="9987" width="57.28515625" style="111" customWidth="1"/>
    <col min="9988" max="9988" width="4.7109375" style="111" customWidth="1"/>
    <col min="9989" max="9989" width="8.85546875" style="111" customWidth="1"/>
    <col min="9990" max="9990" width="8" style="111" customWidth="1"/>
    <col min="9991" max="9991" width="8.5703125" style="111" customWidth="1"/>
    <col min="9992" max="9992" width="8.85546875" style="111" customWidth="1"/>
    <col min="9993" max="9993" width="5.140625" style="111" customWidth="1"/>
    <col min="9994" max="9995" width="9.140625" style="111"/>
    <col min="9996" max="9996" width="12.140625" style="111" customWidth="1"/>
    <col min="9997" max="10240" width="9.140625" style="111"/>
    <col min="10241" max="10241" width="5.140625" style="111" customWidth="1"/>
    <col min="10242" max="10242" width="7.85546875" style="111" customWidth="1"/>
    <col min="10243" max="10243" width="57.28515625" style="111" customWidth="1"/>
    <col min="10244" max="10244" width="4.7109375" style="111" customWidth="1"/>
    <col min="10245" max="10245" width="8.85546875" style="111" customWidth="1"/>
    <col min="10246" max="10246" width="8" style="111" customWidth="1"/>
    <col min="10247" max="10247" width="8.5703125" style="111" customWidth="1"/>
    <col min="10248" max="10248" width="8.85546875" style="111" customWidth="1"/>
    <col min="10249" max="10249" width="5.140625" style="111" customWidth="1"/>
    <col min="10250" max="10251" width="9.140625" style="111"/>
    <col min="10252" max="10252" width="12.140625" style="111" customWidth="1"/>
    <col min="10253" max="10496" width="9.140625" style="111"/>
    <col min="10497" max="10497" width="5.140625" style="111" customWidth="1"/>
    <col min="10498" max="10498" width="7.85546875" style="111" customWidth="1"/>
    <col min="10499" max="10499" width="57.28515625" style="111" customWidth="1"/>
    <col min="10500" max="10500" width="4.7109375" style="111" customWidth="1"/>
    <col min="10501" max="10501" width="8.85546875" style="111" customWidth="1"/>
    <col min="10502" max="10502" width="8" style="111" customWidth="1"/>
    <col min="10503" max="10503" width="8.5703125" style="111" customWidth="1"/>
    <col min="10504" max="10504" width="8.85546875" style="111" customWidth="1"/>
    <col min="10505" max="10505" width="5.140625" style="111" customWidth="1"/>
    <col min="10506" max="10507" width="9.140625" style="111"/>
    <col min="10508" max="10508" width="12.140625" style="111" customWidth="1"/>
    <col min="10509" max="10752" width="9.140625" style="111"/>
    <col min="10753" max="10753" width="5.140625" style="111" customWidth="1"/>
    <col min="10754" max="10754" width="7.85546875" style="111" customWidth="1"/>
    <col min="10755" max="10755" width="57.28515625" style="111" customWidth="1"/>
    <col min="10756" max="10756" width="4.7109375" style="111" customWidth="1"/>
    <col min="10757" max="10757" width="8.85546875" style="111" customWidth="1"/>
    <col min="10758" max="10758" width="8" style="111" customWidth="1"/>
    <col min="10759" max="10759" width="8.5703125" style="111" customWidth="1"/>
    <col min="10760" max="10760" width="8.85546875" style="111" customWidth="1"/>
    <col min="10761" max="10761" width="5.140625" style="111" customWidth="1"/>
    <col min="10762" max="10763" width="9.140625" style="111"/>
    <col min="10764" max="10764" width="12.140625" style="111" customWidth="1"/>
    <col min="10765" max="11008" width="9.140625" style="111"/>
    <col min="11009" max="11009" width="5.140625" style="111" customWidth="1"/>
    <col min="11010" max="11010" width="7.85546875" style="111" customWidth="1"/>
    <col min="11011" max="11011" width="57.28515625" style="111" customWidth="1"/>
    <col min="11012" max="11012" width="4.7109375" style="111" customWidth="1"/>
    <col min="11013" max="11013" width="8.85546875" style="111" customWidth="1"/>
    <col min="11014" max="11014" width="8" style="111" customWidth="1"/>
    <col min="11015" max="11015" width="8.5703125" style="111" customWidth="1"/>
    <col min="11016" max="11016" width="8.85546875" style="111" customWidth="1"/>
    <col min="11017" max="11017" width="5.140625" style="111" customWidth="1"/>
    <col min="11018" max="11019" width="9.140625" style="111"/>
    <col min="11020" max="11020" width="12.140625" style="111" customWidth="1"/>
    <col min="11021" max="11264" width="9.140625" style="111"/>
    <col min="11265" max="11265" width="5.140625" style="111" customWidth="1"/>
    <col min="11266" max="11266" width="7.85546875" style="111" customWidth="1"/>
    <col min="11267" max="11267" width="57.28515625" style="111" customWidth="1"/>
    <col min="11268" max="11268" width="4.7109375" style="111" customWidth="1"/>
    <col min="11269" max="11269" width="8.85546875" style="111" customWidth="1"/>
    <col min="11270" max="11270" width="8" style="111" customWidth="1"/>
    <col min="11271" max="11271" width="8.5703125" style="111" customWidth="1"/>
    <col min="11272" max="11272" width="8.85546875" style="111" customWidth="1"/>
    <col min="11273" max="11273" width="5.140625" style="111" customWidth="1"/>
    <col min="11274" max="11275" width="9.140625" style="111"/>
    <col min="11276" max="11276" width="12.140625" style="111" customWidth="1"/>
    <col min="11277" max="11520" width="9.140625" style="111"/>
    <col min="11521" max="11521" width="5.140625" style="111" customWidth="1"/>
    <col min="11522" max="11522" width="7.85546875" style="111" customWidth="1"/>
    <col min="11523" max="11523" width="57.28515625" style="111" customWidth="1"/>
    <col min="11524" max="11524" width="4.7109375" style="111" customWidth="1"/>
    <col min="11525" max="11525" width="8.85546875" style="111" customWidth="1"/>
    <col min="11526" max="11526" width="8" style="111" customWidth="1"/>
    <col min="11527" max="11527" width="8.5703125" style="111" customWidth="1"/>
    <col min="11528" max="11528" width="8.85546875" style="111" customWidth="1"/>
    <col min="11529" max="11529" width="5.140625" style="111" customWidth="1"/>
    <col min="11530" max="11531" width="9.140625" style="111"/>
    <col min="11532" max="11532" width="12.140625" style="111" customWidth="1"/>
    <col min="11533" max="11776" width="9.140625" style="111"/>
    <col min="11777" max="11777" width="5.140625" style="111" customWidth="1"/>
    <col min="11778" max="11778" width="7.85546875" style="111" customWidth="1"/>
    <col min="11779" max="11779" width="57.28515625" style="111" customWidth="1"/>
    <col min="11780" max="11780" width="4.7109375" style="111" customWidth="1"/>
    <col min="11781" max="11781" width="8.85546875" style="111" customWidth="1"/>
    <col min="11782" max="11782" width="8" style="111" customWidth="1"/>
    <col min="11783" max="11783" width="8.5703125" style="111" customWidth="1"/>
    <col min="11784" max="11784" width="8.85546875" style="111" customWidth="1"/>
    <col min="11785" max="11785" width="5.140625" style="111" customWidth="1"/>
    <col min="11786" max="11787" width="9.140625" style="111"/>
    <col min="11788" max="11788" width="12.140625" style="111" customWidth="1"/>
    <col min="11789" max="12032" width="9.140625" style="111"/>
    <col min="12033" max="12033" width="5.140625" style="111" customWidth="1"/>
    <col min="12034" max="12034" width="7.85546875" style="111" customWidth="1"/>
    <col min="12035" max="12035" width="57.28515625" style="111" customWidth="1"/>
    <col min="12036" max="12036" width="4.7109375" style="111" customWidth="1"/>
    <col min="12037" max="12037" width="8.85546875" style="111" customWidth="1"/>
    <col min="12038" max="12038" width="8" style="111" customWidth="1"/>
    <col min="12039" max="12039" width="8.5703125" style="111" customWidth="1"/>
    <col min="12040" max="12040" width="8.85546875" style="111" customWidth="1"/>
    <col min="12041" max="12041" width="5.140625" style="111" customWidth="1"/>
    <col min="12042" max="12043" width="9.140625" style="111"/>
    <col min="12044" max="12044" width="12.140625" style="111" customWidth="1"/>
    <col min="12045" max="12288" width="9.140625" style="111"/>
    <col min="12289" max="12289" width="5.140625" style="111" customWidth="1"/>
    <col min="12290" max="12290" width="7.85546875" style="111" customWidth="1"/>
    <col min="12291" max="12291" width="57.28515625" style="111" customWidth="1"/>
    <col min="12292" max="12292" width="4.7109375" style="111" customWidth="1"/>
    <col min="12293" max="12293" width="8.85546875" style="111" customWidth="1"/>
    <col min="12294" max="12294" width="8" style="111" customWidth="1"/>
    <col min="12295" max="12295" width="8.5703125" style="111" customWidth="1"/>
    <col min="12296" max="12296" width="8.85546875" style="111" customWidth="1"/>
    <col min="12297" max="12297" width="5.140625" style="111" customWidth="1"/>
    <col min="12298" max="12299" width="9.140625" style="111"/>
    <col min="12300" max="12300" width="12.140625" style="111" customWidth="1"/>
    <col min="12301" max="12544" width="9.140625" style="111"/>
    <col min="12545" max="12545" width="5.140625" style="111" customWidth="1"/>
    <col min="12546" max="12546" width="7.85546875" style="111" customWidth="1"/>
    <col min="12547" max="12547" width="57.28515625" style="111" customWidth="1"/>
    <col min="12548" max="12548" width="4.7109375" style="111" customWidth="1"/>
    <col min="12549" max="12549" width="8.85546875" style="111" customWidth="1"/>
    <col min="12550" max="12550" width="8" style="111" customWidth="1"/>
    <col min="12551" max="12551" width="8.5703125" style="111" customWidth="1"/>
    <col min="12552" max="12552" width="8.85546875" style="111" customWidth="1"/>
    <col min="12553" max="12553" width="5.140625" style="111" customWidth="1"/>
    <col min="12554" max="12555" width="9.140625" style="111"/>
    <col min="12556" max="12556" width="12.140625" style="111" customWidth="1"/>
    <col min="12557" max="12800" width="9.140625" style="111"/>
    <col min="12801" max="12801" width="5.140625" style="111" customWidth="1"/>
    <col min="12802" max="12802" width="7.85546875" style="111" customWidth="1"/>
    <col min="12803" max="12803" width="57.28515625" style="111" customWidth="1"/>
    <col min="12804" max="12804" width="4.7109375" style="111" customWidth="1"/>
    <col min="12805" max="12805" width="8.85546875" style="111" customWidth="1"/>
    <col min="12806" max="12806" width="8" style="111" customWidth="1"/>
    <col min="12807" max="12807" width="8.5703125" style="111" customWidth="1"/>
    <col min="12808" max="12808" width="8.85546875" style="111" customWidth="1"/>
    <col min="12809" max="12809" width="5.140625" style="111" customWidth="1"/>
    <col min="12810" max="12811" width="9.140625" style="111"/>
    <col min="12812" max="12812" width="12.140625" style="111" customWidth="1"/>
    <col min="12813" max="13056" width="9.140625" style="111"/>
    <col min="13057" max="13057" width="5.140625" style="111" customWidth="1"/>
    <col min="13058" max="13058" width="7.85546875" style="111" customWidth="1"/>
    <col min="13059" max="13059" width="57.28515625" style="111" customWidth="1"/>
    <col min="13060" max="13060" width="4.7109375" style="111" customWidth="1"/>
    <col min="13061" max="13061" width="8.85546875" style="111" customWidth="1"/>
    <col min="13062" max="13062" width="8" style="111" customWidth="1"/>
    <col min="13063" max="13063" width="8.5703125" style="111" customWidth="1"/>
    <col min="13064" max="13064" width="8.85546875" style="111" customWidth="1"/>
    <col min="13065" max="13065" width="5.140625" style="111" customWidth="1"/>
    <col min="13066" max="13067" width="9.140625" style="111"/>
    <col min="13068" max="13068" width="12.140625" style="111" customWidth="1"/>
    <col min="13069" max="13312" width="9.140625" style="111"/>
    <col min="13313" max="13313" width="5.140625" style="111" customWidth="1"/>
    <col min="13314" max="13314" width="7.85546875" style="111" customWidth="1"/>
    <col min="13315" max="13315" width="57.28515625" style="111" customWidth="1"/>
    <col min="13316" max="13316" width="4.7109375" style="111" customWidth="1"/>
    <col min="13317" max="13317" width="8.85546875" style="111" customWidth="1"/>
    <col min="13318" max="13318" width="8" style="111" customWidth="1"/>
    <col min="13319" max="13319" width="8.5703125" style="111" customWidth="1"/>
    <col min="13320" max="13320" width="8.85546875" style="111" customWidth="1"/>
    <col min="13321" max="13321" width="5.140625" style="111" customWidth="1"/>
    <col min="13322" max="13323" width="9.140625" style="111"/>
    <col min="13324" max="13324" width="12.140625" style="111" customWidth="1"/>
    <col min="13325" max="13568" width="9.140625" style="111"/>
    <col min="13569" max="13569" width="5.140625" style="111" customWidth="1"/>
    <col min="13570" max="13570" width="7.85546875" style="111" customWidth="1"/>
    <col min="13571" max="13571" width="57.28515625" style="111" customWidth="1"/>
    <col min="13572" max="13572" width="4.7109375" style="111" customWidth="1"/>
    <col min="13573" max="13573" width="8.85546875" style="111" customWidth="1"/>
    <col min="13574" max="13574" width="8" style="111" customWidth="1"/>
    <col min="13575" max="13575" width="8.5703125" style="111" customWidth="1"/>
    <col min="13576" max="13576" width="8.85546875" style="111" customWidth="1"/>
    <col min="13577" max="13577" width="5.140625" style="111" customWidth="1"/>
    <col min="13578" max="13579" width="9.140625" style="111"/>
    <col min="13580" max="13580" width="12.140625" style="111" customWidth="1"/>
    <col min="13581" max="13824" width="9.140625" style="111"/>
    <col min="13825" max="13825" width="5.140625" style="111" customWidth="1"/>
    <col min="13826" max="13826" width="7.85546875" style="111" customWidth="1"/>
    <col min="13827" max="13827" width="57.28515625" style="111" customWidth="1"/>
    <col min="13828" max="13828" width="4.7109375" style="111" customWidth="1"/>
    <col min="13829" max="13829" width="8.85546875" style="111" customWidth="1"/>
    <col min="13830" max="13830" width="8" style="111" customWidth="1"/>
    <col min="13831" max="13831" width="8.5703125" style="111" customWidth="1"/>
    <col min="13832" max="13832" width="8.85546875" style="111" customWidth="1"/>
    <col min="13833" max="13833" width="5.140625" style="111" customWidth="1"/>
    <col min="13834" max="13835" width="9.140625" style="111"/>
    <col min="13836" max="13836" width="12.140625" style="111" customWidth="1"/>
    <col min="13837" max="14080" width="9.140625" style="111"/>
    <col min="14081" max="14081" width="5.140625" style="111" customWidth="1"/>
    <col min="14082" max="14082" width="7.85546875" style="111" customWidth="1"/>
    <col min="14083" max="14083" width="57.28515625" style="111" customWidth="1"/>
    <col min="14084" max="14084" width="4.7109375" style="111" customWidth="1"/>
    <col min="14085" max="14085" width="8.85546875" style="111" customWidth="1"/>
    <col min="14086" max="14086" width="8" style="111" customWidth="1"/>
    <col min="14087" max="14087" width="8.5703125" style="111" customWidth="1"/>
    <col min="14088" max="14088" width="8.85546875" style="111" customWidth="1"/>
    <col min="14089" max="14089" width="5.140625" style="111" customWidth="1"/>
    <col min="14090" max="14091" width="9.140625" style="111"/>
    <col min="14092" max="14092" width="12.140625" style="111" customWidth="1"/>
    <col min="14093" max="14336" width="9.140625" style="111"/>
    <col min="14337" max="14337" width="5.140625" style="111" customWidth="1"/>
    <col min="14338" max="14338" width="7.85546875" style="111" customWidth="1"/>
    <col min="14339" max="14339" width="57.28515625" style="111" customWidth="1"/>
    <col min="14340" max="14340" width="4.7109375" style="111" customWidth="1"/>
    <col min="14341" max="14341" width="8.85546875" style="111" customWidth="1"/>
    <col min="14342" max="14342" width="8" style="111" customWidth="1"/>
    <col min="14343" max="14343" width="8.5703125" style="111" customWidth="1"/>
    <col min="14344" max="14344" width="8.85546875" style="111" customWidth="1"/>
    <col min="14345" max="14345" width="5.140625" style="111" customWidth="1"/>
    <col min="14346" max="14347" width="9.140625" style="111"/>
    <col min="14348" max="14348" width="12.140625" style="111" customWidth="1"/>
    <col min="14349" max="14592" width="9.140625" style="111"/>
    <col min="14593" max="14593" width="5.140625" style="111" customWidth="1"/>
    <col min="14594" max="14594" width="7.85546875" style="111" customWidth="1"/>
    <col min="14595" max="14595" width="57.28515625" style="111" customWidth="1"/>
    <col min="14596" max="14596" width="4.7109375" style="111" customWidth="1"/>
    <col min="14597" max="14597" width="8.85546875" style="111" customWidth="1"/>
    <col min="14598" max="14598" width="8" style="111" customWidth="1"/>
    <col min="14599" max="14599" width="8.5703125" style="111" customWidth="1"/>
    <col min="14600" max="14600" width="8.85546875" style="111" customWidth="1"/>
    <col min="14601" max="14601" width="5.140625" style="111" customWidth="1"/>
    <col min="14602" max="14603" width="9.140625" style="111"/>
    <col min="14604" max="14604" width="12.140625" style="111" customWidth="1"/>
    <col min="14605" max="14848" width="9.140625" style="111"/>
    <col min="14849" max="14849" width="5.140625" style="111" customWidth="1"/>
    <col min="14850" max="14850" width="7.85546875" style="111" customWidth="1"/>
    <col min="14851" max="14851" width="57.28515625" style="111" customWidth="1"/>
    <col min="14852" max="14852" width="4.7109375" style="111" customWidth="1"/>
    <col min="14853" max="14853" width="8.85546875" style="111" customWidth="1"/>
    <col min="14854" max="14854" width="8" style="111" customWidth="1"/>
    <col min="14855" max="14855" width="8.5703125" style="111" customWidth="1"/>
    <col min="14856" max="14856" width="8.85546875" style="111" customWidth="1"/>
    <col min="14857" max="14857" width="5.140625" style="111" customWidth="1"/>
    <col min="14858" max="14859" width="9.140625" style="111"/>
    <col min="14860" max="14860" width="12.140625" style="111" customWidth="1"/>
    <col min="14861" max="15104" width="9.140625" style="111"/>
    <col min="15105" max="15105" width="5.140625" style="111" customWidth="1"/>
    <col min="15106" max="15106" width="7.85546875" style="111" customWidth="1"/>
    <col min="15107" max="15107" width="57.28515625" style="111" customWidth="1"/>
    <col min="15108" max="15108" width="4.7109375" style="111" customWidth="1"/>
    <col min="15109" max="15109" width="8.85546875" style="111" customWidth="1"/>
    <col min="15110" max="15110" width="8" style="111" customWidth="1"/>
    <col min="15111" max="15111" width="8.5703125" style="111" customWidth="1"/>
    <col min="15112" max="15112" width="8.85546875" style="111" customWidth="1"/>
    <col min="15113" max="15113" width="5.140625" style="111" customWidth="1"/>
    <col min="15114" max="15115" width="9.140625" style="111"/>
    <col min="15116" max="15116" width="12.140625" style="111" customWidth="1"/>
    <col min="15117" max="15360" width="9.140625" style="111"/>
    <col min="15361" max="15361" width="5.140625" style="111" customWidth="1"/>
    <col min="15362" max="15362" width="7.85546875" style="111" customWidth="1"/>
    <col min="15363" max="15363" width="57.28515625" style="111" customWidth="1"/>
    <col min="15364" max="15364" width="4.7109375" style="111" customWidth="1"/>
    <col min="15365" max="15365" width="8.85546875" style="111" customWidth="1"/>
    <col min="15366" max="15366" width="8" style="111" customWidth="1"/>
    <col min="15367" max="15367" width="8.5703125" style="111" customWidth="1"/>
    <col min="15368" max="15368" width="8.85546875" style="111" customWidth="1"/>
    <col min="15369" max="15369" width="5.140625" style="111" customWidth="1"/>
    <col min="15370" max="15371" width="9.140625" style="111"/>
    <col min="15372" max="15372" width="12.140625" style="111" customWidth="1"/>
    <col min="15373" max="15616" width="9.140625" style="111"/>
    <col min="15617" max="15617" width="5.140625" style="111" customWidth="1"/>
    <col min="15618" max="15618" width="7.85546875" style="111" customWidth="1"/>
    <col min="15619" max="15619" width="57.28515625" style="111" customWidth="1"/>
    <col min="15620" max="15620" width="4.7109375" style="111" customWidth="1"/>
    <col min="15621" max="15621" width="8.85546875" style="111" customWidth="1"/>
    <col min="15622" max="15622" width="8" style="111" customWidth="1"/>
    <col min="15623" max="15623" width="8.5703125" style="111" customWidth="1"/>
    <col min="15624" max="15624" width="8.85546875" style="111" customWidth="1"/>
    <col min="15625" max="15625" width="5.140625" style="111" customWidth="1"/>
    <col min="15626" max="15627" width="9.140625" style="111"/>
    <col min="15628" max="15628" width="12.140625" style="111" customWidth="1"/>
    <col min="15629" max="15872" width="9.140625" style="111"/>
    <col min="15873" max="15873" width="5.140625" style="111" customWidth="1"/>
    <col min="15874" max="15874" width="7.85546875" style="111" customWidth="1"/>
    <col min="15875" max="15875" width="57.28515625" style="111" customWidth="1"/>
    <col min="15876" max="15876" width="4.7109375" style="111" customWidth="1"/>
    <col min="15877" max="15877" width="8.85546875" style="111" customWidth="1"/>
    <col min="15878" max="15878" width="8" style="111" customWidth="1"/>
    <col min="15879" max="15879" width="8.5703125" style="111" customWidth="1"/>
    <col min="15880" max="15880" width="8.85546875" style="111" customWidth="1"/>
    <col min="15881" max="15881" width="5.140625" style="111" customWidth="1"/>
    <col min="15882" max="15883" width="9.140625" style="111"/>
    <col min="15884" max="15884" width="12.140625" style="111" customWidth="1"/>
    <col min="15885" max="16128" width="9.140625" style="111"/>
    <col min="16129" max="16129" width="5.140625" style="111" customWidth="1"/>
    <col min="16130" max="16130" width="7.85546875" style="111" customWidth="1"/>
    <col min="16131" max="16131" width="57.28515625" style="111" customWidth="1"/>
    <col min="16132" max="16132" width="4.7109375" style="111" customWidth="1"/>
    <col min="16133" max="16133" width="8.85546875" style="111" customWidth="1"/>
    <col min="16134" max="16134" width="8" style="111" customWidth="1"/>
    <col min="16135" max="16135" width="8.5703125" style="111" customWidth="1"/>
    <col min="16136" max="16136" width="8.85546875" style="111" customWidth="1"/>
    <col min="16137" max="16137" width="5.140625" style="111" customWidth="1"/>
    <col min="16138" max="16139" width="9.140625" style="111"/>
    <col min="16140" max="16140" width="12.140625" style="111" customWidth="1"/>
    <col min="16141" max="16384" width="9.140625" style="111"/>
  </cols>
  <sheetData>
    <row r="2" spans="1:14" ht="15" x14ac:dyDescent="0.2">
      <c r="C2" s="106" t="s">
        <v>592</v>
      </c>
      <c r="D2" s="90"/>
      <c r="E2" s="90"/>
      <c r="F2" s="90"/>
    </row>
    <row r="3" spans="1:14" ht="15.75" x14ac:dyDescent="0.25">
      <c r="A3" s="949" t="s">
        <v>98</v>
      </c>
      <c r="B3" s="949"/>
      <c r="C3" s="949"/>
      <c r="D3" s="949"/>
      <c r="E3" s="949"/>
      <c r="F3" s="949"/>
      <c r="G3" s="949"/>
      <c r="H3" s="949"/>
      <c r="I3" s="949"/>
      <c r="J3" s="949"/>
      <c r="K3" s="949"/>
      <c r="L3" s="949"/>
    </row>
    <row r="5" spans="1:14" ht="25.5" x14ac:dyDescent="0.25">
      <c r="A5" s="372" t="s">
        <v>99</v>
      </c>
      <c r="B5" s="373" t="s">
        <v>100</v>
      </c>
      <c r="C5" s="374" t="s">
        <v>101</v>
      </c>
      <c r="D5" s="375" t="s">
        <v>102</v>
      </c>
      <c r="E5" s="376" t="s">
        <v>103</v>
      </c>
      <c r="F5" s="376" t="s">
        <v>104</v>
      </c>
      <c r="G5" s="376" t="s">
        <v>105</v>
      </c>
      <c r="H5" s="200" t="s">
        <v>106</v>
      </c>
      <c r="I5" s="377" t="s">
        <v>107</v>
      </c>
      <c r="J5" s="200" t="s">
        <v>108</v>
      </c>
      <c r="K5" s="378" t="s">
        <v>109</v>
      </c>
      <c r="L5" s="379" t="s">
        <v>95</v>
      </c>
    </row>
    <row r="7" spans="1:14" ht="90.75" customHeight="1" x14ac:dyDescent="0.25">
      <c r="A7" s="116">
        <v>1</v>
      </c>
      <c r="B7" s="117">
        <v>2.8</v>
      </c>
      <c r="C7" s="118" t="s">
        <v>110</v>
      </c>
      <c r="D7" s="119"/>
      <c r="E7" s="120"/>
      <c r="F7" s="120"/>
      <c r="G7" s="120"/>
      <c r="H7" s="121"/>
      <c r="I7" s="122"/>
      <c r="J7" s="121"/>
      <c r="K7" s="135"/>
      <c r="L7" s="137"/>
    </row>
    <row r="8" spans="1:14" ht="18" customHeight="1" x14ac:dyDescent="0.25">
      <c r="A8" s="124"/>
      <c r="B8" s="125" t="s">
        <v>111</v>
      </c>
      <c r="C8" s="126" t="s">
        <v>112</v>
      </c>
      <c r="D8" s="127"/>
      <c r="E8" s="128"/>
      <c r="F8" s="128"/>
      <c r="G8" s="128"/>
      <c r="H8" s="129"/>
      <c r="I8" s="130"/>
      <c r="J8" s="129"/>
      <c r="K8" s="135"/>
      <c r="L8" s="137"/>
    </row>
    <row r="9" spans="1:14" x14ac:dyDescent="0.25">
      <c r="A9" s="124"/>
      <c r="B9" s="125"/>
      <c r="C9" s="132" t="s">
        <v>113</v>
      </c>
      <c r="D9" s="133">
        <v>18</v>
      </c>
      <c r="E9" s="134">
        <v>2.95</v>
      </c>
      <c r="F9" s="134">
        <v>2.35</v>
      </c>
      <c r="G9" s="134">
        <v>2</v>
      </c>
      <c r="H9" s="135">
        <f>G9*F9*E9*D9</f>
        <v>249.57000000000005</v>
      </c>
      <c r="I9" s="136"/>
      <c r="J9" s="135"/>
      <c r="K9" s="135"/>
      <c r="L9" s="137"/>
    </row>
    <row r="10" spans="1:14" x14ac:dyDescent="0.25">
      <c r="A10" s="124"/>
      <c r="B10" s="125"/>
      <c r="C10" s="132" t="s">
        <v>114</v>
      </c>
      <c r="D10" s="133">
        <v>14</v>
      </c>
      <c r="E10" s="134">
        <v>3.35</v>
      </c>
      <c r="F10" s="134">
        <v>2.65</v>
      </c>
      <c r="G10" s="134">
        <v>2.5</v>
      </c>
      <c r="H10" s="135">
        <f>G10*F10*E10*D10</f>
        <v>310.71250000000003</v>
      </c>
      <c r="I10" s="136"/>
      <c r="J10" s="135"/>
      <c r="K10" s="135"/>
      <c r="L10" s="137"/>
    </row>
    <row r="11" spans="1:14" x14ac:dyDescent="0.25">
      <c r="A11" s="124"/>
      <c r="B11" s="125"/>
      <c r="C11" s="132" t="s">
        <v>115</v>
      </c>
      <c r="D11" s="133">
        <v>15</v>
      </c>
      <c r="E11" s="134">
        <v>3.75</v>
      </c>
      <c r="F11" s="134">
        <v>3.35</v>
      </c>
      <c r="G11" s="134">
        <v>2.5</v>
      </c>
      <c r="H11" s="135">
        <f>G11*F11*E11*D11</f>
        <v>471.09375</v>
      </c>
      <c r="I11" s="136"/>
      <c r="J11" s="135"/>
      <c r="K11" s="135"/>
      <c r="L11" s="137"/>
    </row>
    <row r="12" spans="1:14" x14ac:dyDescent="0.25">
      <c r="A12" s="124"/>
      <c r="B12" s="125"/>
      <c r="C12" s="132" t="s">
        <v>116</v>
      </c>
      <c r="D12" s="133" t="s">
        <v>91</v>
      </c>
      <c r="E12" s="134">
        <f>E72</f>
        <v>289.25000000000006</v>
      </c>
      <c r="F12" s="134">
        <v>0.3</v>
      </c>
      <c r="G12" s="134">
        <v>0.5</v>
      </c>
      <c r="H12" s="135">
        <f>SUM(G12*F12*E12)</f>
        <v>43.38750000000001</v>
      </c>
      <c r="I12" s="136"/>
      <c r="J12" s="135"/>
      <c r="K12" s="135"/>
      <c r="L12" s="137"/>
    </row>
    <row r="13" spans="1:14" x14ac:dyDescent="0.25">
      <c r="A13" s="124"/>
      <c r="B13" s="125"/>
      <c r="C13" s="130" t="s">
        <v>117</v>
      </c>
      <c r="D13" s="127" t="s">
        <v>91</v>
      </c>
      <c r="E13" s="128"/>
      <c r="F13" s="128"/>
      <c r="G13" s="128"/>
      <c r="H13" s="138">
        <v>1070</v>
      </c>
      <c r="I13" s="130" t="s">
        <v>118</v>
      </c>
      <c r="J13" s="129">
        <v>260.3</v>
      </c>
      <c r="K13" s="135">
        <f>J13*100/118</f>
        <v>220.59322033898306</v>
      </c>
      <c r="L13" s="137">
        <f>K13*H13</f>
        <v>236034.74576271189</v>
      </c>
      <c r="M13" s="108"/>
      <c r="N13" s="108"/>
    </row>
    <row r="14" spans="1:14" ht="3" customHeight="1" x14ac:dyDescent="0.25">
      <c r="A14" s="139"/>
      <c r="B14" s="140"/>
      <c r="C14" s="141"/>
      <c r="D14" s="142"/>
      <c r="E14" s="143"/>
      <c r="F14" s="143"/>
      <c r="G14" s="143"/>
      <c r="H14" s="144"/>
      <c r="I14" s="141"/>
      <c r="J14" s="145"/>
      <c r="K14" s="135">
        <f>J14*100/118</f>
        <v>0</v>
      </c>
      <c r="L14" s="137">
        <f>K14*H14</f>
        <v>0</v>
      </c>
      <c r="M14" s="108"/>
      <c r="N14" s="108"/>
    </row>
    <row r="15" spans="1:14" ht="60.75" customHeight="1" x14ac:dyDescent="0.2">
      <c r="A15" s="116">
        <v>2</v>
      </c>
      <c r="B15" s="175">
        <v>2.25</v>
      </c>
      <c r="C15" s="177" t="s">
        <v>119</v>
      </c>
      <c r="D15" s="133"/>
      <c r="E15" s="134"/>
      <c r="F15" s="134"/>
      <c r="G15" s="134"/>
      <c r="H15" s="190"/>
      <c r="I15" s="136"/>
      <c r="J15" s="135"/>
      <c r="K15" s="135"/>
      <c r="L15" s="137"/>
      <c r="M15" s="108"/>
      <c r="N15" s="108"/>
    </row>
    <row r="16" spans="1:14" x14ac:dyDescent="0.25">
      <c r="A16" s="124"/>
      <c r="B16" s="125"/>
      <c r="C16" s="330" t="s">
        <v>593</v>
      </c>
      <c r="D16" s="133"/>
      <c r="E16" s="134"/>
      <c r="F16" s="134"/>
      <c r="G16" s="134"/>
      <c r="H16" s="190"/>
      <c r="I16" s="136"/>
      <c r="J16" s="135"/>
      <c r="K16" s="135"/>
      <c r="L16" s="137"/>
      <c r="M16" s="108"/>
      <c r="N16" s="108"/>
    </row>
    <row r="17" spans="1:14" ht="15" customHeight="1" x14ac:dyDescent="0.25">
      <c r="A17" s="124"/>
      <c r="B17" s="125"/>
      <c r="C17" s="130" t="s">
        <v>117</v>
      </c>
      <c r="D17" s="127"/>
      <c r="E17" s="128"/>
      <c r="F17" s="128"/>
      <c r="G17" s="128"/>
      <c r="H17" s="138">
        <f>H13*0.5</f>
        <v>535</v>
      </c>
      <c r="I17" s="130" t="s">
        <v>118</v>
      </c>
      <c r="J17" s="129">
        <v>196</v>
      </c>
      <c r="K17" s="135">
        <f>J17*100/118</f>
        <v>166.10169491525423</v>
      </c>
      <c r="L17" s="137">
        <f>K17*H17</f>
        <v>88864.406779661018</v>
      </c>
      <c r="M17" s="108"/>
      <c r="N17" s="108"/>
    </row>
    <row r="18" spans="1:14" ht="6.75" hidden="1" customHeight="1" x14ac:dyDescent="0.25">
      <c r="A18" s="139"/>
      <c r="B18" s="140"/>
      <c r="C18" s="184"/>
      <c r="D18" s="142"/>
      <c r="E18" s="143"/>
      <c r="F18" s="143"/>
      <c r="G18" s="143"/>
      <c r="H18" s="145"/>
      <c r="I18" s="141"/>
      <c r="J18" s="145"/>
      <c r="K18" s="135">
        <f>J18*100/118</f>
        <v>0</v>
      </c>
      <c r="L18" s="137">
        <f>K18*H18</f>
        <v>0</v>
      </c>
    </row>
    <row r="19" spans="1:14" ht="41.25" customHeight="1" x14ac:dyDescent="0.25">
      <c r="A19" s="116">
        <v>3</v>
      </c>
      <c r="B19" s="380">
        <v>2.27</v>
      </c>
      <c r="C19" s="118" t="s">
        <v>121</v>
      </c>
      <c r="D19" s="119"/>
      <c r="E19" s="120"/>
      <c r="F19" s="120"/>
      <c r="G19" s="120"/>
      <c r="H19" s="121"/>
      <c r="I19" s="122"/>
      <c r="J19" s="121"/>
      <c r="K19" s="135"/>
      <c r="L19" s="137"/>
    </row>
    <row r="20" spans="1:14" x14ac:dyDescent="0.25">
      <c r="A20" s="124"/>
      <c r="B20" s="125"/>
      <c r="C20" s="132" t="s">
        <v>113</v>
      </c>
      <c r="D20" s="133">
        <f>D9</f>
        <v>18</v>
      </c>
      <c r="E20" s="134">
        <v>2.95</v>
      </c>
      <c r="F20" s="134">
        <v>2.35</v>
      </c>
      <c r="G20" s="134">
        <v>0.1</v>
      </c>
      <c r="H20" s="135">
        <f>G20*F20*E20*D20</f>
        <v>12.4785</v>
      </c>
      <c r="I20" s="136"/>
      <c r="J20" s="135"/>
      <c r="K20" s="135"/>
      <c r="L20" s="137"/>
    </row>
    <row r="21" spans="1:14" x14ac:dyDescent="0.25">
      <c r="A21" s="124"/>
      <c r="B21" s="125"/>
      <c r="C21" s="132" t="s">
        <v>114</v>
      </c>
      <c r="D21" s="133">
        <f>D10</f>
        <v>14</v>
      </c>
      <c r="E21" s="134">
        <v>3.35</v>
      </c>
      <c r="F21" s="134">
        <v>2.65</v>
      </c>
      <c r="G21" s="134">
        <v>0.1</v>
      </c>
      <c r="H21" s="135">
        <f>G21*F21*E21*D21</f>
        <v>12.4285</v>
      </c>
      <c r="I21" s="136"/>
      <c r="J21" s="135"/>
      <c r="K21" s="135"/>
      <c r="L21" s="137"/>
    </row>
    <row r="22" spans="1:14" x14ac:dyDescent="0.25">
      <c r="A22" s="124"/>
      <c r="B22" s="125"/>
      <c r="C22" s="132" t="s">
        <v>115</v>
      </c>
      <c r="D22" s="133">
        <f>D11</f>
        <v>15</v>
      </c>
      <c r="E22" s="134">
        <v>3.75</v>
      </c>
      <c r="F22" s="134">
        <v>3.35</v>
      </c>
      <c r="G22" s="134">
        <v>0.1</v>
      </c>
      <c r="H22" s="135">
        <f>G22*F22*E22*D22</f>
        <v>18.84375</v>
      </c>
      <c r="I22" s="136"/>
      <c r="J22" s="135"/>
      <c r="K22" s="135"/>
      <c r="L22" s="137"/>
    </row>
    <row r="23" spans="1:14" ht="25.5" x14ac:dyDescent="0.25">
      <c r="A23" s="124"/>
      <c r="B23" s="125"/>
      <c r="C23" s="305" t="s">
        <v>594</v>
      </c>
      <c r="D23" s="133">
        <v>1</v>
      </c>
      <c r="E23" s="134">
        <v>1008</v>
      </c>
      <c r="F23" s="134" t="s">
        <v>91</v>
      </c>
      <c r="G23" s="134">
        <v>0.3</v>
      </c>
      <c r="H23" s="135">
        <f>SUM(G23*E23*D23)</f>
        <v>302.39999999999998</v>
      </c>
      <c r="I23" s="136"/>
      <c r="J23" s="135"/>
      <c r="K23" s="135"/>
      <c r="L23" s="137"/>
    </row>
    <row r="24" spans="1:14" x14ac:dyDescent="0.25">
      <c r="A24" s="124"/>
      <c r="B24" s="125"/>
      <c r="C24" s="130" t="s">
        <v>117</v>
      </c>
      <c r="D24" s="127"/>
      <c r="E24" s="128"/>
      <c r="F24" s="128"/>
      <c r="G24" s="128"/>
      <c r="H24" s="138">
        <v>300</v>
      </c>
      <c r="I24" s="130" t="s">
        <v>118</v>
      </c>
      <c r="J24" s="129">
        <v>2123.75</v>
      </c>
      <c r="K24" s="135">
        <f>J24*100/118</f>
        <v>1799.7881355932204</v>
      </c>
      <c r="L24" s="137">
        <f>K24*H24</f>
        <v>539936.44067796611</v>
      </c>
    </row>
    <row r="25" spans="1:14" ht="57" customHeight="1" x14ac:dyDescent="0.25">
      <c r="A25" s="116">
        <v>4</v>
      </c>
      <c r="B25" s="117" t="s">
        <v>595</v>
      </c>
      <c r="C25" s="118" t="s">
        <v>126</v>
      </c>
      <c r="D25" s="119"/>
      <c r="E25" s="120"/>
      <c r="F25" s="120"/>
      <c r="G25" s="120"/>
      <c r="H25" s="174"/>
      <c r="I25" s="122"/>
      <c r="J25" s="121"/>
      <c r="K25" s="135"/>
      <c r="L25" s="137"/>
    </row>
    <row r="26" spans="1:14" x14ac:dyDescent="0.25">
      <c r="A26" s="124"/>
      <c r="B26" s="125"/>
      <c r="C26" s="132" t="s">
        <v>113</v>
      </c>
      <c r="D26" s="133">
        <f>D9</f>
        <v>18</v>
      </c>
      <c r="E26" s="134">
        <v>2.95</v>
      </c>
      <c r="F26" s="134">
        <v>2.35</v>
      </c>
      <c r="G26" s="134"/>
      <c r="H26" s="135">
        <f>F26*E26*D26</f>
        <v>124.78500000000003</v>
      </c>
      <c r="I26" s="136"/>
      <c r="J26" s="135"/>
      <c r="K26" s="135"/>
      <c r="L26" s="137"/>
    </row>
    <row r="27" spans="1:14" x14ac:dyDescent="0.25">
      <c r="A27" s="124"/>
      <c r="B27" s="125"/>
      <c r="C27" s="132" t="s">
        <v>114</v>
      </c>
      <c r="D27" s="133">
        <f>D10</f>
        <v>14</v>
      </c>
      <c r="E27" s="134">
        <v>3.35</v>
      </c>
      <c r="F27" s="134">
        <v>2.65</v>
      </c>
      <c r="G27" s="134"/>
      <c r="H27" s="135">
        <f>F27*E27*D27</f>
        <v>124.285</v>
      </c>
      <c r="I27" s="136"/>
      <c r="J27" s="135"/>
      <c r="K27" s="135"/>
      <c r="L27" s="137"/>
    </row>
    <row r="28" spans="1:14" x14ac:dyDescent="0.25">
      <c r="A28" s="124"/>
      <c r="B28" s="125"/>
      <c r="C28" s="132" t="s">
        <v>115</v>
      </c>
      <c r="D28" s="133">
        <f>D11</f>
        <v>15</v>
      </c>
      <c r="E28" s="134">
        <v>3.75</v>
      </c>
      <c r="F28" s="134">
        <v>3.35</v>
      </c>
      <c r="G28" s="134"/>
      <c r="H28" s="135">
        <f>F28*E28*D28</f>
        <v>188.4375</v>
      </c>
      <c r="I28" s="136"/>
      <c r="J28" s="135"/>
      <c r="K28" s="135"/>
      <c r="L28" s="137"/>
    </row>
    <row r="29" spans="1:14" x14ac:dyDescent="0.25">
      <c r="A29" s="124"/>
      <c r="B29" s="125"/>
      <c r="C29" s="132" t="s">
        <v>596</v>
      </c>
      <c r="D29" s="133">
        <v>1</v>
      </c>
      <c r="E29" s="134">
        <f>E23</f>
        <v>1008</v>
      </c>
      <c r="F29" s="134" t="s">
        <v>91</v>
      </c>
      <c r="G29" s="134"/>
      <c r="H29" s="135">
        <f>SUM(E29*D29)</f>
        <v>1008</v>
      </c>
      <c r="I29" s="136"/>
      <c r="J29" s="135"/>
      <c r="K29" s="135"/>
      <c r="L29" s="137"/>
    </row>
    <row r="30" spans="1:14" x14ac:dyDescent="0.25">
      <c r="A30" s="139"/>
      <c r="B30" s="140"/>
      <c r="C30" s="141" t="s">
        <v>117</v>
      </c>
      <c r="D30" s="142"/>
      <c r="E30" s="143"/>
      <c r="F30" s="143"/>
      <c r="G30" s="143"/>
      <c r="H30" s="144">
        <v>1440</v>
      </c>
      <c r="I30" s="141" t="s">
        <v>128</v>
      </c>
      <c r="J30" s="145">
        <v>551.32000000000005</v>
      </c>
      <c r="K30" s="135">
        <f>J30*100/118</f>
        <v>467.22033898305091</v>
      </c>
      <c r="L30" s="137">
        <f>K30*H30</f>
        <v>672797.28813559329</v>
      </c>
    </row>
    <row r="31" spans="1:14" ht="43.5" customHeight="1" x14ac:dyDescent="0.2">
      <c r="A31" s="116">
        <v>5</v>
      </c>
      <c r="B31" s="175">
        <v>4.0999999999999996</v>
      </c>
      <c r="C31" s="118" t="s">
        <v>129</v>
      </c>
      <c r="D31" s="119"/>
      <c r="E31" s="120"/>
      <c r="F31" s="120"/>
      <c r="G31" s="120"/>
      <c r="H31" s="121"/>
      <c r="I31" s="122"/>
      <c r="J31" s="121"/>
      <c r="K31" s="135"/>
      <c r="L31" s="137"/>
    </row>
    <row r="32" spans="1:14" ht="40.5" customHeight="1" x14ac:dyDescent="0.2">
      <c r="A32" s="124"/>
      <c r="B32" s="176" t="s">
        <v>130</v>
      </c>
      <c r="C32" s="126" t="s">
        <v>131</v>
      </c>
      <c r="D32" s="127"/>
      <c r="E32" s="128"/>
      <c r="F32" s="128"/>
      <c r="G32" s="128"/>
      <c r="H32" s="129"/>
      <c r="I32" s="130"/>
      <c r="J32" s="129"/>
      <c r="K32" s="135"/>
      <c r="L32" s="137"/>
    </row>
    <row r="33" spans="1:17" ht="18" customHeight="1" x14ac:dyDescent="0.2">
      <c r="A33" s="124"/>
      <c r="B33" s="176"/>
      <c r="C33" s="177" t="s">
        <v>132</v>
      </c>
      <c r="D33" s="133"/>
      <c r="E33" s="134"/>
      <c r="F33" s="134"/>
      <c r="G33" s="134"/>
      <c r="H33" s="135"/>
      <c r="I33" s="136"/>
      <c r="J33" s="135"/>
      <c r="K33" s="135"/>
      <c r="L33" s="137"/>
    </row>
    <row r="34" spans="1:17" x14ac:dyDescent="0.25">
      <c r="A34" s="124"/>
      <c r="B34" s="125"/>
      <c r="C34" s="132" t="s">
        <v>113</v>
      </c>
      <c r="D34" s="133">
        <f>D26</f>
        <v>18</v>
      </c>
      <c r="E34" s="134">
        <v>2.95</v>
      </c>
      <c r="F34" s="134">
        <v>2.35</v>
      </c>
      <c r="G34" s="134">
        <v>7.4999999999999997E-2</v>
      </c>
      <c r="H34" s="135">
        <f>G34*F34*E34*D34</f>
        <v>9.3588750000000012</v>
      </c>
      <c r="I34" s="136"/>
      <c r="J34" s="135"/>
      <c r="K34" s="135"/>
      <c r="L34" s="137"/>
    </row>
    <row r="35" spans="1:17" x14ac:dyDescent="0.25">
      <c r="A35" s="124"/>
      <c r="B35" s="125"/>
      <c r="C35" s="132" t="s">
        <v>114</v>
      </c>
      <c r="D35" s="133">
        <f>D27</f>
        <v>14</v>
      </c>
      <c r="E35" s="134">
        <v>3.35</v>
      </c>
      <c r="F35" s="134">
        <v>2.65</v>
      </c>
      <c r="G35" s="134">
        <v>7.4999999999999997E-2</v>
      </c>
      <c r="H35" s="135">
        <f>G35*F35*E35*D35</f>
        <v>9.3213749999999997</v>
      </c>
      <c r="I35" s="136"/>
      <c r="J35" s="135"/>
      <c r="K35" s="135"/>
      <c r="L35" s="137"/>
    </row>
    <row r="36" spans="1:17" x14ac:dyDescent="0.25">
      <c r="A36" s="124"/>
      <c r="B36" s="125"/>
      <c r="C36" s="132" t="s">
        <v>115</v>
      </c>
      <c r="D36" s="133">
        <f>D28</f>
        <v>15</v>
      </c>
      <c r="E36" s="134">
        <v>3.75</v>
      </c>
      <c r="F36" s="134">
        <v>3.35</v>
      </c>
      <c r="G36" s="134">
        <v>7.4999999999999997E-2</v>
      </c>
      <c r="H36" s="135">
        <f>G36*F36*E36*D36</f>
        <v>14.1328125</v>
      </c>
      <c r="I36" s="136"/>
      <c r="J36" s="135"/>
      <c r="K36" s="135"/>
      <c r="L36" s="137"/>
    </row>
    <row r="37" spans="1:17" x14ac:dyDescent="0.25">
      <c r="A37" s="124"/>
      <c r="B37" s="125"/>
      <c r="C37" s="132" t="s">
        <v>133</v>
      </c>
      <c r="D37" s="133">
        <v>1</v>
      </c>
      <c r="E37" s="134">
        <f>E29</f>
        <v>1008</v>
      </c>
      <c r="F37" s="134" t="s">
        <v>91</v>
      </c>
      <c r="G37" s="134">
        <v>7.4999999999999997E-2</v>
      </c>
      <c r="H37" s="135">
        <f>SUM(G37*E37*D37)</f>
        <v>75.599999999999994</v>
      </c>
      <c r="I37" s="136"/>
      <c r="J37" s="135"/>
      <c r="K37" s="135"/>
      <c r="L37" s="137"/>
    </row>
    <row r="38" spans="1:17" x14ac:dyDescent="0.25">
      <c r="A38" s="139"/>
      <c r="B38" s="140"/>
      <c r="C38" s="141" t="s">
        <v>117</v>
      </c>
      <c r="D38" s="142"/>
      <c r="E38" s="143"/>
      <c r="F38" s="143"/>
      <c r="G38" s="143"/>
      <c r="H38" s="144">
        <v>100</v>
      </c>
      <c r="I38" s="141" t="s">
        <v>118</v>
      </c>
      <c r="J38" s="145">
        <v>7878.5</v>
      </c>
      <c r="K38" s="135">
        <f>J38*100/118</f>
        <v>6676.6949152542375</v>
      </c>
      <c r="L38" s="137">
        <f>K38*H38</f>
        <v>667669.49152542371</v>
      </c>
    </row>
    <row r="39" spans="1:17" ht="47.25" customHeight="1" x14ac:dyDescent="0.2">
      <c r="A39" s="116">
        <v>6</v>
      </c>
      <c r="B39" s="175">
        <v>5.0999999999999996</v>
      </c>
      <c r="C39" s="118" t="s">
        <v>134</v>
      </c>
      <c r="D39" s="119"/>
      <c r="E39" s="120"/>
      <c r="F39" s="120"/>
      <c r="G39" s="120"/>
      <c r="H39" s="174"/>
      <c r="I39" s="122"/>
      <c r="J39" s="121"/>
      <c r="K39" s="135"/>
      <c r="L39" s="137"/>
    </row>
    <row r="40" spans="1:17" ht="33.75" customHeight="1" x14ac:dyDescent="0.2">
      <c r="A40" s="124"/>
      <c r="B40" s="176" t="s">
        <v>135</v>
      </c>
      <c r="C40" s="126" t="s">
        <v>136</v>
      </c>
      <c r="D40" s="127"/>
      <c r="E40" s="128"/>
      <c r="F40" s="128"/>
      <c r="G40" s="128"/>
      <c r="H40" s="138"/>
      <c r="I40" s="130"/>
      <c r="J40" s="129"/>
      <c r="K40" s="135"/>
      <c r="L40" s="137"/>
    </row>
    <row r="41" spans="1:17" x14ac:dyDescent="0.25">
      <c r="A41" s="124"/>
      <c r="B41" s="125"/>
      <c r="C41" s="132" t="s">
        <v>113</v>
      </c>
      <c r="D41" s="133">
        <f>D34</f>
        <v>18</v>
      </c>
      <c r="E41" s="134">
        <v>2.8</v>
      </c>
      <c r="F41" s="134">
        <v>2.2000000000000002</v>
      </c>
      <c r="G41" s="134">
        <v>0.5</v>
      </c>
      <c r="H41" s="135">
        <f t="shared" ref="H41:H46" si="0">G41*F41*E41*D41</f>
        <v>55.44</v>
      </c>
      <c r="I41" s="136"/>
      <c r="J41" s="135"/>
      <c r="K41" s="135"/>
      <c r="L41" s="137"/>
    </row>
    <row r="42" spans="1:17" x14ac:dyDescent="0.25">
      <c r="A42" s="124"/>
      <c r="B42" s="125"/>
      <c r="C42" s="132" t="s">
        <v>137</v>
      </c>
      <c r="D42" s="133">
        <f>D41</f>
        <v>18</v>
      </c>
      <c r="E42" s="134">
        <v>0.45</v>
      </c>
      <c r="F42" s="134">
        <v>0.75</v>
      </c>
      <c r="G42" s="134">
        <v>0.15</v>
      </c>
      <c r="H42" s="135">
        <f t="shared" si="0"/>
        <v>0.91124999999999989</v>
      </c>
      <c r="I42" s="136"/>
      <c r="J42" s="135"/>
      <c r="K42" s="135"/>
      <c r="L42" s="137"/>
    </row>
    <row r="43" spans="1:17" x14ac:dyDescent="0.25">
      <c r="A43" s="124"/>
      <c r="B43" s="125"/>
      <c r="C43" s="132" t="s">
        <v>114</v>
      </c>
      <c r="D43" s="133">
        <f>D35</f>
        <v>14</v>
      </c>
      <c r="E43" s="134">
        <v>3.2</v>
      </c>
      <c r="F43" s="134">
        <v>2.5</v>
      </c>
      <c r="G43" s="134">
        <v>0.6</v>
      </c>
      <c r="H43" s="135">
        <f t="shared" si="0"/>
        <v>67.200000000000017</v>
      </c>
      <c r="I43" s="136"/>
      <c r="J43" s="135"/>
      <c r="K43" s="135"/>
      <c r="L43" s="137"/>
    </row>
    <row r="44" spans="1:17" x14ac:dyDescent="0.25">
      <c r="A44" s="124"/>
      <c r="B44" s="125"/>
      <c r="C44" s="132" t="s">
        <v>137</v>
      </c>
      <c r="D44" s="133">
        <f>D43</f>
        <v>14</v>
      </c>
      <c r="E44" s="134">
        <v>0.45</v>
      </c>
      <c r="F44" s="134">
        <v>0.75</v>
      </c>
      <c r="G44" s="134">
        <v>0.15</v>
      </c>
      <c r="H44" s="135">
        <f t="shared" si="0"/>
        <v>0.70874999999999999</v>
      </c>
      <c r="I44" s="136"/>
      <c r="J44" s="135"/>
      <c r="K44" s="135"/>
      <c r="L44" s="137"/>
    </row>
    <row r="45" spans="1:17" x14ac:dyDescent="0.25">
      <c r="A45" s="124"/>
      <c r="B45" s="125"/>
      <c r="C45" s="132" t="s">
        <v>115</v>
      </c>
      <c r="D45" s="133">
        <f>D36</f>
        <v>15</v>
      </c>
      <c r="E45" s="134">
        <v>3.6</v>
      </c>
      <c r="F45" s="134">
        <v>3.2</v>
      </c>
      <c r="G45" s="134">
        <v>0.75</v>
      </c>
      <c r="H45" s="135">
        <f t="shared" si="0"/>
        <v>129.60000000000002</v>
      </c>
      <c r="I45" s="136"/>
      <c r="J45" s="135"/>
      <c r="K45" s="135"/>
      <c r="L45" s="137"/>
    </row>
    <row r="46" spans="1:17" x14ac:dyDescent="0.25">
      <c r="A46" s="124"/>
      <c r="B46" s="125"/>
      <c r="C46" s="132" t="s">
        <v>137</v>
      </c>
      <c r="D46" s="133">
        <f>D45</f>
        <v>15</v>
      </c>
      <c r="E46" s="134">
        <v>0.45</v>
      </c>
      <c r="F46" s="134">
        <v>0.75</v>
      </c>
      <c r="G46" s="134">
        <v>0.15</v>
      </c>
      <c r="H46" s="135">
        <f t="shared" si="0"/>
        <v>0.75937499999999991</v>
      </c>
      <c r="I46" s="136"/>
      <c r="J46" s="135"/>
      <c r="K46" s="135"/>
      <c r="L46" s="137"/>
    </row>
    <row r="47" spans="1:17" x14ac:dyDescent="0.25">
      <c r="A47" s="124"/>
      <c r="B47" s="125"/>
      <c r="C47" s="178" t="s">
        <v>138</v>
      </c>
      <c r="D47" s="133"/>
      <c r="E47" s="134"/>
      <c r="F47" s="134"/>
      <c r="G47" s="134"/>
      <c r="H47" s="135"/>
      <c r="I47" s="136"/>
      <c r="J47" s="135"/>
      <c r="K47" s="135"/>
      <c r="L47" s="137"/>
    </row>
    <row r="48" spans="1:17" x14ac:dyDescent="0.25">
      <c r="A48" s="124"/>
      <c r="B48" s="125"/>
      <c r="C48" s="132" t="s">
        <v>139</v>
      </c>
      <c r="D48" s="133">
        <f>D34</f>
        <v>18</v>
      </c>
      <c r="E48" s="134">
        <v>0.3</v>
      </c>
      <c r="F48" s="134">
        <v>0.6</v>
      </c>
      <c r="G48" s="134">
        <f>2+0.3-0.1-0.15-0.15-0.5-0.5</f>
        <v>0.89999999999999991</v>
      </c>
      <c r="H48" s="135">
        <f>G48*F48*E48*D48</f>
        <v>2.9159999999999995</v>
      </c>
      <c r="I48" s="136"/>
      <c r="J48" s="135"/>
      <c r="K48" s="135"/>
      <c r="L48" s="137"/>
      <c r="M48" s="114"/>
      <c r="N48" s="107"/>
      <c r="O48" s="107"/>
      <c r="P48" s="107"/>
      <c r="Q48" s="179"/>
    </row>
    <row r="49" spans="1:17" x14ac:dyDescent="0.25">
      <c r="A49" s="124"/>
      <c r="B49" s="125"/>
      <c r="C49" s="132" t="s">
        <v>140</v>
      </c>
      <c r="D49" s="133">
        <f>D35</f>
        <v>14</v>
      </c>
      <c r="E49" s="134">
        <v>0.3</v>
      </c>
      <c r="F49" s="134">
        <v>0.6</v>
      </c>
      <c r="G49" s="134">
        <f>2+0.3-0.1-0.15-0.5-0.15-0.6</f>
        <v>0.79999999999999993</v>
      </c>
      <c r="H49" s="135">
        <f>G49*F49*E49*D49</f>
        <v>2.0159999999999996</v>
      </c>
      <c r="I49" s="136"/>
      <c r="J49" s="135"/>
      <c r="K49" s="135"/>
      <c r="L49" s="137"/>
      <c r="M49" s="114"/>
      <c r="N49" s="107"/>
      <c r="O49" s="107"/>
      <c r="P49" s="107"/>
      <c r="Q49" s="179"/>
    </row>
    <row r="50" spans="1:17" x14ac:dyDescent="0.25">
      <c r="A50" s="124"/>
      <c r="B50" s="125"/>
      <c r="C50" s="132" t="s">
        <v>597</v>
      </c>
      <c r="D50" s="133">
        <f>D36</f>
        <v>15</v>
      </c>
      <c r="E50" s="134">
        <v>0.3</v>
      </c>
      <c r="F50" s="134">
        <v>0.6</v>
      </c>
      <c r="G50" s="134">
        <f>2+0.3-0.1-0.15-0.75-0.15-0.5</f>
        <v>0.64999999999999991</v>
      </c>
      <c r="H50" s="135">
        <f>G50*F50*E50*D50</f>
        <v>1.7549999999999997</v>
      </c>
      <c r="I50" s="136"/>
      <c r="J50" s="135"/>
      <c r="K50" s="135"/>
      <c r="L50" s="137"/>
      <c r="M50" s="114"/>
      <c r="N50" s="107"/>
      <c r="O50" s="107"/>
      <c r="P50" s="107"/>
      <c r="Q50" s="179"/>
    </row>
    <row r="51" spans="1:17" x14ac:dyDescent="0.25">
      <c r="A51" s="124"/>
      <c r="B51" s="125"/>
      <c r="C51" s="132" t="s">
        <v>141</v>
      </c>
      <c r="D51" s="133">
        <v>1</v>
      </c>
      <c r="E51" s="134">
        <v>10.3</v>
      </c>
      <c r="F51" s="134">
        <v>0.2</v>
      </c>
      <c r="G51" s="134">
        <f>2+0.3+0.15-0.1-0.15-0.5-0.5</f>
        <v>1.1999999999999997</v>
      </c>
      <c r="H51" s="135">
        <f>G51*F51*E51*D51</f>
        <v>2.472</v>
      </c>
      <c r="I51" s="136"/>
      <c r="J51" s="135"/>
      <c r="K51" s="135"/>
      <c r="L51" s="137"/>
    </row>
    <row r="52" spans="1:17" x14ac:dyDescent="0.25">
      <c r="A52" s="124"/>
      <c r="B52" s="125"/>
      <c r="C52" s="132"/>
      <c r="D52" s="133">
        <f>SUM(D48:D50)</f>
        <v>47</v>
      </c>
      <c r="E52" s="134"/>
      <c r="F52" s="134"/>
      <c r="G52" s="134"/>
      <c r="H52" s="135"/>
      <c r="I52" s="136"/>
      <c r="J52" s="135"/>
      <c r="K52" s="135"/>
      <c r="L52" s="137"/>
    </row>
    <row r="53" spans="1:17" x14ac:dyDescent="0.25">
      <c r="A53" s="124"/>
      <c r="B53" s="125"/>
      <c r="C53" s="178" t="s">
        <v>142</v>
      </c>
      <c r="D53" s="133"/>
      <c r="E53" s="134"/>
      <c r="F53" s="134"/>
      <c r="G53" s="134"/>
      <c r="H53" s="135"/>
      <c r="I53" s="136"/>
      <c r="J53" s="135"/>
      <c r="K53" s="135"/>
      <c r="L53" s="137"/>
    </row>
    <row r="54" spans="1:17" x14ac:dyDescent="0.25">
      <c r="A54" s="124"/>
      <c r="B54" s="125"/>
      <c r="C54" s="178" t="s">
        <v>143</v>
      </c>
      <c r="D54" s="133"/>
      <c r="E54" s="134"/>
      <c r="F54" s="134"/>
      <c r="G54" s="134"/>
      <c r="H54" s="135"/>
      <c r="I54" s="136"/>
      <c r="J54" s="135"/>
      <c r="K54" s="135"/>
      <c r="L54" s="137"/>
    </row>
    <row r="55" spans="1:17" x14ac:dyDescent="0.25">
      <c r="A55" s="124"/>
      <c r="B55" s="125"/>
      <c r="C55" s="132" t="s">
        <v>598</v>
      </c>
      <c r="D55" s="133">
        <v>3</v>
      </c>
      <c r="E55" s="134">
        <v>8.85</v>
      </c>
      <c r="F55" s="134">
        <v>0.25</v>
      </c>
      <c r="G55" s="134">
        <v>0.5</v>
      </c>
      <c r="H55" s="135">
        <f t="shared" ref="H55:H71" si="1">G55*F55*E55*D55</f>
        <v>3.3187499999999996</v>
      </c>
      <c r="I55" s="136"/>
      <c r="J55" s="135"/>
      <c r="K55" s="135"/>
      <c r="L55" s="137"/>
    </row>
    <row r="56" spans="1:17" x14ac:dyDescent="0.25">
      <c r="A56" s="124"/>
      <c r="B56" s="125"/>
      <c r="C56" s="132" t="s">
        <v>599</v>
      </c>
      <c r="D56" s="133">
        <v>1</v>
      </c>
      <c r="E56" s="134">
        <v>19.25</v>
      </c>
      <c r="F56" s="134">
        <v>0.25</v>
      </c>
      <c r="G56" s="134">
        <v>0.5</v>
      </c>
      <c r="H56" s="135">
        <f t="shared" si="1"/>
        <v>2.40625</v>
      </c>
      <c r="I56" s="136"/>
      <c r="J56" s="135"/>
      <c r="K56" s="135"/>
      <c r="L56" s="137"/>
    </row>
    <row r="57" spans="1:17" x14ac:dyDescent="0.25">
      <c r="A57" s="124"/>
      <c r="B57" s="125"/>
      <c r="C57" s="132" t="s">
        <v>600</v>
      </c>
      <c r="D57" s="133">
        <v>1</v>
      </c>
      <c r="E57" s="134">
        <v>6.45</v>
      </c>
      <c r="F57" s="134">
        <v>0.25</v>
      </c>
      <c r="G57" s="134">
        <v>0.5</v>
      </c>
      <c r="H57" s="135">
        <f t="shared" si="1"/>
        <v>0.80625000000000002</v>
      </c>
      <c r="I57" s="136"/>
      <c r="J57" s="135"/>
      <c r="K57" s="135"/>
      <c r="L57" s="137"/>
    </row>
    <row r="58" spans="1:17" x14ac:dyDescent="0.25">
      <c r="A58" s="124"/>
      <c r="B58" s="125"/>
      <c r="C58" s="132" t="s">
        <v>601</v>
      </c>
      <c r="D58" s="133">
        <v>1</v>
      </c>
      <c r="E58" s="134">
        <v>11.475</v>
      </c>
      <c r="F58" s="134">
        <v>0.25</v>
      </c>
      <c r="G58" s="134">
        <v>0.5</v>
      </c>
      <c r="H58" s="135">
        <f t="shared" si="1"/>
        <v>1.434375</v>
      </c>
      <c r="I58" s="136"/>
      <c r="J58" s="135"/>
      <c r="K58" s="135"/>
      <c r="L58" s="137"/>
    </row>
    <row r="59" spans="1:17" x14ac:dyDescent="0.25">
      <c r="A59" s="124"/>
      <c r="B59" s="125"/>
      <c r="C59" s="132" t="s">
        <v>602</v>
      </c>
      <c r="D59" s="133">
        <v>1</v>
      </c>
      <c r="E59" s="134">
        <v>18.8</v>
      </c>
      <c r="F59" s="134">
        <v>0.25</v>
      </c>
      <c r="G59" s="134">
        <v>0.5</v>
      </c>
      <c r="H59" s="135">
        <f t="shared" si="1"/>
        <v>2.35</v>
      </c>
      <c r="I59" s="136"/>
      <c r="J59" s="135"/>
      <c r="K59" s="135"/>
      <c r="L59" s="137"/>
    </row>
    <row r="60" spans="1:17" s="385" customFormat="1" x14ac:dyDescent="0.25">
      <c r="A60" s="381"/>
      <c r="B60" s="382"/>
      <c r="C60" s="132" t="s">
        <v>603</v>
      </c>
      <c r="D60" s="133">
        <v>1</v>
      </c>
      <c r="E60" s="134">
        <v>22.774999999999999</v>
      </c>
      <c r="F60" s="134">
        <v>0.25</v>
      </c>
      <c r="G60" s="134">
        <v>0.5</v>
      </c>
      <c r="H60" s="135">
        <f t="shared" si="1"/>
        <v>2.8468749999999998</v>
      </c>
      <c r="I60" s="383"/>
      <c r="J60" s="384"/>
      <c r="K60" s="135"/>
      <c r="L60" s="137"/>
    </row>
    <row r="61" spans="1:17" s="385" customFormat="1" x14ac:dyDescent="0.25">
      <c r="A61" s="381"/>
      <c r="B61" s="382"/>
      <c r="C61" s="132" t="s">
        <v>604</v>
      </c>
      <c r="D61" s="133">
        <v>1</v>
      </c>
      <c r="E61" s="134">
        <v>17.8</v>
      </c>
      <c r="F61" s="134">
        <v>0.25</v>
      </c>
      <c r="G61" s="134">
        <v>0.5</v>
      </c>
      <c r="H61" s="135">
        <f t="shared" si="1"/>
        <v>2.2250000000000001</v>
      </c>
      <c r="I61" s="383"/>
      <c r="J61" s="384"/>
      <c r="K61" s="135"/>
      <c r="L61" s="137"/>
    </row>
    <row r="62" spans="1:17" s="385" customFormat="1" x14ac:dyDescent="0.25">
      <c r="A62" s="381"/>
      <c r="B62" s="382"/>
      <c r="C62" s="132" t="s">
        <v>605</v>
      </c>
      <c r="D62" s="133">
        <v>1</v>
      </c>
      <c r="E62" s="134">
        <v>14.074999999999999</v>
      </c>
      <c r="F62" s="134">
        <v>0.25</v>
      </c>
      <c r="G62" s="134">
        <v>0.5</v>
      </c>
      <c r="H62" s="135">
        <f t="shared" si="1"/>
        <v>1.7593749999999999</v>
      </c>
      <c r="I62" s="383"/>
      <c r="J62" s="384"/>
      <c r="K62" s="135"/>
      <c r="L62" s="137"/>
    </row>
    <row r="63" spans="1:17" s="385" customFormat="1" x14ac:dyDescent="0.25">
      <c r="A63" s="381"/>
      <c r="B63" s="382"/>
      <c r="C63" s="132" t="s">
        <v>606</v>
      </c>
      <c r="D63" s="133">
        <v>1</v>
      </c>
      <c r="E63" s="134">
        <v>11.45</v>
      </c>
      <c r="F63" s="134">
        <v>0.25</v>
      </c>
      <c r="G63" s="134">
        <v>0.5</v>
      </c>
      <c r="H63" s="135">
        <f t="shared" si="1"/>
        <v>1.4312499999999999</v>
      </c>
      <c r="I63" s="383"/>
      <c r="J63" s="384"/>
      <c r="K63" s="135"/>
      <c r="L63" s="137"/>
    </row>
    <row r="64" spans="1:17" s="385" customFormat="1" x14ac:dyDescent="0.25">
      <c r="A64" s="381"/>
      <c r="B64" s="382"/>
      <c r="C64" s="132" t="s">
        <v>607</v>
      </c>
      <c r="D64" s="133">
        <v>1</v>
      </c>
      <c r="E64" s="134">
        <v>14.675000000000001</v>
      </c>
      <c r="F64" s="134">
        <v>0.25</v>
      </c>
      <c r="G64" s="134">
        <v>0.5</v>
      </c>
      <c r="H64" s="135">
        <f t="shared" si="1"/>
        <v>1.8343750000000001</v>
      </c>
      <c r="I64" s="383"/>
      <c r="J64" s="384"/>
      <c r="K64" s="135"/>
      <c r="L64" s="137"/>
    </row>
    <row r="65" spans="1:12" s="385" customFormat="1" x14ac:dyDescent="0.25">
      <c r="A65" s="381"/>
      <c r="B65" s="382"/>
      <c r="C65" s="132" t="s">
        <v>608</v>
      </c>
      <c r="D65" s="133">
        <v>1</v>
      </c>
      <c r="E65" s="134">
        <v>8.15</v>
      </c>
      <c r="F65" s="134">
        <v>0.25</v>
      </c>
      <c r="G65" s="134">
        <v>0.5</v>
      </c>
      <c r="H65" s="135">
        <f t="shared" si="1"/>
        <v>1.01875</v>
      </c>
      <c r="I65" s="383"/>
      <c r="J65" s="384"/>
      <c r="K65" s="135"/>
      <c r="L65" s="137"/>
    </row>
    <row r="66" spans="1:12" s="385" customFormat="1" x14ac:dyDescent="0.25">
      <c r="A66" s="381"/>
      <c r="B66" s="382"/>
      <c r="C66" s="132" t="s">
        <v>609</v>
      </c>
      <c r="D66" s="133">
        <v>1</v>
      </c>
      <c r="E66" s="134">
        <v>11.45</v>
      </c>
      <c r="F66" s="134">
        <v>0.25</v>
      </c>
      <c r="G66" s="134">
        <v>0.5</v>
      </c>
      <c r="H66" s="135">
        <f>G66*F66*E66*D66</f>
        <v>1.4312499999999999</v>
      </c>
      <c r="I66" s="383"/>
      <c r="J66" s="384"/>
      <c r="K66" s="135"/>
      <c r="L66" s="137"/>
    </row>
    <row r="67" spans="1:12" s="385" customFormat="1" x14ac:dyDescent="0.25">
      <c r="A67" s="381"/>
      <c r="B67" s="382"/>
      <c r="C67" s="132" t="s">
        <v>610</v>
      </c>
      <c r="D67" s="133">
        <v>1</v>
      </c>
      <c r="E67" s="134">
        <v>11.35</v>
      </c>
      <c r="F67" s="134">
        <v>0.25</v>
      </c>
      <c r="G67" s="134">
        <v>0.5</v>
      </c>
      <c r="H67" s="135">
        <f>G67*F67*E67*D67</f>
        <v>1.41875</v>
      </c>
      <c r="I67" s="383"/>
      <c r="J67" s="384"/>
      <c r="K67" s="135"/>
      <c r="L67" s="137"/>
    </row>
    <row r="68" spans="1:12" s="385" customFormat="1" x14ac:dyDescent="0.25">
      <c r="A68" s="381"/>
      <c r="B68" s="382"/>
      <c r="C68" s="132" t="s">
        <v>611</v>
      </c>
      <c r="D68" s="133">
        <v>1</v>
      </c>
      <c r="E68" s="134">
        <v>27.8</v>
      </c>
      <c r="F68" s="134">
        <v>0.25</v>
      </c>
      <c r="G68" s="134">
        <v>0.5</v>
      </c>
      <c r="H68" s="135">
        <f>G68*F68*E68*D68</f>
        <v>3.4750000000000001</v>
      </c>
      <c r="I68" s="383"/>
      <c r="J68" s="384"/>
      <c r="K68" s="135"/>
      <c r="L68" s="137"/>
    </row>
    <row r="69" spans="1:12" s="385" customFormat="1" x14ac:dyDescent="0.25">
      <c r="A69" s="381"/>
      <c r="B69" s="382"/>
      <c r="C69" s="132" t="s">
        <v>612</v>
      </c>
      <c r="D69" s="133">
        <v>1</v>
      </c>
      <c r="E69" s="134">
        <v>27.8</v>
      </c>
      <c r="F69" s="134">
        <v>0.25</v>
      </c>
      <c r="G69" s="134">
        <v>0.5</v>
      </c>
      <c r="H69" s="135">
        <f>G69*F69*E69*D69</f>
        <v>3.4750000000000001</v>
      </c>
      <c r="I69" s="383"/>
      <c r="J69" s="384"/>
      <c r="K69" s="135"/>
      <c r="L69" s="137"/>
    </row>
    <row r="70" spans="1:12" s="385" customFormat="1" x14ac:dyDescent="0.25">
      <c r="A70" s="381"/>
      <c r="B70" s="382"/>
      <c r="C70" s="132" t="s">
        <v>613</v>
      </c>
      <c r="D70" s="133">
        <v>1</v>
      </c>
      <c r="E70" s="134">
        <v>27.8</v>
      </c>
      <c r="F70" s="134">
        <v>0.25</v>
      </c>
      <c r="G70" s="134">
        <v>0.5</v>
      </c>
      <c r="H70" s="135">
        <f t="shared" si="1"/>
        <v>3.4750000000000001</v>
      </c>
      <c r="I70" s="383"/>
      <c r="J70" s="384"/>
      <c r="K70" s="135"/>
      <c r="L70" s="137"/>
    </row>
    <row r="71" spans="1:12" s="385" customFormat="1" x14ac:dyDescent="0.25">
      <c r="A71" s="381"/>
      <c r="B71" s="382"/>
      <c r="C71" s="132" t="s">
        <v>614</v>
      </c>
      <c r="D71" s="133">
        <v>1</v>
      </c>
      <c r="E71" s="134">
        <v>11.6</v>
      </c>
      <c r="F71" s="134">
        <v>0.25</v>
      </c>
      <c r="G71" s="134">
        <v>0.5</v>
      </c>
      <c r="H71" s="135">
        <f t="shared" si="1"/>
        <v>1.45</v>
      </c>
      <c r="I71" s="383"/>
      <c r="J71" s="384"/>
      <c r="K71" s="135"/>
      <c r="L71" s="137"/>
    </row>
    <row r="72" spans="1:12" x14ac:dyDescent="0.25">
      <c r="A72" s="124"/>
      <c r="B72" s="125"/>
      <c r="C72" s="181" t="s">
        <v>186</v>
      </c>
      <c r="D72" s="133"/>
      <c r="E72" s="134">
        <f>SUM(E55*D55+E56*D56+ E57*D57+E58*D58+E59*D59+E60*D60+E61*D61+E62*D62+E63*D63+E64*D64+E65*D65+ E66* D66 + E67*D67+E68*D68+E69*D69+E70*D70+E71*D71)</f>
        <v>289.25000000000006</v>
      </c>
      <c r="F72" s="134"/>
      <c r="G72" s="134"/>
      <c r="H72" s="135"/>
      <c r="I72" s="136"/>
      <c r="J72" s="135"/>
      <c r="K72" s="135"/>
      <c r="L72" s="137"/>
    </row>
    <row r="73" spans="1:12" x14ac:dyDescent="0.25">
      <c r="A73" s="124"/>
      <c r="B73" s="125"/>
      <c r="C73" s="132" t="s">
        <v>188</v>
      </c>
      <c r="D73" s="133"/>
      <c r="E73" s="134"/>
      <c r="F73" s="134"/>
      <c r="G73" s="134"/>
      <c r="H73" s="135"/>
      <c r="I73" s="136"/>
      <c r="J73" s="135"/>
      <c r="K73" s="135"/>
      <c r="L73" s="137"/>
    </row>
    <row r="74" spans="1:12" x14ac:dyDescent="0.25">
      <c r="A74" s="124"/>
      <c r="B74" s="125"/>
      <c r="C74" s="132" t="s">
        <v>189</v>
      </c>
      <c r="D74" s="133"/>
      <c r="E74" s="134">
        <f>E72</f>
        <v>289.25000000000006</v>
      </c>
      <c r="F74" s="134">
        <v>0.25</v>
      </c>
      <c r="G74" s="134">
        <v>7.4999999999999997E-2</v>
      </c>
      <c r="H74" s="135">
        <f>SUM(G74*F74*E74)</f>
        <v>5.4234375000000012</v>
      </c>
      <c r="I74" s="136"/>
      <c r="J74" s="135"/>
      <c r="K74" s="135"/>
      <c r="L74" s="137"/>
    </row>
    <row r="75" spans="1:12" ht="24.95" customHeight="1" x14ac:dyDescent="0.25">
      <c r="A75" s="124"/>
      <c r="B75" s="125"/>
      <c r="C75" s="132"/>
      <c r="D75" s="133"/>
      <c r="E75" s="134"/>
      <c r="F75" s="134"/>
      <c r="G75" s="134"/>
      <c r="H75" s="135"/>
      <c r="I75" s="136"/>
      <c r="J75" s="135"/>
      <c r="K75" s="135"/>
      <c r="L75" s="137"/>
    </row>
    <row r="76" spans="1:12" ht="24.95" customHeight="1" x14ac:dyDescent="0.25">
      <c r="A76" s="139"/>
      <c r="B76" s="140"/>
      <c r="C76" s="141" t="s">
        <v>117</v>
      </c>
      <c r="D76" s="142"/>
      <c r="E76" s="143"/>
      <c r="F76" s="143"/>
      <c r="G76" s="143"/>
      <c r="H76" s="144">
        <v>300</v>
      </c>
      <c r="I76" s="141" t="s">
        <v>118</v>
      </c>
      <c r="J76" s="145">
        <v>9045.75</v>
      </c>
      <c r="K76" s="135">
        <f>J76*100/118</f>
        <v>7665.8898305084749</v>
      </c>
      <c r="L76" s="137">
        <f>K76*H76</f>
        <v>2299766.9491525423</v>
      </c>
    </row>
    <row r="77" spans="1:12" ht="38.25" x14ac:dyDescent="0.25">
      <c r="A77" s="116">
        <v>7</v>
      </c>
      <c r="B77" s="117">
        <v>5.22</v>
      </c>
      <c r="C77" s="182" t="s">
        <v>190</v>
      </c>
      <c r="D77" s="119"/>
      <c r="E77" s="120"/>
      <c r="F77" s="120"/>
      <c r="G77" s="120"/>
      <c r="H77" s="121"/>
      <c r="I77" s="122"/>
      <c r="J77" s="121"/>
      <c r="K77" s="135">
        <f>J77*100/118</f>
        <v>0</v>
      </c>
      <c r="L77" s="137">
        <f>K77*H77</f>
        <v>0</v>
      </c>
    </row>
    <row r="78" spans="1:12" x14ac:dyDescent="0.25">
      <c r="A78" s="124"/>
      <c r="B78" s="125"/>
      <c r="C78" s="183" t="s">
        <v>191</v>
      </c>
      <c r="D78" s="133"/>
      <c r="E78" s="134">
        <f>H76</f>
        <v>300</v>
      </c>
      <c r="F78" s="134"/>
      <c r="G78" s="134"/>
      <c r="H78" s="135"/>
      <c r="I78" s="136"/>
      <c r="J78" s="135"/>
      <c r="K78" s="135">
        <f t="shared" ref="K78:K104" si="2">J78*100/118</f>
        <v>0</v>
      </c>
      <c r="L78" s="137">
        <f t="shared" ref="L78:L103" si="3">K78*H78</f>
        <v>0</v>
      </c>
    </row>
    <row r="79" spans="1:12" x14ac:dyDescent="0.25">
      <c r="A79" s="124"/>
      <c r="B79" s="125"/>
      <c r="C79" s="183" t="s">
        <v>192</v>
      </c>
      <c r="D79" s="133">
        <v>120</v>
      </c>
      <c r="E79" s="134"/>
      <c r="F79" s="137" t="s">
        <v>91</v>
      </c>
      <c r="G79" s="134"/>
      <c r="H79" s="135">
        <f>SUM(E78*D79)</f>
        <v>36000</v>
      </c>
      <c r="I79" s="136"/>
      <c r="J79" s="135"/>
      <c r="K79" s="135">
        <f t="shared" si="2"/>
        <v>0</v>
      </c>
      <c r="L79" s="137">
        <f t="shared" si="3"/>
        <v>0</v>
      </c>
    </row>
    <row r="80" spans="1:12" x14ac:dyDescent="0.25">
      <c r="A80" s="139"/>
      <c r="B80" s="140" t="s">
        <v>193</v>
      </c>
      <c r="C80" s="184" t="s">
        <v>194</v>
      </c>
      <c r="D80" s="142"/>
      <c r="E80" s="143"/>
      <c r="F80" s="143"/>
      <c r="G80" s="185" t="s">
        <v>91</v>
      </c>
      <c r="H80" s="144">
        <f>SUM(H79)</f>
        <v>36000</v>
      </c>
      <c r="I80" s="141" t="s">
        <v>195</v>
      </c>
      <c r="J80" s="145">
        <v>107.85</v>
      </c>
      <c r="K80" s="135">
        <f t="shared" si="2"/>
        <v>91.398305084745758</v>
      </c>
      <c r="L80" s="137">
        <f t="shared" si="3"/>
        <v>3290338.9830508474</v>
      </c>
    </row>
    <row r="81" spans="1:18" ht="28.5" customHeight="1" x14ac:dyDescent="0.25">
      <c r="A81" s="116">
        <v>8</v>
      </c>
      <c r="B81" s="117">
        <v>5.9</v>
      </c>
      <c r="C81" s="182" t="s">
        <v>196</v>
      </c>
      <c r="D81" s="119"/>
      <c r="E81" s="120"/>
      <c r="F81" s="120"/>
      <c r="G81" s="120"/>
      <c r="H81" s="121"/>
      <c r="I81" s="122"/>
      <c r="J81" s="121"/>
      <c r="K81" s="135">
        <f t="shared" si="2"/>
        <v>0</v>
      </c>
      <c r="L81" s="137">
        <f t="shared" si="3"/>
        <v>0</v>
      </c>
    </row>
    <row r="82" spans="1:18" ht="14.25" customHeight="1" x14ac:dyDescent="0.25">
      <c r="A82" s="124"/>
      <c r="B82" s="186" t="s">
        <v>197</v>
      </c>
      <c r="C82" s="187" t="s">
        <v>615</v>
      </c>
      <c r="D82" s="133"/>
      <c r="E82" s="134"/>
      <c r="F82" s="134"/>
      <c r="G82" s="134"/>
      <c r="H82" s="135"/>
      <c r="I82" s="136"/>
      <c r="J82" s="135"/>
      <c r="K82" s="135">
        <f t="shared" si="2"/>
        <v>0</v>
      </c>
      <c r="L82" s="137">
        <f t="shared" si="3"/>
        <v>0</v>
      </c>
    </row>
    <row r="83" spans="1:18" x14ac:dyDescent="0.25">
      <c r="A83" s="124"/>
      <c r="B83" s="188"/>
      <c r="C83" s="132" t="s">
        <v>113</v>
      </c>
      <c r="D83" s="133">
        <f t="shared" ref="D83:D88" si="4">D41</f>
        <v>18</v>
      </c>
      <c r="E83" s="134">
        <f t="shared" ref="E83:E88" si="5">2*(E41+F41)</f>
        <v>10</v>
      </c>
      <c r="F83" s="180"/>
      <c r="G83" s="134">
        <v>0.15</v>
      </c>
      <c r="H83" s="135">
        <f t="shared" ref="H83:H88" si="6">G83*E83*D83</f>
        <v>27</v>
      </c>
      <c r="I83" s="136"/>
      <c r="J83" s="135"/>
      <c r="K83" s="135">
        <f t="shared" si="2"/>
        <v>0</v>
      </c>
      <c r="L83" s="137">
        <f t="shared" si="3"/>
        <v>0</v>
      </c>
      <c r="M83" s="189"/>
      <c r="N83" s="114"/>
      <c r="O83" s="107"/>
      <c r="P83" s="107"/>
      <c r="Q83" s="107"/>
    </row>
    <row r="84" spans="1:18" x14ac:dyDescent="0.25">
      <c r="A84" s="124"/>
      <c r="B84" s="188"/>
      <c r="C84" s="132" t="s">
        <v>137</v>
      </c>
      <c r="D84" s="133">
        <f t="shared" si="4"/>
        <v>18</v>
      </c>
      <c r="E84" s="134">
        <f t="shared" si="5"/>
        <v>2.4</v>
      </c>
      <c r="F84" s="134"/>
      <c r="G84" s="134">
        <v>0.15</v>
      </c>
      <c r="H84" s="135">
        <f t="shared" si="6"/>
        <v>6.4799999999999995</v>
      </c>
      <c r="I84" s="136"/>
      <c r="J84" s="135"/>
      <c r="K84" s="135">
        <f t="shared" si="2"/>
        <v>0</v>
      </c>
      <c r="L84" s="137">
        <f t="shared" si="3"/>
        <v>0</v>
      </c>
      <c r="M84" s="189"/>
      <c r="N84" s="114"/>
      <c r="O84" s="107"/>
      <c r="P84" s="107"/>
      <c r="Q84" s="107"/>
    </row>
    <row r="85" spans="1:18" x14ac:dyDescent="0.25">
      <c r="A85" s="124"/>
      <c r="B85" s="188"/>
      <c r="C85" s="132" t="s">
        <v>114</v>
      </c>
      <c r="D85" s="133">
        <f t="shared" si="4"/>
        <v>14</v>
      </c>
      <c r="E85" s="134">
        <f t="shared" si="5"/>
        <v>11.4</v>
      </c>
      <c r="F85" s="180"/>
      <c r="G85" s="134">
        <v>0.15</v>
      </c>
      <c r="H85" s="135">
        <f t="shared" si="6"/>
        <v>23.939999999999998</v>
      </c>
      <c r="I85" s="136"/>
      <c r="J85" s="135"/>
      <c r="K85" s="135">
        <f t="shared" si="2"/>
        <v>0</v>
      </c>
      <c r="L85" s="137">
        <f t="shared" si="3"/>
        <v>0</v>
      </c>
      <c r="M85" s="189"/>
      <c r="N85" s="114"/>
      <c r="O85" s="107"/>
      <c r="P85" s="107"/>
      <c r="Q85" s="107"/>
    </row>
    <row r="86" spans="1:18" x14ac:dyDescent="0.25">
      <c r="A86" s="124"/>
      <c r="B86" s="188"/>
      <c r="C86" s="132" t="s">
        <v>137</v>
      </c>
      <c r="D86" s="133">
        <f t="shared" si="4"/>
        <v>14</v>
      </c>
      <c r="E86" s="134">
        <f t="shared" si="5"/>
        <v>2.4</v>
      </c>
      <c r="F86" s="180"/>
      <c r="G86" s="134">
        <v>0.15</v>
      </c>
      <c r="H86" s="135">
        <f t="shared" si="6"/>
        <v>5.04</v>
      </c>
      <c r="I86" s="136"/>
      <c r="J86" s="135"/>
      <c r="K86" s="135">
        <f t="shared" si="2"/>
        <v>0</v>
      </c>
      <c r="L86" s="137">
        <f t="shared" si="3"/>
        <v>0</v>
      </c>
      <c r="M86" s="189"/>
      <c r="N86" s="114"/>
      <c r="O86" s="107"/>
      <c r="P86" s="107"/>
      <c r="Q86" s="107"/>
    </row>
    <row r="87" spans="1:18" x14ac:dyDescent="0.25">
      <c r="A87" s="124"/>
      <c r="B87" s="188"/>
      <c r="C87" s="132" t="s">
        <v>115</v>
      </c>
      <c r="D87" s="133">
        <f t="shared" si="4"/>
        <v>15</v>
      </c>
      <c r="E87" s="134">
        <f t="shared" si="5"/>
        <v>13.600000000000001</v>
      </c>
      <c r="F87" s="180"/>
      <c r="G87" s="134">
        <v>0.15</v>
      </c>
      <c r="H87" s="135">
        <f t="shared" si="6"/>
        <v>30.6</v>
      </c>
      <c r="I87" s="136"/>
      <c r="J87" s="135"/>
      <c r="K87" s="135">
        <f t="shared" si="2"/>
        <v>0</v>
      </c>
      <c r="L87" s="137">
        <f t="shared" si="3"/>
        <v>0</v>
      </c>
      <c r="M87" s="189"/>
      <c r="N87" s="114"/>
      <c r="O87" s="107"/>
      <c r="P87" s="107"/>
      <c r="Q87" s="107"/>
    </row>
    <row r="88" spans="1:18" x14ac:dyDescent="0.25">
      <c r="A88" s="124"/>
      <c r="B88" s="188"/>
      <c r="C88" s="132" t="s">
        <v>137</v>
      </c>
      <c r="D88" s="133">
        <f t="shared" si="4"/>
        <v>15</v>
      </c>
      <c r="E88" s="134">
        <f t="shared" si="5"/>
        <v>2.4</v>
      </c>
      <c r="F88" s="180"/>
      <c r="G88" s="134">
        <v>0.15</v>
      </c>
      <c r="H88" s="135">
        <f t="shared" si="6"/>
        <v>5.3999999999999995</v>
      </c>
      <c r="I88" s="136"/>
      <c r="J88" s="135"/>
      <c r="K88" s="135">
        <f t="shared" si="2"/>
        <v>0</v>
      </c>
      <c r="L88" s="137">
        <f t="shared" si="3"/>
        <v>0</v>
      </c>
      <c r="M88" s="189"/>
      <c r="N88" s="114"/>
      <c r="O88" s="107"/>
      <c r="P88" s="107"/>
      <c r="Q88" s="107"/>
    </row>
    <row r="89" spans="1:18" x14ac:dyDescent="0.25">
      <c r="A89" s="124"/>
      <c r="B89" s="186"/>
      <c r="C89" s="136" t="s">
        <v>117</v>
      </c>
      <c r="D89" s="133"/>
      <c r="E89" s="134"/>
      <c r="F89" s="180"/>
      <c r="G89" s="134"/>
      <c r="H89" s="190">
        <v>95</v>
      </c>
      <c r="I89" s="136" t="s">
        <v>128</v>
      </c>
      <c r="J89" s="135">
        <v>392.15</v>
      </c>
      <c r="K89" s="135">
        <f t="shared" si="2"/>
        <v>332.33050847457628</v>
      </c>
      <c r="L89" s="137">
        <f t="shared" si="3"/>
        <v>31571.398305084746</v>
      </c>
    </row>
    <row r="90" spans="1:18" x14ac:dyDescent="0.25">
      <c r="A90" s="124"/>
      <c r="B90" s="186" t="s">
        <v>199</v>
      </c>
      <c r="C90" s="191" t="s">
        <v>200</v>
      </c>
      <c r="D90" s="133"/>
      <c r="E90" s="134"/>
      <c r="F90" s="134"/>
      <c r="G90" s="134"/>
      <c r="H90" s="135"/>
      <c r="I90" s="136"/>
      <c r="J90" s="135"/>
      <c r="K90" s="135">
        <f t="shared" si="2"/>
        <v>0</v>
      </c>
      <c r="L90" s="137">
        <f t="shared" si="3"/>
        <v>0</v>
      </c>
    </row>
    <row r="91" spans="1:18" x14ac:dyDescent="0.25">
      <c r="A91" s="124"/>
      <c r="B91" s="186"/>
      <c r="C91" s="132" t="s">
        <v>201</v>
      </c>
      <c r="D91" s="133">
        <v>1</v>
      </c>
      <c r="E91" s="134">
        <f>E74</f>
        <v>289.25000000000006</v>
      </c>
      <c r="F91" s="134"/>
      <c r="G91" s="134">
        <f>0.5 * 2</f>
        <v>1</v>
      </c>
      <c r="H91" s="135">
        <f>G91*E91*D91</f>
        <v>289.25000000000006</v>
      </c>
      <c r="I91" s="136"/>
      <c r="J91" s="135"/>
      <c r="K91" s="135">
        <f t="shared" si="2"/>
        <v>0</v>
      </c>
      <c r="L91" s="137">
        <f t="shared" si="3"/>
        <v>0</v>
      </c>
      <c r="M91" s="189"/>
      <c r="N91" s="114"/>
      <c r="O91" s="107"/>
      <c r="P91" s="107"/>
      <c r="Q91" s="107"/>
      <c r="R91" s="108"/>
    </row>
    <row r="92" spans="1:18" x14ac:dyDescent="0.25">
      <c r="A92" s="124"/>
      <c r="B92" s="186"/>
      <c r="C92" s="136" t="s">
        <v>117</v>
      </c>
      <c r="D92" s="133"/>
      <c r="E92" s="134"/>
      <c r="F92" s="134"/>
      <c r="G92" s="134"/>
      <c r="H92" s="190">
        <v>290</v>
      </c>
      <c r="I92" s="136" t="s">
        <v>128</v>
      </c>
      <c r="J92" s="135">
        <v>736.4</v>
      </c>
      <c r="K92" s="135">
        <f t="shared" si="2"/>
        <v>624.06779661016947</v>
      </c>
      <c r="L92" s="137">
        <f t="shared" si="3"/>
        <v>180979.66101694913</v>
      </c>
    </row>
    <row r="93" spans="1:18" x14ac:dyDescent="0.25">
      <c r="A93" s="124"/>
      <c r="B93" s="186" t="s">
        <v>203</v>
      </c>
      <c r="C93" s="191" t="s">
        <v>204</v>
      </c>
      <c r="D93" s="133"/>
      <c r="E93" s="134"/>
      <c r="F93" s="134"/>
      <c r="G93" s="134"/>
      <c r="H93" s="135"/>
      <c r="I93" s="136"/>
      <c r="J93" s="135"/>
      <c r="K93" s="135">
        <f t="shared" si="2"/>
        <v>0</v>
      </c>
      <c r="L93" s="137">
        <f t="shared" si="3"/>
        <v>0</v>
      </c>
    </row>
    <row r="94" spans="1:18" x14ac:dyDescent="0.25">
      <c r="A94" s="124"/>
      <c r="B94" s="186"/>
      <c r="C94" s="132" t="s">
        <v>139</v>
      </c>
      <c r="D94" s="133">
        <f>D48</f>
        <v>18</v>
      </c>
      <c r="E94" s="134">
        <f>2*(E48+F48)</f>
        <v>1.7999999999999998</v>
      </c>
      <c r="F94" s="134"/>
      <c r="G94" s="134">
        <f>G48</f>
        <v>0.89999999999999991</v>
      </c>
      <c r="H94" s="135">
        <f>G94*E94*D94</f>
        <v>29.159999999999993</v>
      </c>
      <c r="I94" s="136"/>
      <c r="J94" s="135"/>
      <c r="K94" s="135">
        <f t="shared" si="2"/>
        <v>0</v>
      </c>
      <c r="L94" s="137">
        <f t="shared" si="3"/>
        <v>0</v>
      </c>
    </row>
    <row r="95" spans="1:18" x14ac:dyDescent="0.25">
      <c r="A95" s="124"/>
      <c r="B95" s="186"/>
      <c r="C95" s="132" t="s">
        <v>140</v>
      </c>
      <c r="D95" s="133">
        <f>D49</f>
        <v>14</v>
      </c>
      <c r="E95" s="134">
        <f>2*(E49+F49)</f>
        <v>1.7999999999999998</v>
      </c>
      <c r="F95" s="134"/>
      <c r="G95" s="134">
        <f>G49</f>
        <v>0.79999999999999993</v>
      </c>
      <c r="H95" s="135">
        <f>G95*E95*D95</f>
        <v>20.159999999999997</v>
      </c>
      <c r="I95" s="136"/>
      <c r="J95" s="135"/>
      <c r="K95" s="135">
        <f t="shared" si="2"/>
        <v>0</v>
      </c>
      <c r="L95" s="137">
        <f t="shared" si="3"/>
        <v>0</v>
      </c>
    </row>
    <row r="96" spans="1:18" x14ac:dyDescent="0.25">
      <c r="A96" s="124"/>
      <c r="B96" s="186"/>
      <c r="C96" s="132" t="s">
        <v>597</v>
      </c>
      <c r="D96" s="133">
        <f>D50</f>
        <v>15</v>
      </c>
      <c r="E96" s="134">
        <f>2*(E50+F50)</f>
        <v>1.7999999999999998</v>
      </c>
      <c r="F96" s="134"/>
      <c r="G96" s="134">
        <f>G50</f>
        <v>0.64999999999999991</v>
      </c>
      <c r="H96" s="135">
        <f>G96*E96*D96</f>
        <v>17.549999999999997</v>
      </c>
      <c r="I96" s="136"/>
      <c r="J96" s="135"/>
      <c r="K96" s="135">
        <f t="shared" si="2"/>
        <v>0</v>
      </c>
      <c r="L96" s="137">
        <f t="shared" si="3"/>
        <v>0</v>
      </c>
    </row>
    <row r="97" spans="1:12" x14ac:dyDescent="0.25">
      <c r="A97" s="124"/>
      <c r="B97" s="186"/>
      <c r="C97" s="132" t="s">
        <v>141</v>
      </c>
      <c r="D97" s="133">
        <v>1</v>
      </c>
      <c r="E97" s="134">
        <f xml:space="preserve"> E51*2</f>
        <v>20.6</v>
      </c>
      <c r="F97" s="134"/>
      <c r="G97" s="134">
        <f>G51</f>
        <v>1.1999999999999997</v>
      </c>
      <c r="H97" s="135">
        <f>G97*E97*D97</f>
        <v>24.719999999999995</v>
      </c>
      <c r="I97" s="136"/>
      <c r="J97" s="135"/>
      <c r="K97" s="135">
        <f t="shared" si="2"/>
        <v>0</v>
      </c>
      <c r="L97" s="137">
        <f t="shared" si="3"/>
        <v>0</v>
      </c>
    </row>
    <row r="98" spans="1:12" x14ac:dyDescent="0.25">
      <c r="A98" s="124"/>
      <c r="B98" s="186"/>
      <c r="C98" s="136" t="s">
        <v>117</v>
      </c>
      <c r="D98" s="133"/>
      <c r="E98" s="134"/>
      <c r="F98" s="134"/>
      <c r="G98" s="134"/>
      <c r="H98" s="190">
        <v>90</v>
      </c>
      <c r="I98" s="136" t="s">
        <v>128</v>
      </c>
      <c r="J98" s="135">
        <v>961.3</v>
      </c>
      <c r="K98" s="135">
        <f t="shared" si="2"/>
        <v>814.66101694915255</v>
      </c>
      <c r="L98" s="137">
        <f t="shared" si="3"/>
        <v>73319.491525423728</v>
      </c>
    </row>
    <row r="99" spans="1:12" x14ac:dyDescent="0.25">
      <c r="A99" s="124"/>
      <c r="B99" s="186" t="s">
        <v>205</v>
      </c>
      <c r="C99" s="132" t="s">
        <v>206</v>
      </c>
      <c r="D99" s="133"/>
      <c r="E99" s="134"/>
      <c r="F99" s="134"/>
      <c r="G99" s="134"/>
      <c r="H99" s="190"/>
      <c r="I99" s="136"/>
      <c r="J99" s="135"/>
      <c r="K99" s="135">
        <f t="shared" si="2"/>
        <v>0</v>
      </c>
      <c r="L99" s="137">
        <f t="shared" si="3"/>
        <v>0</v>
      </c>
    </row>
    <row r="100" spans="1:12" x14ac:dyDescent="0.25">
      <c r="A100" s="124"/>
      <c r="B100" s="186"/>
      <c r="C100" s="132" t="s">
        <v>189</v>
      </c>
      <c r="D100" s="133"/>
      <c r="E100" s="134">
        <f>E74</f>
        <v>289.25000000000006</v>
      </c>
      <c r="F100" s="134"/>
      <c r="G100" s="134">
        <v>0.15</v>
      </c>
      <c r="H100" s="190">
        <f>SUM(G100*E100)</f>
        <v>43.38750000000001</v>
      </c>
      <c r="I100" s="136"/>
      <c r="J100" s="135"/>
      <c r="K100" s="135">
        <f t="shared" si="2"/>
        <v>0</v>
      </c>
      <c r="L100" s="137">
        <f t="shared" si="3"/>
        <v>0</v>
      </c>
    </row>
    <row r="101" spans="1:12" x14ac:dyDescent="0.25">
      <c r="A101" s="139"/>
      <c r="B101" s="186"/>
      <c r="C101" s="136" t="s">
        <v>207</v>
      </c>
      <c r="D101" s="133"/>
      <c r="E101" s="134"/>
      <c r="F101" s="134"/>
      <c r="G101" s="134"/>
      <c r="H101" s="190">
        <v>42</v>
      </c>
      <c r="I101" s="136" t="s">
        <v>208</v>
      </c>
      <c r="J101" s="135">
        <v>392.15</v>
      </c>
      <c r="K101" s="135">
        <f t="shared" si="2"/>
        <v>332.33050847457628</v>
      </c>
      <c r="L101" s="137">
        <f t="shared" si="3"/>
        <v>13957.881355932204</v>
      </c>
    </row>
    <row r="102" spans="1:12" ht="25.5" x14ac:dyDescent="0.25">
      <c r="A102" s="116">
        <v>9</v>
      </c>
      <c r="B102" s="117">
        <v>6.1</v>
      </c>
      <c r="C102" s="192" t="s">
        <v>209</v>
      </c>
      <c r="D102" s="119"/>
      <c r="E102" s="120"/>
      <c r="F102" s="120"/>
      <c r="G102" s="193"/>
      <c r="H102" s="174"/>
      <c r="I102" s="122"/>
      <c r="J102" s="121"/>
      <c r="K102" s="135">
        <f t="shared" si="2"/>
        <v>0</v>
      </c>
      <c r="L102" s="137">
        <f t="shared" si="3"/>
        <v>0</v>
      </c>
    </row>
    <row r="103" spans="1:12" ht="24.95" customHeight="1" x14ac:dyDescent="0.25">
      <c r="A103" s="124"/>
      <c r="B103" s="186" t="s">
        <v>210</v>
      </c>
      <c r="C103" s="183" t="s">
        <v>211</v>
      </c>
      <c r="D103" s="133"/>
      <c r="E103" s="134">
        <f>E74</f>
        <v>289.25000000000006</v>
      </c>
      <c r="F103" s="134">
        <v>0.25</v>
      </c>
      <c r="G103" s="135">
        <v>7.4999999999999997E-2</v>
      </c>
      <c r="H103" s="190">
        <f>SUM(E103*F103*G103)</f>
        <v>5.4234375000000012</v>
      </c>
      <c r="I103" s="136" t="s">
        <v>91</v>
      </c>
      <c r="J103" s="135" t="s">
        <v>91</v>
      </c>
      <c r="K103" s="135">
        <v>0</v>
      </c>
      <c r="L103" s="137">
        <f t="shared" si="3"/>
        <v>0</v>
      </c>
    </row>
    <row r="104" spans="1:12" x14ac:dyDescent="0.25">
      <c r="A104" s="139"/>
      <c r="B104" s="140"/>
      <c r="C104" s="141" t="s">
        <v>117</v>
      </c>
      <c r="D104" s="142"/>
      <c r="E104" s="143"/>
      <c r="F104" s="143"/>
      <c r="G104" s="185"/>
      <c r="H104" s="144">
        <v>5</v>
      </c>
      <c r="I104" s="141" t="s">
        <v>212</v>
      </c>
      <c r="J104" s="145">
        <v>7132.25</v>
      </c>
      <c r="K104" s="135">
        <f t="shared" si="2"/>
        <v>6044.2796610169489</v>
      </c>
      <c r="L104" s="137">
        <f>K104*H104</f>
        <v>30221.398305084746</v>
      </c>
    </row>
    <row r="105" spans="1:12" ht="18" customHeight="1" x14ac:dyDescent="0.25">
      <c r="A105" s="139"/>
      <c r="B105" s="140"/>
      <c r="C105" s="141" t="s">
        <v>616</v>
      </c>
      <c r="D105" s="142"/>
      <c r="E105" s="143"/>
      <c r="F105" s="143"/>
      <c r="G105" s="143"/>
      <c r="H105" s="144"/>
      <c r="I105" s="141"/>
      <c r="J105" s="386" t="s">
        <v>91</v>
      </c>
      <c r="K105" s="387"/>
      <c r="L105" s="388">
        <f>SUM(L7:L104)</f>
        <v>8125458.1355932206</v>
      </c>
    </row>
    <row r="106" spans="1:12" ht="12.75" customHeight="1" x14ac:dyDescent="0.25">
      <c r="C106" s="109"/>
      <c r="H106" s="200"/>
    </row>
  </sheetData>
  <sheetProtection algorithmName="SHA-512" hashValue="7Qe4XYIVomCF3EtEE2U4ktqG8iKX3YHe+A9Ge6hntDVU5Qzfv5swDlKjRFeY3Fj18jSpWE5WCNdHdRFRKWpmPg==" saltValue="S1p9Tvs4KmkJ926ZsZZMQw==" spinCount="100000" sheet="1" objects="1" scenarios="1" selectLockedCells="1" selectUnlockedCells="1"/>
  <mergeCells count="1">
    <mergeCell ref="A3:L3"/>
  </mergeCells>
  <pageMargins left="0.5" right="0.5" top="1" bottom="0.5" header="0.3" footer="0.3"/>
  <pageSetup scale="63" orientation="portrait" verticalDpi="30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55236-B2F3-4FD0-90C8-CFA921F51688}">
  <sheetPr>
    <tabColor indexed="38"/>
  </sheetPr>
  <dimension ref="A2:O293"/>
  <sheetViews>
    <sheetView view="pageBreakPreview" topLeftCell="A264" zoomScale="85" zoomScaleNormal="85" zoomScaleSheetLayoutView="85" workbookViewId="0">
      <selection activeCell="F15" sqref="F15"/>
    </sheetView>
  </sheetViews>
  <sheetFormatPr defaultRowHeight="12.75" x14ac:dyDescent="0.2"/>
  <cols>
    <col min="1" max="1" width="5.140625" style="90" customWidth="1"/>
    <col min="2" max="2" width="8.140625" style="90" customWidth="1"/>
    <col min="3" max="3" width="59.7109375" style="90" customWidth="1"/>
    <col min="4" max="4" width="5.140625" style="90" customWidth="1"/>
    <col min="5" max="5" width="6.5703125" style="90" customWidth="1"/>
    <col min="6" max="6" width="6.7109375" style="90" customWidth="1"/>
    <col min="7" max="7" width="7.5703125" style="90" customWidth="1"/>
    <col min="8" max="8" width="9.28515625" style="90" customWidth="1"/>
    <col min="9" max="9" width="6.140625" style="90" customWidth="1"/>
    <col min="10" max="11" width="10.42578125" style="202" customWidth="1"/>
    <col min="12" max="12" width="13.140625" style="203" customWidth="1"/>
    <col min="13" max="256" width="9.140625" style="90"/>
    <col min="257" max="257" width="5.140625" style="90" customWidth="1"/>
    <col min="258" max="258" width="8.140625" style="90" customWidth="1"/>
    <col min="259" max="259" width="59.7109375" style="90" customWidth="1"/>
    <col min="260" max="260" width="5.140625" style="90" customWidth="1"/>
    <col min="261" max="261" width="6.5703125" style="90" customWidth="1"/>
    <col min="262" max="262" width="6.7109375" style="90" customWidth="1"/>
    <col min="263" max="263" width="7.5703125" style="90" customWidth="1"/>
    <col min="264" max="264" width="9.28515625" style="90" customWidth="1"/>
    <col min="265" max="265" width="6.140625" style="90" customWidth="1"/>
    <col min="266" max="267" width="10.42578125" style="90" customWidth="1"/>
    <col min="268" max="268" width="13.140625" style="90" customWidth="1"/>
    <col min="269" max="512" width="9.140625" style="90"/>
    <col min="513" max="513" width="5.140625" style="90" customWidth="1"/>
    <col min="514" max="514" width="8.140625" style="90" customWidth="1"/>
    <col min="515" max="515" width="59.7109375" style="90" customWidth="1"/>
    <col min="516" max="516" width="5.140625" style="90" customWidth="1"/>
    <col min="517" max="517" width="6.5703125" style="90" customWidth="1"/>
    <col min="518" max="518" width="6.7109375" style="90" customWidth="1"/>
    <col min="519" max="519" width="7.5703125" style="90" customWidth="1"/>
    <col min="520" max="520" width="9.28515625" style="90" customWidth="1"/>
    <col min="521" max="521" width="6.140625" style="90" customWidth="1"/>
    <col min="522" max="523" width="10.42578125" style="90" customWidth="1"/>
    <col min="524" max="524" width="13.140625" style="90" customWidth="1"/>
    <col min="525" max="768" width="9.140625" style="90"/>
    <col min="769" max="769" width="5.140625" style="90" customWidth="1"/>
    <col min="770" max="770" width="8.140625" style="90" customWidth="1"/>
    <col min="771" max="771" width="59.7109375" style="90" customWidth="1"/>
    <col min="772" max="772" width="5.140625" style="90" customWidth="1"/>
    <col min="773" max="773" width="6.5703125" style="90" customWidth="1"/>
    <col min="774" max="774" width="6.7109375" style="90" customWidth="1"/>
    <col min="775" max="775" width="7.5703125" style="90" customWidth="1"/>
    <col min="776" max="776" width="9.28515625" style="90" customWidth="1"/>
    <col min="777" max="777" width="6.140625" style="90" customWidth="1"/>
    <col min="778" max="779" width="10.42578125" style="90" customWidth="1"/>
    <col min="780" max="780" width="13.140625" style="90" customWidth="1"/>
    <col min="781" max="1024" width="9.140625" style="90"/>
    <col min="1025" max="1025" width="5.140625" style="90" customWidth="1"/>
    <col min="1026" max="1026" width="8.140625" style="90" customWidth="1"/>
    <col min="1027" max="1027" width="59.7109375" style="90" customWidth="1"/>
    <col min="1028" max="1028" width="5.140625" style="90" customWidth="1"/>
    <col min="1029" max="1029" width="6.5703125" style="90" customWidth="1"/>
    <col min="1030" max="1030" width="6.7109375" style="90" customWidth="1"/>
    <col min="1031" max="1031" width="7.5703125" style="90" customWidth="1"/>
    <col min="1032" max="1032" width="9.28515625" style="90" customWidth="1"/>
    <col min="1033" max="1033" width="6.140625" style="90" customWidth="1"/>
    <col min="1034" max="1035" width="10.42578125" style="90" customWidth="1"/>
    <col min="1036" max="1036" width="13.140625" style="90" customWidth="1"/>
    <col min="1037" max="1280" width="9.140625" style="90"/>
    <col min="1281" max="1281" width="5.140625" style="90" customWidth="1"/>
    <col min="1282" max="1282" width="8.140625" style="90" customWidth="1"/>
    <col min="1283" max="1283" width="59.7109375" style="90" customWidth="1"/>
    <col min="1284" max="1284" width="5.140625" style="90" customWidth="1"/>
    <col min="1285" max="1285" width="6.5703125" style="90" customWidth="1"/>
    <col min="1286" max="1286" width="6.7109375" style="90" customWidth="1"/>
    <col min="1287" max="1287" width="7.5703125" style="90" customWidth="1"/>
    <col min="1288" max="1288" width="9.28515625" style="90" customWidth="1"/>
    <col min="1289" max="1289" width="6.140625" style="90" customWidth="1"/>
    <col min="1290" max="1291" width="10.42578125" style="90" customWidth="1"/>
    <col min="1292" max="1292" width="13.140625" style="90" customWidth="1"/>
    <col min="1293" max="1536" width="9.140625" style="90"/>
    <col min="1537" max="1537" width="5.140625" style="90" customWidth="1"/>
    <col min="1538" max="1538" width="8.140625" style="90" customWidth="1"/>
    <col min="1539" max="1539" width="59.7109375" style="90" customWidth="1"/>
    <col min="1540" max="1540" width="5.140625" style="90" customWidth="1"/>
    <col min="1541" max="1541" width="6.5703125" style="90" customWidth="1"/>
    <col min="1542" max="1542" width="6.7109375" style="90" customWidth="1"/>
    <col min="1543" max="1543" width="7.5703125" style="90" customWidth="1"/>
    <col min="1544" max="1544" width="9.28515625" style="90" customWidth="1"/>
    <col min="1545" max="1545" width="6.140625" style="90" customWidth="1"/>
    <col min="1546" max="1547" width="10.42578125" style="90" customWidth="1"/>
    <col min="1548" max="1548" width="13.140625" style="90" customWidth="1"/>
    <col min="1549" max="1792" width="9.140625" style="90"/>
    <col min="1793" max="1793" width="5.140625" style="90" customWidth="1"/>
    <col min="1794" max="1794" width="8.140625" style="90" customWidth="1"/>
    <col min="1795" max="1795" width="59.7109375" style="90" customWidth="1"/>
    <col min="1796" max="1796" width="5.140625" style="90" customWidth="1"/>
    <col min="1797" max="1797" width="6.5703125" style="90" customWidth="1"/>
    <col min="1798" max="1798" width="6.7109375" style="90" customWidth="1"/>
    <col min="1799" max="1799" width="7.5703125" style="90" customWidth="1"/>
    <col min="1800" max="1800" width="9.28515625" style="90" customWidth="1"/>
    <col min="1801" max="1801" width="6.140625" style="90" customWidth="1"/>
    <col min="1802" max="1803" width="10.42578125" style="90" customWidth="1"/>
    <col min="1804" max="1804" width="13.140625" style="90" customWidth="1"/>
    <col min="1805" max="2048" width="9.140625" style="90"/>
    <col min="2049" max="2049" width="5.140625" style="90" customWidth="1"/>
    <col min="2050" max="2050" width="8.140625" style="90" customWidth="1"/>
    <col min="2051" max="2051" width="59.7109375" style="90" customWidth="1"/>
    <col min="2052" max="2052" width="5.140625" style="90" customWidth="1"/>
    <col min="2053" max="2053" width="6.5703125" style="90" customWidth="1"/>
    <col min="2054" max="2054" width="6.7109375" style="90" customWidth="1"/>
    <col min="2055" max="2055" width="7.5703125" style="90" customWidth="1"/>
    <col min="2056" max="2056" width="9.28515625" style="90" customWidth="1"/>
    <col min="2057" max="2057" width="6.140625" style="90" customWidth="1"/>
    <col min="2058" max="2059" width="10.42578125" style="90" customWidth="1"/>
    <col min="2060" max="2060" width="13.140625" style="90" customWidth="1"/>
    <col min="2061" max="2304" width="9.140625" style="90"/>
    <col min="2305" max="2305" width="5.140625" style="90" customWidth="1"/>
    <col min="2306" max="2306" width="8.140625" style="90" customWidth="1"/>
    <col min="2307" max="2307" width="59.7109375" style="90" customWidth="1"/>
    <col min="2308" max="2308" width="5.140625" style="90" customWidth="1"/>
    <col min="2309" max="2309" width="6.5703125" style="90" customWidth="1"/>
    <col min="2310" max="2310" width="6.7109375" style="90" customWidth="1"/>
    <col min="2311" max="2311" width="7.5703125" style="90" customWidth="1"/>
    <col min="2312" max="2312" width="9.28515625" style="90" customWidth="1"/>
    <col min="2313" max="2313" width="6.140625" style="90" customWidth="1"/>
    <col min="2314" max="2315" width="10.42578125" style="90" customWidth="1"/>
    <col min="2316" max="2316" width="13.140625" style="90" customWidth="1"/>
    <col min="2317" max="2560" width="9.140625" style="90"/>
    <col min="2561" max="2561" width="5.140625" style="90" customWidth="1"/>
    <col min="2562" max="2562" width="8.140625" style="90" customWidth="1"/>
    <col min="2563" max="2563" width="59.7109375" style="90" customWidth="1"/>
    <col min="2564" max="2564" width="5.140625" style="90" customWidth="1"/>
    <col min="2565" max="2565" width="6.5703125" style="90" customWidth="1"/>
    <col min="2566" max="2566" width="6.7109375" style="90" customWidth="1"/>
    <col min="2567" max="2567" width="7.5703125" style="90" customWidth="1"/>
    <col min="2568" max="2568" width="9.28515625" style="90" customWidth="1"/>
    <col min="2569" max="2569" width="6.140625" style="90" customWidth="1"/>
    <col min="2570" max="2571" width="10.42578125" style="90" customWidth="1"/>
    <col min="2572" max="2572" width="13.140625" style="90" customWidth="1"/>
    <col min="2573" max="2816" width="9.140625" style="90"/>
    <col min="2817" max="2817" width="5.140625" style="90" customWidth="1"/>
    <col min="2818" max="2818" width="8.140625" style="90" customWidth="1"/>
    <col min="2819" max="2819" width="59.7109375" style="90" customWidth="1"/>
    <col min="2820" max="2820" width="5.140625" style="90" customWidth="1"/>
    <col min="2821" max="2821" width="6.5703125" style="90" customWidth="1"/>
    <col min="2822" max="2822" width="6.7109375" style="90" customWidth="1"/>
    <col min="2823" max="2823" width="7.5703125" style="90" customWidth="1"/>
    <col min="2824" max="2824" width="9.28515625" style="90" customWidth="1"/>
    <col min="2825" max="2825" width="6.140625" style="90" customWidth="1"/>
    <col min="2826" max="2827" width="10.42578125" style="90" customWidth="1"/>
    <col min="2828" max="2828" width="13.140625" style="90" customWidth="1"/>
    <col min="2829" max="3072" width="9.140625" style="90"/>
    <col min="3073" max="3073" width="5.140625" style="90" customWidth="1"/>
    <col min="3074" max="3074" width="8.140625" style="90" customWidth="1"/>
    <col min="3075" max="3075" width="59.7109375" style="90" customWidth="1"/>
    <col min="3076" max="3076" width="5.140625" style="90" customWidth="1"/>
    <col min="3077" max="3077" width="6.5703125" style="90" customWidth="1"/>
    <col min="3078" max="3078" width="6.7109375" style="90" customWidth="1"/>
    <col min="3079" max="3079" width="7.5703125" style="90" customWidth="1"/>
    <col min="3080" max="3080" width="9.28515625" style="90" customWidth="1"/>
    <col min="3081" max="3081" width="6.140625" style="90" customWidth="1"/>
    <col min="3082" max="3083" width="10.42578125" style="90" customWidth="1"/>
    <col min="3084" max="3084" width="13.140625" style="90" customWidth="1"/>
    <col min="3085" max="3328" width="9.140625" style="90"/>
    <col min="3329" max="3329" width="5.140625" style="90" customWidth="1"/>
    <col min="3330" max="3330" width="8.140625" style="90" customWidth="1"/>
    <col min="3331" max="3331" width="59.7109375" style="90" customWidth="1"/>
    <col min="3332" max="3332" width="5.140625" style="90" customWidth="1"/>
    <col min="3333" max="3333" width="6.5703125" style="90" customWidth="1"/>
    <col min="3334" max="3334" width="6.7109375" style="90" customWidth="1"/>
    <col min="3335" max="3335" width="7.5703125" style="90" customWidth="1"/>
    <col min="3336" max="3336" width="9.28515625" style="90" customWidth="1"/>
    <col min="3337" max="3337" width="6.140625" style="90" customWidth="1"/>
    <col min="3338" max="3339" width="10.42578125" style="90" customWidth="1"/>
    <col min="3340" max="3340" width="13.140625" style="90" customWidth="1"/>
    <col min="3341" max="3584" width="9.140625" style="90"/>
    <col min="3585" max="3585" width="5.140625" style="90" customWidth="1"/>
    <col min="3586" max="3586" width="8.140625" style="90" customWidth="1"/>
    <col min="3587" max="3587" width="59.7109375" style="90" customWidth="1"/>
    <col min="3588" max="3588" width="5.140625" style="90" customWidth="1"/>
    <col min="3589" max="3589" width="6.5703125" style="90" customWidth="1"/>
    <col min="3590" max="3590" width="6.7109375" style="90" customWidth="1"/>
    <col min="3591" max="3591" width="7.5703125" style="90" customWidth="1"/>
    <col min="3592" max="3592" width="9.28515625" style="90" customWidth="1"/>
    <col min="3593" max="3593" width="6.140625" style="90" customWidth="1"/>
    <col min="3594" max="3595" width="10.42578125" style="90" customWidth="1"/>
    <col min="3596" max="3596" width="13.140625" style="90" customWidth="1"/>
    <col min="3597" max="3840" width="9.140625" style="90"/>
    <col min="3841" max="3841" width="5.140625" style="90" customWidth="1"/>
    <col min="3842" max="3842" width="8.140625" style="90" customWidth="1"/>
    <col min="3843" max="3843" width="59.7109375" style="90" customWidth="1"/>
    <col min="3844" max="3844" width="5.140625" style="90" customWidth="1"/>
    <col min="3845" max="3845" width="6.5703125" style="90" customWidth="1"/>
    <col min="3846" max="3846" width="6.7109375" style="90" customWidth="1"/>
    <col min="3847" max="3847" width="7.5703125" style="90" customWidth="1"/>
    <col min="3848" max="3848" width="9.28515625" style="90" customWidth="1"/>
    <col min="3849" max="3849" width="6.140625" style="90" customWidth="1"/>
    <col min="3850" max="3851" width="10.42578125" style="90" customWidth="1"/>
    <col min="3852" max="3852" width="13.140625" style="90" customWidth="1"/>
    <col min="3853" max="4096" width="9.140625" style="90"/>
    <col min="4097" max="4097" width="5.140625" style="90" customWidth="1"/>
    <col min="4098" max="4098" width="8.140625" style="90" customWidth="1"/>
    <col min="4099" max="4099" width="59.7109375" style="90" customWidth="1"/>
    <col min="4100" max="4100" width="5.140625" style="90" customWidth="1"/>
    <col min="4101" max="4101" width="6.5703125" style="90" customWidth="1"/>
    <col min="4102" max="4102" width="6.7109375" style="90" customWidth="1"/>
    <col min="4103" max="4103" width="7.5703125" style="90" customWidth="1"/>
    <col min="4104" max="4104" width="9.28515625" style="90" customWidth="1"/>
    <col min="4105" max="4105" width="6.140625" style="90" customWidth="1"/>
    <col min="4106" max="4107" width="10.42578125" style="90" customWidth="1"/>
    <col min="4108" max="4108" width="13.140625" style="90" customWidth="1"/>
    <col min="4109" max="4352" width="9.140625" style="90"/>
    <col min="4353" max="4353" width="5.140625" style="90" customWidth="1"/>
    <col min="4354" max="4354" width="8.140625" style="90" customWidth="1"/>
    <col min="4355" max="4355" width="59.7109375" style="90" customWidth="1"/>
    <col min="4356" max="4356" width="5.140625" style="90" customWidth="1"/>
    <col min="4357" max="4357" width="6.5703125" style="90" customWidth="1"/>
    <col min="4358" max="4358" width="6.7109375" style="90" customWidth="1"/>
    <col min="4359" max="4359" width="7.5703125" style="90" customWidth="1"/>
    <col min="4360" max="4360" width="9.28515625" style="90" customWidth="1"/>
    <col min="4361" max="4361" width="6.140625" style="90" customWidth="1"/>
    <col min="4362" max="4363" width="10.42578125" style="90" customWidth="1"/>
    <col min="4364" max="4364" width="13.140625" style="90" customWidth="1"/>
    <col min="4365" max="4608" width="9.140625" style="90"/>
    <col min="4609" max="4609" width="5.140625" style="90" customWidth="1"/>
    <col min="4610" max="4610" width="8.140625" style="90" customWidth="1"/>
    <col min="4611" max="4611" width="59.7109375" style="90" customWidth="1"/>
    <col min="4612" max="4612" width="5.140625" style="90" customWidth="1"/>
    <col min="4613" max="4613" width="6.5703125" style="90" customWidth="1"/>
    <col min="4614" max="4614" width="6.7109375" style="90" customWidth="1"/>
    <col min="4615" max="4615" width="7.5703125" style="90" customWidth="1"/>
    <col min="4616" max="4616" width="9.28515625" style="90" customWidth="1"/>
    <col min="4617" max="4617" width="6.140625" style="90" customWidth="1"/>
    <col min="4618" max="4619" width="10.42578125" style="90" customWidth="1"/>
    <col min="4620" max="4620" width="13.140625" style="90" customWidth="1"/>
    <col min="4621" max="4864" width="9.140625" style="90"/>
    <col min="4865" max="4865" width="5.140625" style="90" customWidth="1"/>
    <col min="4866" max="4866" width="8.140625" style="90" customWidth="1"/>
    <col min="4867" max="4867" width="59.7109375" style="90" customWidth="1"/>
    <col min="4868" max="4868" width="5.140625" style="90" customWidth="1"/>
    <col min="4869" max="4869" width="6.5703125" style="90" customWidth="1"/>
    <col min="4870" max="4870" width="6.7109375" style="90" customWidth="1"/>
    <col min="4871" max="4871" width="7.5703125" style="90" customWidth="1"/>
    <col min="4872" max="4872" width="9.28515625" style="90" customWidth="1"/>
    <col min="4873" max="4873" width="6.140625" style="90" customWidth="1"/>
    <col min="4874" max="4875" width="10.42578125" style="90" customWidth="1"/>
    <col min="4876" max="4876" width="13.140625" style="90" customWidth="1"/>
    <col min="4877" max="5120" width="9.140625" style="90"/>
    <col min="5121" max="5121" width="5.140625" style="90" customWidth="1"/>
    <col min="5122" max="5122" width="8.140625" style="90" customWidth="1"/>
    <col min="5123" max="5123" width="59.7109375" style="90" customWidth="1"/>
    <col min="5124" max="5124" width="5.140625" style="90" customWidth="1"/>
    <col min="5125" max="5125" width="6.5703125" style="90" customWidth="1"/>
    <col min="5126" max="5126" width="6.7109375" style="90" customWidth="1"/>
    <col min="5127" max="5127" width="7.5703125" style="90" customWidth="1"/>
    <col min="5128" max="5128" width="9.28515625" style="90" customWidth="1"/>
    <col min="5129" max="5129" width="6.140625" style="90" customWidth="1"/>
    <col min="5130" max="5131" width="10.42578125" style="90" customWidth="1"/>
    <col min="5132" max="5132" width="13.140625" style="90" customWidth="1"/>
    <col min="5133" max="5376" width="9.140625" style="90"/>
    <col min="5377" max="5377" width="5.140625" style="90" customWidth="1"/>
    <col min="5378" max="5378" width="8.140625" style="90" customWidth="1"/>
    <col min="5379" max="5379" width="59.7109375" style="90" customWidth="1"/>
    <col min="5380" max="5380" width="5.140625" style="90" customWidth="1"/>
    <col min="5381" max="5381" width="6.5703125" style="90" customWidth="1"/>
    <col min="5382" max="5382" width="6.7109375" style="90" customWidth="1"/>
    <col min="5383" max="5383" width="7.5703125" style="90" customWidth="1"/>
    <col min="5384" max="5384" width="9.28515625" style="90" customWidth="1"/>
    <col min="5385" max="5385" width="6.140625" style="90" customWidth="1"/>
    <col min="5386" max="5387" width="10.42578125" style="90" customWidth="1"/>
    <col min="5388" max="5388" width="13.140625" style="90" customWidth="1"/>
    <col min="5389" max="5632" width="9.140625" style="90"/>
    <col min="5633" max="5633" width="5.140625" style="90" customWidth="1"/>
    <col min="5634" max="5634" width="8.140625" style="90" customWidth="1"/>
    <col min="5635" max="5635" width="59.7109375" style="90" customWidth="1"/>
    <col min="5636" max="5636" width="5.140625" style="90" customWidth="1"/>
    <col min="5637" max="5637" width="6.5703125" style="90" customWidth="1"/>
    <col min="5638" max="5638" width="6.7109375" style="90" customWidth="1"/>
    <col min="5639" max="5639" width="7.5703125" style="90" customWidth="1"/>
    <col min="5640" max="5640" width="9.28515625" style="90" customWidth="1"/>
    <col min="5641" max="5641" width="6.140625" style="90" customWidth="1"/>
    <col min="5642" max="5643" width="10.42578125" style="90" customWidth="1"/>
    <col min="5644" max="5644" width="13.140625" style="90" customWidth="1"/>
    <col min="5645" max="5888" width="9.140625" style="90"/>
    <col min="5889" max="5889" width="5.140625" style="90" customWidth="1"/>
    <col min="5890" max="5890" width="8.140625" style="90" customWidth="1"/>
    <col min="5891" max="5891" width="59.7109375" style="90" customWidth="1"/>
    <col min="5892" max="5892" width="5.140625" style="90" customWidth="1"/>
    <col min="5893" max="5893" width="6.5703125" style="90" customWidth="1"/>
    <col min="5894" max="5894" width="6.7109375" style="90" customWidth="1"/>
    <col min="5895" max="5895" width="7.5703125" style="90" customWidth="1"/>
    <col min="5896" max="5896" width="9.28515625" style="90" customWidth="1"/>
    <col min="5897" max="5897" width="6.140625" style="90" customWidth="1"/>
    <col min="5898" max="5899" width="10.42578125" style="90" customWidth="1"/>
    <col min="5900" max="5900" width="13.140625" style="90" customWidth="1"/>
    <col min="5901" max="6144" width="9.140625" style="90"/>
    <col min="6145" max="6145" width="5.140625" style="90" customWidth="1"/>
    <col min="6146" max="6146" width="8.140625" style="90" customWidth="1"/>
    <col min="6147" max="6147" width="59.7109375" style="90" customWidth="1"/>
    <col min="6148" max="6148" width="5.140625" style="90" customWidth="1"/>
    <col min="6149" max="6149" width="6.5703125" style="90" customWidth="1"/>
    <col min="6150" max="6150" width="6.7109375" style="90" customWidth="1"/>
    <col min="6151" max="6151" width="7.5703125" style="90" customWidth="1"/>
    <col min="6152" max="6152" width="9.28515625" style="90" customWidth="1"/>
    <col min="6153" max="6153" width="6.140625" style="90" customWidth="1"/>
    <col min="6154" max="6155" width="10.42578125" style="90" customWidth="1"/>
    <col min="6156" max="6156" width="13.140625" style="90" customWidth="1"/>
    <col min="6157" max="6400" width="9.140625" style="90"/>
    <col min="6401" max="6401" width="5.140625" style="90" customWidth="1"/>
    <col min="6402" max="6402" width="8.140625" style="90" customWidth="1"/>
    <col min="6403" max="6403" width="59.7109375" style="90" customWidth="1"/>
    <col min="6404" max="6404" width="5.140625" style="90" customWidth="1"/>
    <col min="6405" max="6405" width="6.5703125" style="90" customWidth="1"/>
    <col min="6406" max="6406" width="6.7109375" style="90" customWidth="1"/>
    <col min="6407" max="6407" width="7.5703125" style="90" customWidth="1"/>
    <col min="6408" max="6408" width="9.28515625" style="90" customWidth="1"/>
    <col min="6409" max="6409" width="6.140625" style="90" customWidth="1"/>
    <col min="6410" max="6411" width="10.42578125" style="90" customWidth="1"/>
    <col min="6412" max="6412" width="13.140625" style="90" customWidth="1"/>
    <col min="6413" max="6656" width="9.140625" style="90"/>
    <col min="6657" max="6657" width="5.140625" style="90" customWidth="1"/>
    <col min="6658" max="6658" width="8.140625" style="90" customWidth="1"/>
    <col min="6659" max="6659" width="59.7109375" style="90" customWidth="1"/>
    <col min="6660" max="6660" width="5.140625" style="90" customWidth="1"/>
    <col min="6661" max="6661" width="6.5703125" style="90" customWidth="1"/>
    <col min="6662" max="6662" width="6.7109375" style="90" customWidth="1"/>
    <col min="6663" max="6663" width="7.5703125" style="90" customWidth="1"/>
    <col min="6664" max="6664" width="9.28515625" style="90" customWidth="1"/>
    <col min="6665" max="6665" width="6.140625" style="90" customWidth="1"/>
    <col min="6666" max="6667" width="10.42578125" style="90" customWidth="1"/>
    <col min="6668" max="6668" width="13.140625" style="90" customWidth="1"/>
    <col min="6669" max="6912" width="9.140625" style="90"/>
    <col min="6913" max="6913" width="5.140625" style="90" customWidth="1"/>
    <col min="6914" max="6914" width="8.140625" style="90" customWidth="1"/>
    <col min="6915" max="6915" width="59.7109375" style="90" customWidth="1"/>
    <col min="6916" max="6916" width="5.140625" style="90" customWidth="1"/>
    <col min="6917" max="6917" width="6.5703125" style="90" customWidth="1"/>
    <col min="6918" max="6918" width="6.7109375" style="90" customWidth="1"/>
    <col min="6919" max="6919" width="7.5703125" style="90" customWidth="1"/>
    <col min="6920" max="6920" width="9.28515625" style="90" customWidth="1"/>
    <col min="6921" max="6921" width="6.140625" style="90" customWidth="1"/>
    <col min="6922" max="6923" width="10.42578125" style="90" customWidth="1"/>
    <col min="6924" max="6924" width="13.140625" style="90" customWidth="1"/>
    <col min="6925" max="7168" width="9.140625" style="90"/>
    <col min="7169" max="7169" width="5.140625" style="90" customWidth="1"/>
    <col min="7170" max="7170" width="8.140625" style="90" customWidth="1"/>
    <col min="7171" max="7171" width="59.7109375" style="90" customWidth="1"/>
    <col min="7172" max="7172" width="5.140625" style="90" customWidth="1"/>
    <col min="7173" max="7173" width="6.5703125" style="90" customWidth="1"/>
    <col min="7174" max="7174" width="6.7109375" style="90" customWidth="1"/>
    <col min="7175" max="7175" width="7.5703125" style="90" customWidth="1"/>
    <col min="7176" max="7176" width="9.28515625" style="90" customWidth="1"/>
    <col min="7177" max="7177" width="6.140625" style="90" customWidth="1"/>
    <col min="7178" max="7179" width="10.42578125" style="90" customWidth="1"/>
    <col min="7180" max="7180" width="13.140625" style="90" customWidth="1"/>
    <col min="7181" max="7424" width="9.140625" style="90"/>
    <col min="7425" max="7425" width="5.140625" style="90" customWidth="1"/>
    <col min="7426" max="7426" width="8.140625" style="90" customWidth="1"/>
    <col min="7427" max="7427" width="59.7109375" style="90" customWidth="1"/>
    <col min="7428" max="7428" width="5.140625" style="90" customWidth="1"/>
    <col min="7429" max="7429" width="6.5703125" style="90" customWidth="1"/>
    <col min="7430" max="7430" width="6.7109375" style="90" customWidth="1"/>
    <col min="7431" max="7431" width="7.5703125" style="90" customWidth="1"/>
    <col min="7432" max="7432" width="9.28515625" style="90" customWidth="1"/>
    <col min="7433" max="7433" width="6.140625" style="90" customWidth="1"/>
    <col min="7434" max="7435" width="10.42578125" style="90" customWidth="1"/>
    <col min="7436" max="7436" width="13.140625" style="90" customWidth="1"/>
    <col min="7437" max="7680" width="9.140625" style="90"/>
    <col min="7681" max="7681" width="5.140625" style="90" customWidth="1"/>
    <col min="7682" max="7682" width="8.140625" style="90" customWidth="1"/>
    <col min="7683" max="7683" width="59.7109375" style="90" customWidth="1"/>
    <col min="7684" max="7684" width="5.140625" style="90" customWidth="1"/>
    <col min="7685" max="7685" width="6.5703125" style="90" customWidth="1"/>
    <col min="7686" max="7686" width="6.7109375" style="90" customWidth="1"/>
    <col min="7687" max="7687" width="7.5703125" style="90" customWidth="1"/>
    <col min="7688" max="7688" width="9.28515625" style="90" customWidth="1"/>
    <col min="7689" max="7689" width="6.140625" style="90" customWidth="1"/>
    <col min="7690" max="7691" width="10.42578125" style="90" customWidth="1"/>
    <col min="7692" max="7692" width="13.140625" style="90" customWidth="1"/>
    <col min="7693" max="7936" width="9.140625" style="90"/>
    <col min="7937" max="7937" width="5.140625" style="90" customWidth="1"/>
    <col min="7938" max="7938" width="8.140625" style="90" customWidth="1"/>
    <col min="7939" max="7939" width="59.7109375" style="90" customWidth="1"/>
    <col min="7940" max="7940" width="5.140625" style="90" customWidth="1"/>
    <col min="7941" max="7941" width="6.5703125" style="90" customWidth="1"/>
    <col min="7942" max="7942" width="6.7109375" style="90" customWidth="1"/>
    <col min="7943" max="7943" width="7.5703125" style="90" customWidth="1"/>
    <col min="7944" max="7944" width="9.28515625" style="90" customWidth="1"/>
    <col min="7945" max="7945" width="6.140625" style="90" customWidth="1"/>
    <col min="7946" max="7947" width="10.42578125" style="90" customWidth="1"/>
    <col min="7948" max="7948" width="13.140625" style="90" customWidth="1"/>
    <col min="7949" max="8192" width="9.140625" style="90"/>
    <col min="8193" max="8193" width="5.140625" style="90" customWidth="1"/>
    <col min="8194" max="8194" width="8.140625" style="90" customWidth="1"/>
    <col min="8195" max="8195" width="59.7109375" style="90" customWidth="1"/>
    <col min="8196" max="8196" width="5.140625" style="90" customWidth="1"/>
    <col min="8197" max="8197" width="6.5703125" style="90" customWidth="1"/>
    <col min="8198" max="8198" width="6.7109375" style="90" customWidth="1"/>
    <col min="8199" max="8199" width="7.5703125" style="90" customWidth="1"/>
    <col min="8200" max="8200" width="9.28515625" style="90" customWidth="1"/>
    <col min="8201" max="8201" width="6.140625" style="90" customWidth="1"/>
    <col min="8202" max="8203" width="10.42578125" style="90" customWidth="1"/>
    <col min="8204" max="8204" width="13.140625" style="90" customWidth="1"/>
    <col min="8205" max="8448" width="9.140625" style="90"/>
    <col min="8449" max="8449" width="5.140625" style="90" customWidth="1"/>
    <col min="8450" max="8450" width="8.140625" style="90" customWidth="1"/>
    <col min="8451" max="8451" width="59.7109375" style="90" customWidth="1"/>
    <col min="8452" max="8452" width="5.140625" style="90" customWidth="1"/>
    <col min="8453" max="8453" width="6.5703125" style="90" customWidth="1"/>
    <col min="8454" max="8454" width="6.7109375" style="90" customWidth="1"/>
    <col min="8455" max="8455" width="7.5703125" style="90" customWidth="1"/>
    <col min="8456" max="8456" width="9.28515625" style="90" customWidth="1"/>
    <col min="8457" max="8457" width="6.140625" style="90" customWidth="1"/>
    <col min="8458" max="8459" width="10.42578125" style="90" customWidth="1"/>
    <col min="8460" max="8460" width="13.140625" style="90" customWidth="1"/>
    <col min="8461" max="8704" width="9.140625" style="90"/>
    <col min="8705" max="8705" width="5.140625" style="90" customWidth="1"/>
    <col min="8706" max="8706" width="8.140625" style="90" customWidth="1"/>
    <col min="8707" max="8707" width="59.7109375" style="90" customWidth="1"/>
    <col min="8708" max="8708" width="5.140625" style="90" customWidth="1"/>
    <col min="8709" max="8709" width="6.5703125" style="90" customWidth="1"/>
    <col min="8710" max="8710" width="6.7109375" style="90" customWidth="1"/>
    <col min="8711" max="8711" width="7.5703125" style="90" customWidth="1"/>
    <col min="8712" max="8712" width="9.28515625" style="90" customWidth="1"/>
    <col min="8713" max="8713" width="6.140625" style="90" customWidth="1"/>
    <col min="8714" max="8715" width="10.42578125" style="90" customWidth="1"/>
    <col min="8716" max="8716" width="13.140625" style="90" customWidth="1"/>
    <col min="8717" max="8960" width="9.140625" style="90"/>
    <col min="8961" max="8961" width="5.140625" style="90" customWidth="1"/>
    <col min="8962" max="8962" width="8.140625" style="90" customWidth="1"/>
    <col min="8963" max="8963" width="59.7109375" style="90" customWidth="1"/>
    <col min="8964" max="8964" width="5.140625" style="90" customWidth="1"/>
    <col min="8965" max="8965" width="6.5703125" style="90" customWidth="1"/>
    <col min="8966" max="8966" width="6.7109375" style="90" customWidth="1"/>
    <col min="8967" max="8967" width="7.5703125" style="90" customWidth="1"/>
    <col min="8968" max="8968" width="9.28515625" style="90" customWidth="1"/>
    <col min="8969" max="8969" width="6.140625" style="90" customWidth="1"/>
    <col min="8970" max="8971" width="10.42578125" style="90" customWidth="1"/>
    <col min="8972" max="8972" width="13.140625" style="90" customWidth="1"/>
    <col min="8973" max="9216" width="9.140625" style="90"/>
    <col min="9217" max="9217" width="5.140625" style="90" customWidth="1"/>
    <col min="9218" max="9218" width="8.140625" style="90" customWidth="1"/>
    <col min="9219" max="9219" width="59.7109375" style="90" customWidth="1"/>
    <col min="9220" max="9220" width="5.140625" style="90" customWidth="1"/>
    <col min="9221" max="9221" width="6.5703125" style="90" customWidth="1"/>
    <col min="9222" max="9222" width="6.7109375" style="90" customWidth="1"/>
    <col min="9223" max="9223" width="7.5703125" style="90" customWidth="1"/>
    <col min="9224" max="9224" width="9.28515625" style="90" customWidth="1"/>
    <col min="9225" max="9225" width="6.140625" style="90" customWidth="1"/>
    <col min="9226" max="9227" width="10.42578125" style="90" customWidth="1"/>
    <col min="9228" max="9228" width="13.140625" style="90" customWidth="1"/>
    <col min="9229" max="9472" width="9.140625" style="90"/>
    <col min="9473" max="9473" width="5.140625" style="90" customWidth="1"/>
    <col min="9474" max="9474" width="8.140625" style="90" customWidth="1"/>
    <col min="9475" max="9475" width="59.7109375" style="90" customWidth="1"/>
    <col min="9476" max="9476" width="5.140625" style="90" customWidth="1"/>
    <col min="9477" max="9477" width="6.5703125" style="90" customWidth="1"/>
    <col min="9478" max="9478" width="6.7109375" style="90" customWidth="1"/>
    <col min="9479" max="9479" width="7.5703125" style="90" customWidth="1"/>
    <col min="9480" max="9480" width="9.28515625" style="90" customWidth="1"/>
    <col min="9481" max="9481" width="6.140625" style="90" customWidth="1"/>
    <col min="9482" max="9483" width="10.42578125" style="90" customWidth="1"/>
    <col min="9484" max="9484" width="13.140625" style="90" customWidth="1"/>
    <col min="9485" max="9728" width="9.140625" style="90"/>
    <col min="9729" max="9729" width="5.140625" style="90" customWidth="1"/>
    <col min="9730" max="9730" width="8.140625" style="90" customWidth="1"/>
    <col min="9731" max="9731" width="59.7109375" style="90" customWidth="1"/>
    <col min="9732" max="9732" width="5.140625" style="90" customWidth="1"/>
    <col min="9733" max="9733" width="6.5703125" style="90" customWidth="1"/>
    <col min="9734" max="9734" width="6.7109375" style="90" customWidth="1"/>
    <col min="9735" max="9735" width="7.5703125" style="90" customWidth="1"/>
    <col min="9736" max="9736" width="9.28515625" style="90" customWidth="1"/>
    <col min="9737" max="9737" width="6.140625" style="90" customWidth="1"/>
    <col min="9738" max="9739" width="10.42578125" style="90" customWidth="1"/>
    <col min="9740" max="9740" width="13.140625" style="90" customWidth="1"/>
    <col min="9741" max="9984" width="9.140625" style="90"/>
    <col min="9985" max="9985" width="5.140625" style="90" customWidth="1"/>
    <col min="9986" max="9986" width="8.140625" style="90" customWidth="1"/>
    <col min="9987" max="9987" width="59.7109375" style="90" customWidth="1"/>
    <col min="9988" max="9988" width="5.140625" style="90" customWidth="1"/>
    <col min="9989" max="9989" width="6.5703125" style="90" customWidth="1"/>
    <col min="9990" max="9990" width="6.7109375" style="90" customWidth="1"/>
    <col min="9991" max="9991" width="7.5703125" style="90" customWidth="1"/>
    <col min="9992" max="9992" width="9.28515625" style="90" customWidth="1"/>
    <col min="9993" max="9993" width="6.140625" style="90" customWidth="1"/>
    <col min="9994" max="9995" width="10.42578125" style="90" customWidth="1"/>
    <col min="9996" max="9996" width="13.140625" style="90" customWidth="1"/>
    <col min="9997" max="10240" width="9.140625" style="90"/>
    <col min="10241" max="10241" width="5.140625" style="90" customWidth="1"/>
    <col min="10242" max="10242" width="8.140625" style="90" customWidth="1"/>
    <col min="10243" max="10243" width="59.7109375" style="90" customWidth="1"/>
    <col min="10244" max="10244" width="5.140625" style="90" customWidth="1"/>
    <col min="10245" max="10245" width="6.5703125" style="90" customWidth="1"/>
    <col min="10246" max="10246" width="6.7109375" style="90" customWidth="1"/>
    <col min="10247" max="10247" width="7.5703125" style="90" customWidth="1"/>
    <col min="10248" max="10248" width="9.28515625" style="90" customWidth="1"/>
    <col min="10249" max="10249" width="6.140625" style="90" customWidth="1"/>
    <col min="10250" max="10251" width="10.42578125" style="90" customWidth="1"/>
    <col min="10252" max="10252" width="13.140625" style="90" customWidth="1"/>
    <col min="10253" max="10496" width="9.140625" style="90"/>
    <col min="10497" max="10497" width="5.140625" style="90" customWidth="1"/>
    <col min="10498" max="10498" width="8.140625" style="90" customWidth="1"/>
    <col min="10499" max="10499" width="59.7109375" style="90" customWidth="1"/>
    <col min="10500" max="10500" width="5.140625" style="90" customWidth="1"/>
    <col min="10501" max="10501" width="6.5703125" style="90" customWidth="1"/>
    <col min="10502" max="10502" width="6.7109375" style="90" customWidth="1"/>
    <col min="10503" max="10503" width="7.5703125" style="90" customWidth="1"/>
    <col min="10504" max="10504" width="9.28515625" style="90" customWidth="1"/>
    <col min="10505" max="10505" width="6.140625" style="90" customWidth="1"/>
    <col min="10506" max="10507" width="10.42578125" style="90" customWidth="1"/>
    <col min="10508" max="10508" width="13.140625" style="90" customWidth="1"/>
    <col min="10509" max="10752" width="9.140625" style="90"/>
    <col min="10753" max="10753" width="5.140625" style="90" customWidth="1"/>
    <col min="10754" max="10754" width="8.140625" style="90" customWidth="1"/>
    <col min="10755" max="10755" width="59.7109375" style="90" customWidth="1"/>
    <col min="10756" max="10756" width="5.140625" style="90" customWidth="1"/>
    <col min="10757" max="10757" width="6.5703125" style="90" customWidth="1"/>
    <col min="10758" max="10758" width="6.7109375" style="90" customWidth="1"/>
    <col min="10759" max="10759" width="7.5703125" style="90" customWidth="1"/>
    <col min="10760" max="10760" width="9.28515625" style="90" customWidth="1"/>
    <col min="10761" max="10761" width="6.140625" style="90" customWidth="1"/>
    <col min="10762" max="10763" width="10.42578125" style="90" customWidth="1"/>
    <col min="10764" max="10764" width="13.140625" style="90" customWidth="1"/>
    <col min="10765" max="11008" width="9.140625" style="90"/>
    <col min="11009" max="11009" width="5.140625" style="90" customWidth="1"/>
    <col min="11010" max="11010" width="8.140625" style="90" customWidth="1"/>
    <col min="11011" max="11011" width="59.7109375" style="90" customWidth="1"/>
    <col min="11012" max="11012" width="5.140625" style="90" customWidth="1"/>
    <col min="11013" max="11013" width="6.5703125" style="90" customWidth="1"/>
    <col min="11014" max="11014" width="6.7109375" style="90" customWidth="1"/>
    <col min="11015" max="11015" width="7.5703125" style="90" customWidth="1"/>
    <col min="11016" max="11016" width="9.28515625" style="90" customWidth="1"/>
    <col min="11017" max="11017" width="6.140625" style="90" customWidth="1"/>
    <col min="11018" max="11019" width="10.42578125" style="90" customWidth="1"/>
    <col min="11020" max="11020" width="13.140625" style="90" customWidth="1"/>
    <col min="11021" max="11264" width="9.140625" style="90"/>
    <col min="11265" max="11265" width="5.140625" style="90" customWidth="1"/>
    <col min="11266" max="11266" width="8.140625" style="90" customWidth="1"/>
    <col min="11267" max="11267" width="59.7109375" style="90" customWidth="1"/>
    <col min="11268" max="11268" width="5.140625" style="90" customWidth="1"/>
    <col min="11269" max="11269" width="6.5703125" style="90" customWidth="1"/>
    <col min="11270" max="11270" width="6.7109375" style="90" customWidth="1"/>
    <col min="11271" max="11271" width="7.5703125" style="90" customWidth="1"/>
    <col min="11272" max="11272" width="9.28515625" style="90" customWidth="1"/>
    <col min="11273" max="11273" width="6.140625" style="90" customWidth="1"/>
    <col min="11274" max="11275" width="10.42578125" style="90" customWidth="1"/>
    <col min="11276" max="11276" width="13.140625" style="90" customWidth="1"/>
    <col min="11277" max="11520" width="9.140625" style="90"/>
    <col min="11521" max="11521" width="5.140625" style="90" customWidth="1"/>
    <col min="11522" max="11522" width="8.140625" style="90" customWidth="1"/>
    <col min="11523" max="11523" width="59.7109375" style="90" customWidth="1"/>
    <col min="11524" max="11524" width="5.140625" style="90" customWidth="1"/>
    <col min="11525" max="11525" width="6.5703125" style="90" customWidth="1"/>
    <col min="11526" max="11526" width="6.7109375" style="90" customWidth="1"/>
    <col min="11527" max="11527" width="7.5703125" style="90" customWidth="1"/>
    <col min="11528" max="11528" width="9.28515625" style="90" customWidth="1"/>
    <col min="11529" max="11529" width="6.140625" style="90" customWidth="1"/>
    <col min="11530" max="11531" width="10.42578125" style="90" customWidth="1"/>
    <col min="11532" max="11532" width="13.140625" style="90" customWidth="1"/>
    <col min="11533" max="11776" width="9.140625" style="90"/>
    <col min="11777" max="11777" width="5.140625" style="90" customWidth="1"/>
    <col min="11778" max="11778" width="8.140625" style="90" customWidth="1"/>
    <col min="11779" max="11779" width="59.7109375" style="90" customWidth="1"/>
    <col min="11780" max="11780" width="5.140625" style="90" customWidth="1"/>
    <col min="11781" max="11781" width="6.5703125" style="90" customWidth="1"/>
    <col min="11782" max="11782" width="6.7109375" style="90" customWidth="1"/>
    <col min="11783" max="11783" width="7.5703125" style="90" customWidth="1"/>
    <col min="11784" max="11784" width="9.28515625" style="90" customWidth="1"/>
    <col min="11785" max="11785" width="6.140625" style="90" customWidth="1"/>
    <col min="11786" max="11787" width="10.42578125" style="90" customWidth="1"/>
    <col min="11788" max="11788" width="13.140625" style="90" customWidth="1"/>
    <col min="11789" max="12032" width="9.140625" style="90"/>
    <col min="12033" max="12033" width="5.140625" style="90" customWidth="1"/>
    <col min="12034" max="12034" width="8.140625" style="90" customWidth="1"/>
    <col min="12035" max="12035" width="59.7109375" style="90" customWidth="1"/>
    <col min="12036" max="12036" width="5.140625" style="90" customWidth="1"/>
    <col min="12037" max="12037" width="6.5703125" style="90" customWidth="1"/>
    <col min="12038" max="12038" width="6.7109375" style="90" customWidth="1"/>
    <col min="12039" max="12039" width="7.5703125" style="90" customWidth="1"/>
    <col min="12040" max="12040" width="9.28515625" style="90" customWidth="1"/>
    <col min="12041" max="12041" width="6.140625" style="90" customWidth="1"/>
    <col min="12042" max="12043" width="10.42578125" style="90" customWidth="1"/>
    <col min="12044" max="12044" width="13.140625" style="90" customWidth="1"/>
    <col min="12045" max="12288" width="9.140625" style="90"/>
    <col min="12289" max="12289" width="5.140625" style="90" customWidth="1"/>
    <col min="12290" max="12290" width="8.140625" style="90" customWidth="1"/>
    <col min="12291" max="12291" width="59.7109375" style="90" customWidth="1"/>
    <col min="12292" max="12292" width="5.140625" style="90" customWidth="1"/>
    <col min="12293" max="12293" width="6.5703125" style="90" customWidth="1"/>
    <col min="12294" max="12294" width="6.7109375" style="90" customWidth="1"/>
    <col min="12295" max="12295" width="7.5703125" style="90" customWidth="1"/>
    <col min="12296" max="12296" width="9.28515625" style="90" customWidth="1"/>
    <col min="12297" max="12297" width="6.140625" style="90" customWidth="1"/>
    <col min="12298" max="12299" width="10.42578125" style="90" customWidth="1"/>
    <col min="12300" max="12300" width="13.140625" style="90" customWidth="1"/>
    <col min="12301" max="12544" width="9.140625" style="90"/>
    <col min="12545" max="12545" width="5.140625" style="90" customWidth="1"/>
    <col min="12546" max="12546" width="8.140625" style="90" customWidth="1"/>
    <col min="12547" max="12547" width="59.7109375" style="90" customWidth="1"/>
    <col min="12548" max="12548" width="5.140625" style="90" customWidth="1"/>
    <col min="12549" max="12549" width="6.5703125" style="90" customWidth="1"/>
    <col min="12550" max="12550" width="6.7109375" style="90" customWidth="1"/>
    <col min="12551" max="12551" width="7.5703125" style="90" customWidth="1"/>
    <col min="12552" max="12552" width="9.28515625" style="90" customWidth="1"/>
    <col min="12553" max="12553" width="6.140625" style="90" customWidth="1"/>
    <col min="12554" max="12555" width="10.42578125" style="90" customWidth="1"/>
    <col min="12556" max="12556" width="13.140625" style="90" customWidth="1"/>
    <col min="12557" max="12800" width="9.140625" style="90"/>
    <col min="12801" max="12801" width="5.140625" style="90" customWidth="1"/>
    <col min="12802" max="12802" width="8.140625" style="90" customWidth="1"/>
    <col min="12803" max="12803" width="59.7109375" style="90" customWidth="1"/>
    <col min="12804" max="12804" width="5.140625" style="90" customWidth="1"/>
    <col min="12805" max="12805" width="6.5703125" style="90" customWidth="1"/>
    <col min="12806" max="12806" width="6.7109375" style="90" customWidth="1"/>
    <col min="12807" max="12807" width="7.5703125" style="90" customWidth="1"/>
    <col min="12808" max="12808" width="9.28515625" style="90" customWidth="1"/>
    <col min="12809" max="12809" width="6.140625" style="90" customWidth="1"/>
    <col min="12810" max="12811" width="10.42578125" style="90" customWidth="1"/>
    <col min="12812" max="12812" width="13.140625" style="90" customWidth="1"/>
    <col min="12813" max="13056" width="9.140625" style="90"/>
    <col min="13057" max="13057" width="5.140625" style="90" customWidth="1"/>
    <col min="13058" max="13058" width="8.140625" style="90" customWidth="1"/>
    <col min="13059" max="13059" width="59.7109375" style="90" customWidth="1"/>
    <col min="13060" max="13060" width="5.140625" style="90" customWidth="1"/>
    <col min="13061" max="13061" width="6.5703125" style="90" customWidth="1"/>
    <col min="13062" max="13062" width="6.7109375" style="90" customWidth="1"/>
    <col min="13063" max="13063" width="7.5703125" style="90" customWidth="1"/>
    <col min="13064" max="13064" width="9.28515625" style="90" customWidth="1"/>
    <col min="13065" max="13065" width="6.140625" style="90" customWidth="1"/>
    <col min="13066" max="13067" width="10.42578125" style="90" customWidth="1"/>
    <col min="13068" max="13068" width="13.140625" style="90" customWidth="1"/>
    <col min="13069" max="13312" width="9.140625" style="90"/>
    <col min="13313" max="13313" width="5.140625" style="90" customWidth="1"/>
    <col min="13314" max="13314" width="8.140625" style="90" customWidth="1"/>
    <col min="13315" max="13315" width="59.7109375" style="90" customWidth="1"/>
    <col min="13316" max="13316" width="5.140625" style="90" customWidth="1"/>
    <col min="13317" max="13317" width="6.5703125" style="90" customWidth="1"/>
    <col min="13318" max="13318" width="6.7109375" style="90" customWidth="1"/>
    <col min="13319" max="13319" width="7.5703125" style="90" customWidth="1"/>
    <col min="13320" max="13320" width="9.28515625" style="90" customWidth="1"/>
    <col min="13321" max="13321" width="6.140625" style="90" customWidth="1"/>
    <col min="13322" max="13323" width="10.42578125" style="90" customWidth="1"/>
    <col min="13324" max="13324" width="13.140625" style="90" customWidth="1"/>
    <col min="13325" max="13568" width="9.140625" style="90"/>
    <col min="13569" max="13569" width="5.140625" style="90" customWidth="1"/>
    <col min="13570" max="13570" width="8.140625" style="90" customWidth="1"/>
    <col min="13571" max="13571" width="59.7109375" style="90" customWidth="1"/>
    <col min="13572" max="13572" width="5.140625" style="90" customWidth="1"/>
    <col min="13573" max="13573" width="6.5703125" style="90" customWidth="1"/>
    <col min="13574" max="13574" width="6.7109375" style="90" customWidth="1"/>
    <col min="13575" max="13575" width="7.5703125" style="90" customWidth="1"/>
    <col min="13576" max="13576" width="9.28515625" style="90" customWidth="1"/>
    <col min="13577" max="13577" width="6.140625" style="90" customWidth="1"/>
    <col min="13578" max="13579" width="10.42578125" style="90" customWidth="1"/>
    <col min="13580" max="13580" width="13.140625" style="90" customWidth="1"/>
    <col min="13581" max="13824" width="9.140625" style="90"/>
    <col min="13825" max="13825" width="5.140625" style="90" customWidth="1"/>
    <col min="13826" max="13826" width="8.140625" style="90" customWidth="1"/>
    <col min="13827" max="13827" width="59.7109375" style="90" customWidth="1"/>
    <col min="13828" max="13828" width="5.140625" style="90" customWidth="1"/>
    <col min="13829" max="13829" width="6.5703125" style="90" customWidth="1"/>
    <col min="13830" max="13830" width="6.7109375" style="90" customWidth="1"/>
    <col min="13831" max="13831" width="7.5703125" style="90" customWidth="1"/>
    <col min="13832" max="13832" width="9.28515625" style="90" customWidth="1"/>
    <col min="13833" max="13833" width="6.140625" style="90" customWidth="1"/>
    <col min="13834" max="13835" width="10.42578125" style="90" customWidth="1"/>
    <col min="13836" max="13836" width="13.140625" style="90" customWidth="1"/>
    <col min="13837" max="14080" width="9.140625" style="90"/>
    <col min="14081" max="14081" width="5.140625" style="90" customWidth="1"/>
    <col min="14082" max="14082" width="8.140625" style="90" customWidth="1"/>
    <col min="14083" max="14083" width="59.7109375" style="90" customWidth="1"/>
    <col min="14084" max="14084" width="5.140625" style="90" customWidth="1"/>
    <col min="14085" max="14085" width="6.5703125" style="90" customWidth="1"/>
    <col min="14086" max="14086" width="6.7109375" style="90" customWidth="1"/>
    <col min="14087" max="14087" width="7.5703125" style="90" customWidth="1"/>
    <col min="14088" max="14088" width="9.28515625" style="90" customWidth="1"/>
    <col min="14089" max="14089" width="6.140625" style="90" customWidth="1"/>
    <col min="14090" max="14091" width="10.42578125" style="90" customWidth="1"/>
    <col min="14092" max="14092" width="13.140625" style="90" customWidth="1"/>
    <col min="14093" max="14336" width="9.140625" style="90"/>
    <col min="14337" max="14337" width="5.140625" style="90" customWidth="1"/>
    <col min="14338" max="14338" width="8.140625" style="90" customWidth="1"/>
    <col min="14339" max="14339" width="59.7109375" style="90" customWidth="1"/>
    <col min="14340" max="14340" width="5.140625" style="90" customWidth="1"/>
    <col min="14341" max="14341" width="6.5703125" style="90" customWidth="1"/>
    <col min="14342" max="14342" width="6.7109375" style="90" customWidth="1"/>
    <col min="14343" max="14343" width="7.5703125" style="90" customWidth="1"/>
    <col min="14344" max="14344" width="9.28515625" style="90" customWidth="1"/>
    <col min="14345" max="14345" width="6.140625" style="90" customWidth="1"/>
    <col min="14346" max="14347" width="10.42578125" style="90" customWidth="1"/>
    <col min="14348" max="14348" width="13.140625" style="90" customWidth="1"/>
    <col min="14349" max="14592" width="9.140625" style="90"/>
    <col min="14593" max="14593" width="5.140625" style="90" customWidth="1"/>
    <col min="14594" max="14594" width="8.140625" style="90" customWidth="1"/>
    <col min="14595" max="14595" width="59.7109375" style="90" customWidth="1"/>
    <col min="14596" max="14596" width="5.140625" style="90" customWidth="1"/>
    <col min="14597" max="14597" width="6.5703125" style="90" customWidth="1"/>
    <col min="14598" max="14598" width="6.7109375" style="90" customWidth="1"/>
    <col min="14599" max="14599" width="7.5703125" style="90" customWidth="1"/>
    <col min="14600" max="14600" width="9.28515625" style="90" customWidth="1"/>
    <col min="14601" max="14601" width="6.140625" style="90" customWidth="1"/>
    <col min="14602" max="14603" width="10.42578125" style="90" customWidth="1"/>
    <col min="14604" max="14604" width="13.140625" style="90" customWidth="1"/>
    <col min="14605" max="14848" width="9.140625" style="90"/>
    <col min="14849" max="14849" width="5.140625" style="90" customWidth="1"/>
    <col min="14850" max="14850" width="8.140625" style="90" customWidth="1"/>
    <col min="14851" max="14851" width="59.7109375" style="90" customWidth="1"/>
    <col min="14852" max="14852" width="5.140625" style="90" customWidth="1"/>
    <col min="14853" max="14853" width="6.5703125" style="90" customWidth="1"/>
    <col min="14854" max="14854" width="6.7109375" style="90" customWidth="1"/>
    <col min="14855" max="14855" width="7.5703125" style="90" customWidth="1"/>
    <col min="14856" max="14856" width="9.28515625" style="90" customWidth="1"/>
    <col min="14857" max="14857" width="6.140625" style="90" customWidth="1"/>
    <col min="14858" max="14859" width="10.42578125" style="90" customWidth="1"/>
    <col min="14860" max="14860" width="13.140625" style="90" customWidth="1"/>
    <col min="14861" max="15104" width="9.140625" style="90"/>
    <col min="15105" max="15105" width="5.140625" style="90" customWidth="1"/>
    <col min="15106" max="15106" width="8.140625" style="90" customWidth="1"/>
    <col min="15107" max="15107" width="59.7109375" style="90" customWidth="1"/>
    <col min="15108" max="15108" width="5.140625" style="90" customWidth="1"/>
    <col min="15109" max="15109" width="6.5703125" style="90" customWidth="1"/>
    <col min="15110" max="15110" width="6.7109375" style="90" customWidth="1"/>
    <col min="15111" max="15111" width="7.5703125" style="90" customWidth="1"/>
    <col min="15112" max="15112" width="9.28515625" style="90" customWidth="1"/>
    <col min="15113" max="15113" width="6.140625" style="90" customWidth="1"/>
    <col min="15114" max="15115" width="10.42578125" style="90" customWidth="1"/>
    <col min="15116" max="15116" width="13.140625" style="90" customWidth="1"/>
    <col min="15117" max="15360" width="9.140625" style="90"/>
    <col min="15361" max="15361" width="5.140625" style="90" customWidth="1"/>
    <col min="15362" max="15362" width="8.140625" style="90" customWidth="1"/>
    <col min="15363" max="15363" width="59.7109375" style="90" customWidth="1"/>
    <col min="15364" max="15364" width="5.140625" style="90" customWidth="1"/>
    <col min="15365" max="15365" width="6.5703125" style="90" customWidth="1"/>
    <col min="15366" max="15366" width="6.7109375" style="90" customWidth="1"/>
    <col min="15367" max="15367" width="7.5703125" style="90" customWidth="1"/>
    <col min="15368" max="15368" width="9.28515625" style="90" customWidth="1"/>
    <col min="15369" max="15369" width="6.140625" style="90" customWidth="1"/>
    <col min="15370" max="15371" width="10.42578125" style="90" customWidth="1"/>
    <col min="15372" max="15372" width="13.140625" style="90" customWidth="1"/>
    <col min="15373" max="15616" width="9.140625" style="90"/>
    <col min="15617" max="15617" width="5.140625" style="90" customWidth="1"/>
    <col min="15618" max="15618" width="8.140625" style="90" customWidth="1"/>
    <col min="15619" max="15619" width="59.7109375" style="90" customWidth="1"/>
    <col min="15620" max="15620" width="5.140625" style="90" customWidth="1"/>
    <col min="15621" max="15621" width="6.5703125" style="90" customWidth="1"/>
    <col min="15622" max="15622" width="6.7109375" style="90" customWidth="1"/>
    <col min="15623" max="15623" width="7.5703125" style="90" customWidth="1"/>
    <col min="15624" max="15624" width="9.28515625" style="90" customWidth="1"/>
    <col min="15625" max="15625" width="6.140625" style="90" customWidth="1"/>
    <col min="15626" max="15627" width="10.42578125" style="90" customWidth="1"/>
    <col min="15628" max="15628" width="13.140625" style="90" customWidth="1"/>
    <col min="15629" max="15872" width="9.140625" style="90"/>
    <col min="15873" max="15873" width="5.140625" style="90" customWidth="1"/>
    <col min="15874" max="15874" width="8.140625" style="90" customWidth="1"/>
    <col min="15875" max="15875" width="59.7109375" style="90" customWidth="1"/>
    <col min="15876" max="15876" width="5.140625" style="90" customWidth="1"/>
    <col min="15877" max="15877" width="6.5703125" style="90" customWidth="1"/>
    <col min="15878" max="15878" width="6.7109375" style="90" customWidth="1"/>
    <col min="15879" max="15879" width="7.5703125" style="90" customWidth="1"/>
    <col min="15880" max="15880" width="9.28515625" style="90" customWidth="1"/>
    <col min="15881" max="15881" width="6.140625" style="90" customWidth="1"/>
    <col min="15882" max="15883" width="10.42578125" style="90" customWidth="1"/>
    <col min="15884" max="15884" width="13.140625" style="90" customWidth="1"/>
    <col min="15885" max="16128" width="9.140625" style="90"/>
    <col min="16129" max="16129" width="5.140625" style="90" customWidth="1"/>
    <col min="16130" max="16130" width="8.140625" style="90" customWidth="1"/>
    <col min="16131" max="16131" width="59.7109375" style="90" customWidth="1"/>
    <col min="16132" max="16132" width="5.140625" style="90" customWidth="1"/>
    <col min="16133" max="16133" width="6.5703125" style="90" customWidth="1"/>
    <col min="16134" max="16134" width="6.7109375" style="90" customWidth="1"/>
    <col min="16135" max="16135" width="7.5703125" style="90" customWidth="1"/>
    <col min="16136" max="16136" width="9.28515625" style="90" customWidth="1"/>
    <col min="16137" max="16137" width="6.140625" style="90" customWidth="1"/>
    <col min="16138" max="16139" width="10.42578125" style="90" customWidth="1"/>
    <col min="16140" max="16140" width="13.140625" style="90" customWidth="1"/>
    <col min="16141" max="16384" width="9.140625" style="90"/>
  </cols>
  <sheetData>
    <row r="2" spans="1:12" ht="15" x14ac:dyDescent="0.2">
      <c r="C2" s="106" t="s">
        <v>592</v>
      </c>
    </row>
    <row r="3" spans="1:12" ht="15.75" x14ac:dyDescent="0.2">
      <c r="A3" s="949" t="s">
        <v>215</v>
      </c>
      <c r="B3" s="949"/>
      <c r="C3" s="949"/>
      <c r="D3" s="949"/>
      <c r="E3" s="949"/>
      <c r="F3" s="949"/>
      <c r="G3" s="949"/>
      <c r="H3" s="949"/>
      <c r="I3" s="949"/>
    </row>
    <row r="4" spans="1:12" ht="15.75" x14ac:dyDescent="0.2">
      <c r="A4" s="112"/>
      <c r="B4" s="112"/>
      <c r="C4" s="112"/>
      <c r="D4" s="112"/>
      <c r="E4" s="112"/>
      <c r="F4" s="112"/>
      <c r="G4" s="112"/>
      <c r="H4" s="112"/>
      <c r="I4" s="112"/>
      <c r="L4" s="203" t="s">
        <v>91</v>
      </c>
    </row>
    <row r="5" spans="1:12" ht="25.5" x14ac:dyDescent="0.2">
      <c r="A5" s="104" t="s">
        <v>99</v>
      </c>
      <c r="B5" s="105" t="s">
        <v>216</v>
      </c>
      <c r="C5" s="113" t="s">
        <v>101</v>
      </c>
      <c r="D5" s="114" t="s">
        <v>102</v>
      </c>
      <c r="E5" s="107" t="s">
        <v>103</v>
      </c>
      <c r="F5" s="107" t="s">
        <v>104</v>
      </c>
      <c r="G5" s="107" t="s">
        <v>105</v>
      </c>
      <c r="H5" s="179" t="s">
        <v>106</v>
      </c>
      <c r="I5" s="109" t="s">
        <v>107</v>
      </c>
      <c r="J5" s="107" t="s">
        <v>108</v>
      </c>
      <c r="K5" s="107" t="s">
        <v>109</v>
      </c>
      <c r="L5" s="203" t="s">
        <v>95</v>
      </c>
    </row>
    <row r="6" spans="1:12" ht="42.75" customHeight="1" x14ac:dyDescent="0.2">
      <c r="A6" s="116">
        <v>1</v>
      </c>
      <c r="B6" s="206" t="s">
        <v>217</v>
      </c>
      <c r="C6" s="207" t="s">
        <v>218</v>
      </c>
      <c r="D6" s="119"/>
      <c r="E6" s="121"/>
      <c r="F6" s="121"/>
      <c r="G6" s="121"/>
      <c r="H6" s="208"/>
      <c r="I6" s="122"/>
      <c r="J6" s="209"/>
      <c r="K6" s="209"/>
      <c r="L6" s="210"/>
    </row>
    <row r="7" spans="1:12" x14ac:dyDescent="0.2">
      <c r="A7" s="124"/>
      <c r="B7" s="211"/>
      <c r="C7" s="132" t="s">
        <v>139</v>
      </c>
      <c r="D7" s="133">
        <f>[1]Plinth!D48</f>
        <v>18</v>
      </c>
      <c r="E7" s="134">
        <v>0.3</v>
      </c>
      <c r="F7" s="134">
        <v>0.6</v>
      </c>
      <c r="G7" s="134">
        <v>2.4</v>
      </c>
      <c r="H7" s="212">
        <f>G7*F7*E7*D7</f>
        <v>7.7759999999999998</v>
      </c>
      <c r="I7" s="136"/>
      <c r="J7" s="213"/>
      <c r="K7" s="213"/>
      <c r="L7" s="214"/>
    </row>
    <row r="8" spans="1:12" x14ac:dyDescent="0.2">
      <c r="A8" s="124"/>
      <c r="B8" s="211"/>
      <c r="C8" s="132" t="s">
        <v>140</v>
      </c>
      <c r="D8" s="133">
        <f>[1]Plinth!D49</f>
        <v>14</v>
      </c>
      <c r="E8" s="134">
        <v>0.3</v>
      </c>
      <c r="F8" s="134">
        <v>0.6</v>
      </c>
      <c r="G8" s="134">
        <v>2.4</v>
      </c>
      <c r="H8" s="212">
        <f>G8*F8*E8*D8</f>
        <v>6.048</v>
      </c>
      <c r="I8" s="136"/>
      <c r="J8" s="213"/>
      <c r="K8" s="213"/>
      <c r="L8" s="214"/>
    </row>
    <row r="9" spans="1:12" x14ac:dyDescent="0.2">
      <c r="A9" s="124"/>
      <c r="B9" s="211"/>
      <c r="C9" s="132" t="s">
        <v>597</v>
      </c>
      <c r="D9" s="133">
        <f>[1]Plinth!D50</f>
        <v>15</v>
      </c>
      <c r="E9" s="134">
        <v>0.3</v>
      </c>
      <c r="F9" s="134">
        <v>0.6</v>
      </c>
      <c r="G9" s="134">
        <v>2.4</v>
      </c>
      <c r="H9" s="212">
        <f>G9*F9*E9*D9</f>
        <v>6.4799999999999995</v>
      </c>
      <c r="I9" s="136"/>
      <c r="J9" s="213"/>
      <c r="K9" s="213"/>
      <c r="L9" s="214"/>
    </row>
    <row r="10" spans="1:12" x14ac:dyDescent="0.2">
      <c r="A10" s="139"/>
      <c r="B10" s="215"/>
      <c r="C10" s="141" t="s">
        <v>117</v>
      </c>
      <c r="D10" s="142">
        <f>SUM(D7:D9)</f>
        <v>47</v>
      </c>
      <c r="E10" s="143"/>
      <c r="F10" s="143"/>
      <c r="G10" s="143"/>
      <c r="H10" s="216">
        <v>20</v>
      </c>
      <c r="I10" s="141" t="s">
        <v>118</v>
      </c>
      <c r="J10" s="217">
        <v>10852.95</v>
      </c>
      <c r="K10" s="217">
        <f>J10*100/118</f>
        <v>9197.4152542372885</v>
      </c>
      <c r="L10" s="218">
        <f>K10*H10</f>
        <v>183948.30508474578</v>
      </c>
    </row>
    <row r="11" spans="1:12" ht="37.5" customHeight="1" x14ac:dyDescent="0.2">
      <c r="A11" s="116" t="s">
        <v>219</v>
      </c>
      <c r="B11" s="206">
        <v>5.3</v>
      </c>
      <c r="C11" s="219" t="s">
        <v>220</v>
      </c>
      <c r="D11" s="119"/>
      <c r="E11" s="121"/>
      <c r="F11" s="121"/>
      <c r="G11" s="121"/>
      <c r="H11" s="208"/>
      <c r="I11" s="122"/>
      <c r="J11" s="209"/>
      <c r="K11" s="217">
        <f t="shared" ref="K11:K74" si="0">J11*100/118</f>
        <v>0</v>
      </c>
      <c r="L11" s="218">
        <f t="shared" ref="L11:L74" si="1">K11*H11</f>
        <v>0</v>
      </c>
    </row>
    <row r="12" spans="1:12" x14ac:dyDescent="0.2">
      <c r="A12" s="124"/>
      <c r="B12" s="211"/>
      <c r="C12" s="187" t="s">
        <v>221</v>
      </c>
      <c r="D12" s="133"/>
      <c r="E12" s="135"/>
      <c r="F12" s="135"/>
      <c r="G12" s="135"/>
      <c r="H12" s="212"/>
      <c r="I12" s="136"/>
      <c r="J12" s="213"/>
      <c r="K12" s="217">
        <f t="shared" si="0"/>
        <v>0</v>
      </c>
      <c r="L12" s="218">
        <f t="shared" si="1"/>
        <v>0</v>
      </c>
    </row>
    <row r="13" spans="1:12" x14ac:dyDescent="0.2">
      <c r="A13" s="124"/>
      <c r="B13" s="211"/>
      <c r="C13" s="220" t="s">
        <v>222</v>
      </c>
      <c r="D13" s="133">
        <v>1</v>
      </c>
      <c r="E13" s="135">
        <f>1+0.125+0.125</f>
        <v>1.25</v>
      </c>
      <c r="F13" s="135">
        <v>0.25</v>
      </c>
      <c r="G13" s="135">
        <v>0.15</v>
      </c>
      <c r="H13" s="134">
        <f>G13*F13*E13*D13</f>
        <v>4.6875E-2</v>
      </c>
      <c r="I13" s="136"/>
      <c r="J13" s="213"/>
      <c r="K13" s="217">
        <f t="shared" si="0"/>
        <v>0</v>
      </c>
      <c r="L13" s="218">
        <f t="shared" si="1"/>
        <v>0</v>
      </c>
    </row>
    <row r="14" spans="1:12" x14ac:dyDescent="0.2">
      <c r="A14" s="124"/>
      <c r="B14" s="211"/>
      <c r="C14" s="220" t="s">
        <v>617</v>
      </c>
      <c r="D14" s="133">
        <v>1</v>
      </c>
      <c r="E14" s="135">
        <f>0.75 + 0.125 + 0.125</f>
        <v>1</v>
      </c>
      <c r="F14" s="135">
        <v>0.125</v>
      </c>
      <c r="G14" s="135">
        <v>0.15</v>
      </c>
      <c r="H14" s="134">
        <f>G14*F14*E14*D14</f>
        <v>1.8749999999999999E-2</v>
      </c>
      <c r="I14" s="136"/>
      <c r="J14" s="213"/>
      <c r="K14" s="217">
        <f t="shared" si="0"/>
        <v>0</v>
      </c>
      <c r="L14" s="218">
        <f t="shared" si="1"/>
        <v>0</v>
      </c>
    </row>
    <row r="15" spans="1:12" x14ac:dyDescent="0.2">
      <c r="A15" s="124"/>
      <c r="B15" s="211"/>
      <c r="C15" s="187" t="s">
        <v>224</v>
      </c>
      <c r="D15" s="133"/>
      <c r="E15" s="135"/>
      <c r="F15" s="135"/>
      <c r="G15" s="135"/>
      <c r="H15" s="212"/>
      <c r="I15" s="136"/>
      <c r="J15" s="213"/>
      <c r="K15" s="217">
        <f t="shared" si="0"/>
        <v>0</v>
      </c>
      <c r="L15" s="218">
        <f t="shared" si="1"/>
        <v>0</v>
      </c>
    </row>
    <row r="16" spans="1:12" x14ac:dyDescent="0.2">
      <c r="A16" s="124"/>
      <c r="B16" s="211"/>
      <c r="C16" s="187" t="s">
        <v>225</v>
      </c>
      <c r="D16" s="133"/>
      <c r="E16" s="135"/>
      <c r="F16" s="135"/>
      <c r="G16" s="135"/>
      <c r="H16" s="212"/>
      <c r="I16" s="136"/>
      <c r="J16" s="213"/>
      <c r="K16" s="217">
        <f t="shared" si="0"/>
        <v>0</v>
      </c>
      <c r="L16" s="218">
        <f t="shared" si="1"/>
        <v>0</v>
      </c>
    </row>
    <row r="17" spans="1:12" x14ac:dyDescent="0.2">
      <c r="A17" s="124"/>
      <c r="B17" s="211"/>
      <c r="C17" s="220" t="s">
        <v>618</v>
      </c>
      <c r="D17" s="133">
        <v>4</v>
      </c>
      <c r="E17" s="135">
        <v>9.375</v>
      </c>
      <c r="F17" s="135">
        <v>0.25</v>
      </c>
      <c r="G17" s="135">
        <f t="shared" ref="G17:G35" si="2">0.6-0.13</f>
        <v>0.47</v>
      </c>
      <c r="H17" s="134">
        <f t="shared" ref="H17:H31" si="3">G17*F17*E17*D17</f>
        <v>4.40625</v>
      </c>
      <c r="I17" s="136"/>
      <c r="J17" s="213"/>
      <c r="K17" s="217">
        <f t="shared" si="0"/>
        <v>0</v>
      </c>
      <c r="L17" s="218">
        <f t="shared" si="1"/>
        <v>0</v>
      </c>
    </row>
    <row r="18" spans="1:12" x14ac:dyDescent="0.2">
      <c r="A18" s="124"/>
      <c r="B18" s="211"/>
      <c r="C18" s="220" t="s">
        <v>619</v>
      </c>
      <c r="D18" s="133">
        <v>1</v>
      </c>
      <c r="E18" s="135">
        <v>14.2</v>
      </c>
      <c r="F18" s="135">
        <v>0.25</v>
      </c>
      <c r="G18" s="135">
        <f t="shared" si="2"/>
        <v>0.47</v>
      </c>
      <c r="H18" s="134">
        <f>G18*F18*E18*D18</f>
        <v>1.6684999999999999</v>
      </c>
      <c r="I18" s="136"/>
      <c r="J18" s="213"/>
      <c r="K18" s="217">
        <f t="shared" si="0"/>
        <v>0</v>
      </c>
      <c r="L18" s="218">
        <f t="shared" si="1"/>
        <v>0</v>
      </c>
    </row>
    <row r="19" spans="1:12" x14ac:dyDescent="0.2">
      <c r="A19" s="124"/>
      <c r="B19" s="211"/>
      <c r="C19" s="220" t="s">
        <v>620</v>
      </c>
      <c r="D19" s="133">
        <v>1</v>
      </c>
      <c r="E19" s="135">
        <v>20.75</v>
      </c>
      <c r="F19" s="135">
        <v>0.25</v>
      </c>
      <c r="G19" s="135">
        <f t="shared" si="2"/>
        <v>0.47</v>
      </c>
      <c r="H19" s="134">
        <f t="shared" si="3"/>
        <v>2.4381249999999999</v>
      </c>
      <c r="I19" s="136"/>
      <c r="J19" s="213"/>
      <c r="K19" s="217">
        <f t="shared" si="0"/>
        <v>0</v>
      </c>
      <c r="L19" s="218">
        <f t="shared" si="1"/>
        <v>0</v>
      </c>
    </row>
    <row r="20" spans="1:12" x14ac:dyDescent="0.2">
      <c r="A20" s="124"/>
      <c r="B20" s="211"/>
      <c r="C20" s="220" t="s">
        <v>621</v>
      </c>
      <c r="D20" s="133">
        <v>1</v>
      </c>
      <c r="E20" s="135">
        <v>8.5</v>
      </c>
      <c r="F20" s="135">
        <v>0.25</v>
      </c>
      <c r="G20" s="135">
        <f t="shared" si="2"/>
        <v>0.47</v>
      </c>
      <c r="H20" s="134">
        <f t="shared" si="3"/>
        <v>0.99874999999999992</v>
      </c>
      <c r="I20" s="136"/>
      <c r="J20" s="213"/>
      <c r="K20" s="217">
        <f t="shared" si="0"/>
        <v>0</v>
      </c>
      <c r="L20" s="218">
        <f t="shared" si="1"/>
        <v>0</v>
      </c>
    </row>
    <row r="21" spans="1:12" x14ac:dyDescent="0.2">
      <c r="A21" s="124"/>
      <c r="B21" s="211"/>
      <c r="C21" s="220" t="s">
        <v>622</v>
      </c>
      <c r="D21" s="133">
        <v>1</v>
      </c>
      <c r="E21" s="135">
        <v>33.075000000000003</v>
      </c>
      <c r="F21" s="135">
        <v>0.25</v>
      </c>
      <c r="G21" s="135">
        <f t="shared" si="2"/>
        <v>0.47</v>
      </c>
      <c r="H21" s="134">
        <f>G21*F21*E21*D21</f>
        <v>3.8863125000000003</v>
      </c>
      <c r="I21" s="136"/>
      <c r="J21" s="213"/>
      <c r="K21" s="217">
        <f t="shared" si="0"/>
        <v>0</v>
      </c>
      <c r="L21" s="218">
        <f t="shared" si="1"/>
        <v>0</v>
      </c>
    </row>
    <row r="22" spans="1:12" x14ac:dyDescent="0.2">
      <c r="A22" s="124"/>
      <c r="B22" s="211"/>
      <c r="C22" s="220" t="s">
        <v>623</v>
      </c>
      <c r="D22" s="133">
        <v>1</v>
      </c>
      <c r="E22" s="135">
        <v>26.6</v>
      </c>
      <c r="F22" s="135">
        <v>0.25</v>
      </c>
      <c r="G22" s="135">
        <f t="shared" si="2"/>
        <v>0.47</v>
      </c>
      <c r="H22" s="134">
        <f t="shared" si="3"/>
        <v>3.1255000000000002</v>
      </c>
      <c r="I22" s="136"/>
      <c r="J22" s="213"/>
      <c r="K22" s="217">
        <f t="shared" si="0"/>
        <v>0</v>
      </c>
      <c r="L22" s="218">
        <f t="shared" si="1"/>
        <v>0</v>
      </c>
    </row>
    <row r="23" spans="1:12" x14ac:dyDescent="0.2">
      <c r="A23" s="124"/>
      <c r="B23" s="211"/>
      <c r="C23" s="220" t="s">
        <v>624</v>
      </c>
      <c r="D23" s="133">
        <v>1</v>
      </c>
      <c r="E23" s="135">
        <v>20.75</v>
      </c>
      <c r="F23" s="135">
        <v>0.25</v>
      </c>
      <c r="G23" s="135">
        <f t="shared" si="2"/>
        <v>0.47</v>
      </c>
      <c r="H23" s="134">
        <f t="shared" si="3"/>
        <v>2.4381249999999999</v>
      </c>
      <c r="I23" s="136"/>
      <c r="J23" s="213"/>
      <c r="K23" s="217">
        <f t="shared" si="0"/>
        <v>0</v>
      </c>
      <c r="L23" s="218">
        <f t="shared" si="1"/>
        <v>0</v>
      </c>
    </row>
    <row r="24" spans="1:12" x14ac:dyDescent="0.2">
      <c r="A24" s="124"/>
      <c r="B24" s="211"/>
      <c r="C24" s="220" t="s">
        <v>625</v>
      </c>
      <c r="D24" s="133">
        <v>1</v>
      </c>
      <c r="E24" s="135">
        <v>3.2</v>
      </c>
      <c r="F24" s="135">
        <v>0.25</v>
      </c>
      <c r="G24" s="135">
        <f t="shared" si="2"/>
        <v>0.47</v>
      </c>
      <c r="H24" s="134">
        <f t="shared" si="3"/>
        <v>0.376</v>
      </c>
      <c r="I24" s="136"/>
      <c r="J24" s="213"/>
      <c r="K24" s="217">
        <f t="shared" si="0"/>
        <v>0</v>
      </c>
      <c r="L24" s="218">
        <f t="shared" si="1"/>
        <v>0</v>
      </c>
    </row>
    <row r="25" spans="1:12" x14ac:dyDescent="0.2">
      <c r="A25" s="124"/>
      <c r="B25" s="211"/>
      <c r="C25" s="220" t="s">
        <v>626</v>
      </c>
      <c r="D25" s="133">
        <v>1</v>
      </c>
      <c r="E25" s="135">
        <v>14.05</v>
      </c>
      <c r="F25" s="135">
        <v>0.25</v>
      </c>
      <c r="G25" s="135">
        <f t="shared" si="2"/>
        <v>0.47</v>
      </c>
      <c r="H25" s="134">
        <f>G25*F25*E25*D25</f>
        <v>1.6508750000000001</v>
      </c>
      <c r="I25" s="136"/>
      <c r="J25" s="213"/>
      <c r="K25" s="217">
        <f t="shared" si="0"/>
        <v>0</v>
      </c>
      <c r="L25" s="218">
        <f t="shared" si="1"/>
        <v>0</v>
      </c>
    </row>
    <row r="26" spans="1:12" x14ac:dyDescent="0.2">
      <c r="A26" s="124"/>
      <c r="B26" s="211"/>
      <c r="C26" s="220" t="s">
        <v>627</v>
      </c>
      <c r="D26" s="133">
        <v>1</v>
      </c>
      <c r="E26" s="135">
        <v>9.375</v>
      </c>
      <c r="F26" s="135">
        <v>0.25</v>
      </c>
      <c r="G26" s="135">
        <f t="shared" si="2"/>
        <v>0.47</v>
      </c>
      <c r="H26" s="134">
        <f>G26*F26*E26*D26</f>
        <v>1.1015625</v>
      </c>
      <c r="I26" s="136"/>
      <c r="J26" s="213"/>
      <c r="K26" s="217">
        <f t="shared" si="0"/>
        <v>0</v>
      </c>
      <c r="L26" s="218">
        <f t="shared" si="1"/>
        <v>0</v>
      </c>
    </row>
    <row r="27" spans="1:12" x14ac:dyDescent="0.2">
      <c r="A27" s="124"/>
      <c r="B27" s="211"/>
      <c r="C27" s="220" t="s">
        <v>628</v>
      </c>
      <c r="D27" s="133">
        <v>1</v>
      </c>
      <c r="E27" s="135">
        <v>12</v>
      </c>
      <c r="F27" s="135">
        <v>0.25</v>
      </c>
      <c r="G27" s="135">
        <f t="shared" si="2"/>
        <v>0.47</v>
      </c>
      <c r="H27" s="134">
        <f>G27*F27*E27*D27</f>
        <v>1.41</v>
      </c>
      <c r="I27" s="136"/>
      <c r="J27" s="213"/>
      <c r="K27" s="217">
        <f t="shared" si="0"/>
        <v>0</v>
      </c>
      <c r="L27" s="218">
        <f t="shared" si="1"/>
        <v>0</v>
      </c>
    </row>
    <row r="28" spans="1:12" x14ac:dyDescent="0.2">
      <c r="A28" s="124"/>
      <c r="B28" s="211"/>
      <c r="C28" s="220" t="s">
        <v>619</v>
      </c>
      <c r="D28" s="133">
        <v>1</v>
      </c>
      <c r="E28" s="135">
        <v>7.9</v>
      </c>
      <c r="F28" s="135">
        <v>0.25</v>
      </c>
      <c r="G28" s="135">
        <f t="shared" si="2"/>
        <v>0.47</v>
      </c>
      <c r="H28" s="134">
        <f>G28*F28*E28*D28</f>
        <v>0.92825000000000002</v>
      </c>
      <c r="I28" s="136"/>
      <c r="J28" s="213"/>
      <c r="K28" s="217">
        <f t="shared" si="0"/>
        <v>0</v>
      </c>
      <c r="L28" s="218">
        <f t="shared" si="1"/>
        <v>0</v>
      </c>
    </row>
    <row r="29" spans="1:12" x14ac:dyDescent="0.2">
      <c r="A29" s="124"/>
      <c r="B29" s="211"/>
      <c r="C29" s="220" t="s">
        <v>629</v>
      </c>
      <c r="D29" s="133">
        <v>1</v>
      </c>
      <c r="E29" s="135">
        <v>14.675000000000001</v>
      </c>
      <c r="F29" s="135">
        <v>0.25</v>
      </c>
      <c r="G29" s="135">
        <f t="shared" si="2"/>
        <v>0.47</v>
      </c>
      <c r="H29" s="134">
        <f t="shared" si="3"/>
        <v>1.7243124999999999</v>
      </c>
      <c r="I29" s="136"/>
      <c r="J29" s="213"/>
      <c r="K29" s="217">
        <f t="shared" si="0"/>
        <v>0</v>
      </c>
      <c r="L29" s="218">
        <f t="shared" si="1"/>
        <v>0</v>
      </c>
    </row>
    <row r="30" spans="1:12" x14ac:dyDescent="0.2">
      <c r="A30" s="124"/>
      <c r="B30" s="211"/>
      <c r="C30" s="220" t="s">
        <v>630</v>
      </c>
      <c r="D30" s="133">
        <v>1</v>
      </c>
      <c r="E30" s="135">
        <v>16.475000000000001</v>
      </c>
      <c r="F30" s="135">
        <v>0.25</v>
      </c>
      <c r="G30" s="135">
        <f t="shared" si="2"/>
        <v>0.47</v>
      </c>
      <c r="H30" s="134">
        <f t="shared" si="3"/>
        <v>1.9358125000000002</v>
      </c>
      <c r="I30" s="136"/>
      <c r="J30" s="213"/>
      <c r="K30" s="217">
        <f t="shared" si="0"/>
        <v>0</v>
      </c>
      <c r="L30" s="218">
        <f t="shared" si="1"/>
        <v>0</v>
      </c>
    </row>
    <row r="31" spans="1:12" x14ac:dyDescent="0.2">
      <c r="A31" s="124"/>
      <c r="B31" s="211"/>
      <c r="C31" s="220" t="s">
        <v>631</v>
      </c>
      <c r="D31" s="133">
        <v>1</v>
      </c>
      <c r="E31" s="135">
        <v>22.675000000000001</v>
      </c>
      <c r="F31" s="135">
        <v>0.25</v>
      </c>
      <c r="G31" s="135">
        <f t="shared" si="2"/>
        <v>0.47</v>
      </c>
      <c r="H31" s="134">
        <f t="shared" si="3"/>
        <v>2.6643124999999999</v>
      </c>
      <c r="I31" s="136"/>
      <c r="J31" s="213"/>
      <c r="K31" s="217">
        <f t="shared" si="0"/>
        <v>0</v>
      </c>
      <c r="L31" s="218">
        <f t="shared" si="1"/>
        <v>0</v>
      </c>
    </row>
    <row r="32" spans="1:12" x14ac:dyDescent="0.2">
      <c r="A32" s="124"/>
      <c r="B32" s="211"/>
      <c r="C32" s="220" t="s">
        <v>632</v>
      </c>
      <c r="D32" s="133">
        <v>1</v>
      </c>
      <c r="E32" s="135">
        <v>30.8</v>
      </c>
      <c r="F32" s="135">
        <v>0.25</v>
      </c>
      <c r="G32" s="135">
        <f t="shared" si="2"/>
        <v>0.47</v>
      </c>
      <c r="H32" s="134">
        <f>G32*F32*E32*D32</f>
        <v>3.6189999999999998</v>
      </c>
      <c r="I32" s="136"/>
      <c r="J32" s="213"/>
      <c r="K32" s="217">
        <f t="shared" si="0"/>
        <v>0</v>
      </c>
      <c r="L32" s="218">
        <f t="shared" si="1"/>
        <v>0</v>
      </c>
    </row>
    <row r="33" spans="1:12" x14ac:dyDescent="0.2">
      <c r="A33" s="124"/>
      <c r="B33" s="211"/>
      <c r="C33" s="220" t="s">
        <v>633</v>
      </c>
      <c r="D33" s="133">
        <v>1</v>
      </c>
      <c r="E33" s="135">
        <v>30.8</v>
      </c>
      <c r="F33" s="135">
        <v>0.25</v>
      </c>
      <c r="G33" s="135">
        <f t="shared" si="2"/>
        <v>0.47</v>
      </c>
      <c r="H33" s="134">
        <f>G33*F33*E33*D33</f>
        <v>3.6189999999999998</v>
      </c>
      <c r="I33" s="136"/>
      <c r="J33" s="213"/>
      <c r="K33" s="217">
        <f t="shared" si="0"/>
        <v>0</v>
      </c>
      <c r="L33" s="218">
        <f t="shared" si="1"/>
        <v>0</v>
      </c>
    </row>
    <row r="34" spans="1:12" x14ac:dyDescent="0.2">
      <c r="A34" s="124"/>
      <c r="B34" s="211"/>
      <c r="C34" s="220" t="s">
        <v>634</v>
      </c>
      <c r="D34" s="133">
        <v>1</v>
      </c>
      <c r="E34" s="135">
        <v>30.8</v>
      </c>
      <c r="F34" s="135">
        <v>0.25</v>
      </c>
      <c r="G34" s="135">
        <f t="shared" si="2"/>
        <v>0.47</v>
      </c>
      <c r="H34" s="134">
        <f>G34*F34*E34*D34</f>
        <v>3.6189999999999998</v>
      </c>
      <c r="I34" s="136"/>
      <c r="J34" s="213"/>
      <c r="K34" s="217">
        <f t="shared" si="0"/>
        <v>0</v>
      </c>
      <c r="L34" s="218">
        <f t="shared" si="1"/>
        <v>0</v>
      </c>
    </row>
    <row r="35" spans="1:12" x14ac:dyDescent="0.2">
      <c r="A35" s="124"/>
      <c r="B35" s="211"/>
      <c r="C35" s="220" t="s">
        <v>635</v>
      </c>
      <c r="D35" s="133">
        <v>1</v>
      </c>
      <c r="E35" s="135">
        <v>22.425000000000001</v>
      </c>
      <c r="F35" s="135">
        <v>0.25</v>
      </c>
      <c r="G35" s="135">
        <f t="shared" si="2"/>
        <v>0.47</v>
      </c>
      <c r="H35" s="134">
        <f>G35*F35*E35*D35</f>
        <v>2.6349374999999999</v>
      </c>
      <c r="I35" s="136"/>
      <c r="J35" s="213"/>
      <c r="K35" s="217">
        <f t="shared" si="0"/>
        <v>0</v>
      </c>
      <c r="L35" s="218">
        <f t="shared" si="1"/>
        <v>0</v>
      </c>
    </row>
    <row r="36" spans="1:12" x14ac:dyDescent="0.2">
      <c r="A36" s="124"/>
      <c r="B36" s="211"/>
      <c r="C36" s="220" t="s">
        <v>636</v>
      </c>
      <c r="D36" s="133">
        <v>16</v>
      </c>
      <c r="E36" s="135">
        <v>0.125</v>
      </c>
      <c r="F36" s="135">
        <v>0.125</v>
      </c>
      <c r="G36" s="135">
        <f>0.6</f>
        <v>0.6</v>
      </c>
      <c r="H36" s="134">
        <f>G36*F36*E36*D36</f>
        <v>0.15</v>
      </c>
      <c r="I36" s="136"/>
      <c r="J36" s="213"/>
      <c r="K36" s="217">
        <f t="shared" si="0"/>
        <v>0</v>
      </c>
      <c r="L36" s="218">
        <f t="shared" si="1"/>
        <v>0</v>
      </c>
    </row>
    <row r="37" spans="1:12" x14ac:dyDescent="0.2">
      <c r="A37" s="124"/>
      <c r="B37" s="211"/>
      <c r="C37" s="187" t="s">
        <v>256</v>
      </c>
      <c r="D37" s="133" t="s">
        <v>91</v>
      </c>
      <c r="E37" s="135" t="s">
        <v>91</v>
      </c>
      <c r="F37" s="135" t="s">
        <v>91</v>
      </c>
      <c r="G37" s="135" t="s">
        <v>91</v>
      </c>
      <c r="H37" s="134" t="s">
        <v>91</v>
      </c>
      <c r="I37" s="136"/>
      <c r="J37" s="213"/>
      <c r="K37" s="217">
        <f t="shared" si="0"/>
        <v>0</v>
      </c>
      <c r="L37" s="218">
        <v>0</v>
      </c>
    </row>
    <row r="38" spans="1:12" x14ac:dyDescent="0.2">
      <c r="A38" s="124"/>
      <c r="B38" s="211"/>
      <c r="C38" s="220" t="s">
        <v>637</v>
      </c>
      <c r="D38" s="133">
        <v>1</v>
      </c>
      <c r="E38" s="135">
        <f xml:space="preserve"> 4.325 + 1.575 *2+0.125+1.6 *3+2.4</f>
        <v>14.8</v>
      </c>
      <c r="F38" s="135">
        <v>0.125</v>
      </c>
      <c r="G38" s="135">
        <f>0.6-0.13</f>
        <v>0.47</v>
      </c>
      <c r="H38" s="134">
        <f>G38*F38*E38*D38</f>
        <v>0.86949999999999994</v>
      </c>
      <c r="I38" s="136"/>
      <c r="J38" s="213"/>
      <c r="K38" s="217">
        <f t="shared" si="0"/>
        <v>0</v>
      </c>
      <c r="L38" s="218">
        <f t="shared" si="1"/>
        <v>0</v>
      </c>
    </row>
    <row r="39" spans="1:12" x14ac:dyDescent="0.2">
      <c r="A39" s="124"/>
      <c r="B39" s="211"/>
      <c r="C39" s="221" t="s">
        <v>117</v>
      </c>
      <c r="D39" s="142"/>
      <c r="E39" s="145"/>
      <c r="F39" s="145"/>
      <c r="G39" s="145"/>
      <c r="H39" s="222">
        <v>44</v>
      </c>
      <c r="I39" s="141" t="s">
        <v>118</v>
      </c>
      <c r="J39" s="217">
        <v>11505.5</v>
      </c>
      <c r="K39" s="217">
        <f t="shared" si="0"/>
        <v>9750.4237288135591</v>
      </c>
      <c r="L39" s="218">
        <f t="shared" si="1"/>
        <v>429018.64406779659</v>
      </c>
    </row>
    <row r="40" spans="1:12" x14ac:dyDescent="0.2">
      <c r="A40" s="124"/>
      <c r="B40" s="211"/>
      <c r="C40" s="223" t="s">
        <v>227</v>
      </c>
      <c r="D40" s="133"/>
      <c r="E40" s="135">
        <f>SUM(D17*E17+D18*E18+D19*E19+D20*E20+D21*E21+D22*E22+D23*E23+D24*E24+D25*E25+D26*E26+D27*E27+D28*E28+D29*E29+D30*E30+D31*E31+D32*E32+D33*E33+D34*E34+D35*E35)</f>
        <v>376.55000000000007</v>
      </c>
      <c r="F40" s="135"/>
      <c r="G40" s="135"/>
      <c r="H40" s="224"/>
      <c r="I40" s="136"/>
      <c r="J40" s="213"/>
      <c r="K40" s="217">
        <f t="shared" si="0"/>
        <v>0</v>
      </c>
      <c r="L40" s="218">
        <f t="shared" si="1"/>
        <v>0</v>
      </c>
    </row>
    <row r="41" spans="1:12" x14ac:dyDescent="0.2">
      <c r="A41" s="124"/>
      <c r="B41" s="211"/>
      <c r="C41" s="223" t="s">
        <v>228</v>
      </c>
      <c r="D41" s="133"/>
      <c r="E41" s="135">
        <f>SUM(D38*E38+D36*E36)</f>
        <v>16.8</v>
      </c>
      <c r="F41" s="135"/>
      <c r="G41" s="135"/>
      <c r="H41" s="224"/>
      <c r="I41" s="136"/>
      <c r="J41" s="213"/>
      <c r="K41" s="217">
        <f t="shared" si="0"/>
        <v>0</v>
      </c>
      <c r="L41" s="218">
        <f t="shared" si="1"/>
        <v>0</v>
      </c>
    </row>
    <row r="42" spans="1:12" x14ac:dyDescent="0.2">
      <c r="A42" s="139"/>
      <c r="B42" s="215"/>
      <c r="C42" s="223"/>
      <c r="D42" s="133"/>
      <c r="E42" s="135"/>
      <c r="F42" s="135"/>
      <c r="G42" s="135"/>
      <c r="H42" s="224"/>
      <c r="I42" s="136"/>
      <c r="J42" s="213"/>
      <c r="K42" s="217">
        <f t="shared" si="0"/>
        <v>0</v>
      </c>
      <c r="L42" s="218">
        <f t="shared" si="1"/>
        <v>0</v>
      </c>
    </row>
    <row r="43" spans="1:12" ht="33.75" customHeight="1" x14ac:dyDescent="0.2">
      <c r="A43" s="116" t="s">
        <v>229</v>
      </c>
      <c r="B43" s="206">
        <v>5.3</v>
      </c>
      <c r="C43" s="219" t="s">
        <v>230</v>
      </c>
      <c r="D43" s="119"/>
      <c r="E43" s="121"/>
      <c r="F43" s="121"/>
      <c r="G43" s="121"/>
      <c r="H43" s="208"/>
      <c r="I43" s="122"/>
      <c r="J43" s="209"/>
      <c r="K43" s="217">
        <f t="shared" si="0"/>
        <v>0</v>
      </c>
      <c r="L43" s="218">
        <f t="shared" si="1"/>
        <v>0</v>
      </c>
    </row>
    <row r="44" spans="1:12" x14ac:dyDescent="0.2">
      <c r="A44" s="124"/>
      <c r="B44" s="211"/>
      <c r="C44" s="225" t="s">
        <v>231</v>
      </c>
      <c r="D44" s="226">
        <v>1</v>
      </c>
      <c r="E44" s="227">
        <v>11.925000000000001</v>
      </c>
      <c r="F44" s="227">
        <v>4.45</v>
      </c>
      <c r="G44" s="227">
        <v>0.13500000000000001</v>
      </c>
      <c r="H44" s="135">
        <f t="shared" ref="H44:H59" si="4">G44*F44*E44*D44</f>
        <v>7.1639437500000014</v>
      </c>
      <c r="I44" s="136"/>
      <c r="J44" s="213"/>
      <c r="K44" s="217">
        <f t="shared" si="0"/>
        <v>0</v>
      </c>
      <c r="L44" s="218">
        <f t="shared" si="1"/>
        <v>0</v>
      </c>
    </row>
    <row r="45" spans="1:12" x14ac:dyDescent="0.2">
      <c r="A45" s="124"/>
      <c r="B45" s="211"/>
      <c r="C45" s="225"/>
      <c r="D45" s="226">
        <v>1</v>
      </c>
      <c r="E45" s="227">
        <v>12.225</v>
      </c>
      <c r="F45" s="227">
        <v>7.55</v>
      </c>
      <c r="G45" s="227">
        <v>0.13500000000000001</v>
      </c>
      <c r="H45" s="135">
        <f>G45*F45*E45*D45</f>
        <v>12.460331249999999</v>
      </c>
      <c r="I45" s="136"/>
      <c r="J45" s="213"/>
      <c r="K45" s="217">
        <f t="shared" si="0"/>
        <v>0</v>
      </c>
      <c r="L45" s="218">
        <f t="shared" si="1"/>
        <v>0</v>
      </c>
    </row>
    <row r="46" spans="1:12" x14ac:dyDescent="0.2">
      <c r="A46" s="124"/>
      <c r="B46" s="211"/>
      <c r="C46" s="225"/>
      <c r="D46" s="226">
        <v>1</v>
      </c>
      <c r="E46" s="227">
        <v>9.375</v>
      </c>
      <c r="F46" s="227">
        <v>11.6</v>
      </c>
      <c r="G46" s="227">
        <v>0.13500000000000001</v>
      </c>
      <c r="H46" s="135">
        <f>G46*F46*E46*D46</f>
        <v>14.68125</v>
      </c>
      <c r="I46" s="136"/>
      <c r="J46" s="213"/>
      <c r="K46" s="217">
        <f t="shared" si="0"/>
        <v>0</v>
      </c>
      <c r="L46" s="218">
        <f t="shared" si="1"/>
        <v>0</v>
      </c>
    </row>
    <row r="47" spans="1:12" x14ac:dyDescent="0.2">
      <c r="A47" s="124"/>
      <c r="B47" s="211"/>
      <c r="C47" s="225"/>
      <c r="D47" s="226">
        <v>1</v>
      </c>
      <c r="E47" s="227">
        <v>9.375</v>
      </c>
      <c r="F47" s="227">
        <v>13.975</v>
      </c>
      <c r="G47" s="227">
        <v>0.13500000000000001</v>
      </c>
      <c r="H47" s="135">
        <f t="shared" si="4"/>
        <v>17.687109374999999</v>
      </c>
      <c r="I47" s="136"/>
      <c r="J47" s="213"/>
      <c r="K47" s="217">
        <f t="shared" si="0"/>
        <v>0</v>
      </c>
      <c r="L47" s="218">
        <f t="shared" si="1"/>
        <v>0</v>
      </c>
    </row>
    <row r="48" spans="1:12" x14ac:dyDescent="0.2">
      <c r="A48" s="124"/>
      <c r="B48" s="211"/>
      <c r="C48" s="225"/>
      <c r="D48" s="226">
        <v>1</v>
      </c>
      <c r="E48" s="227">
        <v>6.4749999999999996</v>
      </c>
      <c r="F48" s="227">
        <v>2.2250000000000001</v>
      </c>
      <c r="G48" s="227">
        <v>0.13500000000000001</v>
      </c>
      <c r="H48" s="135">
        <f>G48*F48*E48*D48</f>
        <v>1.9449281250000003</v>
      </c>
      <c r="I48" s="136"/>
      <c r="J48" s="213"/>
      <c r="K48" s="217">
        <f t="shared" si="0"/>
        <v>0</v>
      </c>
      <c r="L48" s="218">
        <f t="shared" si="1"/>
        <v>0</v>
      </c>
    </row>
    <row r="49" spans="1:12" x14ac:dyDescent="0.2">
      <c r="A49" s="124"/>
      <c r="B49" s="211"/>
      <c r="C49" s="225" t="s">
        <v>91</v>
      </c>
      <c r="D49" s="226">
        <v>1</v>
      </c>
      <c r="E49" s="227">
        <v>9.6750000000000007</v>
      </c>
      <c r="F49" s="227">
        <v>6.65</v>
      </c>
      <c r="G49" s="227">
        <v>0.13500000000000001</v>
      </c>
      <c r="H49" s="135">
        <f t="shared" si="4"/>
        <v>8.6857312500000017</v>
      </c>
      <c r="I49" s="136"/>
      <c r="J49" s="213"/>
      <c r="K49" s="217">
        <f t="shared" si="0"/>
        <v>0</v>
      </c>
      <c r="L49" s="218">
        <f t="shared" si="1"/>
        <v>0</v>
      </c>
    </row>
    <row r="50" spans="1:12" x14ac:dyDescent="0.2">
      <c r="A50" s="124"/>
      <c r="B50" s="211"/>
      <c r="C50" s="225" t="s">
        <v>233</v>
      </c>
      <c r="D50" s="226">
        <v>1</v>
      </c>
      <c r="E50" s="227">
        <v>6.1</v>
      </c>
      <c r="F50" s="227">
        <v>0.6</v>
      </c>
      <c r="G50" s="227">
        <v>0.1</v>
      </c>
      <c r="H50" s="135">
        <f t="shared" si="4"/>
        <v>0.36599999999999999</v>
      </c>
      <c r="I50" s="136"/>
      <c r="J50" s="213"/>
      <c r="K50" s="217">
        <f t="shared" si="0"/>
        <v>0</v>
      </c>
      <c r="L50" s="218">
        <f t="shared" si="1"/>
        <v>0</v>
      </c>
    </row>
    <row r="51" spans="1:12" x14ac:dyDescent="0.2">
      <c r="A51" s="124"/>
      <c r="B51" s="211"/>
      <c r="C51" s="225" t="s">
        <v>234</v>
      </c>
      <c r="D51" s="226">
        <v>1</v>
      </c>
      <c r="E51" s="227">
        <v>6.1</v>
      </c>
      <c r="F51" s="227">
        <v>0.6</v>
      </c>
      <c r="G51" s="227">
        <v>0.15</v>
      </c>
      <c r="H51" s="135">
        <f>G51*F51*E51*D51</f>
        <v>0.54899999999999993</v>
      </c>
      <c r="I51" s="136"/>
      <c r="J51" s="213"/>
      <c r="K51" s="217">
        <f t="shared" si="0"/>
        <v>0</v>
      </c>
      <c r="L51" s="218">
        <f t="shared" si="1"/>
        <v>0</v>
      </c>
    </row>
    <row r="52" spans="1:12" x14ac:dyDescent="0.2">
      <c r="A52" s="124"/>
      <c r="B52" s="211"/>
      <c r="C52" s="225" t="s">
        <v>235</v>
      </c>
      <c r="D52" s="226">
        <v>5</v>
      </c>
      <c r="E52" s="227">
        <v>3.85</v>
      </c>
      <c r="F52" s="227">
        <v>1.5</v>
      </c>
      <c r="G52" s="227">
        <v>0.15</v>
      </c>
      <c r="H52" s="135">
        <f t="shared" si="4"/>
        <v>4.3312499999999998</v>
      </c>
      <c r="I52" s="136"/>
      <c r="J52" s="213"/>
      <c r="K52" s="217">
        <f t="shared" si="0"/>
        <v>0</v>
      </c>
      <c r="L52" s="218">
        <f t="shared" si="1"/>
        <v>0</v>
      </c>
    </row>
    <row r="53" spans="1:12" x14ac:dyDescent="0.2">
      <c r="A53" s="124"/>
      <c r="B53" s="211"/>
      <c r="C53" s="225"/>
      <c r="D53" s="226">
        <v>1</v>
      </c>
      <c r="E53" s="227">
        <v>4.5999999999999996</v>
      </c>
      <c r="F53" s="227">
        <v>1.5</v>
      </c>
      <c r="G53" s="227">
        <v>0.15</v>
      </c>
      <c r="H53" s="135">
        <f>G53*F53*E53*D53</f>
        <v>1.0349999999999999</v>
      </c>
      <c r="I53" s="136"/>
      <c r="J53" s="213"/>
      <c r="K53" s="217">
        <f t="shared" si="0"/>
        <v>0</v>
      </c>
      <c r="L53" s="218">
        <f t="shared" si="1"/>
        <v>0</v>
      </c>
    </row>
    <row r="54" spans="1:12" x14ac:dyDescent="0.2">
      <c r="A54" s="124"/>
      <c r="B54" s="211"/>
      <c r="C54" s="225"/>
      <c r="D54" s="226">
        <v>2</v>
      </c>
      <c r="E54" s="227">
        <v>3.85</v>
      </c>
      <c r="F54" s="227">
        <v>1.8</v>
      </c>
      <c r="G54" s="227">
        <v>0.15</v>
      </c>
      <c r="H54" s="135">
        <f>G54*F54*E54*D54</f>
        <v>2.0790000000000002</v>
      </c>
      <c r="I54" s="136"/>
      <c r="J54" s="213"/>
      <c r="K54" s="217">
        <f t="shared" si="0"/>
        <v>0</v>
      </c>
      <c r="L54" s="218">
        <f t="shared" si="1"/>
        <v>0</v>
      </c>
    </row>
    <row r="55" spans="1:12" x14ac:dyDescent="0.2">
      <c r="A55" s="124"/>
      <c r="B55" s="211"/>
      <c r="C55" s="225" t="s">
        <v>420</v>
      </c>
      <c r="D55" s="226">
        <v>3</v>
      </c>
      <c r="E55" s="227">
        <v>1.8</v>
      </c>
      <c r="F55" s="227">
        <v>0.7</v>
      </c>
      <c r="G55" s="227">
        <v>7.4999999999999997E-2</v>
      </c>
      <c r="H55" s="135">
        <f>G55*F55*E55*D55</f>
        <v>0.28349999999999997</v>
      </c>
      <c r="I55" s="136"/>
      <c r="J55" s="213"/>
      <c r="K55" s="217">
        <f t="shared" si="0"/>
        <v>0</v>
      </c>
      <c r="L55" s="218">
        <f t="shared" si="1"/>
        <v>0</v>
      </c>
    </row>
    <row r="56" spans="1:12" x14ac:dyDescent="0.2">
      <c r="A56" s="124"/>
      <c r="B56" s="211"/>
      <c r="C56" s="225" t="s">
        <v>638</v>
      </c>
      <c r="D56" s="226">
        <v>2</v>
      </c>
      <c r="E56" s="227">
        <f>1.37+0.15</f>
        <v>1.52</v>
      </c>
      <c r="F56" s="227">
        <v>0.6</v>
      </c>
      <c r="G56" s="227">
        <v>7.4999999999999997E-2</v>
      </c>
      <c r="H56" s="135">
        <f>G56*F56*E56*D56</f>
        <v>0.1368</v>
      </c>
      <c r="I56" s="136"/>
      <c r="J56" s="213"/>
      <c r="K56" s="217">
        <f t="shared" si="0"/>
        <v>0</v>
      </c>
      <c r="L56" s="218">
        <f t="shared" si="1"/>
        <v>0</v>
      </c>
    </row>
    <row r="57" spans="1:12" x14ac:dyDescent="0.2">
      <c r="A57" s="124"/>
      <c r="B57" s="211"/>
      <c r="C57" s="225" t="s">
        <v>237</v>
      </c>
      <c r="D57" s="226">
        <v>-1</v>
      </c>
      <c r="E57" s="227">
        <v>3.3250000000000002</v>
      </c>
      <c r="F57" s="227">
        <v>2.7</v>
      </c>
      <c r="G57" s="227">
        <v>0.13500000000000001</v>
      </c>
      <c r="H57" s="135">
        <f t="shared" si="4"/>
        <v>-1.2119625000000003</v>
      </c>
      <c r="I57" s="136"/>
      <c r="J57" s="213"/>
      <c r="K57" s="217">
        <f t="shared" si="0"/>
        <v>0</v>
      </c>
      <c r="L57" s="218">
        <f t="shared" si="1"/>
        <v>0</v>
      </c>
    </row>
    <row r="58" spans="1:12" x14ac:dyDescent="0.2">
      <c r="A58" s="124"/>
      <c r="B58" s="211"/>
      <c r="C58" s="230" t="s">
        <v>238</v>
      </c>
      <c r="D58" s="231">
        <v>-1</v>
      </c>
      <c r="E58" s="232">
        <v>2.0499999999999998</v>
      </c>
      <c r="F58" s="232">
        <v>2.1</v>
      </c>
      <c r="G58" s="232">
        <v>0.13500000000000001</v>
      </c>
      <c r="H58" s="145">
        <f t="shared" si="4"/>
        <v>-0.581175</v>
      </c>
      <c r="I58" s="141"/>
      <c r="J58" s="217"/>
      <c r="K58" s="217">
        <f t="shared" si="0"/>
        <v>0</v>
      </c>
      <c r="L58" s="218">
        <f t="shared" si="1"/>
        <v>0</v>
      </c>
    </row>
    <row r="59" spans="1:12" x14ac:dyDescent="0.2">
      <c r="A59" s="124"/>
      <c r="B59" s="211"/>
      <c r="C59" s="230" t="s">
        <v>639</v>
      </c>
      <c r="D59" s="231">
        <v>-1</v>
      </c>
      <c r="E59" s="232">
        <v>4.9749999999999996</v>
      </c>
      <c r="F59" s="232">
        <v>2.35</v>
      </c>
      <c r="G59" s="232">
        <v>0.13500000000000001</v>
      </c>
      <c r="H59" s="145">
        <f t="shared" si="4"/>
        <v>-1.57831875</v>
      </c>
      <c r="I59" s="141"/>
      <c r="J59" s="217"/>
      <c r="K59" s="217">
        <f t="shared" si="0"/>
        <v>0</v>
      </c>
      <c r="L59" s="218">
        <f t="shared" si="1"/>
        <v>0</v>
      </c>
    </row>
    <row r="60" spans="1:12" x14ac:dyDescent="0.2">
      <c r="A60" s="139"/>
      <c r="B60" s="215"/>
      <c r="C60" s="233" t="s">
        <v>117</v>
      </c>
      <c r="D60" s="142"/>
      <c r="E60" s="143"/>
      <c r="F60" s="143"/>
      <c r="G60" s="143"/>
      <c r="H60" s="222">
        <v>65</v>
      </c>
      <c r="I60" s="141" t="s">
        <v>118</v>
      </c>
      <c r="J60" s="217">
        <f>J39</f>
        <v>11505.5</v>
      </c>
      <c r="K60" s="217">
        <f t="shared" si="0"/>
        <v>9750.4237288135591</v>
      </c>
      <c r="L60" s="218">
        <f t="shared" si="1"/>
        <v>633777.54237288132</v>
      </c>
    </row>
    <row r="61" spans="1:12" ht="25.5" x14ac:dyDescent="0.2">
      <c r="A61" s="139" t="s">
        <v>239</v>
      </c>
      <c r="B61" s="188">
        <v>5.3</v>
      </c>
      <c r="C61" s="220" t="s">
        <v>240</v>
      </c>
      <c r="D61" s="119"/>
      <c r="E61" s="121"/>
      <c r="F61" s="121"/>
      <c r="G61" s="121"/>
      <c r="H61" s="208"/>
      <c r="I61" s="122"/>
      <c r="J61" s="234"/>
      <c r="K61" s="217">
        <f t="shared" si="0"/>
        <v>0</v>
      </c>
      <c r="L61" s="218">
        <f t="shared" si="1"/>
        <v>0</v>
      </c>
    </row>
    <row r="62" spans="1:12" x14ac:dyDescent="0.2">
      <c r="A62" s="124"/>
      <c r="B62" s="211"/>
      <c r="C62" s="235" t="s">
        <v>241</v>
      </c>
      <c r="D62" s="133">
        <v>2</v>
      </c>
      <c r="E62" s="135">
        <v>3.6</v>
      </c>
      <c r="F62" s="135">
        <v>1.2749999999999999</v>
      </c>
      <c r="G62" s="135">
        <v>0.15</v>
      </c>
      <c r="H62" s="134">
        <f>G62*F62*E62*D62</f>
        <v>1.3769999999999998</v>
      </c>
      <c r="I62" s="136"/>
      <c r="J62" s="236"/>
      <c r="K62" s="217">
        <f t="shared" si="0"/>
        <v>0</v>
      </c>
      <c r="L62" s="218">
        <f t="shared" si="1"/>
        <v>0</v>
      </c>
    </row>
    <row r="63" spans="1:12" x14ac:dyDescent="0.2">
      <c r="A63" s="124"/>
      <c r="B63" s="211"/>
      <c r="C63" s="132" t="s">
        <v>242</v>
      </c>
      <c r="D63" s="133">
        <v>1</v>
      </c>
      <c r="E63" s="135">
        <v>1.325</v>
      </c>
      <c r="F63" s="135">
        <v>2.7</v>
      </c>
      <c r="G63" s="135">
        <v>0.15</v>
      </c>
      <c r="H63" s="135">
        <f>G63*F63*E63*D63</f>
        <v>0.53662500000000002</v>
      </c>
      <c r="I63" s="136"/>
      <c r="J63" s="236"/>
      <c r="K63" s="217">
        <f t="shared" si="0"/>
        <v>0</v>
      </c>
      <c r="L63" s="218">
        <f t="shared" si="1"/>
        <v>0</v>
      </c>
    </row>
    <row r="64" spans="1:12" x14ac:dyDescent="0.2">
      <c r="A64" s="124"/>
      <c r="B64" s="211"/>
      <c r="C64" s="237" t="s">
        <v>243</v>
      </c>
      <c r="D64" s="133">
        <v>20</v>
      </c>
      <c r="E64" s="135">
        <v>1.2749999999999999</v>
      </c>
      <c r="F64" s="135">
        <v>0.25</v>
      </c>
      <c r="G64" s="135">
        <f>0.15/2</f>
        <v>7.4999999999999997E-2</v>
      </c>
      <c r="H64" s="134">
        <f>G64*F64*E64*D64</f>
        <v>0.47812499999999991</v>
      </c>
      <c r="I64" s="136"/>
      <c r="J64" s="236"/>
      <c r="K64" s="217">
        <f t="shared" si="0"/>
        <v>0</v>
      </c>
      <c r="L64" s="218">
        <f t="shared" si="1"/>
        <v>0</v>
      </c>
    </row>
    <row r="65" spans="1:12" x14ac:dyDescent="0.2">
      <c r="A65" s="139"/>
      <c r="B65" s="215"/>
      <c r="C65" s="221" t="s">
        <v>117</v>
      </c>
      <c r="D65" s="142"/>
      <c r="E65" s="145"/>
      <c r="F65" s="145"/>
      <c r="G65" s="145"/>
      <c r="H65" s="216">
        <v>2</v>
      </c>
      <c r="I65" s="141" t="s">
        <v>118</v>
      </c>
      <c r="J65" s="217">
        <f>J60</f>
        <v>11505.5</v>
      </c>
      <c r="K65" s="217">
        <f t="shared" si="0"/>
        <v>9750.4237288135591</v>
      </c>
      <c r="L65" s="218">
        <f t="shared" si="1"/>
        <v>19500.847457627118</v>
      </c>
    </row>
    <row r="66" spans="1:12" ht="39" customHeight="1" x14ac:dyDescent="0.2">
      <c r="A66" s="116">
        <v>3</v>
      </c>
      <c r="B66" s="206">
        <v>5.22</v>
      </c>
      <c r="C66" s="219" t="s">
        <v>244</v>
      </c>
      <c r="D66" s="119"/>
      <c r="E66" s="121"/>
      <c r="F66" s="121"/>
      <c r="G66" s="121"/>
      <c r="H66" s="208"/>
      <c r="I66" s="122"/>
      <c r="J66" s="209"/>
      <c r="K66" s="217">
        <f t="shared" si="0"/>
        <v>0</v>
      </c>
      <c r="L66" s="218">
        <f t="shared" si="1"/>
        <v>0</v>
      </c>
    </row>
    <row r="67" spans="1:12" ht="24.75" customHeight="1" x14ac:dyDescent="0.2">
      <c r="A67" s="124"/>
      <c r="B67" s="211" t="s">
        <v>193</v>
      </c>
      <c r="C67" s="238" t="s">
        <v>245</v>
      </c>
      <c r="D67" s="127"/>
      <c r="E67" s="138"/>
      <c r="F67" s="129"/>
      <c r="G67" s="129"/>
      <c r="H67" s="239"/>
      <c r="I67" s="130"/>
      <c r="J67" s="240"/>
      <c r="K67" s="217">
        <f t="shared" si="0"/>
        <v>0</v>
      </c>
      <c r="L67" s="218">
        <f t="shared" si="1"/>
        <v>0</v>
      </c>
    </row>
    <row r="68" spans="1:12" x14ac:dyDescent="0.2">
      <c r="A68" s="124"/>
      <c r="B68" s="211"/>
      <c r="C68" s="187" t="s">
        <v>191</v>
      </c>
      <c r="D68" s="241"/>
      <c r="E68" s="190">
        <f>H10+H39+H60+H65</f>
        <v>131</v>
      </c>
      <c r="F68" s="190"/>
      <c r="G68" s="135"/>
      <c r="H68" s="212"/>
      <c r="I68" s="136"/>
      <c r="J68" s="213"/>
      <c r="K68" s="217">
        <f t="shared" si="0"/>
        <v>0</v>
      </c>
      <c r="L68" s="218">
        <f t="shared" si="1"/>
        <v>0</v>
      </c>
    </row>
    <row r="69" spans="1:12" x14ac:dyDescent="0.2">
      <c r="A69" s="139"/>
      <c r="B69" s="215"/>
      <c r="C69" s="220" t="s">
        <v>246</v>
      </c>
      <c r="D69" s="133">
        <v>120</v>
      </c>
      <c r="E69" s="190"/>
      <c r="F69" s="135"/>
      <c r="G69" s="135"/>
      <c r="H69" s="242">
        <v>15700</v>
      </c>
      <c r="I69" s="136" t="s">
        <v>195</v>
      </c>
      <c r="J69" s="213">
        <v>107.85</v>
      </c>
      <c r="K69" s="217">
        <f t="shared" si="0"/>
        <v>91.398305084745758</v>
      </c>
      <c r="L69" s="218">
        <f t="shared" si="1"/>
        <v>1434953.3898305085</v>
      </c>
    </row>
    <row r="70" spans="1:12" ht="25.5" x14ac:dyDescent="0.2">
      <c r="A70" s="116">
        <v>4</v>
      </c>
      <c r="B70" s="206">
        <v>5.9</v>
      </c>
      <c r="C70" s="182" t="s">
        <v>247</v>
      </c>
      <c r="D70" s="119"/>
      <c r="E70" s="121"/>
      <c r="F70" s="121"/>
      <c r="G70" s="121"/>
      <c r="H70" s="208"/>
      <c r="I70" s="122"/>
      <c r="J70" s="209"/>
      <c r="K70" s="217">
        <f t="shared" si="0"/>
        <v>0</v>
      </c>
      <c r="L70" s="218">
        <f t="shared" si="1"/>
        <v>0</v>
      </c>
    </row>
    <row r="71" spans="1:12" ht="30" customHeight="1" x14ac:dyDescent="0.2">
      <c r="A71" s="243" t="s">
        <v>248</v>
      </c>
      <c r="B71" s="188" t="s">
        <v>249</v>
      </c>
      <c r="C71" s="244" t="s">
        <v>250</v>
      </c>
      <c r="D71" s="127"/>
      <c r="E71" s="129"/>
      <c r="F71" s="129"/>
      <c r="G71" s="129"/>
      <c r="H71" s="239"/>
      <c r="I71" s="130"/>
      <c r="J71" s="240"/>
      <c r="K71" s="217">
        <f t="shared" si="0"/>
        <v>0</v>
      </c>
      <c r="L71" s="218">
        <f t="shared" si="1"/>
        <v>0</v>
      </c>
    </row>
    <row r="72" spans="1:12" x14ac:dyDescent="0.2">
      <c r="A72" s="124"/>
      <c r="B72" s="211"/>
      <c r="C72" s="225" t="s">
        <v>231</v>
      </c>
      <c r="D72" s="226">
        <v>1</v>
      </c>
      <c r="E72" s="227">
        <v>11.925000000000001</v>
      </c>
      <c r="F72" s="227">
        <v>4.45</v>
      </c>
      <c r="G72" s="227"/>
      <c r="H72" s="135">
        <f>F72*E72*D72</f>
        <v>53.066250000000004</v>
      </c>
      <c r="I72" s="136"/>
      <c r="J72" s="213"/>
      <c r="K72" s="217">
        <f t="shared" si="0"/>
        <v>0</v>
      </c>
      <c r="L72" s="218">
        <f t="shared" si="1"/>
        <v>0</v>
      </c>
    </row>
    <row r="73" spans="1:12" x14ac:dyDescent="0.2">
      <c r="A73" s="124"/>
      <c r="B73" s="211"/>
      <c r="C73" s="225"/>
      <c r="D73" s="226">
        <v>1</v>
      </c>
      <c r="E73" s="227">
        <v>12.225</v>
      </c>
      <c r="F73" s="227">
        <v>7.55</v>
      </c>
      <c r="G73" s="227"/>
      <c r="H73" s="135">
        <f t="shared" ref="H73:H87" si="5">F73*E73*D73</f>
        <v>92.298749999999998</v>
      </c>
      <c r="I73" s="136"/>
      <c r="J73" s="213"/>
      <c r="K73" s="217">
        <f t="shared" si="0"/>
        <v>0</v>
      </c>
      <c r="L73" s="218">
        <f t="shared" si="1"/>
        <v>0</v>
      </c>
    </row>
    <row r="74" spans="1:12" x14ac:dyDescent="0.2">
      <c r="A74" s="124"/>
      <c r="B74" s="211"/>
      <c r="C74" s="225"/>
      <c r="D74" s="226">
        <v>1</v>
      </c>
      <c r="E74" s="227">
        <v>9.375</v>
      </c>
      <c r="F74" s="227">
        <v>11.6</v>
      </c>
      <c r="G74" s="227"/>
      <c r="H74" s="135">
        <f t="shared" si="5"/>
        <v>108.75</v>
      </c>
      <c r="I74" s="136"/>
      <c r="J74" s="213"/>
      <c r="K74" s="217">
        <f t="shared" si="0"/>
        <v>0</v>
      </c>
      <c r="L74" s="218">
        <f t="shared" si="1"/>
        <v>0</v>
      </c>
    </row>
    <row r="75" spans="1:12" x14ac:dyDescent="0.2">
      <c r="A75" s="124"/>
      <c r="B75" s="211"/>
      <c r="C75" s="225"/>
      <c r="D75" s="226">
        <v>1</v>
      </c>
      <c r="E75" s="227">
        <v>9.375</v>
      </c>
      <c r="F75" s="227">
        <v>13.975</v>
      </c>
      <c r="G75" s="227"/>
      <c r="H75" s="135">
        <f t="shared" si="5"/>
        <v>131.015625</v>
      </c>
      <c r="I75" s="136"/>
      <c r="J75" s="213"/>
      <c r="K75" s="217">
        <f t="shared" ref="K75:K138" si="6">J75*100/118</f>
        <v>0</v>
      </c>
      <c r="L75" s="218">
        <f t="shared" ref="L75:L138" si="7">K75*H75</f>
        <v>0</v>
      </c>
    </row>
    <row r="76" spans="1:12" x14ac:dyDescent="0.2">
      <c r="A76" s="124"/>
      <c r="B76" s="211"/>
      <c r="C76" s="225"/>
      <c r="D76" s="226">
        <v>1</v>
      </c>
      <c r="E76" s="227">
        <v>6.4749999999999996</v>
      </c>
      <c r="F76" s="227">
        <v>2.2250000000000001</v>
      </c>
      <c r="G76" s="227"/>
      <c r="H76" s="135">
        <f t="shared" si="5"/>
        <v>14.406874999999999</v>
      </c>
      <c r="I76" s="136"/>
      <c r="J76" s="213"/>
      <c r="K76" s="217">
        <f t="shared" si="6"/>
        <v>0</v>
      </c>
      <c r="L76" s="218">
        <f t="shared" si="7"/>
        <v>0</v>
      </c>
    </row>
    <row r="77" spans="1:12" x14ac:dyDescent="0.2">
      <c r="A77" s="124"/>
      <c r="B77" s="211"/>
      <c r="C77" s="225" t="s">
        <v>91</v>
      </c>
      <c r="D77" s="226">
        <v>1</v>
      </c>
      <c r="E77" s="227">
        <v>9.6750000000000007</v>
      </c>
      <c r="F77" s="227">
        <v>6.65</v>
      </c>
      <c r="G77" s="227"/>
      <c r="H77" s="135">
        <f t="shared" si="5"/>
        <v>64.338750000000005</v>
      </c>
      <c r="I77" s="136"/>
      <c r="J77" s="213"/>
      <c r="K77" s="217">
        <f t="shared" si="6"/>
        <v>0</v>
      </c>
      <c r="L77" s="218">
        <f t="shared" si="7"/>
        <v>0</v>
      </c>
    </row>
    <row r="78" spans="1:12" x14ac:dyDescent="0.2">
      <c r="A78" s="124"/>
      <c r="B78" s="211"/>
      <c r="C78" s="225" t="s">
        <v>233</v>
      </c>
      <c r="D78" s="226">
        <v>1</v>
      </c>
      <c r="E78" s="227">
        <v>6.1</v>
      </c>
      <c r="F78" s="227">
        <v>0.6</v>
      </c>
      <c r="G78" s="227"/>
      <c r="H78" s="135">
        <f t="shared" si="5"/>
        <v>3.6599999999999997</v>
      </c>
      <c r="I78" s="136"/>
      <c r="J78" s="213"/>
      <c r="K78" s="217">
        <f t="shared" si="6"/>
        <v>0</v>
      </c>
      <c r="L78" s="218">
        <f t="shared" si="7"/>
        <v>0</v>
      </c>
    </row>
    <row r="79" spans="1:12" x14ac:dyDescent="0.2">
      <c r="A79" s="124"/>
      <c r="B79" s="211"/>
      <c r="C79" s="225" t="s">
        <v>234</v>
      </c>
      <c r="D79" s="226">
        <v>1</v>
      </c>
      <c r="E79" s="227">
        <v>6.1</v>
      </c>
      <c r="F79" s="227">
        <v>0.6</v>
      </c>
      <c r="G79" s="227"/>
      <c r="H79" s="135">
        <f t="shared" si="5"/>
        <v>3.6599999999999997</v>
      </c>
      <c r="I79" s="136"/>
      <c r="J79" s="213"/>
      <c r="K79" s="217">
        <f t="shared" si="6"/>
        <v>0</v>
      </c>
      <c r="L79" s="218">
        <f t="shared" si="7"/>
        <v>0</v>
      </c>
    </row>
    <row r="80" spans="1:12" x14ac:dyDescent="0.2">
      <c r="A80" s="124"/>
      <c r="B80" s="211"/>
      <c r="C80" s="225" t="s">
        <v>235</v>
      </c>
      <c r="D80" s="226">
        <v>5</v>
      </c>
      <c r="E80" s="227">
        <v>3.85</v>
      </c>
      <c r="F80" s="227">
        <v>1.5</v>
      </c>
      <c r="G80" s="227"/>
      <c r="H80" s="135">
        <f t="shared" si="5"/>
        <v>28.875</v>
      </c>
      <c r="I80" s="136"/>
      <c r="J80" s="213"/>
      <c r="K80" s="217">
        <f t="shared" si="6"/>
        <v>0</v>
      </c>
      <c r="L80" s="218">
        <f t="shared" si="7"/>
        <v>0</v>
      </c>
    </row>
    <row r="81" spans="1:12" x14ac:dyDescent="0.2">
      <c r="A81" s="124"/>
      <c r="B81" s="211"/>
      <c r="C81" s="225"/>
      <c r="D81" s="226">
        <v>1</v>
      </c>
      <c r="E81" s="227">
        <v>4.5999999999999996</v>
      </c>
      <c r="F81" s="227">
        <v>1.5</v>
      </c>
      <c r="G81" s="227"/>
      <c r="H81" s="135">
        <f t="shared" si="5"/>
        <v>6.8999999999999995</v>
      </c>
      <c r="I81" s="136"/>
      <c r="J81" s="213"/>
      <c r="K81" s="217">
        <f t="shared" si="6"/>
        <v>0</v>
      </c>
      <c r="L81" s="218">
        <f t="shared" si="7"/>
        <v>0</v>
      </c>
    </row>
    <row r="82" spans="1:12" x14ac:dyDescent="0.2">
      <c r="A82" s="124"/>
      <c r="B82" s="211"/>
      <c r="C82" s="225"/>
      <c r="D82" s="226">
        <v>2</v>
      </c>
      <c r="E82" s="227">
        <v>3.85</v>
      </c>
      <c r="F82" s="227">
        <v>1.8</v>
      </c>
      <c r="G82" s="227"/>
      <c r="H82" s="135">
        <f t="shared" si="5"/>
        <v>13.860000000000001</v>
      </c>
      <c r="I82" s="136"/>
      <c r="J82" s="213"/>
      <c r="K82" s="217">
        <f t="shared" si="6"/>
        <v>0</v>
      </c>
      <c r="L82" s="218">
        <f t="shared" si="7"/>
        <v>0</v>
      </c>
    </row>
    <row r="83" spans="1:12" x14ac:dyDescent="0.2">
      <c r="A83" s="124"/>
      <c r="B83" s="211"/>
      <c r="C83" s="225" t="s">
        <v>420</v>
      </c>
      <c r="D83" s="226">
        <v>3</v>
      </c>
      <c r="E83" s="227">
        <v>1.8</v>
      </c>
      <c r="F83" s="227">
        <v>0.7</v>
      </c>
      <c r="G83" s="227"/>
      <c r="H83" s="135">
        <f t="shared" si="5"/>
        <v>3.7800000000000002</v>
      </c>
      <c r="I83" s="136"/>
      <c r="J83" s="213"/>
      <c r="K83" s="217">
        <f t="shared" si="6"/>
        <v>0</v>
      </c>
      <c r="L83" s="218">
        <f t="shared" si="7"/>
        <v>0</v>
      </c>
    </row>
    <row r="84" spans="1:12" x14ac:dyDescent="0.2">
      <c r="A84" s="124"/>
      <c r="B84" s="211"/>
      <c r="C84" s="225" t="s">
        <v>638</v>
      </c>
      <c r="D84" s="226">
        <v>2</v>
      </c>
      <c r="E84" s="227">
        <f>1.37+0.15</f>
        <v>1.52</v>
      </c>
      <c r="F84" s="227">
        <v>0.6</v>
      </c>
      <c r="G84" s="227"/>
      <c r="H84" s="135">
        <f t="shared" si="5"/>
        <v>1.8239999999999998</v>
      </c>
      <c r="I84" s="136"/>
      <c r="J84" s="213"/>
      <c r="K84" s="217">
        <f t="shared" si="6"/>
        <v>0</v>
      </c>
      <c r="L84" s="218">
        <f t="shared" si="7"/>
        <v>0</v>
      </c>
    </row>
    <row r="85" spans="1:12" x14ac:dyDescent="0.2">
      <c r="A85" s="124"/>
      <c r="B85" s="211"/>
      <c r="C85" s="225" t="s">
        <v>237</v>
      </c>
      <c r="D85" s="226">
        <v>-1</v>
      </c>
      <c r="E85" s="227">
        <v>3.3250000000000002</v>
      </c>
      <c r="F85" s="227">
        <v>2.7</v>
      </c>
      <c r="G85" s="227"/>
      <c r="H85" s="135">
        <f t="shared" si="5"/>
        <v>-8.9775000000000009</v>
      </c>
      <c r="I85" s="136"/>
      <c r="J85" s="213"/>
      <c r="K85" s="217">
        <f t="shared" si="6"/>
        <v>0</v>
      </c>
      <c r="L85" s="218">
        <f t="shared" si="7"/>
        <v>0</v>
      </c>
    </row>
    <row r="86" spans="1:12" x14ac:dyDescent="0.2">
      <c r="A86" s="124"/>
      <c r="B86" s="211"/>
      <c r="C86" s="230" t="s">
        <v>238</v>
      </c>
      <c r="D86" s="231">
        <v>-1</v>
      </c>
      <c r="E86" s="232">
        <v>2.0499999999999998</v>
      </c>
      <c r="F86" s="232">
        <v>2.1</v>
      </c>
      <c r="G86" s="232"/>
      <c r="H86" s="135">
        <f t="shared" si="5"/>
        <v>-4.3049999999999997</v>
      </c>
      <c r="I86" s="141"/>
      <c r="J86" s="217"/>
      <c r="K86" s="217">
        <f t="shared" si="6"/>
        <v>0</v>
      </c>
      <c r="L86" s="218">
        <f t="shared" si="7"/>
        <v>0</v>
      </c>
    </row>
    <row r="87" spans="1:12" x14ac:dyDescent="0.2">
      <c r="A87" s="124"/>
      <c r="B87" s="211"/>
      <c r="C87" s="230" t="s">
        <v>639</v>
      </c>
      <c r="D87" s="231">
        <v>-1</v>
      </c>
      <c r="E87" s="232">
        <v>4.9749999999999996</v>
      </c>
      <c r="F87" s="232">
        <v>2.35</v>
      </c>
      <c r="G87" s="232"/>
      <c r="H87" s="135">
        <f t="shared" si="5"/>
        <v>-11.69125</v>
      </c>
      <c r="I87" s="141"/>
      <c r="J87" s="217"/>
      <c r="K87" s="217">
        <f t="shared" si="6"/>
        <v>0</v>
      </c>
      <c r="L87" s="218">
        <f t="shared" si="7"/>
        <v>0</v>
      </c>
    </row>
    <row r="88" spans="1:12" x14ac:dyDescent="0.2">
      <c r="A88" s="124"/>
      <c r="B88" s="211"/>
      <c r="C88" s="180" t="s">
        <v>117</v>
      </c>
      <c r="D88" s="133"/>
      <c r="E88" s="135"/>
      <c r="F88" s="135"/>
      <c r="G88" s="135"/>
      <c r="H88" s="242">
        <v>475</v>
      </c>
      <c r="I88" s="136" t="s">
        <v>128</v>
      </c>
      <c r="J88" s="213">
        <v>927.25</v>
      </c>
      <c r="K88" s="217">
        <f t="shared" si="6"/>
        <v>785.80508474576266</v>
      </c>
      <c r="L88" s="218">
        <f t="shared" si="7"/>
        <v>373257.41525423725</v>
      </c>
    </row>
    <row r="89" spans="1:12" ht="24" customHeight="1" x14ac:dyDescent="0.2">
      <c r="A89" s="243" t="s">
        <v>252</v>
      </c>
      <c r="B89" s="188" t="s">
        <v>199</v>
      </c>
      <c r="C89" s="245" t="s">
        <v>253</v>
      </c>
      <c r="D89" s="127"/>
      <c r="E89" s="129"/>
      <c r="F89" s="129"/>
      <c r="G89" s="129"/>
      <c r="H89" s="239"/>
      <c r="I89" s="130"/>
      <c r="J89" s="240"/>
      <c r="K89" s="217">
        <f t="shared" si="6"/>
        <v>0</v>
      </c>
      <c r="L89" s="218">
        <f t="shared" si="7"/>
        <v>0</v>
      </c>
    </row>
    <row r="90" spans="1:12" x14ac:dyDescent="0.2">
      <c r="A90" s="124"/>
      <c r="B90" s="211"/>
      <c r="C90" s="220" t="s">
        <v>222</v>
      </c>
      <c r="D90" s="133">
        <v>1</v>
      </c>
      <c r="E90" s="135">
        <f>E13</f>
        <v>1.25</v>
      </c>
      <c r="F90" s="135">
        <f>2*F13+G13</f>
        <v>0.65</v>
      </c>
      <c r="G90" s="135"/>
      <c r="H90" s="134">
        <f>D90*E90*F90</f>
        <v>0.8125</v>
      </c>
      <c r="I90" s="136"/>
      <c r="J90" s="213"/>
      <c r="K90" s="217">
        <f t="shared" si="6"/>
        <v>0</v>
      </c>
      <c r="L90" s="218">
        <f t="shared" si="7"/>
        <v>0</v>
      </c>
    </row>
    <row r="91" spans="1:12" x14ac:dyDescent="0.2">
      <c r="A91" s="124"/>
      <c r="B91" s="211"/>
      <c r="C91" s="220" t="s">
        <v>640</v>
      </c>
      <c r="D91" s="133">
        <v>1</v>
      </c>
      <c r="E91" s="135">
        <f>E14</f>
        <v>1</v>
      </c>
      <c r="F91" s="135">
        <f>2*F14+G14</f>
        <v>0.4</v>
      </c>
      <c r="G91" s="135"/>
      <c r="H91" s="134">
        <f>D91*E91*F91</f>
        <v>0.4</v>
      </c>
      <c r="I91" s="136"/>
      <c r="J91" s="213"/>
      <c r="K91" s="217">
        <f t="shared" si="6"/>
        <v>0</v>
      </c>
      <c r="L91" s="218">
        <f t="shared" si="7"/>
        <v>0</v>
      </c>
    </row>
    <row r="92" spans="1:12" x14ac:dyDescent="0.2">
      <c r="A92" s="124"/>
      <c r="B92" s="211"/>
      <c r="C92" s="187" t="s">
        <v>254</v>
      </c>
      <c r="D92" s="133"/>
      <c r="E92" s="135"/>
      <c r="F92" s="135"/>
      <c r="G92" s="135"/>
      <c r="H92" s="212"/>
      <c r="I92" s="136"/>
      <c r="J92" s="213"/>
      <c r="K92" s="217">
        <f t="shared" si="6"/>
        <v>0</v>
      </c>
      <c r="L92" s="218">
        <f t="shared" si="7"/>
        <v>0</v>
      </c>
    </row>
    <row r="93" spans="1:12" x14ac:dyDescent="0.2">
      <c r="A93" s="124"/>
      <c r="B93" s="211"/>
      <c r="C93" s="220" t="s">
        <v>255</v>
      </c>
      <c r="D93" s="133">
        <v>1</v>
      </c>
      <c r="E93" s="135">
        <f>E40</f>
        <v>376.55000000000007</v>
      </c>
      <c r="F93" s="135">
        <f>2*F17+G17</f>
        <v>0.97</v>
      </c>
      <c r="G93" s="135"/>
      <c r="H93" s="212">
        <f>D93*E93*F93</f>
        <v>365.25350000000003</v>
      </c>
      <c r="I93" s="136"/>
      <c r="J93" s="213"/>
      <c r="K93" s="217">
        <f t="shared" si="6"/>
        <v>0</v>
      </c>
      <c r="L93" s="218">
        <f t="shared" si="7"/>
        <v>0</v>
      </c>
    </row>
    <row r="94" spans="1:12" x14ac:dyDescent="0.2">
      <c r="A94" s="124"/>
      <c r="B94" s="211"/>
      <c r="C94" s="220" t="s">
        <v>256</v>
      </c>
      <c r="D94" s="133">
        <v>1</v>
      </c>
      <c r="E94" s="135">
        <f>E41</f>
        <v>16.8</v>
      </c>
      <c r="F94" s="135">
        <f>2*F38+G38</f>
        <v>0.72</v>
      </c>
      <c r="G94" s="135"/>
      <c r="H94" s="212">
        <f>D94*E94*F94</f>
        <v>12.096</v>
      </c>
      <c r="I94" s="136"/>
      <c r="J94" s="213"/>
      <c r="K94" s="217">
        <f t="shared" si="6"/>
        <v>0</v>
      </c>
      <c r="L94" s="218">
        <f t="shared" si="7"/>
        <v>0</v>
      </c>
    </row>
    <row r="95" spans="1:12" x14ac:dyDescent="0.2">
      <c r="A95" s="124"/>
      <c r="B95" s="211"/>
      <c r="C95" s="223" t="s">
        <v>117</v>
      </c>
      <c r="D95" s="133"/>
      <c r="E95" s="135"/>
      <c r="F95" s="135"/>
      <c r="G95" s="135"/>
      <c r="H95" s="242">
        <v>375</v>
      </c>
      <c r="I95" s="136" t="s">
        <v>128</v>
      </c>
      <c r="J95" s="213">
        <v>736.4</v>
      </c>
      <c r="K95" s="217">
        <f t="shared" si="6"/>
        <v>624.06779661016947</v>
      </c>
      <c r="L95" s="218">
        <f t="shared" si="7"/>
        <v>234025.42372881356</v>
      </c>
    </row>
    <row r="96" spans="1:12" ht="24" customHeight="1" x14ac:dyDescent="0.2">
      <c r="A96" s="243" t="s">
        <v>257</v>
      </c>
      <c r="B96" s="188" t="s">
        <v>258</v>
      </c>
      <c r="C96" s="246" t="s">
        <v>259</v>
      </c>
      <c r="D96" s="247"/>
      <c r="E96" s="248"/>
      <c r="F96" s="248"/>
      <c r="G96" s="129"/>
      <c r="H96" s="239"/>
      <c r="I96" s="130"/>
      <c r="J96" s="240"/>
      <c r="K96" s="217">
        <f t="shared" si="6"/>
        <v>0</v>
      </c>
      <c r="L96" s="218">
        <f t="shared" si="7"/>
        <v>0</v>
      </c>
    </row>
    <row r="97" spans="1:12" x14ac:dyDescent="0.2">
      <c r="A97" s="124"/>
      <c r="B97" s="211"/>
      <c r="C97" s="236"/>
      <c r="D97" s="226">
        <v>2</v>
      </c>
      <c r="E97" s="227">
        <f>0.9+0.15</f>
        <v>1.05</v>
      </c>
      <c r="F97" s="227">
        <v>0.6</v>
      </c>
      <c r="G97" s="135"/>
      <c r="H97" s="212">
        <f>F97*E97*D97</f>
        <v>1.26</v>
      </c>
      <c r="I97" s="136"/>
      <c r="J97" s="213"/>
      <c r="K97" s="217">
        <f t="shared" si="6"/>
        <v>0</v>
      </c>
      <c r="L97" s="218">
        <f t="shared" si="7"/>
        <v>0</v>
      </c>
    </row>
    <row r="98" spans="1:12" x14ac:dyDescent="0.2">
      <c r="A98" s="124"/>
      <c r="B98" s="249"/>
      <c r="C98" s="180" t="s">
        <v>117</v>
      </c>
      <c r="D98" s="133"/>
      <c r="E98" s="135"/>
      <c r="F98" s="135"/>
      <c r="G98" s="135"/>
      <c r="H98" s="242">
        <v>1</v>
      </c>
      <c r="I98" s="136" t="s">
        <v>128</v>
      </c>
      <c r="J98" s="213">
        <v>951.1</v>
      </c>
      <c r="K98" s="217">
        <f t="shared" si="6"/>
        <v>806.01694915254234</v>
      </c>
      <c r="L98" s="218">
        <f t="shared" si="7"/>
        <v>806.01694915254234</v>
      </c>
    </row>
    <row r="99" spans="1:12" ht="21" customHeight="1" x14ac:dyDescent="0.2">
      <c r="A99" s="243" t="s">
        <v>261</v>
      </c>
      <c r="B99" s="188" t="s">
        <v>203</v>
      </c>
      <c r="C99" s="250" t="s">
        <v>262</v>
      </c>
      <c r="D99" s="127"/>
      <c r="E99" s="129"/>
      <c r="F99" s="129"/>
      <c r="G99" s="129"/>
      <c r="H99" s="239"/>
      <c r="I99" s="130"/>
      <c r="J99" s="240"/>
      <c r="K99" s="217">
        <f t="shared" si="6"/>
        <v>0</v>
      </c>
      <c r="L99" s="218">
        <f t="shared" si="7"/>
        <v>0</v>
      </c>
    </row>
    <row r="100" spans="1:12" x14ac:dyDescent="0.2">
      <c r="A100" s="124"/>
      <c r="B100" s="211"/>
      <c r="C100" s="132" t="s">
        <v>139</v>
      </c>
      <c r="D100" s="133">
        <f>D7</f>
        <v>18</v>
      </c>
      <c r="E100" s="134">
        <f>2*(E7+F7)</f>
        <v>1.7999999999999998</v>
      </c>
      <c r="F100" s="134"/>
      <c r="G100" s="134">
        <f>G7</f>
        <v>2.4</v>
      </c>
      <c r="H100" s="212">
        <f>G100*E100*D100</f>
        <v>77.759999999999991</v>
      </c>
      <c r="I100" s="136"/>
      <c r="J100" s="213"/>
      <c r="K100" s="217">
        <f t="shared" si="6"/>
        <v>0</v>
      </c>
      <c r="L100" s="218">
        <f t="shared" si="7"/>
        <v>0</v>
      </c>
    </row>
    <row r="101" spans="1:12" x14ac:dyDescent="0.2">
      <c r="A101" s="124"/>
      <c r="B101" s="211"/>
      <c r="C101" s="132" t="s">
        <v>140</v>
      </c>
      <c r="D101" s="133">
        <f>D8</f>
        <v>14</v>
      </c>
      <c r="E101" s="134">
        <f>2*(E8+F8)</f>
        <v>1.7999999999999998</v>
      </c>
      <c r="F101" s="134"/>
      <c r="G101" s="134">
        <f>G8</f>
        <v>2.4</v>
      </c>
      <c r="H101" s="212">
        <f>G101*E101*D101</f>
        <v>60.47999999999999</v>
      </c>
      <c r="I101" s="136"/>
      <c r="J101" s="213"/>
      <c r="K101" s="217">
        <f t="shared" si="6"/>
        <v>0</v>
      </c>
      <c r="L101" s="218">
        <f t="shared" si="7"/>
        <v>0</v>
      </c>
    </row>
    <row r="102" spans="1:12" x14ac:dyDescent="0.2">
      <c r="A102" s="124"/>
      <c r="B102" s="211"/>
      <c r="C102" s="132" t="s">
        <v>597</v>
      </c>
      <c r="D102" s="133">
        <f>D9</f>
        <v>15</v>
      </c>
      <c r="E102" s="134">
        <f>2*(E9+F9)</f>
        <v>1.7999999999999998</v>
      </c>
      <c r="F102" s="134"/>
      <c r="G102" s="134">
        <f>G9</f>
        <v>2.4</v>
      </c>
      <c r="H102" s="212">
        <f>G102*E102*D102</f>
        <v>64.8</v>
      </c>
      <c r="I102" s="136"/>
      <c r="J102" s="213"/>
      <c r="K102" s="217">
        <f t="shared" si="6"/>
        <v>0</v>
      </c>
      <c r="L102" s="218">
        <f t="shared" si="7"/>
        <v>0</v>
      </c>
    </row>
    <row r="103" spans="1:12" x14ac:dyDescent="0.2">
      <c r="A103" s="124"/>
      <c r="B103" s="211"/>
      <c r="C103" s="223" t="s">
        <v>117</v>
      </c>
      <c r="D103" s="133"/>
      <c r="E103" s="135"/>
      <c r="F103" s="135"/>
      <c r="G103" s="135"/>
      <c r="H103" s="242">
        <v>200</v>
      </c>
      <c r="I103" s="136" t="s">
        <v>128</v>
      </c>
      <c r="J103" s="213">
        <v>961.3</v>
      </c>
      <c r="K103" s="217">
        <f t="shared" si="6"/>
        <v>814.66101694915255</v>
      </c>
      <c r="L103" s="218">
        <f t="shared" si="7"/>
        <v>162932.20338983051</v>
      </c>
    </row>
    <row r="104" spans="1:12" ht="21.75" customHeight="1" x14ac:dyDescent="0.2">
      <c r="A104" s="243" t="s">
        <v>263</v>
      </c>
      <c r="B104" s="188" t="s">
        <v>264</v>
      </c>
      <c r="C104" s="245" t="s">
        <v>265</v>
      </c>
      <c r="D104" s="127"/>
      <c r="E104" s="129"/>
      <c r="F104" s="129"/>
      <c r="G104" s="129"/>
      <c r="H104" s="239"/>
      <c r="I104" s="130"/>
      <c r="J104" s="240"/>
      <c r="K104" s="217">
        <f t="shared" si="6"/>
        <v>0</v>
      </c>
      <c r="L104" s="218">
        <f t="shared" si="7"/>
        <v>0</v>
      </c>
    </row>
    <row r="105" spans="1:12" x14ac:dyDescent="0.2">
      <c r="A105" s="124"/>
      <c r="B105" s="211"/>
      <c r="C105" s="220" t="s">
        <v>241</v>
      </c>
      <c r="D105" s="133">
        <v>2</v>
      </c>
      <c r="E105" s="135">
        <f t="shared" ref="E105:F107" si="8">E62</f>
        <v>3.6</v>
      </c>
      <c r="F105" s="135">
        <f t="shared" si="8"/>
        <v>1.2749999999999999</v>
      </c>
      <c r="G105" s="135"/>
      <c r="H105" s="212">
        <f>F105*E105*D105</f>
        <v>9.18</v>
      </c>
      <c r="I105" s="136"/>
      <c r="J105" s="213"/>
      <c r="K105" s="217">
        <f t="shared" si="6"/>
        <v>0</v>
      </c>
      <c r="L105" s="218">
        <f t="shared" si="7"/>
        <v>0</v>
      </c>
    </row>
    <row r="106" spans="1:12" x14ac:dyDescent="0.2">
      <c r="A106" s="124"/>
      <c r="B106" s="211"/>
      <c r="C106" s="220" t="s">
        <v>641</v>
      </c>
      <c r="D106" s="133">
        <v>1</v>
      </c>
      <c r="E106" s="135">
        <f t="shared" si="8"/>
        <v>1.325</v>
      </c>
      <c r="F106" s="135">
        <f t="shared" si="8"/>
        <v>2.7</v>
      </c>
      <c r="G106" s="134"/>
      <c r="H106" s="212">
        <f>F106*E106*D106</f>
        <v>3.5775000000000001</v>
      </c>
      <c r="I106" s="136"/>
      <c r="J106" s="213"/>
      <c r="K106" s="217">
        <f t="shared" si="6"/>
        <v>0</v>
      </c>
      <c r="L106" s="218">
        <f t="shared" si="7"/>
        <v>0</v>
      </c>
    </row>
    <row r="107" spans="1:12" x14ac:dyDescent="0.2">
      <c r="A107" s="124"/>
      <c r="B107" s="211"/>
      <c r="C107" s="220" t="s">
        <v>642</v>
      </c>
      <c r="D107" s="133">
        <v>20</v>
      </c>
      <c r="E107" s="135">
        <f t="shared" si="8"/>
        <v>1.2749999999999999</v>
      </c>
      <c r="F107" s="135">
        <f t="shared" si="8"/>
        <v>0.25</v>
      </c>
      <c r="G107" s="134"/>
      <c r="H107" s="212">
        <f>F107*E107*D107</f>
        <v>6.375</v>
      </c>
      <c r="I107" s="136"/>
      <c r="J107" s="213"/>
      <c r="K107" s="217">
        <f t="shared" si="6"/>
        <v>0</v>
      </c>
      <c r="L107" s="218">
        <f t="shared" si="7"/>
        <v>0</v>
      </c>
    </row>
    <row r="108" spans="1:12" x14ac:dyDescent="0.2">
      <c r="A108" s="139"/>
      <c r="B108" s="215"/>
      <c r="C108" s="221" t="s">
        <v>117</v>
      </c>
      <c r="D108" s="142"/>
      <c r="E108" s="145"/>
      <c r="F108" s="145"/>
      <c r="G108" s="145"/>
      <c r="H108" s="216">
        <v>18</v>
      </c>
      <c r="I108" s="141" t="s">
        <v>128</v>
      </c>
      <c r="J108" s="217">
        <v>764.95</v>
      </c>
      <c r="K108" s="217">
        <f t="shared" si="6"/>
        <v>648.26271186440681</v>
      </c>
      <c r="L108" s="218">
        <f t="shared" si="7"/>
        <v>11668.728813559323</v>
      </c>
    </row>
    <row r="109" spans="1:12" s="256" customFormat="1" ht="38.25" x14ac:dyDescent="0.2">
      <c r="A109" s="116">
        <v>5</v>
      </c>
      <c r="B109" s="117">
        <v>6.4</v>
      </c>
      <c r="C109" s="251" t="s">
        <v>267</v>
      </c>
      <c r="D109" s="116"/>
      <c r="E109" s="252"/>
      <c r="F109" s="252"/>
      <c r="G109" s="252"/>
      <c r="H109" s="253"/>
      <c r="I109" s="254"/>
      <c r="J109" s="255"/>
      <c r="K109" s="217">
        <f t="shared" si="6"/>
        <v>0</v>
      </c>
      <c r="L109" s="218">
        <f t="shared" si="7"/>
        <v>0</v>
      </c>
    </row>
    <row r="110" spans="1:12" s="256" customFormat="1" ht="30" customHeight="1" x14ac:dyDescent="0.2">
      <c r="A110" s="124"/>
      <c r="B110" s="125" t="s">
        <v>268</v>
      </c>
      <c r="C110" s="257" t="s">
        <v>269</v>
      </c>
      <c r="D110" s="124"/>
      <c r="E110" s="258"/>
      <c r="F110" s="258"/>
      <c r="G110" s="258"/>
      <c r="H110" s="259"/>
      <c r="I110" s="260"/>
      <c r="J110" s="261"/>
      <c r="K110" s="217">
        <f t="shared" si="6"/>
        <v>0</v>
      </c>
      <c r="L110" s="218">
        <f t="shared" si="7"/>
        <v>0</v>
      </c>
    </row>
    <row r="111" spans="1:12" x14ac:dyDescent="0.2">
      <c r="A111" s="124"/>
      <c r="B111" s="125"/>
      <c r="C111" s="262" t="s">
        <v>270</v>
      </c>
      <c r="D111" s="133">
        <v>1</v>
      </c>
      <c r="E111" s="135">
        <f>3.15+4.65+2.625*2+1.95*4+3.225+1.375+0.5</f>
        <v>25.950000000000003</v>
      </c>
      <c r="F111" s="135">
        <v>0.25</v>
      </c>
      <c r="G111" s="135">
        <v>2.4</v>
      </c>
      <c r="H111" s="212">
        <f>G111*F111*E111*D111</f>
        <v>15.57</v>
      </c>
      <c r="I111" s="136"/>
      <c r="J111" s="213"/>
      <c r="K111" s="217">
        <f t="shared" si="6"/>
        <v>0</v>
      </c>
      <c r="L111" s="218">
        <f t="shared" si="7"/>
        <v>0</v>
      </c>
    </row>
    <row r="112" spans="1:12" x14ac:dyDescent="0.2">
      <c r="A112" s="124"/>
      <c r="B112" s="211"/>
      <c r="C112" s="191" t="s">
        <v>271</v>
      </c>
      <c r="D112" s="133"/>
      <c r="E112" s="134"/>
      <c r="F112" s="134"/>
      <c r="G112" s="134"/>
      <c r="H112" s="212"/>
      <c r="I112" s="136"/>
      <c r="J112" s="236"/>
      <c r="K112" s="217">
        <f t="shared" si="6"/>
        <v>0</v>
      </c>
      <c r="L112" s="218">
        <f t="shared" si="7"/>
        <v>0</v>
      </c>
    </row>
    <row r="113" spans="1:12" x14ac:dyDescent="0.2">
      <c r="A113" s="124"/>
      <c r="B113" s="211"/>
      <c r="C113" s="183" t="s">
        <v>272</v>
      </c>
      <c r="D113" s="133">
        <v>-1</v>
      </c>
      <c r="E113" s="135">
        <v>0.8</v>
      </c>
      <c r="F113" s="135">
        <v>0.25</v>
      </c>
      <c r="G113" s="135">
        <v>2.1</v>
      </c>
      <c r="H113" s="212">
        <f>G113*F113*E113*D113</f>
        <v>-0.42000000000000004</v>
      </c>
      <c r="I113" s="136"/>
      <c r="J113" s="236"/>
      <c r="K113" s="217">
        <f t="shared" si="6"/>
        <v>0</v>
      </c>
      <c r="L113" s="218">
        <f t="shared" si="7"/>
        <v>0</v>
      </c>
    </row>
    <row r="114" spans="1:12" x14ac:dyDescent="0.2">
      <c r="A114" s="124"/>
      <c r="B114" s="211"/>
      <c r="C114" s="220" t="s">
        <v>457</v>
      </c>
      <c r="D114" s="133">
        <v>-2</v>
      </c>
      <c r="E114" s="135">
        <v>1.37</v>
      </c>
      <c r="F114" s="135">
        <v>0.25</v>
      </c>
      <c r="G114" s="135">
        <v>1.5</v>
      </c>
      <c r="H114" s="212">
        <f>G114*F114*E114*D114</f>
        <v>-1.0275000000000001</v>
      </c>
      <c r="I114" s="136"/>
      <c r="J114" s="236"/>
      <c r="K114" s="217">
        <f t="shared" si="6"/>
        <v>0</v>
      </c>
      <c r="L114" s="218">
        <f t="shared" si="7"/>
        <v>0</v>
      </c>
    </row>
    <row r="115" spans="1:12" x14ac:dyDescent="0.2">
      <c r="A115" s="124"/>
      <c r="B115" s="211"/>
      <c r="C115" s="220" t="s">
        <v>273</v>
      </c>
      <c r="D115" s="133">
        <v>-1</v>
      </c>
      <c r="E115" s="135">
        <v>0.45</v>
      </c>
      <c r="F115" s="135">
        <v>0.25</v>
      </c>
      <c r="G115" s="135">
        <v>1.05</v>
      </c>
      <c r="H115" s="212">
        <f>G115*F115*E115*D115</f>
        <v>-0.11812500000000001</v>
      </c>
      <c r="I115" s="136"/>
      <c r="J115" s="236"/>
      <c r="K115" s="217">
        <f t="shared" si="6"/>
        <v>0</v>
      </c>
      <c r="L115" s="218">
        <f t="shared" si="7"/>
        <v>0</v>
      </c>
    </row>
    <row r="116" spans="1:12" x14ac:dyDescent="0.2">
      <c r="A116" s="139"/>
      <c r="B116" s="215"/>
      <c r="C116" s="221" t="s">
        <v>117</v>
      </c>
      <c r="D116" s="142"/>
      <c r="E116" s="145"/>
      <c r="F116" s="145"/>
      <c r="G116" s="145"/>
      <c r="H116" s="216">
        <f>SUM(H111:H115)</f>
        <v>14.004375000000001</v>
      </c>
      <c r="I116" s="141" t="s">
        <v>118</v>
      </c>
      <c r="J116" s="217">
        <v>9105.9500000000007</v>
      </c>
      <c r="K116" s="217">
        <f t="shared" si="6"/>
        <v>7716.9067796610179</v>
      </c>
      <c r="L116" s="218">
        <f t="shared" si="7"/>
        <v>108070.45638241527</v>
      </c>
    </row>
    <row r="117" spans="1:12" ht="38.25" x14ac:dyDescent="0.2">
      <c r="A117" s="116">
        <v>6</v>
      </c>
      <c r="B117" s="117">
        <v>6.13</v>
      </c>
      <c r="C117" s="251" t="s">
        <v>274</v>
      </c>
      <c r="D117" s="119"/>
      <c r="E117" s="121"/>
      <c r="F117" s="121"/>
      <c r="G117" s="121"/>
      <c r="H117" s="263"/>
      <c r="I117" s="122"/>
      <c r="J117" s="209"/>
      <c r="K117" s="217">
        <f t="shared" si="6"/>
        <v>0</v>
      </c>
      <c r="L117" s="218">
        <f t="shared" si="7"/>
        <v>0</v>
      </c>
    </row>
    <row r="118" spans="1:12" ht="27" customHeight="1" x14ac:dyDescent="0.2">
      <c r="A118" s="124"/>
      <c r="B118" s="125" t="s">
        <v>275</v>
      </c>
      <c r="C118" s="257" t="s">
        <v>276</v>
      </c>
      <c r="D118" s="127"/>
      <c r="E118" s="129"/>
      <c r="F118" s="129"/>
      <c r="G118" s="129"/>
      <c r="H118" s="264"/>
      <c r="I118" s="130"/>
      <c r="J118" s="240"/>
      <c r="K118" s="217">
        <f t="shared" si="6"/>
        <v>0</v>
      </c>
      <c r="L118" s="218">
        <f t="shared" si="7"/>
        <v>0</v>
      </c>
    </row>
    <row r="119" spans="1:12" x14ac:dyDescent="0.2">
      <c r="A119" s="124"/>
      <c r="B119" s="211"/>
      <c r="C119" s="187" t="s">
        <v>277</v>
      </c>
      <c r="D119" s="180">
        <v>1</v>
      </c>
      <c r="E119" s="135">
        <f>3.4+2.95+1.65+2.55</f>
        <v>10.55</v>
      </c>
      <c r="F119" s="135"/>
      <c r="G119" s="135">
        <v>2.4</v>
      </c>
      <c r="H119" s="212">
        <f>D119*E119*G119</f>
        <v>25.32</v>
      </c>
      <c r="I119" s="136"/>
      <c r="J119" s="213"/>
      <c r="K119" s="217">
        <f t="shared" si="6"/>
        <v>0</v>
      </c>
      <c r="L119" s="218">
        <f t="shared" si="7"/>
        <v>0</v>
      </c>
    </row>
    <row r="120" spans="1:12" x14ac:dyDescent="0.2">
      <c r="A120" s="124"/>
      <c r="B120" s="211"/>
      <c r="C120" s="191" t="s">
        <v>271</v>
      </c>
      <c r="D120" s="133"/>
      <c r="E120" s="135"/>
      <c r="F120" s="135"/>
      <c r="G120" s="135"/>
      <c r="H120" s="212"/>
      <c r="I120" s="136"/>
      <c r="J120" s="213"/>
      <c r="K120" s="217">
        <f t="shared" si="6"/>
        <v>0</v>
      </c>
      <c r="L120" s="218">
        <f t="shared" si="7"/>
        <v>0</v>
      </c>
    </row>
    <row r="121" spans="1:12" x14ac:dyDescent="0.2">
      <c r="A121" s="124"/>
      <c r="B121" s="211"/>
      <c r="C121" s="183" t="s">
        <v>222</v>
      </c>
      <c r="D121" s="133">
        <v>-1</v>
      </c>
      <c r="E121" s="135">
        <v>1</v>
      </c>
      <c r="F121" s="135"/>
      <c r="G121" s="135">
        <v>2.1</v>
      </c>
      <c r="H121" s="212">
        <f>D121*E121*G121</f>
        <v>-2.1</v>
      </c>
      <c r="I121" s="136"/>
      <c r="J121" s="213"/>
      <c r="K121" s="217">
        <f t="shared" si="6"/>
        <v>0</v>
      </c>
      <c r="L121" s="218">
        <f t="shared" si="7"/>
        <v>0</v>
      </c>
    </row>
    <row r="122" spans="1:12" x14ac:dyDescent="0.2">
      <c r="A122" s="124"/>
      <c r="B122" s="211"/>
      <c r="C122" s="183" t="s">
        <v>617</v>
      </c>
      <c r="D122" s="133">
        <v>-1</v>
      </c>
      <c r="E122" s="135">
        <v>0.75</v>
      </c>
      <c r="F122" s="135"/>
      <c r="G122" s="135">
        <v>2.1</v>
      </c>
      <c r="H122" s="212">
        <f>D122*E122*G122</f>
        <v>-1.5750000000000002</v>
      </c>
      <c r="I122" s="136"/>
      <c r="J122" s="213"/>
      <c r="K122" s="217">
        <f t="shared" si="6"/>
        <v>0</v>
      </c>
      <c r="L122" s="218">
        <f t="shared" si="7"/>
        <v>0</v>
      </c>
    </row>
    <row r="123" spans="1:12" x14ac:dyDescent="0.2">
      <c r="A123" s="124"/>
      <c r="B123" s="211"/>
      <c r="C123" s="183" t="s">
        <v>457</v>
      </c>
      <c r="D123" s="133">
        <v>-1</v>
      </c>
      <c r="E123" s="135">
        <v>1.37</v>
      </c>
      <c r="F123" s="135"/>
      <c r="G123" s="135">
        <v>1.65</v>
      </c>
      <c r="H123" s="212">
        <f>D123*E123*G123</f>
        <v>-2.2605</v>
      </c>
      <c r="I123" s="136"/>
      <c r="J123" s="213"/>
      <c r="K123" s="217">
        <f t="shared" si="6"/>
        <v>0</v>
      </c>
      <c r="L123" s="218">
        <f t="shared" si="7"/>
        <v>0</v>
      </c>
    </row>
    <row r="124" spans="1:12" x14ac:dyDescent="0.2">
      <c r="A124" s="139"/>
      <c r="B124" s="215"/>
      <c r="C124" s="221" t="s">
        <v>117</v>
      </c>
      <c r="D124" s="142"/>
      <c r="E124" s="145"/>
      <c r="F124" s="145"/>
      <c r="G124" s="145"/>
      <c r="H124" s="216">
        <v>18</v>
      </c>
      <c r="I124" s="141" t="s">
        <v>278</v>
      </c>
      <c r="J124" s="217">
        <v>1123.8</v>
      </c>
      <c r="K124" s="217">
        <f t="shared" si="6"/>
        <v>952.37288135593224</v>
      </c>
      <c r="L124" s="218">
        <f t="shared" si="7"/>
        <v>17142.711864406781</v>
      </c>
    </row>
    <row r="125" spans="1:12" x14ac:dyDescent="0.2">
      <c r="A125" s="116">
        <v>7</v>
      </c>
      <c r="B125" s="206">
        <v>13.16</v>
      </c>
      <c r="C125" s="265" t="s">
        <v>279</v>
      </c>
      <c r="D125" s="119"/>
      <c r="E125" s="121"/>
      <c r="F125" s="121"/>
      <c r="G125" s="121"/>
      <c r="H125" s="263"/>
      <c r="I125" s="122"/>
      <c r="J125" s="209"/>
      <c r="K125" s="217">
        <f t="shared" si="6"/>
        <v>0</v>
      </c>
      <c r="L125" s="218">
        <f t="shared" si="7"/>
        <v>0</v>
      </c>
    </row>
    <row r="126" spans="1:12" x14ac:dyDescent="0.2">
      <c r="A126" s="124"/>
      <c r="B126" s="211" t="s">
        <v>280</v>
      </c>
      <c r="C126" s="266" t="s">
        <v>281</v>
      </c>
      <c r="D126" s="127"/>
      <c r="E126" s="129"/>
      <c r="F126" s="129"/>
      <c r="G126" s="129"/>
      <c r="H126" s="239"/>
      <c r="I126" s="130"/>
      <c r="J126" s="240"/>
      <c r="K126" s="217">
        <f t="shared" si="6"/>
        <v>0</v>
      </c>
      <c r="L126" s="218">
        <f t="shared" si="7"/>
        <v>0</v>
      </c>
    </row>
    <row r="127" spans="1:12" x14ac:dyDescent="0.2">
      <c r="A127" s="124"/>
      <c r="B127" s="211"/>
      <c r="C127" s="225" t="s">
        <v>231</v>
      </c>
      <c r="D127" s="226">
        <v>1</v>
      </c>
      <c r="E127" s="227">
        <v>11.925000000000001</v>
      </c>
      <c r="F127" s="227">
        <v>4.45</v>
      </c>
      <c r="G127" s="227"/>
      <c r="H127" s="135">
        <f>F127*E127*D127</f>
        <v>53.066250000000004</v>
      </c>
      <c r="I127" s="136"/>
      <c r="J127" s="213"/>
      <c r="K127" s="217">
        <f t="shared" si="6"/>
        <v>0</v>
      </c>
      <c r="L127" s="218">
        <f t="shared" si="7"/>
        <v>0</v>
      </c>
    </row>
    <row r="128" spans="1:12" x14ac:dyDescent="0.2">
      <c r="A128" s="124"/>
      <c r="B128" s="211"/>
      <c r="C128" s="225"/>
      <c r="D128" s="226">
        <v>1</v>
      </c>
      <c r="E128" s="227">
        <v>12.225</v>
      </c>
      <c r="F128" s="227">
        <v>7.55</v>
      </c>
      <c r="G128" s="227"/>
      <c r="H128" s="135">
        <f t="shared" ref="H128:H142" si="9">F128*E128*D128</f>
        <v>92.298749999999998</v>
      </c>
      <c r="I128" s="136"/>
      <c r="J128" s="213"/>
      <c r="K128" s="217">
        <f t="shared" si="6"/>
        <v>0</v>
      </c>
      <c r="L128" s="218">
        <f t="shared" si="7"/>
        <v>0</v>
      </c>
    </row>
    <row r="129" spans="1:12" x14ac:dyDescent="0.2">
      <c r="A129" s="124"/>
      <c r="B129" s="211"/>
      <c r="C129" s="225"/>
      <c r="D129" s="226">
        <v>1</v>
      </c>
      <c r="E129" s="227">
        <v>9.375</v>
      </c>
      <c r="F129" s="227">
        <v>11.6</v>
      </c>
      <c r="G129" s="227"/>
      <c r="H129" s="135">
        <f t="shared" si="9"/>
        <v>108.75</v>
      </c>
      <c r="I129" s="136"/>
      <c r="J129" s="213"/>
      <c r="K129" s="217">
        <f t="shared" si="6"/>
        <v>0</v>
      </c>
      <c r="L129" s="218">
        <f t="shared" si="7"/>
        <v>0</v>
      </c>
    </row>
    <row r="130" spans="1:12" x14ac:dyDescent="0.2">
      <c r="A130" s="124"/>
      <c r="B130" s="211"/>
      <c r="C130" s="225"/>
      <c r="D130" s="226">
        <v>1</v>
      </c>
      <c r="E130" s="227">
        <v>9.375</v>
      </c>
      <c r="F130" s="227">
        <v>13.975</v>
      </c>
      <c r="G130" s="227"/>
      <c r="H130" s="135">
        <f t="shared" si="9"/>
        <v>131.015625</v>
      </c>
      <c r="I130" s="136"/>
      <c r="J130" s="213"/>
      <c r="K130" s="217">
        <f t="shared" si="6"/>
        <v>0</v>
      </c>
      <c r="L130" s="218">
        <f t="shared" si="7"/>
        <v>0</v>
      </c>
    </row>
    <row r="131" spans="1:12" x14ac:dyDescent="0.2">
      <c r="A131" s="124"/>
      <c r="B131" s="211"/>
      <c r="C131" s="225"/>
      <c r="D131" s="226">
        <v>1</v>
      </c>
      <c r="E131" s="227">
        <v>6.4749999999999996</v>
      </c>
      <c r="F131" s="227">
        <v>2.2250000000000001</v>
      </c>
      <c r="G131" s="227"/>
      <c r="H131" s="135">
        <f t="shared" si="9"/>
        <v>14.406874999999999</v>
      </c>
      <c r="I131" s="136"/>
      <c r="J131" s="213"/>
      <c r="K131" s="217">
        <f t="shared" si="6"/>
        <v>0</v>
      </c>
      <c r="L131" s="218">
        <f t="shared" si="7"/>
        <v>0</v>
      </c>
    </row>
    <row r="132" spans="1:12" x14ac:dyDescent="0.2">
      <c r="A132" s="124"/>
      <c r="B132" s="211"/>
      <c r="C132" s="225" t="s">
        <v>91</v>
      </c>
      <c r="D132" s="226">
        <v>1</v>
      </c>
      <c r="E132" s="227">
        <v>9.6750000000000007</v>
      </c>
      <c r="F132" s="227">
        <v>6.65</v>
      </c>
      <c r="G132" s="227"/>
      <c r="H132" s="135">
        <f t="shared" si="9"/>
        <v>64.338750000000005</v>
      </c>
      <c r="I132" s="136"/>
      <c r="J132" s="213"/>
      <c r="K132" s="217">
        <f t="shared" si="6"/>
        <v>0</v>
      </c>
      <c r="L132" s="218">
        <f t="shared" si="7"/>
        <v>0</v>
      </c>
    </row>
    <row r="133" spans="1:12" x14ac:dyDescent="0.2">
      <c r="A133" s="124"/>
      <c r="B133" s="211"/>
      <c r="C133" s="225" t="s">
        <v>233</v>
      </c>
      <c r="D133" s="226">
        <v>1</v>
      </c>
      <c r="E133" s="227">
        <v>6.1</v>
      </c>
      <c r="F133" s="227">
        <v>0.6</v>
      </c>
      <c r="G133" s="227"/>
      <c r="H133" s="135">
        <f t="shared" si="9"/>
        <v>3.6599999999999997</v>
      </c>
      <c r="I133" s="136"/>
      <c r="J133" s="213"/>
      <c r="K133" s="217">
        <f t="shared" si="6"/>
        <v>0</v>
      </c>
      <c r="L133" s="218">
        <f t="shared" si="7"/>
        <v>0</v>
      </c>
    </row>
    <row r="134" spans="1:12" x14ac:dyDescent="0.2">
      <c r="A134" s="124"/>
      <c r="B134" s="211"/>
      <c r="C134" s="225" t="s">
        <v>234</v>
      </c>
      <c r="D134" s="226">
        <v>1</v>
      </c>
      <c r="E134" s="227">
        <v>6.1</v>
      </c>
      <c r="F134" s="227">
        <v>0.6</v>
      </c>
      <c r="G134" s="227"/>
      <c r="H134" s="135">
        <f t="shared" si="9"/>
        <v>3.6599999999999997</v>
      </c>
      <c r="I134" s="136"/>
      <c r="J134" s="213"/>
      <c r="K134" s="217">
        <f t="shared" si="6"/>
        <v>0</v>
      </c>
      <c r="L134" s="218">
        <f t="shared" si="7"/>
        <v>0</v>
      </c>
    </row>
    <row r="135" spans="1:12" x14ac:dyDescent="0.2">
      <c r="A135" s="124"/>
      <c r="B135" s="211"/>
      <c r="C135" s="225" t="s">
        <v>235</v>
      </c>
      <c r="D135" s="226">
        <v>5</v>
      </c>
      <c r="E135" s="227">
        <v>3.85</v>
      </c>
      <c r="F135" s="227">
        <v>1.5</v>
      </c>
      <c r="G135" s="227"/>
      <c r="H135" s="135">
        <f t="shared" si="9"/>
        <v>28.875</v>
      </c>
      <c r="I135" s="136"/>
      <c r="J135" s="213"/>
      <c r="K135" s="217">
        <f t="shared" si="6"/>
        <v>0</v>
      </c>
      <c r="L135" s="218">
        <f t="shared" si="7"/>
        <v>0</v>
      </c>
    </row>
    <row r="136" spans="1:12" x14ac:dyDescent="0.2">
      <c r="A136" s="124"/>
      <c r="B136" s="211"/>
      <c r="C136" s="225"/>
      <c r="D136" s="226">
        <v>1</v>
      </c>
      <c r="E136" s="227">
        <v>4.5999999999999996</v>
      </c>
      <c r="F136" s="227">
        <v>1.5</v>
      </c>
      <c r="G136" s="227"/>
      <c r="H136" s="135">
        <f t="shared" si="9"/>
        <v>6.8999999999999995</v>
      </c>
      <c r="I136" s="136"/>
      <c r="J136" s="213"/>
      <c r="K136" s="217">
        <f t="shared" si="6"/>
        <v>0</v>
      </c>
      <c r="L136" s="218">
        <f t="shared" si="7"/>
        <v>0</v>
      </c>
    </row>
    <row r="137" spans="1:12" x14ac:dyDescent="0.2">
      <c r="A137" s="124"/>
      <c r="B137" s="211"/>
      <c r="C137" s="225"/>
      <c r="D137" s="226">
        <v>2</v>
      </c>
      <c r="E137" s="227">
        <v>3.85</v>
      </c>
      <c r="F137" s="227">
        <v>1.8</v>
      </c>
      <c r="G137" s="227"/>
      <c r="H137" s="135">
        <f t="shared" si="9"/>
        <v>13.860000000000001</v>
      </c>
      <c r="I137" s="136"/>
      <c r="J137" s="213"/>
      <c r="K137" s="217">
        <f t="shared" si="6"/>
        <v>0</v>
      </c>
      <c r="L137" s="218">
        <f t="shared" si="7"/>
        <v>0</v>
      </c>
    </row>
    <row r="138" spans="1:12" x14ac:dyDescent="0.2">
      <c r="A138" s="124"/>
      <c r="B138" s="211"/>
      <c r="C138" s="225" t="s">
        <v>420</v>
      </c>
      <c r="D138" s="226">
        <v>3</v>
      </c>
      <c r="E138" s="227">
        <v>1.8</v>
      </c>
      <c r="F138" s="227">
        <v>0.7</v>
      </c>
      <c r="G138" s="227"/>
      <c r="H138" s="135">
        <f t="shared" si="9"/>
        <v>3.7800000000000002</v>
      </c>
      <c r="I138" s="136"/>
      <c r="J138" s="213"/>
      <c r="K138" s="217">
        <f t="shared" si="6"/>
        <v>0</v>
      </c>
      <c r="L138" s="218">
        <f t="shared" si="7"/>
        <v>0</v>
      </c>
    </row>
    <row r="139" spans="1:12" x14ac:dyDescent="0.2">
      <c r="A139" s="124"/>
      <c r="B139" s="211"/>
      <c r="C139" s="225" t="s">
        <v>638</v>
      </c>
      <c r="D139" s="226">
        <v>2</v>
      </c>
      <c r="E139" s="227">
        <f>0.9+0.15</f>
        <v>1.05</v>
      </c>
      <c r="F139" s="227">
        <v>0.6</v>
      </c>
      <c r="G139" s="227"/>
      <c r="H139" s="135">
        <f t="shared" si="9"/>
        <v>1.26</v>
      </c>
      <c r="I139" s="136"/>
      <c r="J139" s="213"/>
      <c r="K139" s="217">
        <f t="shared" ref="K139:K202" si="10">J139*100/118</f>
        <v>0</v>
      </c>
      <c r="L139" s="218">
        <f t="shared" ref="L139:L201" si="11">K139*H139</f>
        <v>0</v>
      </c>
    </row>
    <row r="140" spans="1:12" x14ac:dyDescent="0.2">
      <c r="A140" s="124"/>
      <c r="B140" s="211"/>
      <c r="C140" s="225" t="s">
        <v>237</v>
      </c>
      <c r="D140" s="226">
        <v>-1</v>
      </c>
      <c r="E140" s="227">
        <v>3.3250000000000002</v>
      </c>
      <c r="F140" s="227">
        <v>2.7</v>
      </c>
      <c r="G140" s="227"/>
      <c r="H140" s="135">
        <f t="shared" si="9"/>
        <v>-8.9775000000000009</v>
      </c>
      <c r="I140" s="136"/>
      <c r="J140" s="213"/>
      <c r="K140" s="217">
        <f t="shared" si="10"/>
        <v>0</v>
      </c>
      <c r="L140" s="218">
        <f t="shared" si="11"/>
        <v>0</v>
      </c>
    </row>
    <row r="141" spans="1:12" x14ac:dyDescent="0.2">
      <c r="A141" s="124"/>
      <c r="B141" s="211"/>
      <c r="C141" s="230" t="s">
        <v>238</v>
      </c>
      <c r="D141" s="231">
        <v>-1</v>
      </c>
      <c r="E141" s="232">
        <v>2.0499999999999998</v>
      </c>
      <c r="F141" s="232">
        <v>2.1</v>
      </c>
      <c r="G141" s="232"/>
      <c r="H141" s="135">
        <f t="shared" si="9"/>
        <v>-4.3049999999999997</v>
      </c>
      <c r="I141" s="141"/>
      <c r="J141" s="217"/>
      <c r="K141" s="217">
        <f t="shared" si="10"/>
        <v>0</v>
      </c>
      <c r="L141" s="218">
        <f t="shared" si="11"/>
        <v>0</v>
      </c>
    </row>
    <row r="142" spans="1:12" x14ac:dyDescent="0.2">
      <c r="A142" s="124"/>
      <c r="B142" s="211"/>
      <c r="C142" s="230" t="s">
        <v>639</v>
      </c>
      <c r="D142" s="231">
        <v>-1</v>
      </c>
      <c r="E142" s="232">
        <v>4.9749999999999996</v>
      </c>
      <c r="F142" s="232">
        <v>2.35</v>
      </c>
      <c r="G142" s="232"/>
      <c r="H142" s="135">
        <f t="shared" si="9"/>
        <v>-11.69125</v>
      </c>
      <c r="I142" s="141"/>
      <c r="J142" s="217"/>
      <c r="K142" s="217">
        <f t="shared" si="10"/>
        <v>0</v>
      </c>
      <c r="L142" s="218">
        <f t="shared" si="11"/>
        <v>0</v>
      </c>
    </row>
    <row r="143" spans="1:12" x14ac:dyDescent="0.2">
      <c r="A143" s="139"/>
      <c r="B143" s="215"/>
      <c r="C143" s="221" t="s">
        <v>117</v>
      </c>
      <c r="D143" s="142"/>
      <c r="E143" s="233"/>
      <c r="F143" s="145"/>
      <c r="G143" s="145"/>
      <c r="H143" s="267">
        <v>450</v>
      </c>
      <c r="I143" s="268" t="s">
        <v>128</v>
      </c>
      <c r="J143" s="269">
        <v>300.45</v>
      </c>
      <c r="K143" s="217">
        <f t="shared" si="10"/>
        <v>254.61864406779662</v>
      </c>
      <c r="L143" s="218">
        <f t="shared" si="11"/>
        <v>114578.38983050849</v>
      </c>
    </row>
    <row r="144" spans="1:12" x14ac:dyDescent="0.2">
      <c r="A144" s="116">
        <v>8</v>
      </c>
      <c r="B144" s="206" t="s">
        <v>283</v>
      </c>
      <c r="C144" s="219" t="s">
        <v>284</v>
      </c>
      <c r="D144" s="119"/>
      <c r="E144" s="121"/>
      <c r="F144" s="121"/>
      <c r="G144" s="121"/>
      <c r="H144" s="208"/>
      <c r="I144" s="122"/>
      <c r="J144" s="209"/>
      <c r="K144" s="217">
        <f t="shared" si="10"/>
        <v>0</v>
      </c>
      <c r="L144" s="218">
        <f t="shared" si="11"/>
        <v>0</v>
      </c>
    </row>
    <row r="145" spans="1:12" x14ac:dyDescent="0.2">
      <c r="A145" s="124"/>
      <c r="B145" s="211"/>
      <c r="C145" s="220" t="s">
        <v>285</v>
      </c>
      <c r="D145" s="133" t="s">
        <v>91</v>
      </c>
      <c r="E145" s="135" t="s">
        <v>91</v>
      </c>
      <c r="F145" s="135"/>
      <c r="G145" s="135" t="s">
        <v>91</v>
      </c>
      <c r="H145" s="212" t="s">
        <v>91</v>
      </c>
      <c r="I145" s="136"/>
      <c r="J145" s="213"/>
      <c r="K145" s="217">
        <f t="shared" si="10"/>
        <v>0</v>
      </c>
      <c r="L145" s="218">
        <v>0</v>
      </c>
    </row>
    <row r="146" spans="1:12" x14ac:dyDescent="0.2">
      <c r="A146" s="124"/>
      <c r="B146" s="211"/>
      <c r="C146" s="220" t="s">
        <v>286</v>
      </c>
      <c r="D146" s="133">
        <v>1</v>
      </c>
      <c r="E146" s="135">
        <f>3.425*2+3.75*2+0.45*2</f>
        <v>15.25</v>
      </c>
      <c r="F146" s="135"/>
      <c r="G146" s="135">
        <f>3-0.13</f>
        <v>2.87</v>
      </c>
      <c r="H146" s="134">
        <f t="shared" ref="H146:H155" si="12">D146*E146*G146</f>
        <v>43.767499999999998</v>
      </c>
      <c r="I146" s="136"/>
      <c r="J146" s="213"/>
      <c r="K146" s="217">
        <f t="shared" si="10"/>
        <v>0</v>
      </c>
      <c r="L146" s="218">
        <f t="shared" si="11"/>
        <v>0</v>
      </c>
    </row>
    <row r="147" spans="1:12" x14ac:dyDescent="0.2">
      <c r="A147" s="124"/>
      <c r="B147" s="211"/>
      <c r="C147" s="220" t="s">
        <v>287</v>
      </c>
      <c r="D147" s="133">
        <v>1</v>
      </c>
      <c r="E147" s="135">
        <f>2.075*2+1.625*2</f>
        <v>7.4</v>
      </c>
      <c r="F147" s="135"/>
      <c r="G147" s="135">
        <f>3-0.45</f>
        <v>2.5499999999999998</v>
      </c>
      <c r="H147" s="134">
        <f t="shared" si="12"/>
        <v>18.87</v>
      </c>
      <c r="I147" s="136"/>
      <c r="J147" s="213"/>
      <c r="K147" s="217">
        <f t="shared" si="10"/>
        <v>0</v>
      </c>
      <c r="L147" s="218">
        <f t="shared" si="11"/>
        <v>0</v>
      </c>
    </row>
    <row r="148" spans="1:12" x14ac:dyDescent="0.2">
      <c r="A148" s="124"/>
      <c r="B148" s="211"/>
      <c r="C148" s="220" t="s">
        <v>238</v>
      </c>
      <c r="D148" s="133">
        <v>1</v>
      </c>
      <c r="E148" s="135">
        <f>(1.95+1.975)*2</f>
        <v>7.85</v>
      </c>
      <c r="F148" s="135"/>
      <c r="G148" s="135">
        <v>3</v>
      </c>
      <c r="H148" s="134">
        <f t="shared" si="12"/>
        <v>23.549999999999997</v>
      </c>
      <c r="I148" s="136"/>
      <c r="J148" s="213"/>
      <c r="K148" s="217">
        <f t="shared" si="10"/>
        <v>0</v>
      </c>
      <c r="L148" s="218">
        <f t="shared" si="11"/>
        <v>0</v>
      </c>
    </row>
    <row r="149" spans="1:12" x14ac:dyDescent="0.2">
      <c r="A149" s="124"/>
      <c r="B149" s="211"/>
      <c r="C149" s="220" t="s">
        <v>289</v>
      </c>
      <c r="D149" s="133">
        <v>1</v>
      </c>
      <c r="E149" s="135">
        <f>3.7*2+2.7</f>
        <v>10.100000000000001</v>
      </c>
      <c r="F149" s="135"/>
      <c r="G149" s="135">
        <f>3-0.15</f>
        <v>2.85</v>
      </c>
      <c r="H149" s="134">
        <f t="shared" si="12"/>
        <v>28.785000000000004</v>
      </c>
      <c r="I149" s="136"/>
      <c r="J149" s="213"/>
      <c r="K149" s="217">
        <f t="shared" si="10"/>
        <v>0</v>
      </c>
      <c r="L149" s="218">
        <f t="shared" si="11"/>
        <v>0</v>
      </c>
    </row>
    <row r="150" spans="1:12" x14ac:dyDescent="0.2">
      <c r="A150" s="124"/>
      <c r="B150" s="211"/>
      <c r="C150" s="220" t="s">
        <v>290</v>
      </c>
      <c r="D150" s="133">
        <v>14</v>
      </c>
      <c r="E150" s="135">
        <f>(0.3+0.6)*2</f>
        <v>1.7999999999999998</v>
      </c>
      <c r="F150" s="135"/>
      <c r="G150" s="135">
        <v>2.4</v>
      </c>
      <c r="H150" s="134">
        <f t="shared" si="12"/>
        <v>60.47999999999999</v>
      </c>
      <c r="I150" s="136"/>
      <c r="J150" s="213"/>
      <c r="K150" s="217">
        <f t="shared" si="10"/>
        <v>0</v>
      </c>
      <c r="L150" s="218">
        <f t="shared" si="11"/>
        <v>0</v>
      </c>
    </row>
    <row r="151" spans="1:12" x14ac:dyDescent="0.2">
      <c r="A151" s="124"/>
      <c r="B151" s="211"/>
      <c r="C151" s="220" t="s">
        <v>290</v>
      </c>
      <c r="D151" s="133">
        <v>10</v>
      </c>
      <c r="E151" s="135">
        <f>(0.3+0.6)*2</f>
        <v>1.7999999999999998</v>
      </c>
      <c r="F151" s="135"/>
      <c r="G151" s="135">
        <v>2.4</v>
      </c>
      <c r="H151" s="134">
        <f t="shared" si="12"/>
        <v>43.199999999999996</v>
      </c>
      <c r="I151" s="136"/>
      <c r="J151" s="213"/>
      <c r="K151" s="217">
        <f t="shared" si="10"/>
        <v>0</v>
      </c>
      <c r="L151" s="218">
        <f t="shared" si="11"/>
        <v>0</v>
      </c>
    </row>
    <row r="152" spans="1:12" x14ac:dyDescent="0.2">
      <c r="A152" s="124"/>
      <c r="B152" s="211"/>
      <c r="C152" s="220" t="s">
        <v>331</v>
      </c>
      <c r="D152" s="133">
        <v>10</v>
      </c>
      <c r="E152" s="135">
        <f>(0.3+0.6)*2</f>
        <v>1.7999999999999998</v>
      </c>
      <c r="F152" s="135"/>
      <c r="G152" s="135">
        <v>2.4</v>
      </c>
      <c r="H152" s="134">
        <f t="shared" si="12"/>
        <v>43.199999999999996</v>
      </c>
      <c r="I152" s="136"/>
      <c r="J152" s="213"/>
      <c r="K152" s="217">
        <f t="shared" si="10"/>
        <v>0</v>
      </c>
      <c r="L152" s="218">
        <f t="shared" si="11"/>
        <v>0</v>
      </c>
    </row>
    <row r="153" spans="1:12" x14ac:dyDescent="0.2">
      <c r="A153" s="124"/>
      <c r="B153" s="211"/>
      <c r="C153" s="220" t="s">
        <v>643</v>
      </c>
      <c r="D153" s="133">
        <v>1</v>
      </c>
      <c r="E153" s="135">
        <f>E41</f>
        <v>16.8</v>
      </c>
      <c r="F153" s="135"/>
      <c r="G153" s="135">
        <f>(0.6-0.13)*2+0.125</f>
        <v>1.0649999999999999</v>
      </c>
      <c r="H153" s="134">
        <f t="shared" si="12"/>
        <v>17.891999999999999</v>
      </c>
      <c r="I153" s="136"/>
      <c r="J153" s="213"/>
      <c r="K153" s="217">
        <f t="shared" si="10"/>
        <v>0</v>
      </c>
      <c r="L153" s="218">
        <f t="shared" si="11"/>
        <v>0</v>
      </c>
    </row>
    <row r="154" spans="1:12" x14ac:dyDescent="0.2">
      <c r="A154" s="124"/>
      <c r="B154" s="211"/>
      <c r="C154" s="220" t="s">
        <v>292</v>
      </c>
      <c r="D154" s="133">
        <v>1</v>
      </c>
      <c r="E154" s="135">
        <f>E40</f>
        <v>376.55000000000007</v>
      </c>
      <c r="F154" s="135"/>
      <c r="G154" s="135">
        <f>(0.6-0.13)*2+0.25</f>
        <v>1.19</v>
      </c>
      <c r="H154" s="134">
        <f t="shared" si="12"/>
        <v>448.09450000000004</v>
      </c>
      <c r="I154" s="136"/>
      <c r="J154" s="213"/>
      <c r="K154" s="217">
        <f t="shared" si="10"/>
        <v>0</v>
      </c>
      <c r="L154" s="218">
        <f t="shared" si="11"/>
        <v>0</v>
      </c>
    </row>
    <row r="155" spans="1:12" x14ac:dyDescent="0.2">
      <c r="A155" s="124"/>
      <c r="B155" s="211"/>
      <c r="C155" s="183" t="s">
        <v>222</v>
      </c>
      <c r="D155" s="133">
        <v>-1</v>
      </c>
      <c r="E155" s="135">
        <v>1</v>
      </c>
      <c r="F155" s="135"/>
      <c r="G155" s="135">
        <v>2.1</v>
      </c>
      <c r="H155" s="134">
        <f t="shared" si="12"/>
        <v>-2.1</v>
      </c>
      <c r="I155" s="136"/>
      <c r="J155" s="213"/>
      <c r="K155" s="217">
        <f t="shared" si="10"/>
        <v>0</v>
      </c>
      <c r="L155" s="218">
        <f t="shared" si="11"/>
        <v>0</v>
      </c>
    </row>
    <row r="156" spans="1:12" x14ac:dyDescent="0.2">
      <c r="A156" s="124"/>
      <c r="B156" s="211"/>
      <c r="C156" s="183" t="s">
        <v>617</v>
      </c>
      <c r="D156" s="133">
        <v>-1</v>
      </c>
      <c r="E156" s="135">
        <v>0.75</v>
      </c>
      <c r="F156" s="135"/>
      <c r="G156" s="135">
        <v>2.1</v>
      </c>
      <c r="H156" s="134">
        <f>D156*E156*G156</f>
        <v>-1.5750000000000002</v>
      </c>
      <c r="I156" s="136"/>
      <c r="J156" s="213"/>
      <c r="K156" s="217">
        <f t="shared" si="10"/>
        <v>0</v>
      </c>
      <c r="L156" s="218">
        <f t="shared" si="11"/>
        <v>0</v>
      </c>
    </row>
    <row r="157" spans="1:12" x14ac:dyDescent="0.2">
      <c r="A157" s="124"/>
      <c r="B157" s="211"/>
      <c r="C157" s="183" t="s">
        <v>272</v>
      </c>
      <c r="D157" s="133">
        <v>-1</v>
      </c>
      <c r="E157" s="135">
        <v>0.8</v>
      </c>
      <c r="F157" s="135"/>
      <c r="G157" s="135">
        <v>2.1</v>
      </c>
      <c r="H157" s="134">
        <f>D157*E157*G157</f>
        <v>-1.6800000000000002</v>
      </c>
      <c r="I157" s="136"/>
      <c r="J157" s="213"/>
      <c r="K157" s="217">
        <f t="shared" si="10"/>
        <v>0</v>
      </c>
      <c r="L157" s="218">
        <f t="shared" si="11"/>
        <v>0</v>
      </c>
    </row>
    <row r="158" spans="1:12" x14ac:dyDescent="0.2">
      <c r="A158" s="124"/>
      <c r="B158" s="211"/>
      <c r="C158" s="220" t="s">
        <v>457</v>
      </c>
      <c r="D158" s="133">
        <v>-2</v>
      </c>
      <c r="E158" s="135">
        <v>1.37</v>
      </c>
      <c r="F158" s="135"/>
      <c r="G158" s="135">
        <v>1.65</v>
      </c>
      <c r="H158" s="134">
        <f>D158*E158*G158</f>
        <v>-4.5209999999999999</v>
      </c>
      <c r="I158" s="136"/>
      <c r="J158" s="213"/>
      <c r="K158" s="217">
        <f t="shared" si="10"/>
        <v>0</v>
      </c>
      <c r="L158" s="218">
        <f t="shared" si="11"/>
        <v>0</v>
      </c>
    </row>
    <row r="159" spans="1:12" x14ac:dyDescent="0.2">
      <c r="A159" s="124"/>
      <c r="B159" s="211"/>
      <c r="C159" s="220" t="s">
        <v>644</v>
      </c>
      <c r="D159" s="133">
        <v>-1</v>
      </c>
      <c r="E159" s="135">
        <v>0.9</v>
      </c>
      <c r="F159" s="135"/>
      <c r="G159" s="135">
        <v>1.8</v>
      </c>
      <c r="H159" s="134">
        <f>D159*E159*G159</f>
        <v>-1.62</v>
      </c>
      <c r="I159" s="136"/>
      <c r="J159" s="213"/>
      <c r="K159" s="217">
        <f t="shared" si="10"/>
        <v>0</v>
      </c>
      <c r="L159" s="218">
        <f t="shared" si="11"/>
        <v>0</v>
      </c>
    </row>
    <row r="160" spans="1:12" x14ac:dyDescent="0.2">
      <c r="A160" s="124"/>
      <c r="B160" s="211"/>
      <c r="C160" s="220" t="s">
        <v>273</v>
      </c>
      <c r="D160" s="133">
        <v>-1</v>
      </c>
      <c r="E160" s="135">
        <v>0.45</v>
      </c>
      <c r="F160" s="135"/>
      <c r="G160" s="135">
        <v>1.05</v>
      </c>
      <c r="H160" s="134">
        <f>D160*E160*G160</f>
        <v>-0.47250000000000003</v>
      </c>
      <c r="I160" s="136"/>
      <c r="J160" s="213"/>
      <c r="K160" s="217">
        <f t="shared" si="10"/>
        <v>0</v>
      </c>
      <c r="L160" s="218">
        <f t="shared" si="11"/>
        <v>0</v>
      </c>
    </row>
    <row r="161" spans="1:12" x14ac:dyDescent="0.2">
      <c r="A161" s="124"/>
      <c r="B161" s="211"/>
      <c r="C161" s="223" t="s">
        <v>207</v>
      </c>
      <c r="D161" s="133"/>
      <c r="E161" s="135"/>
      <c r="F161" s="135"/>
      <c r="G161" s="135"/>
      <c r="H161" s="134">
        <f>SUM(H145:H160)</f>
        <v>715.87049999999999</v>
      </c>
      <c r="I161" s="136"/>
      <c r="J161" s="213"/>
      <c r="K161" s="217">
        <f t="shared" si="10"/>
        <v>0</v>
      </c>
      <c r="L161" s="218">
        <f t="shared" si="11"/>
        <v>0</v>
      </c>
    </row>
    <row r="162" spans="1:12" x14ac:dyDescent="0.2">
      <c r="A162" s="139"/>
      <c r="B162" s="215"/>
      <c r="C162" s="221" t="s">
        <v>295</v>
      </c>
      <c r="D162" s="142"/>
      <c r="E162" s="233"/>
      <c r="F162" s="145"/>
      <c r="G162" s="145"/>
      <c r="H162" s="267">
        <v>700</v>
      </c>
      <c r="I162" s="268" t="s">
        <v>128</v>
      </c>
      <c r="J162" s="269">
        <v>343.65</v>
      </c>
      <c r="K162" s="217">
        <f t="shared" si="10"/>
        <v>291.22881355932202</v>
      </c>
      <c r="L162" s="218">
        <f t="shared" si="11"/>
        <v>203860.16949152542</v>
      </c>
    </row>
    <row r="163" spans="1:12" ht="25.5" x14ac:dyDescent="0.2">
      <c r="A163" s="116">
        <v>9</v>
      </c>
      <c r="B163" s="206" t="s">
        <v>296</v>
      </c>
      <c r="C163" s="270" t="s">
        <v>297</v>
      </c>
      <c r="D163" s="119"/>
      <c r="E163" s="271"/>
      <c r="F163" s="121"/>
      <c r="G163" s="121"/>
      <c r="H163" s="272"/>
      <c r="I163" s="254"/>
      <c r="J163" s="255"/>
      <c r="K163" s="217">
        <f t="shared" si="10"/>
        <v>0</v>
      </c>
      <c r="L163" s="218">
        <f t="shared" si="11"/>
        <v>0</v>
      </c>
    </row>
    <row r="164" spans="1:12" x14ac:dyDescent="0.2">
      <c r="A164" s="124"/>
      <c r="B164" s="211"/>
      <c r="C164" s="223" t="s">
        <v>298</v>
      </c>
      <c r="D164" s="133">
        <v>1</v>
      </c>
      <c r="E164" s="135">
        <f>E119</f>
        <v>10.55</v>
      </c>
      <c r="F164" s="135"/>
      <c r="G164" s="135">
        <f>3-0.45</f>
        <v>2.5499999999999998</v>
      </c>
      <c r="H164" s="212">
        <f>SUM(G164*E164*D164)</f>
        <v>26.9025</v>
      </c>
      <c r="I164" s="273"/>
      <c r="J164" s="274"/>
      <c r="K164" s="217">
        <f t="shared" si="10"/>
        <v>0</v>
      </c>
      <c r="L164" s="218">
        <f t="shared" si="11"/>
        <v>0</v>
      </c>
    </row>
    <row r="165" spans="1:12" x14ac:dyDescent="0.2">
      <c r="A165" s="139"/>
      <c r="B165" s="215"/>
      <c r="C165" s="223" t="s">
        <v>207</v>
      </c>
      <c r="D165" s="133"/>
      <c r="E165" s="135"/>
      <c r="F165" s="135"/>
      <c r="G165" s="135"/>
      <c r="H165" s="242">
        <v>25</v>
      </c>
      <c r="I165" s="136" t="s">
        <v>278</v>
      </c>
      <c r="J165" s="213">
        <v>395.35</v>
      </c>
      <c r="K165" s="217">
        <f t="shared" si="10"/>
        <v>335.04237288135596</v>
      </c>
      <c r="L165" s="218">
        <f t="shared" si="11"/>
        <v>8376.0593220338997</v>
      </c>
    </row>
    <row r="166" spans="1:12" ht="27.75" customHeight="1" x14ac:dyDescent="0.2">
      <c r="A166" s="124">
        <v>10</v>
      </c>
      <c r="B166" s="211" t="s">
        <v>299</v>
      </c>
      <c r="C166" s="276" t="s">
        <v>300</v>
      </c>
      <c r="D166" s="127"/>
      <c r="E166" s="129"/>
      <c r="F166" s="129"/>
      <c r="G166" s="129"/>
      <c r="H166" s="264"/>
      <c r="I166" s="130"/>
      <c r="J166" s="240"/>
      <c r="K166" s="217">
        <f t="shared" si="10"/>
        <v>0</v>
      </c>
      <c r="L166" s="218">
        <f t="shared" si="11"/>
        <v>0</v>
      </c>
    </row>
    <row r="167" spans="1:12" x14ac:dyDescent="0.2">
      <c r="A167" s="124"/>
      <c r="B167" s="211"/>
      <c r="C167" s="225" t="s">
        <v>301</v>
      </c>
      <c r="D167" s="133">
        <v>1</v>
      </c>
      <c r="E167" s="135">
        <f>3.95+5.1+2.55</f>
        <v>11.600000000000001</v>
      </c>
      <c r="F167" s="135"/>
      <c r="G167" s="135">
        <v>3</v>
      </c>
      <c r="H167" s="134">
        <f>G167*E167*D167</f>
        <v>34.800000000000004</v>
      </c>
      <c r="I167" s="180"/>
      <c r="J167" s="213"/>
      <c r="K167" s="217">
        <f t="shared" si="10"/>
        <v>0</v>
      </c>
      <c r="L167" s="218">
        <f t="shared" si="11"/>
        <v>0</v>
      </c>
    </row>
    <row r="168" spans="1:12" x14ac:dyDescent="0.2">
      <c r="A168" s="124"/>
      <c r="B168" s="211"/>
      <c r="C168" s="225" t="s">
        <v>302</v>
      </c>
      <c r="D168" s="133">
        <v>1</v>
      </c>
      <c r="E168" s="135">
        <f>E40</f>
        <v>376.55000000000007</v>
      </c>
      <c r="F168" s="135"/>
      <c r="G168" s="135">
        <v>0.6</v>
      </c>
      <c r="H168" s="134">
        <f>G168*E168*D168</f>
        <v>225.93000000000004</v>
      </c>
      <c r="I168" s="180"/>
      <c r="J168" s="213"/>
      <c r="K168" s="217">
        <f t="shared" si="10"/>
        <v>0</v>
      </c>
      <c r="L168" s="218">
        <f t="shared" si="11"/>
        <v>0</v>
      </c>
    </row>
    <row r="169" spans="1:12" x14ac:dyDescent="0.2">
      <c r="A169" s="139"/>
      <c r="B169" s="215"/>
      <c r="C169" s="221" t="s">
        <v>117</v>
      </c>
      <c r="D169" s="142"/>
      <c r="E169" s="143"/>
      <c r="F169" s="143"/>
      <c r="G169" s="143"/>
      <c r="H169" s="222">
        <v>250</v>
      </c>
      <c r="I169" s="233" t="s">
        <v>128</v>
      </c>
      <c r="J169" s="217">
        <v>466.05</v>
      </c>
      <c r="K169" s="217">
        <f t="shared" si="10"/>
        <v>394.95762711864404</v>
      </c>
      <c r="L169" s="218">
        <f t="shared" si="11"/>
        <v>98739.406779661003</v>
      </c>
    </row>
    <row r="170" spans="1:12" ht="71.25" x14ac:dyDescent="0.2">
      <c r="A170" s="124">
        <v>11</v>
      </c>
      <c r="B170" s="211">
        <v>13.73</v>
      </c>
      <c r="C170" s="118" t="s">
        <v>304</v>
      </c>
      <c r="D170" s="127"/>
      <c r="E170" s="128"/>
      <c r="F170" s="128"/>
      <c r="G170" s="128"/>
      <c r="H170" s="264"/>
      <c r="I170" s="249"/>
      <c r="J170" s="240"/>
      <c r="K170" s="217">
        <f t="shared" si="10"/>
        <v>0</v>
      </c>
      <c r="L170" s="218">
        <f t="shared" si="11"/>
        <v>0</v>
      </c>
    </row>
    <row r="171" spans="1:12" ht="23.25" customHeight="1" x14ac:dyDescent="0.2">
      <c r="A171" s="124"/>
      <c r="B171" s="211" t="s">
        <v>305</v>
      </c>
      <c r="C171" s="118" t="s">
        <v>306</v>
      </c>
      <c r="D171" s="127"/>
      <c r="E171" s="128">
        <v>60</v>
      </c>
      <c r="F171" s="128"/>
      <c r="G171" s="128"/>
      <c r="H171" s="264"/>
      <c r="I171" s="249" t="s">
        <v>307</v>
      </c>
      <c r="J171" s="240">
        <v>75.8</v>
      </c>
      <c r="K171" s="217">
        <f t="shared" si="10"/>
        <v>64.237288135593218</v>
      </c>
      <c r="L171" s="218">
        <f t="shared" si="11"/>
        <v>0</v>
      </c>
    </row>
    <row r="172" spans="1:12" ht="75.75" customHeight="1" x14ac:dyDescent="0.2">
      <c r="A172" s="116">
        <v>12</v>
      </c>
      <c r="B172" s="175" t="s">
        <v>308</v>
      </c>
      <c r="C172" s="118" t="s">
        <v>309</v>
      </c>
      <c r="D172" s="119"/>
      <c r="E172" s="271"/>
      <c r="F172" s="121"/>
      <c r="G172" s="121"/>
      <c r="H172" s="272"/>
      <c r="I172" s="254"/>
      <c r="J172" s="255"/>
      <c r="K172" s="217">
        <f t="shared" si="10"/>
        <v>0</v>
      </c>
      <c r="L172" s="218">
        <f t="shared" si="11"/>
        <v>0</v>
      </c>
    </row>
    <row r="173" spans="1:12" ht="14.25" x14ac:dyDescent="0.2">
      <c r="A173" s="124"/>
      <c r="B173" s="176"/>
      <c r="C173" s="236" t="s">
        <v>310</v>
      </c>
      <c r="D173" s="133">
        <v>18</v>
      </c>
      <c r="E173" s="135">
        <v>1.2749999999999999</v>
      </c>
      <c r="F173" s="135">
        <v>0.25</v>
      </c>
      <c r="G173" s="135"/>
      <c r="H173" s="242">
        <f>D173*E173*F173</f>
        <v>5.7374999999999998</v>
      </c>
      <c r="I173" s="273"/>
      <c r="J173" s="274"/>
      <c r="K173" s="217">
        <f t="shared" si="10"/>
        <v>0</v>
      </c>
      <c r="L173" s="218">
        <f t="shared" si="11"/>
        <v>0</v>
      </c>
    </row>
    <row r="174" spans="1:12" ht="14.25" x14ac:dyDescent="0.2">
      <c r="A174" s="124"/>
      <c r="B174" s="176"/>
      <c r="C174" s="278" t="s">
        <v>311</v>
      </c>
      <c r="D174" s="133">
        <v>1</v>
      </c>
      <c r="E174" s="135">
        <v>2.7</v>
      </c>
      <c r="F174" s="135">
        <v>1.33</v>
      </c>
      <c r="G174" s="135"/>
      <c r="H174" s="242">
        <f>D174*E174*F174</f>
        <v>3.5910000000000006</v>
      </c>
      <c r="I174" s="273"/>
      <c r="J174" s="274"/>
      <c r="K174" s="217">
        <f t="shared" si="10"/>
        <v>0</v>
      </c>
      <c r="L174" s="218">
        <f t="shared" si="11"/>
        <v>0</v>
      </c>
    </row>
    <row r="175" spans="1:12" ht="14.25" x14ac:dyDescent="0.2">
      <c r="A175" s="124"/>
      <c r="B175" s="176"/>
      <c r="C175" s="279" t="s">
        <v>312</v>
      </c>
      <c r="D175" s="142">
        <v>1</v>
      </c>
      <c r="E175" s="145">
        <v>2.7</v>
      </c>
      <c r="F175" s="145">
        <v>3.7</v>
      </c>
      <c r="G175" s="145"/>
      <c r="H175" s="242">
        <f>D175*E175*F175</f>
        <v>9.990000000000002</v>
      </c>
      <c r="I175" s="268"/>
      <c r="J175" s="269"/>
      <c r="K175" s="217">
        <f t="shared" si="10"/>
        <v>0</v>
      </c>
      <c r="L175" s="218">
        <f t="shared" si="11"/>
        <v>0</v>
      </c>
    </row>
    <row r="176" spans="1:12" ht="14.25" x14ac:dyDescent="0.2">
      <c r="A176" s="124"/>
      <c r="B176" s="280"/>
      <c r="C176" s="281" t="s">
        <v>207</v>
      </c>
      <c r="D176" s="142"/>
      <c r="E176" s="233"/>
      <c r="F176" s="145"/>
      <c r="G176" s="145"/>
      <c r="H176" s="282">
        <v>18</v>
      </c>
      <c r="I176" s="268" t="s">
        <v>278</v>
      </c>
      <c r="J176" s="269">
        <v>1948.25</v>
      </c>
      <c r="K176" s="217">
        <f t="shared" si="10"/>
        <v>1651.0593220338983</v>
      </c>
      <c r="L176" s="218">
        <f t="shared" si="11"/>
        <v>29719.067796610168</v>
      </c>
    </row>
    <row r="177" spans="1:12" ht="71.25" x14ac:dyDescent="0.2">
      <c r="A177" s="116">
        <v>13</v>
      </c>
      <c r="B177" s="283">
        <v>11.2</v>
      </c>
      <c r="C177" s="287" t="s">
        <v>313</v>
      </c>
      <c r="D177" s="133"/>
      <c r="E177" s="180"/>
      <c r="F177" s="135"/>
      <c r="G177" s="135"/>
      <c r="H177" s="285"/>
      <c r="I177" s="273"/>
      <c r="J177" s="274"/>
      <c r="K177" s="217">
        <f t="shared" si="10"/>
        <v>0</v>
      </c>
      <c r="L177" s="218">
        <f t="shared" si="11"/>
        <v>0</v>
      </c>
    </row>
    <row r="178" spans="1:12" ht="28.5" x14ac:dyDescent="0.2">
      <c r="A178" s="124"/>
      <c r="B178" s="286" t="s">
        <v>314</v>
      </c>
      <c r="C178" s="287" t="s">
        <v>315</v>
      </c>
      <c r="D178" s="133"/>
      <c r="E178" s="180"/>
      <c r="F178" s="135"/>
      <c r="G178" s="135"/>
      <c r="H178" s="285"/>
      <c r="I178" s="273" t="s">
        <v>91</v>
      </c>
      <c r="J178" s="274" t="s">
        <v>91</v>
      </c>
      <c r="K178" s="217" t="e">
        <f t="shared" si="10"/>
        <v>#VALUE!</v>
      </c>
      <c r="L178" s="218">
        <v>0</v>
      </c>
    </row>
    <row r="179" spans="1:12" ht="14.25" x14ac:dyDescent="0.2">
      <c r="A179" s="124"/>
      <c r="B179" s="286"/>
      <c r="C179" s="287" t="s">
        <v>316</v>
      </c>
      <c r="D179" s="133"/>
      <c r="E179" s="180"/>
      <c r="F179" s="135"/>
      <c r="G179" s="135"/>
      <c r="H179" s="285">
        <f>'Tower-2 Plinth'!E37-H175-H184-H187- H190</f>
        <v>956.01</v>
      </c>
      <c r="I179" s="273" t="s">
        <v>91</v>
      </c>
      <c r="J179" s="274" t="s">
        <v>91</v>
      </c>
      <c r="K179" s="217" t="e">
        <f t="shared" si="10"/>
        <v>#VALUE!</v>
      </c>
      <c r="L179" s="218">
        <v>0</v>
      </c>
    </row>
    <row r="180" spans="1:12" ht="14.25" x14ac:dyDescent="0.2">
      <c r="A180" s="139"/>
      <c r="B180" s="286"/>
      <c r="C180" s="287" t="s">
        <v>117</v>
      </c>
      <c r="D180" s="133"/>
      <c r="E180" s="180"/>
      <c r="F180" s="135"/>
      <c r="G180" s="135"/>
      <c r="H180" s="285">
        <v>945</v>
      </c>
      <c r="I180" s="273" t="s">
        <v>278</v>
      </c>
      <c r="J180" s="274">
        <v>1328.35</v>
      </c>
      <c r="K180" s="217">
        <f t="shared" si="10"/>
        <v>1125.7203389830509</v>
      </c>
      <c r="L180" s="218">
        <f t="shared" si="11"/>
        <v>1063805.720338983</v>
      </c>
    </row>
    <row r="181" spans="1:12" ht="108.75" customHeight="1" x14ac:dyDescent="0.2">
      <c r="A181" s="124">
        <v>14</v>
      </c>
      <c r="B181" s="206">
        <v>11.41</v>
      </c>
      <c r="C181" s="288" t="s">
        <v>317</v>
      </c>
      <c r="D181" s="119"/>
      <c r="E181" s="121"/>
      <c r="F181" s="121"/>
      <c r="G181" s="121"/>
      <c r="H181" s="208"/>
      <c r="I181" s="122"/>
      <c r="J181" s="209"/>
      <c r="K181" s="217">
        <f t="shared" si="10"/>
        <v>0</v>
      </c>
      <c r="L181" s="218">
        <f t="shared" si="11"/>
        <v>0</v>
      </c>
    </row>
    <row r="182" spans="1:12" ht="35.25" customHeight="1" x14ac:dyDescent="0.2">
      <c r="A182" s="124"/>
      <c r="B182" s="211" t="s">
        <v>318</v>
      </c>
      <c r="C182" s="289" t="s">
        <v>319</v>
      </c>
      <c r="D182" s="127"/>
      <c r="E182" s="129"/>
      <c r="F182" s="129"/>
      <c r="G182" s="129"/>
      <c r="H182" s="239"/>
      <c r="I182" s="130"/>
      <c r="J182" s="240"/>
      <c r="K182" s="217">
        <f t="shared" si="10"/>
        <v>0</v>
      </c>
      <c r="L182" s="218">
        <f t="shared" si="11"/>
        <v>0</v>
      </c>
    </row>
    <row r="183" spans="1:12" ht="15.75" customHeight="1" x14ac:dyDescent="0.2">
      <c r="A183" s="124"/>
      <c r="B183" s="211"/>
      <c r="C183" s="225" t="s">
        <v>320</v>
      </c>
      <c r="D183" s="226">
        <v>1</v>
      </c>
      <c r="E183" s="227">
        <v>3.4249999999999998</v>
      </c>
      <c r="F183" s="227">
        <v>3.3</v>
      </c>
      <c r="G183" s="227"/>
      <c r="H183" s="227">
        <f>D183*E183*F183</f>
        <v>11.302499999999998</v>
      </c>
      <c r="I183" s="136"/>
      <c r="J183" s="213"/>
      <c r="K183" s="217">
        <f t="shared" si="10"/>
        <v>0</v>
      </c>
      <c r="L183" s="218">
        <f t="shared" si="11"/>
        <v>0</v>
      </c>
    </row>
    <row r="184" spans="1:12" ht="16.5" customHeight="1" x14ac:dyDescent="0.2">
      <c r="A184" s="124"/>
      <c r="B184" s="211"/>
      <c r="C184" s="221" t="s">
        <v>117</v>
      </c>
      <c r="D184" s="142"/>
      <c r="E184" s="144"/>
      <c r="F184" s="144"/>
      <c r="G184" s="145"/>
      <c r="H184" s="216">
        <v>11</v>
      </c>
      <c r="I184" s="141" t="s">
        <v>128</v>
      </c>
      <c r="J184" s="217">
        <v>1553.45</v>
      </c>
      <c r="K184" s="217">
        <f t="shared" si="10"/>
        <v>1316.4830508474577</v>
      </c>
      <c r="L184" s="218">
        <f t="shared" si="11"/>
        <v>14481.313559322034</v>
      </c>
    </row>
    <row r="185" spans="1:12" ht="25.5" x14ac:dyDescent="0.2">
      <c r="A185" s="116">
        <v>15</v>
      </c>
      <c r="B185" s="206">
        <v>11.37</v>
      </c>
      <c r="C185" s="207" t="s">
        <v>321</v>
      </c>
      <c r="D185" s="119"/>
      <c r="E185" s="121"/>
      <c r="F185" s="121"/>
      <c r="G185" s="121"/>
      <c r="H185" s="263"/>
      <c r="I185" s="122"/>
      <c r="J185" s="209"/>
      <c r="K185" s="217">
        <f t="shared" si="10"/>
        <v>0</v>
      </c>
      <c r="L185" s="218">
        <f t="shared" si="11"/>
        <v>0</v>
      </c>
    </row>
    <row r="186" spans="1:12" x14ac:dyDescent="0.2">
      <c r="A186" s="124"/>
      <c r="B186" s="211"/>
      <c r="C186" s="220" t="s">
        <v>322</v>
      </c>
      <c r="D186" s="133">
        <v>1</v>
      </c>
      <c r="E186" s="135">
        <v>1.625</v>
      </c>
      <c r="F186" s="135">
        <v>2.0750000000000002</v>
      </c>
      <c r="G186" s="135"/>
      <c r="H186" s="212">
        <f>F186*E186*D186</f>
        <v>3.3718750000000002</v>
      </c>
      <c r="I186" s="136"/>
      <c r="J186" s="213"/>
      <c r="K186" s="217">
        <f t="shared" si="10"/>
        <v>0</v>
      </c>
      <c r="L186" s="218">
        <f t="shared" si="11"/>
        <v>0</v>
      </c>
    </row>
    <row r="187" spans="1:12" x14ac:dyDescent="0.2">
      <c r="A187" s="124"/>
      <c r="B187" s="215"/>
      <c r="C187" s="221" t="s">
        <v>117</v>
      </c>
      <c r="D187" s="142"/>
      <c r="E187" s="145"/>
      <c r="F187" s="145"/>
      <c r="G187" s="145"/>
      <c r="H187" s="216">
        <v>3</v>
      </c>
      <c r="I187" s="141" t="s">
        <v>128</v>
      </c>
      <c r="J187" s="217">
        <v>1096.55</v>
      </c>
      <c r="K187" s="217">
        <f t="shared" si="10"/>
        <v>929.27966101694915</v>
      </c>
      <c r="L187" s="218">
        <f t="shared" si="11"/>
        <v>2787.8389830508477</v>
      </c>
    </row>
    <row r="188" spans="1:12" ht="62.25" customHeight="1" x14ac:dyDescent="0.2">
      <c r="A188" s="116">
        <v>16</v>
      </c>
      <c r="B188" s="211">
        <v>11.23</v>
      </c>
      <c r="C188" s="207" t="s">
        <v>645</v>
      </c>
      <c r="D188" s="133"/>
      <c r="E188" s="135"/>
      <c r="F188" s="135"/>
      <c r="G188" s="135"/>
      <c r="H188" s="242"/>
      <c r="I188" s="136"/>
      <c r="J188" s="213"/>
      <c r="K188" s="217">
        <f t="shared" si="10"/>
        <v>0</v>
      </c>
      <c r="L188" s="218">
        <f t="shared" si="11"/>
        <v>0</v>
      </c>
    </row>
    <row r="189" spans="1:12" x14ac:dyDescent="0.2">
      <c r="A189" s="124"/>
      <c r="B189" s="211"/>
      <c r="C189" s="223" t="s">
        <v>324</v>
      </c>
      <c r="D189" s="133">
        <v>1</v>
      </c>
      <c r="E189" s="135">
        <v>6.05</v>
      </c>
      <c r="F189" s="135">
        <v>5.05</v>
      </c>
      <c r="G189" s="135"/>
      <c r="H189" s="212">
        <f>F189*E189*D189</f>
        <v>30.552499999999998</v>
      </c>
      <c r="I189" s="136"/>
      <c r="J189" s="213"/>
      <c r="K189" s="217">
        <f t="shared" si="10"/>
        <v>0</v>
      </c>
      <c r="L189" s="218">
        <f t="shared" si="11"/>
        <v>0</v>
      </c>
    </row>
    <row r="190" spans="1:12" x14ac:dyDescent="0.2">
      <c r="A190" s="139"/>
      <c r="B190" s="211"/>
      <c r="C190" s="223" t="s">
        <v>117</v>
      </c>
      <c r="D190" s="133"/>
      <c r="E190" s="135"/>
      <c r="F190" s="135"/>
      <c r="G190" s="135"/>
      <c r="H190" s="216">
        <v>28</v>
      </c>
      <c r="I190" s="141" t="s">
        <v>128</v>
      </c>
      <c r="J190" s="217">
        <v>1960.75</v>
      </c>
      <c r="K190" s="217">
        <f t="shared" si="10"/>
        <v>1661.6525423728813</v>
      </c>
      <c r="L190" s="218">
        <f t="shared" si="11"/>
        <v>46526.271186440674</v>
      </c>
    </row>
    <row r="191" spans="1:12" ht="47.25" customHeight="1" x14ac:dyDescent="0.2">
      <c r="A191" s="116">
        <v>17</v>
      </c>
      <c r="B191" s="291">
        <v>8.9</v>
      </c>
      <c r="C191" s="292" t="s">
        <v>325</v>
      </c>
      <c r="D191" s="119"/>
      <c r="E191" s="121"/>
      <c r="F191" s="121"/>
      <c r="G191" s="121"/>
      <c r="H191" s="263"/>
      <c r="I191" s="122"/>
      <c r="J191" s="209"/>
      <c r="K191" s="217">
        <f t="shared" si="10"/>
        <v>0</v>
      </c>
      <c r="L191" s="218">
        <f t="shared" si="11"/>
        <v>0</v>
      </c>
    </row>
    <row r="192" spans="1:12" ht="14.25" x14ac:dyDescent="0.2">
      <c r="A192" s="124"/>
      <c r="B192" s="293" t="s">
        <v>326</v>
      </c>
      <c r="C192" s="294" t="s">
        <v>327</v>
      </c>
      <c r="D192" s="127"/>
      <c r="E192" s="129"/>
      <c r="F192" s="129"/>
      <c r="G192" s="129"/>
      <c r="H192" s="264"/>
      <c r="I192" s="130"/>
      <c r="J192" s="240"/>
      <c r="K192" s="217">
        <f t="shared" si="10"/>
        <v>0</v>
      </c>
      <c r="L192" s="218">
        <f t="shared" si="11"/>
        <v>0</v>
      </c>
    </row>
    <row r="193" spans="1:12" ht="14.25" x14ac:dyDescent="0.2">
      <c r="A193" s="124"/>
      <c r="B193" s="293" t="s">
        <v>328</v>
      </c>
      <c r="C193" s="294" t="s">
        <v>329</v>
      </c>
      <c r="D193" s="127" t="s">
        <v>91</v>
      </c>
      <c r="E193" s="129" t="s">
        <v>91</v>
      </c>
      <c r="F193" s="129"/>
      <c r="G193" s="129" t="s">
        <v>91</v>
      </c>
      <c r="H193" s="264" t="s">
        <v>91</v>
      </c>
      <c r="I193" s="130"/>
      <c r="J193" s="240"/>
      <c r="K193" s="217">
        <f t="shared" si="10"/>
        <v>0</v>
      </c>
      <c r="L193" s="218">
        <v>0</v>
      </c>
    </row>
    <row r="194" spans="1:12" ht="14.25" x14ac:dyDescent="0.2">
      <c r="A194" s="124"/>
      <c r="B194" s="293"/>
      <c r="C194" s="278" t="s">
        <v>330</v>
      </c>
      <c r="D194" s="133">
        <v>1</v>
      </c>
      <c r="E194" s="135">
        <f xml:space="preserve"> (6.05 + 5.05)*2 -2.7-1.8</f>
        <v>17.7</v>
      </c>
      <c r="F194" s="135"/>
      <c r="G194" s="135">
        <v>0.15</v>
      </c>
      <c r="H194" s="242">
        <f>D194*E194*G194</f>
        <v>2.6549999999999998</v>
      </c>
      <c r="I194" s="136"/>
      <c r="J194" s="213"/>
      <c r="K194" s="217">
        <f t="shared" si="10"/>
        <v>0</v>
      </c>
      <c r="L194" s="218">
        <f t="shared" si="11"/>
        <v>0</v>
      </c>
    </row>
    <row r="195" spans="1:12" ht="14.25" x14ac:dyDescent="0.2">
      <c r="A195" s="124"/>
      <c r="B195" s="293"/>
      <c r="C195" s="279" t="s">
        <v>646</v>
      </c>
      <c r="D195" s="142">
        <v>14</v>
      </c>
      <c r="E195" s="145">
        <f>(0.3+0.6)*2</f>
        <v>1.7999999999999998</v>
      </c>
      <c r="F195" s="145"/>
      <c r="G195" s="135">
        <v>0.15</v>
      </c>
      <c r="H195" s="242">
        <f>D195*E195*G195</f>
        <v>3.7799999999999994</v>
      </c>
      <c r="I195" s="141"/>
      <c r="J195" s="217"/>
      <c r="K195" s="217">
        <f t="shared" si="10"/>
        <v>0</v>
      </c>
      <c r="L195" s="218">
        <f t="shared" si="11"/>
        <v>0</v>
      </c>
    </row>
    <row r="196" spans="1:12" ht="14.25" x14ac:dyDescent="0.2">
      <c r="A196" s="124"/>
      <c r="B196" s="293"/>
      <c r="C196" s="279" t="s">
        <v>331</v>
      </c>
      <c r="D196" s="142">
        <v>10</v>
      </c>
      <c r="E196" s="145">
        <f>(0.3+0.6)*2</f>
        <v>1.7999999999999998</v>
      </c>
      <c r="F196" s="145"/>
      <c r="G196" s="135">
        <v>0.15</v>
      </c>
      <c r="H196" s="242">
        <f>D196*E196*G196</f>
        <v>2.6999999999999997</v>
      </c>
      <c r="I196" s="141"/>
      <c r="J196" s="217"/>
      <c r="K196" s="217">
        <f t="shared" si="10"/>
        <v>0</v>
      </c>
      <c r="L196" s="218">
        <f t="shared" si="11"/>
        <v>0</v>
      </c>
    </row>
    <row r="197" spans="1:12" ht="14.25" x14ac:dyDescent="0.2">
      <c r="A197" s="124"/>
      <c r="B197" s="293"/>
      <c r="C197" s="279" t="s">
        <v>647</v>
      </c>
      <c r="D197" s="142">
        <v>4</v>
      </c>
      <c r="E197" s="145">
        <f>(0.3+0.6)*2</f>
        <v>1.7999999999999998</v>
      </c>
      <c r="F197" s="145"/>
      <c r="G197" s="135">
        <v>0.15</v>
      </c>
      <c r="H197" s="242">
        <f>D197*E197*G197</f>
        <v>1.0799999999999998</v>
      </c>
      <c r="I197" s="141"/>
      <c r="J197" s="217"/>
      <c r="K197" s="217">
        <f t="shared" si="10"/>
        <v>0</v>
      </c>
      <c r="L197" s="218">
        <f t="shared" si="11"/>
        <v>0</v>
      </c>
    </row>
    <row r="198" spans="1:12" ht="14.25" x14ac:dyDescent="0.2">
      <c r="A198" s="124"/>
      <c r="B198" s="293"/>
      <c r="C198" s="279" t="s">
        <v>333</v>
      </c>
      <c r="D198" s="142">
        <v>6</v>
      </c>
      <c r="E198" s="145">
        <f xml:space="preserve"> 0.3 +0.6</f>
        <v>0.89999999999999991</v>
      </c>
      <c r="F198" s="145"/>
      <c r="G198" s="135">
        <v>0.15</v>
      </c>
      <c r="H198" s="242">
        <f>D198*E198*G198</f>
        <v>0.80999999999999994</v>
      </c>
      <c r="I198" s="141"/>
      <c r="J198" s="217"/>
      <c r="K198" s="217">
        <f t="shared" si="10"/>
        <v>0</v>
      </c>
      <c r="L198" s="218">
        <f t="shared" si="11"/>
        <v>0</v>
      </c>
    </row>
    <row r="199" spans="1:12" ht="14.25" x14ac:dyDescent="0.2">
      <c r="A199" s="124"/>
      <c r="B199" s="295"/>
      <c r="C199" s="296" t="s">
        <v>117</v>
      </c>
      <c r="D199" s="142"/>
      <c r="E199" s="145"/>
      <c r="F199" s="145"/>
      <c r="G199" s="145"/>
      <c r="H199" s="216">
        <f>SUM(H194:H198)</f>
        <v>11.024999999999999</v>
      </c>
      <c r="I199" s="141" t="s">
        <v>334</v>
      </c>
      <c r="J199" s="217">
        <v>3190.3</v>
      </c>
      <c r="K199" s="217">
        <f t="shared" si="10"/>
        <v>2703.6440677966102</v>
      </c>
      <c r="L199" s="218">
        <f t="shared" si="11"/>
        <v>29807.675847457624</v>
      </c>
    </row>
    <row r="200" spans="1:12" ht="42.75" x14ac:dyDescent="0.2">
      <c r="A200" s="116">
        <v>17</v>
      </c>
      <c r="B200" s="291">
        <v>8.9</v>
      </c>
      <c r="C200" s="292" t="s">
        <v>325</v>
      </c>
      <c r="D200" s="119"/>
      <c r="E200" s="121"/>
      <c r="F200" s="121"/>
      <c r="G200" s="121"/>
      <c r="H200" s="263"/>
      <c r="I200" s="122"/>
      <c r="J200" s="209"/>
      <c r="K200" s="217">
        <f t="shared" si="10"/>
        <v>0</v>
      </c>
      <c r="L200" s="218">
        <f t="shared" si="11"/>
        <v>0</v>
      </c>
    </row>
    <row r="201" spans="1:12" ht="22.5" customHeight="1" x14ac:dyDescent="0.2">
      <c r="A201" s="124" t="s">
        <v>91</v>
      </c>
      <c r="B201" s="293" t="s">
        <v>326</v>
      </c>
      <c r="C201" s="294" t="s">
        <v>327</v>
      </c>
      <c r="D201" s="127"/>
      <c r="E201" s="129"/>
      <c r="F201" s="129"/>
      <c r="G201" s="129"/>
      <c r="H201" s="264"/>
      <c r="I201" s="130"/>
      <c r="J201" s="240"/>
      <c r="K201" s="217">
        <f t="shared" si="10"/>
        <v>0</v>
      </c>
      <c r="L201" s="218">
        <f t="shared" si="11"/>
        <v>0</v>
      </c>
    </row>
    <row r="202" spans="1:12" ht="14.25" x14ac:dyDescent="0.2">
      <c r="A202" s="124"/>
      <c r="B202" s="293" t="s">
        <v>335</v>
      </c>
      <c r="C202" s="294" t="s">
        <v>336</v>
      </c>
      <c r="D202" s="127" t="s">
        <v>91</v>
      </c>
      <c r="E202" s="129" t="s">
        <v>91</v>
      </c>
      <c r="F202" s="129"/>
      <c r="G202" s="129" t="s">
        <v>91</v>
      </c>
      <c r="H202" s="264" t="s">
        <v>91</v>
      </c>
      <c r="I202" s="130"/>
      <c r="J202" s="240"/>
      <c r="K202" s="217">
        <f t="shared" si="10"/>
        <v>0</v>
      </c>
      <c r="L202" s="218">
        <v>0</v>
      </c>
    </row>
    <row r="203" spans="1:12" ht="14.25" x14ac:dyDescent="0.2">
      <c r="A203" s="124"/>
      <c r="B203" s="293"/>
      <c r="C203" s="278" t="s">
        <v>337</v>
      </c>
      <c r="D203" s="133">
        <v>1</v>
      </c>
      <c r="E203" s="135">
        <f>0.9*2</f>
        <v>1.8</v>
      </c>
      <c r="F203" s="135"/>
      <c r="G203" s="135">
        <v>2.1</v>
      </c>
      <c r="H203" s="242">
        <f>D203*E203*G203</f>
        <v>3.7800000000000002</v>
      </c>
      <c r="I203" s="136"/>
      <c r="J203" s="213"/>
      <c r="K203" s="217">
        <f t="shared" ref="K203:K266" si="13">J203*100/118</f>
        <v>0</v>
      </c>
      <c r="L203" s="218">
        <f t="shared" ref="L203:L266" si="14">K203*H203</f>
        <v>0</v>
      </c>
    </row>
    <row r="204" spans="1:12" ht="14.25" x14ac:dyDescent="0.2">
      <c r="A204" s="139"/>
      <c r="B204" s="295"/>
      <c r="C204" s="296" t="s">
        <v>117</v>
      </c>
      <c r="D204" s="142"/>
      <c r="E204" s="145"/>
      <c r="F204" s="145"/>
      <c r="G204" s="145"/>
      <c r="H204" s="216">
        <v>3</v>
      </c>
      <c r="I204" s="141" t="s">
        <v>334</v>
      </c>
      <c r="J204" s="217">
        <v>3617.55</v>
      </c>
      <c r="K204" s="217">
        <f t="shared" si="13"/>
        <v>3065.7203389830506</v>
      </c>
      <c r="L204" s="218">
        <f t="shared" si="14"/>
        <v>9197.1610169491523</v>
      </c>
    </row>
    <row r="205" spans="1:12" ht="71.25" x14ac:dyDescent="0.2">
      <c r="A205" s="116">
        <v>18</v>
      </c>
      <c r="B205" s="175">
        <v>11.27</v>
      </c>
      <c r="C205" s="118" t="s">
        <v>338</v>
      </c>
      <c r="D205" s="119"/>
      <c r="E205" s="271"/>
      <c r="F205" s="121"/>
      <c r="G205" s="121"/>
      <c r="H205" s="272"/>
      <c r="I205" s="254"/>
      <c r="J205" s="255"/>
      <c r="K205" s="217">
        <f t="shared" si="13"/>
        <v>0</v>
      </c>
      <c r="L205" s="218">
        <f t="shared" si="14"/>
        <v>0</v>
      </c>
    </row>
    <row r="206" spans="1:12" ht="14.25" x14ac:dyDescent="0.2">
      <c r="A206" s="124" t="s">
        <v>91</v>
      </c>
      <c r="B206" s="176"/>
      <c r="C206" s="287" t="s">
        <v>503</v>
      </c>
      <c r="D206" s="133">
        <v>20</v>
      </c>
      <c r="E206" s="135">
        <v>1.2</v>
      </c>
      <c r="F206" s="135"/>
      <c r="G206" s="135">
        <v>0.15</v>
      </c>
      <c r="H206" s="242">
        <f>D206*E206*G206</f>
        <v>3.5999999999999996</v>
      </c>
      <c r="I206" s="273"/>
      <c r="J206" s="274"/>
      <c r="K206" s="217">
        <f t="shared" si="13"/>
        <v>0</v>
      </c>
      <c r="L206" s="218">
        <f t="shared" si="14"/>
        <v>0</v>
      </c>
    </row>
    <row r="207" spans="1:12" ht="14.25" x14ac:dyDescent="0.2">
      <c r="A207" s="124"/>
      <c r="B207" s="176"/>
      <c r="C207" s="177" t="s">
        <v>340</v>
      </c>
      <c r="D207" s="133">
        <v>1</v>
      </c>
      <c r="E207" s="135">
        <v>2.7</v>
      </c>
      <c r="F207" s="135"/>
      <c r="G207" s="135">
        <v>0.15</v>
      </c>
      <c r="H207" s="242">
        <f>D207*E207*G207</f>
        <v>0.40500000000000003</v>
      </c>
      <c r="I207" s="273"/>
      <c r="J207" s="274"/>
      <c r="K207" s="217">
        <f t="shared" si="13"/>
        <v>0</v>
      </c>
      <c r="L207" s="218">
        <f t="shared" si="14"/>
        <v>0</v>
      </c>
    </row>
    <row r="208" spans="1:12" ht="14.25" x14ac:dyDescent="0.2">
      <c r="A208" s="124"/>
      <c r="B208" s="176"/>
      <c r="C208" s="177" t="s">
        <v>340</v>
      </c>
      <c r="D208" s="133">
        <v>2</v>
      </c>
      <c r="E208" s="135">
        <v>1.33</v>
      </c>
      <c r="F208" s="135"/>
      <c r="G208" s="135">
        <v>0.15</v>
      </c>
      <c r="H208" s="242">
        <f>D208*E208*G208</f>
        <v>0.39900000000000002</v>
      </c>
      <c r="I208" s="273"/>
      <c r="J208" s="274"/>
      <c r="K208" s="217">
        <f t="shared" si="13"/>
        <v>0</v>
      </c>
      <c r="L208" s="218">
        <f t="shared" si="14"/>
        <v>0</v>
      </c>
    </row>
    <row r="209" spans="1:12" ht="14.25" x14ac:dyDescent="0.2">
      <c r="A209" s="124"/>
      <c r="B209" s="176"/>
      <c r="C209" s="177" t="s">
        <v>341</v>
      </c>
      <c r="D209" s="133">
        <v>2</v>
      </c>
      <c r="E209" s="135">
        <v>4</v>
      </c>
      <c r="F209" s="135"/>
      <c r="G209" s="135">
        <v>0.15</v>
      </c>
      <c r="H209" s="242">
        <f>D209*E209*G209</f>
        <v>1.2</v>
      </c>
      <c r="I209" s="273"/>
      <c r="J209" s="274"/>
      <c r="K209" s="217">
        <f t="shared" si="13"/>
        <v>0</v>
      </c>
      <c r="L209" s="218">
        <f t="shared" si="14"/>
        <v>0</v>
      </c>
    </row>
    <row r="210" spans="1:12" ht="14.25" x14ac:dyDescent="0.2">
      <c r="A210" s="124"/>
      <c r="B210" s="176"/>
      <c r="C210" s="297" t="s">
        <v>342</v>
      </c>
      <c r="D210" s="142">
        <v>1</v>
      </c>
      <c r="E210" s="145">
        <f>3.7*2+2.7</f>
        <v>10.100000000000001</v>
      </c>
      <c r="F210" s="145"/>
      <c r="G210" s="135">
        <v>0.1</v>
      </c>
      <c r="H210" s="242">
        <f>D210*E210*G210</f>
        <v>1.0100000000000002</v>
      </c>
      <c r="I210" s="268"/>
      <c r="J210" s="269"/>
      <c r="K210" s="217">
        <f t="shared" si="13"/>
        <v>0</v>
      </c>
      <c r="L210" s="218">
        <f t="shared" si="14"/>
        <v>0</v>
      </c>
    </row>
    <row r="211" spans="1:12" ht="14.25" x14ac:dyDescent="0.2">
      <c r="A211" s="124"/>
      <c r="B211" s="280"/>
      <c r="C211" s="281" t="s">
        <v>207</v>
      </c>
      <c r="D211" s="142"/>
      <c r="E211" s="233"/>
      <c r="F211" s="145"/>
      <c r="G211" s="145"/>
      <c r="H211" s="282">
        <v>6</v>
      </c>
      <c r="I211" s="268" t="s">
        <v>278</v>
      </c>
      <c r="J211" s="269">
        <v>2354.6999999999998</v>
      </c>
      <c r="K211" s="217">
        <f t="shared" si="13"/>
        <v>1995.5084745762708</v>
      </c>
      <c r="L211" s="218">
        <f t="shared" si="14"/>
        <v>11973.050847457625</v>
      </c>
    </row>
    <row r="212" spans="1:12" ht="25.5" x14ac:dyDescent="0.2">
      <c r="A212" s="116">
        <v>19</v>
      </c>
      <c r="B212" s="206" t="s">
        <v>343</v>
      </c>
      <c r="C212" s="207" t="s">
        <v>344</v>
      </c>
      <c r="D212" s="127"/>
      <c r="E212" s="249"/>
      <c r="F212" s="129"/>
      <c r="G212" s="129"/>
      <c r="H212" s="298"/>
      <c r="I212" s="260"/>
      <c r="J212" s="261"/>
      <c r="K212" s="217">
        <f t="shared" si="13"/>
        <v>0</v>
      </c>
      <c r="L212" s="218">
        <f t="shared" si="14"/>
        <v>0</v>
      </c>
    </row>
    <row r="213" spans="1:12" ht="14.25" x14ac:dyDescent="0.2">
      <c r="A213" s="124"/>
      <c r="B213" s="176"/>
      <c r="C213" s="177" t="s">
        <v>286</v>
      </c>
      <c r="D213" s="133">
        <v>1</v>
      </c>
      <c r="E213" s="135">
        <f>(3.425+3.4)*2-1</f>
        <v>12.649999999999999</v>
      </c>
      <c r="F213" s="135"/>
      <c r="G213" s="135">
        <v>0.1</v>
      </c>
      <c r="H213" s="242">
        <f>D213*E213*G213</f>
        <v>1.2649999999999999</v>
      </c>
      <c r="I213" s="273"/>
      <c r="J213" s="274"/>
      <c r="K213" s="217">
        <f t="shared" si="13"/>
        <v>0</v>
      </c>
      <c r="L213" s="218">
        <f t="shared" si="14"/>
        <v>0</v>
      </c>
    </row>
    <row r="214" spans="1:12" ht="14.25" x14ac:dyDescent="0.2">
      <c r="A214" s="124"/>
      <c r="B214" s="176"/>
      <c r="C214" s="299" t="s">
        <v>207</v>
      </c>
      <c r="D214" s="142"/>
      <c r="E214" s="145"/>
      <c r="F214" s="145"/>
      <c r="G214" s="145"/>
      <c r="H214" s="216">
        <f>SUM(H213)</f>
        <v>1.2649999999999999</v>
      </c>
      <c r="I214" s="268" t="s">
        <v>334</v>
      </c>
      <c r="J214" s="269">
        <v>1623.05</v>
      </c>
      <c r="K214" s="217">
        <f t="shared" si="13"/>
        <v>1375.4661016949153</v>
      </c>
      <c r="L214" s="218">
        <f t="shared" si="14"/>
        <v>1739.9646186440677</v>
      </c>
    </row>
    <row r="215" spans="1:12" ht="14.25" x14ac:dyDescent="0.2">
      <c r="A215" s="139"/>
      <c r="B215" s="176"/>
      <c r="C215" s="300"/>
      <c r="D215" s="127"/>
      <c r="E215" s="249"/>
      <c r="F215" s="129"/>
      <c r="G215" s="129"/>
      <c r="H215" s="298"/>
      <c r="I215" s="260"/>
      <c r="J215" s="261"/>
      <c r="K215" s="217">
        <f t="shared" si="13"/>
        <v>0</v>
      </c>
      <c r="L215" s="218">
        <f t="shared" si="14"/>
        <v>0</v>
      </c>
    </row>
    <row r="216" spans="1:12" ht="25.5" x14ac:dyDescent="0.2">
      <c r="A216" s="124">
        <v>20</v>
      </c>
      <c r="B216" s="206">
        <v>8.31</v>
      </c>
      <c r="C216" s="219" t="s">
        <v>345</v>
      </c>
      <c r="D216" s="119"/>
      <c r="E216" s="121"/>
      <c r="F216" s="121"/>
      <c r="G216" s="121"/>
      <c r="H216" s="208"/>
      <c r="I216" s="122"/>
      <c r="J216" s="209"/>
      <c r="K216" s="217">
        <f t="shared" si="13"/>
        <v>0</v>
      </c>
      <c r="L216" s="218">
        <f t="shared" si="14"/>
        <v>0</v>
      </c>
    </row>
    <row r="217" spans="1:12" x14ac:dyDescent="0.2">
      <c r="A217" s="124"/>
      <c r="B217" s="211"/>
      <c r="C217" s="220" t="s">
        <v>287</v>
      </c>
      <c r="D217" s="243">
        <v>1</v>
      </c>
      <c r="E217" s="301">
        <f>(1.63+2.05)*2-0.75</f>
        <v>6.6099999999999994</v>
      </c>
      <c r="F217" s="301"/>
      <c r="G217" s="301">
        <v>2.1</v>
      </c>
      <c r="H217" s="302">
        <f>D217*E217*G217</f>
        <v>13.881</v>
      </c>
      <c r="I217" s="136"/>
      <c r="J217" s="213"/>
      <c r="K217" s="217">
        <f t="shared" si="13"/>
        <v>0</v>
      </c>
      <c r="L217" s="218">
        <f t="shared" si="14"/>
        <v>0</v>
      </c>
    </row>
    <row r="218" spans="1:12" x14ac:dyDescent="0.2">
      <c r="A218" s="139"/>
      <c r="B218" s="215"/>
      <c r="C218" s="141" t="s">
        <v>117</v>
      </c>
      <c r="D218" s="142"/>
      <c r="E218" s="145"/>
      <c r="F218" s="145"/>
      <c r="G218" s="145"/>
      <c r="H218" s="216">
        <v>12</v>
      </c>
      <c r="I218" s="141" t="s">
        <v>128</v>
      </c>
      <c r="J218" s="217">
        <v>1267.95</v>
      </c>
      <c r="K218" s="217">
        <f t="shared" si="13"/>
        <v>1074.5338983050847</v>
      </c>
      <c r="L218" s="218">
        <f t="shared" si="14"/>
        <v>12894.406779661016</v>
      </c>
    </row>
    <row r="219" spans="1:12" ht="38.25" x14ac:dyDescent="0.2">
      <c r="A219" s="124">
        <v>21</v>
      </c>
      <c r="B219" s="206">
        <v>9.1</v>
      </c>
      <c r="C219" s="219" t="s">
        <v>346</v>
      </c>
      <c r="D219" s="119"/>
      <c r="E219" s="121"/>
      <c r="F219" s="121"/>
      <c r="G219" s="121"/>
      <c r="H219" s="208"/>
      <c r="I219" s="122"/>
      <c r="J219" s="209"/>
      <c r="K219" s="217">
        <f t="shared" si="13"/>
        <v>0</v>
      </c>
      <c r="L219" s="218">
        <f t="shared" si="14"/>
        <v>0</v>
      </c>
    </row>
    <row r="220" spans="1:12" x14ac:dyDescent="0.2">
      <c r="A220" s="124"/>
      <c r="B220" s="211"/>
      <c r="C220" s="266" t="s">
        <v>347</v>
      </c>
      <c r="D220" s="127"/>
      <c r="E220" s="129"/>
      <c r="F220" s="129"/>
      <c r="G220" s="129"/>
      <c r="H220" s="239"/>
      <c r="I220" s="130"/>
      <c r="J220" s="240"/>
      <c r="K220" s="217">
        <f t="shared" si="13"/>
        <v>0</v>
      </c>
      <c r="L220" s="218">
        <f t="shared" si="14"/>
        <v>0</v>
      </c>
    </row>
    <row r="221" spans="1:12" ht="25.5" x14ac:dyDescent="0.2">
      <c r="A221" s="124"/>
      <c r="B221" s="211" t="s">
        <v>348</v>
      </c>
      <c r="C221" s="289" t="s">
        <v>349</v>
      </c>
      <c r="D221" s="127"/>
      <c r="E221" s="129"/>
      <c r="F221" s="129"/>
      <c r="G221" s="129"/>
      <c r="H221" s="239"/>
      <c r="I221" s="130"/>
      <c r="J221" s="240"/>
      <c r="K221" s="217">
        <f t="shared" si="13"/>
        <v>0</v>
      </c>
      <c r="L221" s="218">
        <f t="shared" si="14"/>
        <v>0</v>
      </c>
    </row>
    <row r="222" spans="1:12" x14ac:dyDescent="0.2">
      <c r="A222" s="124" t="s">
        <v>91</v>
      </c>
      <c r="B222" s="211"/>
      <c r="C222" s="220" t="s">
        <v>504</v>
      </c>
      <c r="D222" s="133">
        <v>1</v>
      </c>
      <c r="E222" s="135">
        <f>2.1*2+1</f>
        <v>5.2</v>
      </c>
      <c r="F222" s="135">
        <v>0.125</v>
      </c>
      <c r="G222" s="135">
        <v>6.25E-2</v>
      </c>
      <c r="H222" s="303">
        <f>G222*F222*E222*D222</f>
        <v>4.0625000000000001E-2</v>
      </c>
      <c r="I222" s="136"/>
      <c r="J222" s="213"/>
      <c r="K222" s="217">
        <f t="shared" si="13"/>
        <v>0</v>
      </c>
      <c r="L222" s="218">
        <f t="shared" si="14"/>
        <v>0</v>
      </c>
    </row>
    <row r="223" spans="1:12" ht="20.25" customHeight="1" x14ac:dyDescent="0.2">
      <c r="A223" s="124"/>
      <c r="B223" s="211"/>
      <c r="C223" s="220" t="s">
        <v>640</v>
      </c>
      <c r="D223" s="133">
        <v>1</v>
      </c>
      <c r="E223" s="135">
        <f>2.1*2+0.75</f>
        <v>4.95</v>
      </c>
      <c r="F223" s="135">
        <v>0.125</v>
      </c>
      <c r="G223" s="135">
        <v>6.25E-2</v>
      </c>
      <c r="H223" s="303">
        <f>G223*F223*E223*D223</f>
        <v>3.8671875000000001E-2</v>
      </c>
      <c r="I223" s="136"/>
      <c r="J223" s="213"/>
      <c r="K223" s="217">
        <f t="shared" si="13"/>
        <v>0</v>
      </c>
      <c r="L223" s="218">
        <f t="shared" si="14"/>
        <v>0</v>
      </c>
    </row>
    <row r="224" spans="1:12" x14ac:dyDescent="0.2">
      <c r="A224" s="139"/>
      <c r="B224" s="215"/>
      <c r="C224" s="141" t="s">
        <v>117</v>
      </c>
      <c r="D224" s="142"/>
      <c r="E224" s="145"/>
      <c r="F224" s="145"/>
      <c r="G224" s="145"/>
      <c r="H224" s="216">
        <f>SUM(H222:H223)</f>
        <v>7.9296875000000003E-2</v>
      </c>
      <c r="I224" s="141" t="s">
        <v>118</v>
      </c>
      <c r="J224" s="217">
        <v>116520.3</v>
      </c>
      <c r="K224" s="217">
        <f t="shared" si="13"/>
        <v>98746.016949152545</v>
      </c>
      <c r="L224" s="218">
        <f t="shared" si="14"/>
        <v>7830.2505627648306</v>
      </c>
    </row>
    <row r="225" spans="1:12" ht="156.75" x14ac:dyDescent="0.2">
      <c r="A225" s="124">
        <v>22</v>
      </c>
      <c r="B225" s="206">
        <v>9.1310000000000002</v>
      </c>
      <c r="C225" s="288" t="s">
        <v>351</v>
      </c>
      <c r="D225" s="119"/>
      <c r="E225" s="121"/>
      <c r="F225" s="121"/>
      <c r="G225" s="121"/>
      <c r="H225" s="208"/>
      <c r="I225" s="122"/>
      <c r="J225" s="209"/>
      <c r="K225" s="217">
        <f t="shared" si="13"/>
        <v>0</v>
      </c>
      <c r="L225" s="218">
        <f t="shared" si="14"/>
        <v>0</v>
      </c>
    </row>
    <row r="226" spans="1:12" x14ac:dyDescent="0.2">
      <c r="A226" s="124"/>
      <c r="B226" s="211" t="s">
        <v>352</v>
      </c>
      <c r="C226" s="289" t="s">
        <v>353</v>
      </c>
      <c r="D226" s="127"/>
      <c r="E226" s="129"/>
      <c r="F226" s="129"/>
      <c r="G226" s="129"/>
      <c r="H226" s="239"/>
      <c r="I226" s="130"/>
      <c r="J226" s="240"/>
      <c r="K226" s="217">
        <f t="shared" si="13"/>
        <v>0</v>
      </c>
      <c r="L226" s="218">
        <f t="shared" si="14"/>
        <v>0</v>
      </c>
    </row>
    <row r="227" spans="1:12" x14ac:dyDescent="0.2">
      <c r="A227" s="124"/>
      <c r="B227" s="211"/>
      <c r="C227" s="220" t="s">
        <v>617</v>
      </c>
      <c r="D227" s="133">
        <v>1</v>
      </c>
      <c r="E227" s="135">
        <v>0.75</v>
      </c>
      <c r="F227" s="135"/>
      <c r="G227" s="135">
        <v>2.1</v>
      </c>
      <c r="H227" s="303">
        <f>D227*E227*G227</f>
        <v>1.5750000000000002</v>
      </c>
      <c r="I227" s="136"/>
      <c r="J227" s="213"/>
      <c r="K227" s="217">
        <f t="shared" si="13"/>
        <v>0</v>
      </c>
      <c r="L227" s="218">
        <f t="shared" si="14"/>
        <v>0</v>
      </c>
    </row>
    <row r="228" spans="1:12" ht="18" customHeight="1" x14ac:dyDescent="0.2">
      <c r="A228" s="139" t="s">
        <v>91</v>
      </c>
      <c r="B228" s="215"/>
      <c r="C228" s="141" t="s">
        <v>117</v>
      </c>
      <c r="D228" s="142"/>
      <c r="E228" s="145"/>
      <c r="F228" s="145"/>
      <c r="G228" s="145"/>
      <c r="H228" s="216">
        <v>1.5</v>
      </c>
      <c r="I228" s="141" t="s">
        <v>334</v>
      </c>
      <c r="J228" s="217">
        <v>3066.2</v>
      </c>
      <c r="K228" s="217">
        <f t="shared" si="13"/>
        <v>2598.4745762711864</v>
      </c>
      <c r="L228" s="218">
        <f t="shared" si="14"/>
        <v>3897.7118644067796</v>
      </c>
    </row>
    <row r="229" spans="1:12" ht="38.25" x14ac:dyDescent="0.2">
      <c r="A229" s="124">
        <v>23</v>
      </c>
      <c r="B229" s="206">
        <v>9.1319999999999997</v>
      </c>
      <c r="C229" s="304" t="s">
        <v>354</v>
      </c>
      <c r="D229" s="119"/>
      <c r="E229" s="121"/>
      <c r="F229" s="121"/>
      <c r="G229" s="121"/>
      <c r="H229" s="263"/>
      <c r="I229" s="122"/>
      <c r="J229" s="209"/>
      <c r="K229" s="217">
        <f t="shared" si="13"/>
        <v>0</v>
      </c>
      <c r="L229" s="218">
        <f t="shared" si="14"/>
        <v>0</v>
      </c>
    </row>
    <row r="230" spans="1:12" x14ac:dyDescent="0.2">
      <c r="A230" s="124"/>
      <c r="B230" s="211"/>
      <c r="C230" s="220" t="s">
        <v>648</v>
      </c>
      <c r="D230" s="133">
        <v>1</v>
      </c>
      <c r="E230" s="135">
        <f>2.1*2+0.75</f>
        <v>4.95</v>
      </c>
      <c r="F230" s="135"/>
      <c r="G230" s="135"/>
      <c r="H230" s="134">
        <f>D230*E230</f>
        <v>4.95</v>
      </c>
      <c r="I230" s="136"/>
      <c r="J230" s="213"/>
      <c r="K230" s="217">
        <f t="shared" si="13"/>
        <v>0</v>
      </c>
      <c r="L230" s="218">
        <f t="shared" si="14"/>
        <v>0</v>
      </c>
    </row>
    <row r="231" spans="1:12" x14ac:dyDescent="0.2">
      <c r="A231" s="124"/>
      <c r="B231" s="211"/>
      <c r="C231" s="220" t="s">
        <v>640</v>
      </c>
      <c r="D231" s="133">
        <v>1</v>
      </c>
      <c r="E231" s="135">
        <v>4.95</v>
      </c>
      <c r="F231" s="135"/>
      <c r="G231" s="135"/>
      <c r="H231" s="134">
        <f>D231*E231</f>
        <v>4.95</v>
      </c>
      <c r="I231" s="136"/>
      <c r="J231" s="213"/>
      <c r="K231" s="217">
        <f t="shared" si="13"/>
        <v>0</v>
      </c>
      <c r="L231" s="218">
        <f t="shared" si="14"/>
        <v>0</v>
      </c>
    </row>
    <row r="232" spans="1:12" x14ac:dyDescent="0.2">
      <c r="A232" s="124"/>
      <c r="B232" s="215"/>
      <c r="C232" s="141" t="s">
        <v>117</v>
      </c>
      <c r="D232" s="142">
        <f>SUM(D230:D231)</f>
        <v>2</v>
      </c>
      <c r="E232" s="145"/>
      <c r="F232" s="145"/>
      <c r="G232" s="145"/>
      <c r="H232" s="216">
        <v>3.75</v>
      </c>
      <c r="I232" s="141" t="s">
        <v>355</v>
      </c>
      <c r="J232" s="217">
        <v>596.15</v>
      </c>
      <c r="K232" s="217">
        <f t="shared" si="13"/>
        <v>505.21186440677968</v>
      </c>
      <c r="L232" s="218">
        <f t="shared" si="14"/>
        <v>1894.5444915254238</v>
      </c>
    </row>
    <row r="233" spans="1:12" ht="64.5" customHeight="1" x14ac:dyDescent="0.2">
      <c r="A233" s="116">
        <v>24</v>
      </c>
      <c r="B233" s="211">
        <v>9.2100000000000009</v>
      </c>
      <c r="C233" s="304" t="s">
        <v>649</v>
      </c>
      <c r="D233" s="133"/>
      <c r="E233" s="135"/>
      <c r="F233" s="135"/>
      <c r="G233" s="135"/>
      <c r="H233" s="242"/>
      <c r="I233" s="136"/>
      <c r="J233" s="213"/>
      <c r="K233" s="217">
        <f t="shared" si="13"/>
        <v>0</v>
      </c>
      <c r="L233" s="218">
        <f t="shared" si="14"/>
        <v>0</v>
      </c>
    </row>
    <row r="234" spans="1:12" ht="25.5" x14ac:dyDescent="0.2">
      <c r="A234" s="124"/>
      <c r="B234" s="211" t="s">
        <v>358</v>
      </c>
      <c r="C234" s="305" t="s">
        <v>359</v>
      </c>
      <c r="D234" s="133"/>
      <c r="E234" s="135"/>
      <c r="F234" s="135"/>
      <c r="G234" s="135"/>
      <c r="H234" s="242"/>
      <c r="I234" s="136"/>
      <c r="J234" s="213"/>
      <c r="K234" s="217">
        <f t="shared" si="13"/>
        <v>0</v>
      </c>
      <c r="L234" s="218">
        <f t="shared" si="14"/>
        <v>0</v>
      </c>
    </row>
    <row r="235" spans="1:12" x14ac:dyDescent="0.2">
      <c r="A235" s="124"/>
      <c r="B235" s="211"/>
      <c r="C235" s="305" t="s">
        <v>222</v>
      </c>
      <c r="D235" s="133">
        <v>1</v>
      </c>
      <c r="E235" s="135">
        <v>1</v>
      </c>
      <c r="F235" s="135"/>
      <c r="G235" s="135">
        <v>2.1</v>
      </c>
      <c r="H235" s="303">
        <f>D235*E235*G235</f>
        <v>2.1</v>
      </c>
      <c r="I235" s="141"/>
      <c r="J235" s="217"/>
      <c r="K235" s="217">
        <f t="shared" si="13"/>
        <v>0</v>
      </c>
      <c r="L235" s="218">
        <f t="shared" si="14"/>
        <v>0</v>
      </c>
    </row>
    <row r="236" spans="1:12" x14ac:dyDescent="0.2">
      <c r="A236" s="139"/>
      <c r="B236" s="211"/>
      <c r="C236" s="192"/>
      <c r="D236" s="127"/>
      <c r="E236" s="129"/>
      <c r="F236" s="129"/>
      <c r="G236" s="129"/>
      <c r="H236" s="264">
        <f>SUM(H235:H235)</f>
        <v>2.1</v>
      </c>
      <c r="I236" s="130" t="s">
        <v>334</v>
      </c>
      <c r="J236" s="240">
        <v>2392.65</v>
      </c>
      <c r="K236" s="217">
        <f t="shared" si="13"/>
        <v>2027.6694915254238</v>
      </c>
      <c r="L236" s="218">
        <f t="shared" si="14"/>
        <v>4258.1059322033898</v>
      </c>
    </row>
    <row r="237" spans="1:12" ht="101.25" customHeight="1" x14ac:dyDescent="0.2">
      <c r="A237" s="116">
        <v>25</v>
      </c>
      <c r="B237" s="206" t="s">
        <v>650</v>
      </c>
      <c r="C237" s="290" t="s">
        <v>651</v>
      </c>
      <c r="D237" s="116"/>
      <c r="E237" s="252"/>
      <c r="F237" s="252"/>
      <c r="G237" s="252"/>
      <c r="H237" s="272"/>
      <c r="I237" s="254"/>
      <c r="J237" s="255"/>
      <c r="K237" s="217">
        <f t="shared" si="13"/>
        <v>0</v>
      </c>
      <c r="L237" s="218">
        <f t="shared" si="14"/>
        <v>0</v>
      </c>
    </row>
    <row r="238" spans="1:12" ht="57.75" x14ac:dyDescent="0.2">
      <c r="A238" s="124"/>
      <c r="B238" s="211" t="s">
        <v>652</v>
      </c>
      <c r="C238" s="307" t="s">
        <v>653</v>
      </c>
      <c r="D238" s="127"/>
      <c r="E238" s="129"/>
      <c r="F238" s="129"/>
      <c r="G238" s="129"/>
      <c r="H238" s="239"/>
      <c r="I238" s="260"/>
      <c r="J238" s="261"/>
      <c r="K238" s="217">
        <f t="shared" si="13"/>
        <v>0</v>
      </c>
      <c r="L238" s="218">
        <f t="shared" si="14"/>
        <v>0</v>
      </c>
    </row>
    <row r="239" spans="1:12" x14ac:dyDescent="0.2">
      <c r="A239" s="124"/>
      <c r="B239" s="211"/>
      <c r="C239" s="183" t="s">
        <v>273</v>
      </c>
      <c r="D239" s="133">
        <v>1</v>
      </c>
      <c r="E239" s="135">
        <v>0.45</v>
      </c>
      <c r="F239" s="135"/>
      <c r="G239" s="135">
        <v>1.05</v>
      </c>
      <c r="H239" s="212">
        <f>D239*E239*G239</f>
        <v>0.47250000000000003</v>
      </c>
      <c r="I239" s="136"/>
      <c r="J239" s="213"/>
      <c r="K239" s="217">
        <f t="shared" si="13"/>
        <v>0</v>
      </c>
      <c r="L239" s="218">
        <f t="shared" si="14"/>
        <v>0</v>
      </c>
    </row>
    <row r="240" spans="1:12" x14ac:dyDescent="0.2">
      <c r="A240" s="139"/>
      <c r="B240" s="215"/>
      <c r="C240" s="136" t="s">
        <v>117</v>
      </c>
      <c r="D240" s="133"/>
      <c r="E240" s="135"/>
      <c r="F240" s="135"/>
      <c r="G240" s="135"/>
      <c r="H240" s="242">
        <f>SUM(H239)</f>
        <v>0.47250000000000003</v>
      </c>
      <c r="I240" s="136" t="s">
        <v>128</v>
      </c>
      <c r="J240" s="213">
        <v>9628.6</v>
      </c>
      <c r="K240" s="217">
        <f t="shared" si="13"/>
        <v>8159.8305084745762</v>
      </c>
      <c r="L240" s="218">
        <f t="shared" si="14"/>
        <v>3855.5199152542373</v>
      </c>
    </row>
    <row r="241" spans="1:12" ht="85.5" x14ac:dyDescent="0.2">
      <c r="A241" s="124">
        <v>26</v>
      </c>
      <c r="B241" s="206" t="s">
        <v>654</v>
      </c>
      <c r="C241" s="288" t="s">
        <v>655</v>
      </c>
      <c r="D241" s="119"/>
      <c r="E241" s="121"/>
      <c r="F241" s="121"/>
      <c r="G241" s="121"/>
      <c r="H241" s="263"/>
      <c r="I241" s="122"/>
      <c r="J241" s="209"/>
      <c r="K241" s="217">
        <f t="shared" si="13"/>
        <v>0</v>
      </c>
      <c r="L241" s="218">
        <f t="shared" si="14"/>
        <v>0</v>
      </c>
    </row>
    <row r="242" spans="1:12" ht="18.75" customHeight="1" x14ac:dyDescent="0.2">
      <c r="A242" s="124" t="s">
        <v>91</v>
      </c>
      <c r="B242" s="211"/>
      <c r="C242" s="346" t="s">
        <v>457</v>
      </c>
      <c r="D242" s="133">
        <v>2</v>
      </c>
      <c r="E242" s="135">
        <v>0.9</v>
      </c>
      <c r="F242" s="135"/>
      <c r="G242" s="135">
        <v>1.5</v>
      </c>
      <c r="H242" s="212">
        <f>G242*E242*D242</f>
        <v>2.7</v>
      </c>
      <c r="I242" s="136"/>
      <c r="J242" s="213"/>
      <c r="K242" s="217">
        <f t="shared" si="13"/>
        <v>0</v>
      </c>
      <c r="L242" s="218">
        <f t="shared" si="14"/>
        <v>0</v>
      </c>
    </row>
    <row r="243" spans="1:12" x14ac:dyDescent="0.2">
      <c r="A243" s="124" t="s">
        <v>91</v>
      </c>
      <c r="B243" s="211"/>
      <c r="C243" s="220" t="s">
        <v>644</v>
      </c>
      <c r="D243" s="133">
        <v>1</v>
      </c>
      <c r="E243" s="135">
        <v>0.9</v>
      </c>
      <c r="F243" s="135"/>
      <c r="G243" s="135">
        <v>1.65</v>
      </c>
      <c r="H243" s="212">
        <f>G243*E243*D243</f>
        <v>1.4849999999999999</v>
      </c>
      <c r="I243" s="136"/>
      <c r="J243" s="213"/>
      <c r="K243" s="217">
        <f t="shared" si="13"/>
        <v>0</v>
      </c>
      <c r="L243" s="218">
        <f t="shared" si="14"/>
        <v>0</v>
      </c>
    </row>
    <row r="244" spans="1:12" x14ac:dyDescent="0.2">
      <c r="A244" s="139" t="s">
        <v>91</v>
      </c>
      <c r="B244" s="215"/>
      <c r="C244" s="141" t="s">
        <v>117</v>
      </c>
      <c r="D244" s="142"/>
      <c r="E244" s="145"/>
      <c r="F244" s="145"/>
      <c r="G244" s="145"/>
      <c r="H244" s="216">
        <v>4</v>
      </c>
      <c r="I244" s="141" t="s">
        <v>128</v>
      </c>
      <c r="J244" s="217">
        <v>6982</v>
      </c>
      <c r="K244" s="217">
        <f t="shared" si="13"/>
        <v>5916.9491525423728</v>
      </c>
      <c r="L244" s="218">
        <f t="shared" si="14"/>
        <v>23667.796610169491</v>
      </c>
    </row>
    <row r="245" spans="1:12" ht="42.75" x14ac:dyDescent="0.2">
      <c r="A245" s="243">
        <v>27</v>
      </c>
      <c r="B245" s="188">
        <v>9.1489999999999991</v>
      </c>
      <c r="C245" s="288" t="s">
        <v>656</v>
      </c>
      <c r="D245" s="116">
        <v>9</v>
      </c>
      <c r="E245" s="252"/>
      <c r="F245" s="252"/>
      <c r="G245" s="252"/>
      <c r="H245" s="272">
        <f>D245</f>
        <v>9</v>
      </c>
      <c r="I245" s="254" t="s">
        <v>406</v>
      </c>
      <c r="J245" s="255">
        <v>187.75</v>
      </c>
      <c r="K245" s="217">
        <f t="shared" si="13"/>
        <v>159.11016949152543</v>
      </c>
      <c r="L245" s="218">
        <f t="shared" si="14"/>
        <v>1431.9915254237289</v>
      </c>
    </row>
    <row r="246" spans="1:12" ht="15" x14ac:dyDescent="0.2">
      <c r="A246" s="124">
        <v>28</v>
      </c>
      <c r="B246" s="211">
        <v>2407</v>
      </c>
      <c r="C246" s="330" t="s">
        <v>657</v>
      </c>
      <c r="D246" s="341"/>
      <c r="E246" s="342"/>
      <c r="F246" s="342"/>
      <c r="G246" s="342"/>
      <c r="H246" s="389"/>
      <c r="I246" s="390"/>
      <c r="J246" s="391"/>
      <c r="K246" s="217">
        <f t="shared" si="13"/>
        <v>0</v>
      </c>
      <c r="L246" s="218">
        <f t="shared" si="14"/>
        <v>0</v>
      </c>
    </row>
    <row r="247" spans="1:12" ht="14.25" x14ac:dyDescent="0.2">
      <c r="A247" s="124"/>
      <c r="B247" s="211"/>
      <c r="C247" s="340" t="s">
        <v>457</v>
      </c>
      <c r="D247" s="341">
        <v>2</v>
      </c>
      <c r="E247" s="342">
        <v>0.9</v>
      </c>
      <c r="F247" s="342"/>
      <c r="G247" s="342">
        <v>1.5</v>
      </c>
      <c r="H247" s="343">
        <f>G247*E247*D247</f>
        <v>2.7</v>
      </c>
      <c r="I247" s="344"/>
      <c r="J247" s="345"/>
      <c r="K247" s="217">
        <f t="shared" si="13"/>
        <v>0</v>
      </c>
      <c r="L247" s="218">
        <f t="shared" si="14"/>
        <v>0</v>
      </c>
    </row>
    <row r="248" spans="1:12" ht="21" customHeight="1" x14ac:dyDescent="0.2">
      <c r="A248" s="124" t="s">
        <v>91</v>
      </c>
      <c r="B248" s="211"/>
      <c r="C248" s="340" t="s">
        <v>644</v>
      </c>
      <c r="D248" s="341">
        <v>1</v>
      </c>
      <c r="E248" s="342">
        <v>0.9</v>
      </c>
      <c r="F248" s="342"/>
      <c r="G248" s="342">
        <v>1.65</v>
      </c>
      <c r="H248" s="343">
        <f>G248*E248*D248</f>
        <v>1.4849999999999999</v>
      </c>
      <c r="I248" s="344"/>
      <c r="J248" s="345"/>
      <c r="K248" s="217">
        <f t="shared" si="13"/>
        <v>0</v>
      </c>
      <c r="L248" s="218">
        <f t="shared" si="14"/>
        <v>0</v>
      </c>
    </row>
    <row r="249" spans="1:12" ht="14.25" x14ac:dyDescent="0.2">
      <c r="A249" s="124"/>
      <c r="B249" s="211"/>
      <c r="C249" s="340" t="s">
        <v>273</v>
      </c>
      <c r="D249" s="341">
        <v>1</v>
      </c>
      <c r="E249" s="342">
        <v>0.45</v>
      </c>
      <c r="F249" s="342"/>
      <c r="G249" s="342">
        <v>1.05</v>
      </c>
      <c r="H249" s="343">
        <f>G249*E249*D249</f>
        <v>0.47250000000000003</v>
      </c>
      <c r="I249" s="344"/>
      <c r="J249" s="345"/>
      <c r="K249" s="217">
        <f t="shared" si="13"/>
        <v>0</v>
      </c>
      <c r="L249" s="218">
        <f t="shared" si="14"/>
        <v>0</v>
      </c>
    </row>
    <row r="250" spans="1:12" ht="14.25" customHeight="1" x14ac:dyDescent="0.2">
      <c r="A250" s="139" t="s">
        <v>91</v>
      </c>
      <c r="B250" s="215"/>
      <c r="C250" s="392" t="s">
        <v>117</v>
      </c>
      <c r="D250" s="195"/>
      <c r="E250" s="393"/>
      <c r="F250" s="393"/>
      <c r="G250" s="393"/>
      <c r="H250" s="394">
        <v>4.2</v>
      </c>
      <c r="I250" s="198" t="s">
        <v>128</v>
      </c>
      <c r="J250" s="395">
        <v>500</v>
      </c>
      <c r="K250" s="217">
        <f t="shared" si="13"/>
        <v>423.72881355932202</v>
      </c>
      <c r="L250" s="218">
        <f t="shared" si="14"/>
        <v>1779.6610169491526</v>
      </c>
    </row>
    <row r="251" spans="1:12" ht="57" x14ac:dyDescent="0.2">
      <c r="A251" s="124">
        <v>29</v>
      </c>
      <c r="B251" s="206">
        <v>9.9600000000000009</v>
      </c>
      <c r="C251" s="308" t="s">
        <v>366</v>
      </c>
      <c r="D251" s="119"/>
      <c r="E251" s="121"/>
      <c r="F251" s="121"/>
      <c r="G251" s="121"/>
      <c r="H251" s="263"/>
      <c r="I251" s="122"/>
      <c r="J251" s="209"/>
      <c r="K251" s="217">
        <f t="shared" si="13"/>
        <v>0</v>
      </c>
      <c r="L251" s="218">
        <f t="shared" si="14"/>
        <v>0</v>
      </c>
    </row>
    <row r="252" spans="1:12" ht="18.75" customHeight="1" x14ac:dyDescent="0.2">
      <c r="A252" s="124" t="s">
        <v>91</v>
      </c>
      <c r="B252" s="211" t="s">
        <v>367</v>
      </c>
      <c r="C252" s="294" t="s">
        <v>368</v>
      </c>
      <c r="D252" s="142">
        <v>1</v>
      </c>
      <c r="E252" s="145"/>
      <c r="F252" s="145"/>
      <c r="G252" s="145"/>
      <c r="H252" s="216">
        <f>D252</f>
        <v>1</v>
      </c>
      <c r="I252" s="141" t="s">
        <v>369</v>
      </c>
      <c r="J252" s="217">
        <v>303.25</v>
      </c>
      <c r="K252" s="217">
        <f t="shared" si="13"/>
        <v>256.99152542372883</v>
      </c>
      <c r="L252" s="218">
        <f t="shared" si="14"/>
        <v>256.99152542372883</v>
      </c>
    </row>
    <row r="253" spans="1:12" x14ac:dyDescent="0.2">
      <c r="A253" s="139"/>
      <c r="B253" s="215" t="s">
        <v>370</v>
      </c>
      <c r="C253" s="184" t="s">
        <v>371</v>
      </c>
      <c r="D253" s="142">
        <v>1</v>
      </c>
      <c r="E253" s="145"/>
      <c r="F253" s="145"/>
      <c r="G253" s="145"/>
      <c r="H253" s="216">
        <f>D253</f>
        <v>1</v>
      </c>
      <c r="I253" s="141" t="s">
        <v>369</v>
      </c>
      <c r="J253" s="217">
        <v>260.60000000000002</v>
      </c>
      <c r="K253" s="217">
        <f t="shared" si="13"/>
        <v>220.84745762711867</v>
      </c>
      <c r="L253" s="218">
        <f t="shared" si="14"/>
        <v>220.84745762711867</v>
      </c>
    </row>
    <row r="254" spans="1:12" ht="57" x14ac:dyDescent="0.2">
      <c r="A254" s="124">
        <v>30</v>
      </c>
      <c r="B254" s="206">
        <v>9.9700000000000006</v>
      </c>
      <c r="C254" s="308" t="s">
        <v>372</v>
      </c>
      <c r="D254" s="119"/>
      <c r="E254" s="121"/>
      <c r="F254" s="121"/>
      <c r="G254" s="121"/>
      <c r="H254" s="263"/>
      <c r="I254" s="122"/>
      <c r="J254" s="209"/>
      <c r="K254" s="217">
        <f t="shared" si="13"/>
        <v>0</v>
      </c>
      <c r="L254" s="218">
        <f t="shared" si="14"/>
        <v>0</v>
      </c>
    </row>
    <row r="255" spans="1:12" ht="28.5" customHeight="1" x14ac:dyDescent="0.2">
      <c r="A255" s="124" t="s">
        <v>91</v>
      </c>
      <c r="B255" s="215" t="s">
        <v>373</v>
      </c>
      <c r="C255" s="279" t="s">
        <v>374</v>
      </c>
      <c r="D255" s="142">
        <v>1</v>
      </c>
      <c r="E255" s="145"/>
      <c r="F255" s="145"/>
      <c r="G255" s="145"/>
      <c r="H255" s="216">
        <f>D255</f>
        <v>1</v>
      </c>
      <c r="I255" s="141" t="s">
        <v>369</v>
      </c>
      <c r="J255" s="217">
        <v>130.1</v>
      </c>
      <c r="K255" s="217">
        <f t="shared" si="13"/>
        <v>110.2542372881356</v>
      </c>
      <c r="L255" s="218">
        <f t="shared" si="14"/>
        <v>110.2542372881356</v>
      </c>
    </row>
    <row r="256" spans="1:12" ht="28.5" customHeight="1" x14ac:dyDescent="0.2">
      <c r="A256" s="139"/>
      <c r="B256" s="215" t="s">
        <v>375</v>
      </c>
      <c r="C256" s="184" t="s">
        <v>376</v>
      </c>
      <c r="D256" s="142">
        <v>16</v>
      </c>
      <c r="E256" s="145"/>
      <c r="F256" s="145"/>
      <c r="G256" s="145"/>
      <c r="H256" s="216">
        <f>D256</f>
        <v>16</v>
      </c>
      <c r="I256" s="141" t="s">
        <v>369</v>
      </c>
      <c r="J256" s="217">
        <v>115.15</v>
      </c>
      <c r="K256" s="217">
        <f t="shared" si="13"/>
        <v>97.584745762711862</v>
      </c>
      <c r="L256" s="218">
        <f t="shared" si="14"/>
        <v>1561.3559322033898</v>
      </c>
    </row>
    <row r="257" spans="1:12" ht="28.5" customHeight="1" x14ac:dyDescent="0.2">
      <c r="A257" s="116">
        <v>31</v>
      </c>
      <c r="B257" s="211">
        <v>9.98</v>
      </c>
      <c r="C257" s="312" t="s">
        <v>377</v>
      </c>
      <c r="D257" s="142">
        <v>3</v>
      </c>
      <c r="E257" s="145"/>
      <c r="F257" s="145"/>
      <c r="G257" s="145"/>
      <c r="H257" s="216">
        <f>D257</f>
        <v>3</v>
      </c>
      <c r="I257" s="141" t="s">
        <v>378</v>
      </c>
      <c r="J257" s="217">
        <v>100.8</v>
      </c>
      <c r="K257" s="217">
        <f t="shared" si="13"/>
        <v>85.423728813559322</v>
      </c>
      <c r="L257" s="218">
        <f t="shared" si="14"/>
        <v>256.27118644067798</v>
      </c>
    </row>
    <row r="258" spans="1:12" ht="57" x14ac:dyDescent="0.2">
      <c r="A258" s="116">
        <v>32</v>
      </c>
      <c r="B258" s="313">
        <v>9.1</v>
      </c>
      <c r="C258" s="118" t="s">
        <v>379</v>
      </c>
      <c r="D258" s="119"/>
      <c r="E258" s="121"/>
      <c r="F258" s="121"/>
      <c r="G258" s="121"/>
      <c r="H258" s="263"/>
      <c r="I258" s="122"/>
      <c r="J258" s="209"/>
      <c r="K258" s="217">
        <f t="shared" si="13"/>
        <v>0</v>
      </c>
      <c r="L258" s="218">
        <f t="shared" si="14"/>
        <v>0</v>
      </c>
    </row>
    <row r="259" spans="1:12" ht="14.25" x14ac:dyDescent="0.2">
      <c r="A259" s="124" t="s">
        <v>91</v>
      </c>
      <c r="B259" s="286" t="s">
        <v>380</v>
      </c>
      <c r="C259" s="177" t="s">
        <v>381</v>
      </c>
      <c r="D259" s="133">
        <v>2</v>
      </c>
      <c r="E259" s="135"/>
      <c r="F259" s="135"/>
      <c r="G259" s="135"/>
      <c r="H259" s="242">
        <v>2</v>
      </c>
      <c r="I259" s="136" t="s">
        <v>382</v>
      </c>
      <c r="J259" s="213">
        <v>66.25</v>
      </c>
      <c r="K259" s="217">
        <f t="shared" si="13"/>
        <v>56.144067796610166</v>
      </c>
      <c r="L259" s="218">
        <f t="shared" si="14"/>
        <v>112.28813559322033</v>
      </c>
    </row>
    <row r="260" spans="1:12" ht="14.25" x14ac:dyDescent="0.2">
      <c r="A260" s="139"/>
      <c r="B260" s="286" t="s">
        <v>383</v>
      </c>
      <c r="C260" s="177" t="s">
        <v>384</v>
      </c>
      <c r="D260" s="133">
        <v>4</v>
      </c>
      <c r="E260" s="135"/>
      <c r="F260" s="135"/>
      <c r="G260" s="135"/>
      <c r="H260" s="242">
        <v>4</v>
      </c>
      <c r="I260" s="136" t="s">
        <v>382</v>
      </c>
      <c r="J260" s="213">
        <v>59.55</v>
      </c>
      <c r="K260" s="217">
        <f t="shared" si="13"/>
        <v>50.466101694915253</v>
      </c>
      <c r="L260" s="218">
        <f t="shared" si="14"/>
        <v>201.86440677966101</v>
      </c>
    </row>
    <row r="261" spans="1:12" ht="57" x14ac:dyDescent="0.2">
      <c r="A261" s="116">
        <v>33</v>
      </c>
      <c r="B261" s="175">
        <v>9.1010000000000009</v>
      </c>
      <c r="C261" s="118" t="s">
        <v>385</v>
      </c>
      <c r="D261" s="119"/>
      <c r="E261" s="121"/>
      <c r="F261" s="121"/>
      <c r="G261" s="121"/>
      <c r="H261" s="263"/>
      <c r="I261" s="122"/>
      <c r="J261" s="209"/>
      <c r="K261" s="217">
        <f t="shared" si="13"/>
        <v>0</v>
      </c>
      <c r="L261" s="218">
        <f t="shared" si="14"/>
        <v>0</v>
      </c>
    </row>
    <row r="262" spans="1:12" ht="14.25" x14ac:dyDescent="0.2">
      <c r="A262" s="124"/>
      <c r="B262" s="280" t="s">
        <v>386</v>
      </c>
      <c r="C262" s="297" t="s">
        <v>387</v>
      </c>
      <c r="D262" s="142">
        <v>1</v>
      </c>
      <c r="E262" s="145"/>
      <c r="F262" s="145"/>
      <c r="G262" s="145"/>
      <c r="H262" s="216">
        <v>1</v>
      </c>
      <c r="I262" s="314" t="s">
        <v>382</v>
      </c>
      <c r="J262" s="314">
        <v>72.349999999999994</v>
      </c>
      <c r="K262" s="217">
        <f t="shared" si="13"/>
        <v>61.313559322033889</v>
      </c>
      <c r="L262" s="218">
        <f t="shared" si="14"/>
        <v>61.313559322033889</v>
      </c>
    </row>
    <row r="263" spans="1:12" ht="25.5" x14ac:dyDescent="0.2">
      <c r="A263" s="116">
        <v>34</v>
      </c>
      <c r="B263" s="206">
        <v>10.28</v>
      </c>
      <c r="C263" s="207" t="s">
        <v>388</v>
      </c>
      <c r="D263" s="119"/>
      <c r="E263" s="120"/>
      <c r="F263" s="120"/>
      <c r="G263" s="120"/>
      <c r="H263" s="208"/>
      <c r="I263" s="122"/>
      <c r="J263" s="209"/>
      <c r="K263" s="217">
        <f t="shared" si="13"/>
        <v>0</v>
      </c>
      <c r="L263" s="218">
        <f t="shared" si="14"/>
        <v>0</v>
      </c>
    </row>
    <row r="264" spans="1:12" x14ac:dyDescent="0.2">
      <c r="A264" s="124"/>
      <c r="B264" s="211"/>
      <c r="C264" s="183" t="s">
        <v>389</v>
      </c>
      <c r="D264" s="133">
        <v>2</v>
      </c>
      <c r="E264" s="135">
        <v>3.76</v>
      </c>
      <c r="F264" s="135"/>
      <c r="G264" s="135"/>
      <c r="H264" s="212">
        <f>E264*D264</f>
        <v>7.52</v>
      </c>
      <c r="I264" s="136"/>
      <c r="J264" s="213"/>
      <c r="K264" s="217">
        <f t="shared" si="13"/>
        <v>0</v>
      </c>
      <c r="L264" s="218">
        <f t="shared" si="14"/>
        <v>0</v>
      </c>
    </row>
    <row r="265" spans="1:12" x14ac:dyDescent="0.2">
      <c r="A265" s="124"/>
      <c r="B265" s="215"/>
      <c r="C265" s="180" t="s">
        <v>117</v>
      </c>
      <c r="D265" s="133"/>
      <c r="E265" s="135"/>
      <c r="F265" s="135"/>
      <c r="G265" s="135"/>
      <c r="H265" s="242">
        <f>SUM(H264:H264)*5</f>
        <v>37.599999999999994</v>
      </c>
      <c r="I265" s="136" t="s">
        <v>195</v>
      </c>
      <c r="J265" s="213">
        <v>772.4</v>
      </c>
      <c r="K265" s="217">
        <f t="shared" si="13"/>
        <v>654.57627118644064</v>
      </c>
      <c r="L265" s="218">
        <f t="shared" si="14"/>
        <v>24612.067796610165</v>
      </c>
    </row>
    <row r="266" spans="1:12" ht="25.5" x14ac:dyDescent="0.2">
      <c r="A266" s="116">
        <v>35</v>
      </c>
      <c r="B266" s="117">
        <v>13.26</v>
      </c>
      <c r="C266" s="219" t="s">
        <v>390</v>
      </c>
      <c r="D266" s="119"/>
      <c r="E266" s="120"/>
      <c r="F266" s="120"/>
      <c r="G266" s="120"/>
      <c r="H266" s="208"/>
      <c r="I266" s="122"/>
      <c r="J266" s="209"/>
      <c r="K266" s="217">
        <f t="shared" si="13"/>
        <v>0</v>
      </c>
      <c r="L266" s="218">
        <f t="shared" si="14"/>
        <v>0</v>
      </c>
    </row>
    <row r="267" spans="1:12" x14ac:dyDescent="0.2">
      <c r="A267" s="124" t="s">
        <v>91</v>
      </c>
      <c r="B267" s="125"/>
      <c r="C267" s="220" t="s">
        <v>391</v>
      </c>
      <c r="D267" s="133"/>
      <c r="E267" s="134"/>
      <c r="F267" s="134"/>
      <c r="G267" s="134"/>
      <c r="H267" s="242">
        <f>H165</f>
        <v>25</v>
      </c>
      <c r="I267" s="136" t="s">
        <v>91</v>
      </c>
      <c r="J267" s="213" t="s">
        <v>91</v>
      </c>
      <c r="K267" s="217" t="e">
        <f t="shared" ref="K267:K285" si="15">J267*100/118</f>
        <v>#VALUE!</v>
      </c>
      <c r="L267" s="218">
        <v>0</v>
      </c>
    </row>
    <row r="268" spans="1:12" x14ac:dyDescent="0.2">
      <c r="A268" s="124" t="s">
        <v>91</v>
      </c>
      <c r="B268" s="125"/>
      <c r="C268" s="220" t="s">
        <v>392</v>
      </c>
      <c r="D268" s="133"/>
      <c r="E268" s="134"/>
      <c r="F268" s="134"/>
      <c r="G268" s="134"/>
      <c r="H268" s="242">
        <f>H168</f>
        <v>225.93000000000004</v>
      </c>
      <c r="I268" s="136"/>
      <c r="J268" s="213"/>
      <c r="K268" s="217">
        <f t="shared" si="15"/>
        <v>0</v>
      </c>
      <c r="L268" s="218">
        <f t="shared" ref="L268:L284" si="16">K268*H268</f>
        <v>0</v>
      </c>
    </row>
    <row r="269" spans="1:12" ht="21.75" customHeight="1" x14ac:dyDescent="0.2">
      <c r="A269" s="124"/>
      <c r="B269" s="125"/>
      <c r="C269" s="220" t="s">
        <v>393</v>
      </c>
      <c r="D269" s="133"/>
      <c r="E269" s="134"/>
      <c r="F269" s="134"/>
      <c r="G269" s="134"/>
      <c r="H269" s="242">
        <f>H143</f>
        <v>450</v>
      </c>
      <c r="I269" s="136"/>
      <c r="J269" s="213"/>
      <c r="K269" s="217">
        <f t="shared" si="15"/>
        <v>0</v>
      </c>
      <c r="L269" s="218">
        <f t="shared" si="16"/>
        <v>0</v>
      </c>
    </row>
    <row r="270" spans="1:12" x14ac:dyDescent="0.2">
      <c r="A270" s="124" t="s">
        <v>91</v>
      </c>
      <c r="B270" s="125"/>
      <c r="C270" s="220" t="s">
        <v>394</v>
      </c>
      <c r="D270" s="133" t="s">
        <v>91</v>
      </c>
      <c r="E270" s="134"/>
      <c r="F270" s="134"/>
      <c r="G270" s="134"/>
      <c r="H270" s="242">
        <f>-H218</f>
        <v>-12</v>
      </c>
      <c r="I270" s="136"/>
      <c r="J270" s="213"/>
      <c r="K270" s="217">
        <f t="shared" si="15"/>
        <v>0</v>
      </c>
      <c r="L270" s="218">
        <f t="shared" si="16"/>
        <v>0</v>
      </c>
    </row>
    <row r="271" spans="1:12" ht="12.75" customHeight="1" x14ac:dyDescent="0.2">
      <c r="A271" s="215"/>
      <c r="B271" s="140"/>
      <c r="C271" s="221" t="s">
        <v>207</v>
      </c>
      <c r="D271" s="142"/>
      <c r="E271" s="143"/>
      <c r="F271" s="143"/>
      <c r="G271" s="143"/>
      <c r="H271" s="216">
        <v>650</v>
      </c>
      <c r="I271" s="141" t="s">
        <v>128</v>
      </c>
      <c r="J271" s="217">
        <v>262.7</v>
      </c>
      <c r="K271" s="217">
        <f t="shared" si="15"/>
        <v>222.62711864406779</v>
      </c>
      <c r="L271" s="218">
        <f t="shared" si="16"/>
        <v>144707.62711864407</v>
      </c>
    </row>
    <row r="272" spans="1:12" ht="16.5" customHeight="1" x14ac:dyDescent="0.2">
      <c r="A272" s="234">
        <v>36</v>
      </c>
      <c r="B272" s="206" t="s">
        <v>395</v>
      </c>
      <c r="C272" s="207" t="s">
        <v>396</v>
      </c>
      <c r="D272" s="119"/>
      <c r="E272" s="120"/>
      <c r="F272" s="120"/>
      <c r="G272" s="120"/>
      <c r="H272" s="208"/>
      <c r="I272" s="122"/>
      <c r="J272" s="209"/>
      <c r="K272" s="217">
        <f t="shared" si="15"/>
        <v>0</v>
      </c>
      <c r="L272" s="218">
        <f t="shared" si="16"/>
        <v>0</v>
      </c>
    </row>
    <row r="273" spans="1:15" ht="19.5" customHeight="1" x14ac:dyDescent="0.2">
      <c r="A273" s="314"/>
      <c r="B273" s="140"/>
      <c r="C273" s="316" t="s">
        <v>397</v>
      </c>
      <c r="D273" s="142"/>
      <c r="E273" s="143"/>
      <c r="F273" s="143"/>
      <c r="G273" s="143"/>
      <c r="H273" s="216">
        <f>H271</f>
        <v>650</v>
      </c>
      <c r="I273" s="141" t="s">
        <v>128</v>
      </c>
      <c r="J273" s="217">
        <v>142.80000000000001</v>
      </c>
      <c r="K273" s="217">
        <f t="shared" si="15"/>
        <v>121.0169491525424</v>
      </c>
      <c r="L273" s="218">
        <f t="shared" si="16"/>
        <v>78661.016949152559</v>
      </c>
    </row>
    <row r="274" spans="1:15" ht="24.95" customHeight="1" x14ac:dyDescent="0.2">
      <c r="A274" s="90">
        <v>37</v>
      </c>
      <c r="B274" s="117">
        <v>13.47</v>
      </c>
      <c r="C274" s="219" t="s">
        <v>398</v>
      </c>
      <c r="D274" s="119"/>
      <c r="E274" s="120"/>
      <c r="F274" s="120"/>
      <c r="G274" s="120"/>
      <c r="H274" s="208"/>
      <c r="I274" s="122"/>
      <c r="J274" s="209"/>
      <c r="K274" s="217">
        <f t="shared" si="15"/>
        <v>0</v>
      </c>
      <c r="L274" s="218">
        <f t="shared" si="16"/>
        <v>0</v>
      </c>
    </row>
    <row r="275" spans="1:15" ht="38.25" x14ac:dyDescent="0.2">
      <c r="B275" s="125" t="s">
        <v>399</v>
      </c>
      <c r="C275" s="238" t="s">
        <v>400</v>
      </c>
      <c r="D275" s="127"/>
      <c r="E275" s="128"/>
      <c r="F275" s="128"/>
      <c r="G275" s="128"/>
      <c r="H275" s="239"/>
      <c r="I275" s="130"/>
      <c r="J275" s="240"/>
      <c r="K275" s="217">
        <f t="shared" si="15"/>
        <v>0</v>
      </c>
      <c r="L275" s="218">
        <f t="shared" si="16"/>
        <v>0</v>
      </c>
    </row>
    <row r="276" spans="1:15" x14ac:dyDescent="0.2">
      <c r="B276" s="140"/>
      <c r="C276" s="316" t="s">
        <v>401</v>
      </c>
      <c r="D276" s="142"/>
      <c r="E276" s="143"/>
      <c r="F276" s="143"/>
      <c r="G276" s="143"/>
      <c r="H276" s="216">
        <f>H169</f>
        <v>250</v>
      </c>
      <c r="I276" s="141" t="s">
        <v>128</v>
      </c>
      <c r="J276" s="217">
        <v>171.1</v>
      </c>
      <c r="K276" s="217">
        <f t="shared" si="15"/>
        <v>145</v>
      </c>
      <c r="L276" s="218">
        <f t="shared" si="16"/>
        <v>36250</v>
      </c>
    </row>
    <row r="277" spans="1:15" ht="25.5" x14ac:dyDescent="0.2">
      <c r="A277" s="234">
        <v>38</v>
      </c>
      <c r="B277" s="117">
        <v>13.61</v>
      </c>
      <c r="C277" s="219" t="s">
        <v>402</v>
      </c>
      <c r="D277" s="119"/>
      <c r="E277" s="120"/>
      <c r="F277" s="120"/>
      <c r="G277" s="120"/>
      <c r="H277" s="263"/>
      <c r="I277" s="122"/>
      <c r="J277" s="209"/>
      <c r="K277" s="217">
        <f t="shared" si="15"/>
        <v>0</v>
      </c>
      <c r="L277" s="218">
        <f t="shared" si="16"/>
        <v>0</v>
      </c>
    </row>
    <row r="278" spans="1:15" x14ac:dyDescent="0.2">
      <c r="B278" s="125" t="s">
        <v>403</v>
      </c>
      <c r="C278" s="238" t="s">
        <v>404</v>
      </c>
      <c r="D278" s="127"/>
      <c r="E278" s="128"/>
      <c r="F278" s="128"/>
      <c r="G278" s="128"/>
      <c r="H278" s="264"/>
      <c r="I278" s="130"/>
      <c r="J278" s="240"/>
      <c r="K278" s="217">
        <f t="shared" si="15"/>
        <v>0</v>
      </c>
      <c r="L278" s="218">
        <f t="shared" si="16"/>
        <v>0</v>
      </c>
    </row>
    <row r="279" spans="1:15" x14ac:dyDescent="0.2">
      <c r="B279" s="211"/>
      <c r="C279" s="317" t="s">
        <v>91</v>
      </c>
      <c r="D279" s="127">
        <v>1</v>
      </c>
      <c r="E279" s="129">
        <f>H236+E284+H285</f>
        <v>15.2125</v>
      </c>
      <c r="F279" s="129">
        <v>2.5</v>
      </c>
      <c r="G279" s="129"/>
      <c r="H279" s="264">
        <f>SUM(D279*E279*F279)</f>
        <v>38.03125</v>
      </c>
      <c r="I279" s="130" t="s">
        <v>128</v>
      </c>
      <c r="J279" s="240">
        <v>155.9</v>
      </c>
      <c r="K279" s="217">
        <f t="shared" si="15"/>
        <v>132.11864406779662</v>
      </c>
      <c r="L279" s="218">
        <f t="shared" si="16"/>
        <v>5024.6371822033907</v>
      </c>
    </row>
    <row r="280" spans="1:15" ht="20.25" customHeight="1" x14ac:dyDescent="0.2">
      <c r="A280" s="236">
        <v>39</v>
      </c>
      <c r="B280" s="188">
        <v>10.18</v>
      </c>
      <c r="C280" s="220" t="s">
        <v>405</v>
      </c>
      <c r="D280" s="133">
        <v>16</v>
      </c>
      <c r="E280" s="135"/>
      <c r="F280" s="135"/>
      <c r="G280" s="135"/>
      <c r="H280" s="396">
        <f>D280</f>
        <v>16</v>
      </c>
      <c r="I280" s="136" t="s">
        <v>406</v>
      </c>
      <c r="J280" s="213">
        <v>220.65</v>
      </c>
      <c r="K280" s="217">
        <f t="shared" si="15"/>
        <v>186.9915254237288</v>
      </c>
      <c r="L280" s="218">
        <f t="shared" si="16"/>
        <v>2991.8644067796608</v>
      </c>
    </row>
    <row r="281" spans="1:15" ht="25.5" x14ac:dyDescent="0.2">
      <c r="A281" s="234">
        <v>40</v>
      </c>
      <c r="B281" s="206">
        <v>9.4700000000000006</v>
      </c>
      <c r="C281" s="318" t="s">
        <v>407</v>
      </c>
      <c r="D281" s="133"/>
      <c r="E281" s="135" t="s">
        <v>91</v>
      </c>
      <c r="F281" s="135"/>
      <c r="G281" s="135"/>
      <c r="H281" s="212" t="s">
        <v>91</v>
      </c>
      <c r="I281" s="136"/>
      <c r="J281" s="213"/>
      <c r="K281" s="217">
        <f t="shared" si="15"/>
        <v>0</v>
      </c>
      <c r="L281" s="218">
        <v>0</v>
      </c>
    </row>
    <row r="282" spans="1:15" x14ac:dyDescent="0.2">
      <c r="A282" s="314"/>
      <c r="B282" s="188" t="s">
        <v>408</v>
      </c>
      <c r="C282" s="220" t="s">
        <v>409</v>
      </c>
      <c r="D282" s="133"/>
      <c r="E282" s="135">
        <f>1.5+1.05*2</f>
        <v>3.6</v>
      </c>
      <c r="F282" s="135"/>
      <c r="G282" s="135"/>
      <c r="H282" s="212">
        <v>3</v>
      </c>
      <c r="I282" s="136" t="s">
        <v>307</v>
      </c>
      <c r="J282" s="213">
        <v>175</v>
      </c>
      <c r="K282" s="217">
        <f t="shared" si="15"/>
        <v>148.30508474576271</v>
      </c>
      <c r="L282" s="218">
        <f t="shared" si="16"/>
        <v>444.91525423728814</v>
      </c>
    </row>
    <row r="283" spans="1:15" ht="38.25" x14ac:dyDescent="0.2">
      <c r="A283" s="234">
        <v>41</v>
      </c>
      <c r="B283" s="188">
        <v>9.48</v>
      </c>
      <c r="C283" s="220" t="s">
        <v>410</v>
      </c>
      <c r="D283" s="133"/>
      <c r="E283" s="135"/>
      <c r="F283" s="135"/>
      <c r="G283" s="135"/>
      <c r="H283" s="212"/>
      <c r="I283" s="136"/>
      <c r="J283" s="213"/>
      <c r="K283" s="217">
        <f t="shared" si="15"/>
        <v>0</v>
      </c>
      <c r="L283" s="218">
        <f t="shared" si="16"/>
        <v>0</v>
      </c>
    </row>
    <row r="284" spans="1:15" ht="25.5" x14ac:dyDescent="0.2">
      <c r="A284" s="314"/>
      <c r="B284" s="188" t="s">
        <v>411</v>
      </c>
      <c r="C284" s="220" t="s">
        <v>412</v>
      </c>
      <c r="D284" s="133"/>
      <c r="E284" s="135">
        <f>H240+H244</f>
        <v>4.4725000000000001</v>
      </c>
      <c r="F284" s="135"/>
      <c r="G284" s="135"/>
      <c r="H284" s="212">
        <v>85</v>
      </c>
      <c r="I284" s="136" t="s">
        <v>413</v>
      </c>
      <c r="J284" s="213">
        <v>230.35</v>
      </c>
      <c r="K284" s="217">
        <f t="shared" si="15"/>
        <v>195.21186440677965</v>
      </c>
      <c r="L284" s="218">
        <f t="shared" si="16"/>
        <v>16593.008474576269</v>
      </c>
    </row>
    <row r="285" spans="1:15" ht="92.25" customHeight="1" x14ac:dyDescent="0.2">
      <c r="A285" s="236">
        <v>42</v>
      </c>
      <c r="B285" s="188">
        <v>10.3</v>
      </c>
      <c r="C285" s="118" t="s">
        <v>658</v>
      </c>
      <c r="D285" s="142" t="s">
        <v>91</v>
      </c>
      <c r="E285" s="145">
        <f xml:space="preserve"> 1.8 *2</f>
        <v>3.6</v>
      </c>
      <c r="F285" s="145"/>
      <c r="G285" s="145">
        <v>2.4</v>
      </c>
      <c r="H285" s="397">
        <f>SUM(G285*E285)</f>
        <v>8.64</v>
      </c>
      <c r="I285" s="130" t="s">
        <v>334</v>
      </c>
      <c r="J285" s="240">
        <v>11439.6</v>
      </c>
      <c r="K285" s="217">
        <f t="shared" si="15"/>
        <v>9694.5762711864409</v>
      </c>
      <c r="L285" s="218">
        <f>K285*H285</f>
        <v>83761.138983050856</v>
      </c>
    </row>
    <row r="286" spans="1:15" ht="15" x14ac:dyDescent="0.25">
      <c r="A286" s="236"/>
      <c r="B286" s="236"/>
      <c r="C286" s="319" t="s">
        <v>415</v>
      </c>
      <c r="D286" s="398"/>
      <c r="E286" s="398"/>
      <c r="F286" s="398"/>
      <c r="G286" s="398"/>
      <c r="H286" s="321"/>
      <c r="I286" s="952" t="s">
        <v>91</v>
      </c>
      <c r="J286" s="952"/>
      <c r="K286" s="322"/>
      <c r="L286" s="323">
        <f>SUM(L8:L285)</f>
        <v>5702031.2261189045</v>
      </c>
      <c r="O286" s="102"/>
    </row>
    <row r="288" spans="1:15" x14ac:dyDescent="0.2">
      <c r="L288" s="203" t="s">
        <v>91</v>
      </c>
    </row>
    <row r="289" spans="12:12" x14ac:dyDescent="0.2">
      <c r="L289" s="203" t="s">
        <v>91</v>
      </c>
    </row>
    <row r="290" spans="12:12" ht="14.25" x14ac:dyDescent="0.2">
      <c r="L290" s="324" t="s">
        <v>91</v>
      </c>
    </row>
    <row r="293" spans="12:12" x14ac:dyDescent="0.2">
      <c r="L293" s="203" t="s">
        <v>91</v>
      </c>
    </row>
  </sheetData>
  <sheetProtection algorithmName="SHA-512" hashValue="wmoJ6s2C3SUM0a++YU3dacA4cQswYU86q8nMXAvCMzmYgw1RfwWyWg+uUmJQpb5VVnf2uYKg5vT5QlKxj/I7Rg==" saltValue="7sNlGBPHcoe9Ejja0lk57g==" spinCount="100000" sheet="1" objects="1" scenarios="1" selectLockedCells="1" selectUnlockedCells="1"/>
  <mergeCells count="2">
    <mergeCell ref="A3:I3"/>
    <mergeCell ref="I286:J286"/>
  </mergeCells>
  <pageMargins left="0.5" right="0.5" top="1" bottom="0.5" header="0.5" footer="0.5"/>
  <pageSetup scale="61" orientation="portrait" horizontalDpi="4294967293"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BEE35-293E-4235-A588-BABAED29454C}">
  <dimension ref="A2:S429"/>
  <sheetViews>
    <sheetView topLeftCell="A413" zoomScaleNormal="100" workbookViewId="0">
      <selection activeCell="F15" sqref="F15"/>
    </sheetView>
  </sheetViews>
  <sheetFormatPr defaultRowHeight="12.75" x14ac:dyDescent="0.2"/>
  <cols>
    <col min="1" max="1" width="5.140625" style="103" customWidth="1"/>
    <col min="2" max="2" width="7.42578125" style="90" customWidth="1"/>
    <col min="3" max="3" width="57" style="90" customWidth="1"/>
    <col min="4" max="4" width="5.140625" style="90" customWidth="1"/>
    <col min="5" max="5" width="8.42578125" style="90" customWidth="1"/>
    <col min="6" max="6" width="6.7109375" style="90" customWidth="1"/>
    <col min="7" max="7" width="7.5703125" style="90" customWidth="1"/>
    <col min="8" max="8" width="9.28515625" style="90" customWidth="1"/>
    <col min="9" max="9" width="6.140625" style="90" customWidth="1"/>
    <col min="10" max="10" width="11" style="202" customWidth="1"/>
    <col min="11" max="11" width="12.28515625" style="202" customWidth="1"/>
    <col min="12" max="12" width="12.140625" style="203" customWidth="1"/>
    <col min="13" max="256" width="9.140625" style="90"/>
    <col min="257" max="257" width="5.140625" style="90" customWidth="1"/>
    <col min="258" max="258" width="7.42578125" style="90" customWidth="1"/>
    <col min="259" max="259" width="57" style="90" customWidth="1"/>
    <col min="260" max="260" width="5.140625" style="90" customWidth="1"/>
    <col min="261" max="261" width="8.42578125" style="90" customWidth="1"/>
    <col min="262" max="262" width="6.7109375" style="90" customWidth="1"/>
    <col min="263" max="263" width="7.5703125" style="90" customWidth="1"/>
    <col min="264" max="264" width="9.28515625" style="90" customWidth="1"/>
    <col min="265" max="265" width="6.140625" style="90" customWidth="1"/>
    <col min="266" max="266" width="11" style="90" customWidth="1"/>
    <col min="267" max="267" width="12.28515625" style="90" customWidth="1"/>
    <col min="268" max="268" width="12.140625" style="90" customWidth="1"/>
    <col min="269" max="512" width="9.140625" style="90"/>
    <col min="513" max="513" width="5.140625" style="90" customWidth="1"/>
    <col min="514" max="514" width="7.42578125" style="90" customWidth="1"/>
    <col min="515" max="515" width="57" style="90" customWidth="1"/>
    <col min="516" max="516" width="5.140625" style="90" customWidth="1"/>
    <col min="517" max="517" width="8.42578125" style="90" customWidth="1"/>
    <col min="518" max="518" width="6.7109375" style="90" customWidth="1"/>
    <col min="519" max="519" width="7.5703125" style="90" customWidth="1"/>
    <col min="520" max="520" width="9.28515625" style="90" customWidth="1"/>
    <col min="521" max="521" width="6.140625" style="90" customWidth="1"/>
    <col min="522" max="522" width="11" style="90" customWidth="1"/>
    <col min="523" max="523" width="12.28515625" style="90" customWidth="1"/>
    <col min="524" max="524" width="12.140625" style="90" customWidth="1"/>
    <col min="525" max="768" width="9.140625" style="90"/>
    <col min="769" max="769" width="5.140625" style="90" customWidth="1"/>
    <col min="770" max="770" width="7.42578125" style="90" customWidth="1"/>
    <col min="771" max="771" width="57" style="90" customWidth="1"/>
    <col min="772" max="772" width="5.140625" style="90" customWidth="1"/>
    <col min="773" max="773" width="8.42578125" style="90" customWidth="1"/>
    <col min="774" max="774" width="6.7109375" style="90" customWidth="1"/>
    <col min="775" max="775" width="7.5703125" style="90" customWidth="1"/>
    <col min="776" max="776" width="9.28515625" style="90" customWidth="1"/>
    <col min="777" max="777" width="6.140625" style="90" customWidth="1"/>
    <col min="778" max="778" width="11" style="90" customWidth="1"/>
    <col min="779" max="779" width="12.28515625" style="90" customWidth="1"/>
    <col min="780" max="780" width="12.140625" style="90" customWidth="1"/>
    <col min="781" max="1024" width="9.140625" style="90"/>
    <col min="1025" max="1025" width="5.140625" style="90" customWidth="1"/>
    <col min="1026" max="1026" width="7.42578125" style="90" customWidth="1"/>
    <col min="1027" max="1027" width="57" style="90" customWidth="1"/>
    <col min="1028" max="1028" width="5.140625" style="90" customWidth="1"/>
    <col min="1029" max="1029" width="8.42578125" style="90" customWidth="1"/>
    <col min="1030" max="1030" width="6.7109375" style="90" customWidth="1"/>
    <col min="1031" max="1031" width="7.5703125" style="90" customWidth="1"/>
    <col min="1032" max="1032" width="9.28515625" style="90" customWidth="1"/>
    <col min="1033" max="1033" width="6.140625" style="90" customWidth="1"/>
    <col min="1034" max="1034" width="11" style="90" customWidth="1"/>
    <col min="1035" max="1035" width="12.28515625" style="90" customWidth="1"/>
    <col min="1036" max="1036" width="12.140625" style="90" customWidth="1"/>
    <col min="1037" max="1280" width="9.140625" style="90"/>
    <col min="1281" max="1281" width="5.140625" style="90" customWidth="1"/>
    <col min="1282" max="1282" width="7.42578125" style="90" customWidth="1"/>
    <col min="1283" max="1283" width="57" style="90" customWidth="1"/>
    <col min="1284" max="1284" width="5.140625" style="90" customWidth="1"/>
    <col min="1285" max="1285" width="8.42578125" style="90" customWidth="1"/>
    <col min="1286" max="1286" width="6.7109375" style="90" customWidth="1"/>
    <col min="1287" max="1287" width="7.5703125" style="90" customWidth="1"/>
    <col min="1288" max="1288" width="9.28515625" style="90" customWidth="1"/>
    <col min="1289" max="1289" width="6.140625" style="90" customWidth="1"/>
    <col min="1290" max="1290" width="11" style="90" customWidth="1"/>
    <col min="1291" max="1291" width="12.28515625" style="90" customWidth="1"/>
    <col min="1292" max="1292" width="12.140625" style="90" customWidth="1"/>
    <col min="1293" max="1536" width="9.140625" style="90"/>
    <col min="1537" max="1537" width="5.140625" style="90" customWidth="1"/>
    <col min="1538" max="1538" width="7.42578125" style="90" customWidth="1"/>
    <col min="1539" max="1539" width="57" style="90" customWidth="1"/>
    <col min="1540" max="1540" width="5.140625" style="90" customWidth="1"/>
    <col min="1541" max="1541" width="8.42578125" style="90" customWidth="1"/>
    <col min="1542" max="1542" width="6.7109375" style="90" customWidth="1"/>
    <col min="1543" max="1543" width="7.5703125" style="90" customWidth="1"/>
    <col min="1544" max="1544" width="9.28515625" style="90" customWidth="1"/>
    <col min="1545" max="1545" width="6.140625" style="90" customWidth="1"/>
    <col min="1546" max="1546" width="11" style="90" customWidth="1"/>
    <col min="1547" max="1547" width="12.28515625" style="90" customWidth="1"/>
    <col min="1548" max="1548" width="12.140625" style="90" customWidth="1"/>
    <col min="1549" max="1792" width="9.140625" style="90"/>
    <col min="1793" max="1793" width="5.140625" style="90" customWidth="1"/>
    <col min="1794" max="1794" width="7.42578125" style="90" customWidth="1"/>
    <col min="1795" max="1795" width="57" style="90" customWidth="1"/>
    <col min="1796" max="1796" width="5.140625" style="90" customWidth="1"/>
    <col min="1797" max="1797" width="8.42578125" style="90" customWidth="1"/>
    <col min="1798" max="1798" width="6.7109375" style="90" customWidth="1"/>
    <col min="1799" max="1799" width="7.5703125" style="90" customWidth="1"/>
    <col min="1800" max="1800" width="9.28515625" style="90" customWidth="1"/>
    <col min="1801" max="1801" width="6.140625" style="90" customWidth="1"/>
    <col min="1802" max="1802" width="11" style="90" customWidth="1"/>
    <col min="1803" max="1803" width="12.28515625" style="90" customWidth="1"/>
    <col min="1804" max="1804" width="12.140625" style="90" customWidth="1"/>
    <col min="1805" max="2048" width="9.140625" style="90"/>
    <col min="2049" max="2049" width="5.140625" style="90" customWidth="1"/>
    <col min="2050" max="2050" width="7.42578125" style="90" customWidth="1"/>
    <col min="2051" max="2051" width="57" style="90" customWidth="1"/>
    <col min="2052" max="2052" width="5.140625" style="90" customWidth="1"/>
    <col min="2053" max="2053" width="8.42578125" style="90" customWidth="1"/>
    <col min="2054" max="2054" width="6.7109375" style="90" customWidth="1"/>
    <col min="2055" max="2055" width="7.5703125" style="90" customWidth="1"/>
    <col min="2056" max="2056" width="9.28515625" style="90" customWidth="1"/>
    <col min="2057" max="2057" width="6.140625" style="90" customWidth="1"/>
    <col min="2058" max="2058" width="11" style="90" customWidth="1"/>
    <col min="2059" max="2059" width="12.28515625" style="90" customWidth="1"/>
    <col min="2060" max="2060" width="12.140625" style="90" customWidth="1"/>
    <col min="2061" max="2304" width="9.140625" style="90"/>
    <col min="2305" max="2305" width="5.140625" style="90" customWidth="1"/>
    <col min="2306" max="2306" width="7.42578125" style="90" customWidth="1"/>
    <col min="2307" max="2307" width="57" style="90" customWidth="1"/>
    <col min="2308" max="2308" width="5.140625" style="90" customWidth="1"/>
    <col min="2309" max="2309" width="8.42578125" style="90" customWidth="1"/>
    <col min="2310" max="2310" width="6.7109375" style="90" customWidth="1"/>
    <col min="2311" max="2311" width="7.5703125" style="90" customWidth="1"/>
    <col min="2312" max="2312" width="9.28515625" style="90" customWidth="1"/>
    <col min="2313" max="2313" width="6.140625" style="90" customWidth="1"/>
    <col min="2314" max="2314" width="11" style="90" customWidth="1"/>
    <col min="2315" max="2315" width="12.28515625" style="90" customWidth="1"/>
    <col min="2316" max="2316" width="12.140625" style="90" customWidth="1"/>
    <col min="2317" max="2560" width="9.140625" style="90"/>
    <col min="2561" max="2561" width="5.140625" style="90" customWidth="1"/>
    <col min="2562" max="2562" width="7.42578125" style="90" customWidth="1"/>
    <col min="2563" max="2563" width="57" style="90" customWidth="1"/>
    <col min="2564" max="2564" width="5.140625" style="90" customWidth="1"/>
    <col min="2565" max="2565" width="8.42578125" style="90" customWidth="1"/>
    <col min="2566" max="2566" width="6.7109375" style="90" customWidth="1"/>
    <col min="2567" max="2567" width="7.5703125" style="90" customWidth="1"/>
    <col min="2568" max="2568" width="9.28515625" style="90" customWidth="1"/>
    <col min="2569" max="2569" width="6.140625" style="90" customWidth="1"/>
    <col min="2570" max="2570" width="11" style="90" customWidth="1"/>
    <col min="2571" max="2571" width="12.28515625" style="90" customWidth="1"/>
    <col min="2572" max="2572" width="12.140625" style="90" customWidth="1"/>
    <col min="2573" max="2816" width="9.140625" style="90"/>
    <col min="2817" max="2817" width="5.140625" style="90" customWidth="1"/>
    <col min="2818" max="2818" width="7.42578125" style="90" customWidth="1"/>
    <col min="2819" max="2819" width="57" style="90" customWidth="1"/>
    <col min="2820" max="2820" width="5.140625" style="90" customWidth="1"/>
    <col min="2821" max="2821" width="8.42578125" style="90" customWidth="1"/>
    <col min="2822" max="2822" width="6.7109375" style="90" customWidth="1"/>
    <col min="2823" max="2823" width="7.5703125" style="90" customWidth="1"/>
    <col min="2824" max="2824" width="9.28515625" style="90" customWidth="1"/>
    <col min="2825" max="2825" width="6.140625" style="90" customWidth="1"/>
    <col min="2826" max="2826" width="11" style="90" customWidth="1"/>
    <col min="2827" max="2827" width="12.28515625" style="90" customWidth="1"/>
    <col min="2828" max="2828" width="12.140625" style="90" customWidth="1"/>
    <col min="2829" max="3072" width="9.140625" style="90"/>
    <col min="3073" max="3073" width="5.140625" style="90" customWidth="1"/>
    <col min="3074" max="3074" width="7.42578125" style="90" customWidth="1"/>
    <col min="3075" max="3075" width="57" style="90" customWidth="1"/>
    <col min="3076" max="3076" width="5.140625" style="90" customWidth="1"/>
    <col min="3077" max="3077" width="8.42578125" style="90" customWidth="1"/>
    <col min="3078" max="3078" width="6.7109375" style="90" customWidth="1"/>
    <col min="3079" max="3079" width="7.5703125" style="90" customWidth="1"/>
    <col min="3080" max="3080" width="9.28515625" style="90" customWidth="1"/>
    <col min="3081" max="3081" width="6.140625" style="90" customWidth="1"/>
    <col min="3082" max="3082" width="11" style="90" customWidth="1"/>
    <col min="3083" max="3083" width="12.28515625" style="90" customWidth="1"/>
    <col min="3084" max="3084" width="12.140625" style="90" customWidth="1"/>
    <col min="3085" max="3328" width="9.140625" style="90"/>
    <col min="3329" max="3329" width="5.140625" style="90" customWidth="1"/>
    <col min="3330" max="3330" width="7.42578125" style="90" customWidth="1"/>
    <col min="3331" max="3331" width="57" style="90" customWidth="1"/>
    <col min="3332" max="3332" width="5.140625" style="90" customWidth="1"/>
    <col min="3333" max="3333" width="8.42578125" style="90" customWidth="1"/>
    <col min="3334" max="3334" width="6.7109375" style="90" customWidth="1"/>
    <col min="3335" max="3335" width="7.5703125" style="90" customWidth="1"/>
    <col min="3336" max="3336" width="9.28515625" style="90" customWidth="1"/>
    <col min="3337" max="3337" width="6.140625" style="90" customWidth="1"/>
    <col min="3338" max="3338" width="11" style="90" customWidth="1"/>
    <col min="3339" max="3339" width="12.28515625" style="90" customWidth="1"/>
    <col min="3340" max="3340" width="12.140625" style="90" customWidth="1"/>
    <col min="3341" max="3584" width="9.140625" style="90"/>
    <col min="3585" max="3585" width="5.140625" style="90" customWidth="1"/>
    <col min="3586" max="3586" width="7.42578125" style="90" customWidth="1"/>
    <col min="3587" max="3587" width="57" style="90" customWidth="1"/>
    <col min="3588" max="3588" width="5.140625" style="90" customWidth="1"/>
    <col min="3589" max="3589" width="8.42578125" style="90" customWidth="1"/>
    <col min="3590" max="3590" width="6.7109375" style="90" customWidth="1"/>
    <col min="3591" max="3591" width="7.5703125" style="90" customWidth="1"/>
    <col min="3592" max="3592" width="9.28515625" style="90" customWidth="1"/>
    <col min="3593" max="3593" width="6.140625" style="90" customWidth="1"/>
    <col min="3594" max="3594" width="11" style="90" customWidth="1"/>
    <col min="3595" max="3595" width="12.28515625" style="90" customWidth="1"/>
    <col min="3596" max="3596" width="12.140625" style="90" customWidth="1"/>
    <col min="3597" max="3840" width="9.140625" style="90"/>
    <col min="3841" max="3841" width="5.140625" style="90" customWidth="1"/>
    <col min="3842" max="3842" width="7.42578125" style="90" customWidth="1"/>
    <col min="3843" max="3843" width="57" style="90" customWidth="1"/>
    <col min="3844" max="3844" width="5.140625" style="90" customWidth="1"/>
    <col min="3845" max="3845" width="8.42578125" style="90" customWidth="1"/>
    <col min="3846" max="3846" width="6.7109375" style="90" customWidth="1"/>
    <col min="3847" max="3847" width="7.5703125" style="90" customWidth="1"/>
    <col min="3848" max="3848" width="9.28515625" style="90" customWidth="1"/>
    <col min="3849" max="3849" width="6.140625" style="90" customWidth="1"/>
    <col min="3850" max="3850" width="11" style="90" customWidth="1"/>
    <col min="3851" max="3851" width="12.28515625" style="90" customWidth="1"/>
    <col min="3852" max="3852" width="12.140625" style="90" customWidth="1"/>
    <col min="3853" max="4096" width="9.140625" style="90"/>
    <col min="4097" max="4097" width="5.140625" style="90" customWidth="1"/>
    <col min="4098" max="4098" width="7.42578125" style="90" customWidth="1"/>
    <col min="4099" max="4099" width="57" style="90" customWidth="1"/>
    <col min="4100" max="4100" width="5.140625" style="90" customWidth="1"/>
    <col min="4101" max="4101" width="8.42578125" style="90" customWidth="1"/>
    <col min="4102" max="4102" width="6.7109375" style="90" customWidth="1"/>
    <col min="4103" max="4103" width="7.5703125" style="90" customWidth="1"/>
    <col min="4104" max="4104" width="9.28515625" style="90" customWidth="1"/>
    <col min="4105" max="4105" width="6.140625" style="90" customWidth="1"/>
    <col min="4106" max="4106" width="11" style="90" customWidth="1"/>
    <col min="4107" max="4107" width="12.28515625" style="90" customWidth="1"/>
    <col min="4108" max="4108" width="12.140625" style="90" customWidth="1"/>
    <col min="4109" max="4352" width="9.140625" style="90"/>
    <col min="4353" max="4353" width="5.140625" style="90" customWidth="1"/>
    <col min="4354" max="4354" width="7.42578125" style="90" customWidth="1"/>
    <col min="4355" max="4355" width="57" style="90" customWidth="1"/>
    <col min="4356" max="4356" width="5.140625" style="90" customWidth="1"/>
    <col min="4357" max="4357" width="8.42578125" style="90" customWidth="1"/>
    <col min="4358" max="4358" width="6.7109375" style="90" customWidth="1"/>
    <col min="4359" max="4359" width="7.5703125" style="90" customWidth="1"/>
    <col min="4360" max="4360" width="9.28515625" style="90" customWidth="1"/>
    <col min="4361" max="4361" width="6.140625" style="90" customWidth="1"/>
    <col min="4362" max="4362" width="11" style="90" customWidth="1"/>
    <col min="4363" max="4363" width="12.28515625" style="90" customWidth="1"/>
    <col min="4364" max="4364" width="12.140625" style="90" customWidth="1"/>
    <col min="4365" max="4608" width="9.140625" style="90"/>
    <col min="4609" max="4609" width="5.140625" style="90" customWidth="1"/>
    <col min="4610" max="4610" width="7.42578125" style="90" customWidth="1"/>
    <col min="4611" max="4611" width="57" style="90" customWidth="1"/>
    <col min="4612" max="4612" width="5.140625" style="90" customWidth="1"/>
    <col min="4613" max="4613" width="8.42578125" style="90" customWidth="1"/>
    <col min="4614" max="4614" width="6.7109375" style="90" customWidth="1"/>
    <col min="4615" max="4615" width="7.5703125" style="90" customWidth="1"/>
    <col min="4616" max="4616" width="9.28515625" style="90" customWidth="1"/>
    <col min="4617" max="4617" width="6.140625" style="90" customWidth="1"/>
    <col min="4618" max="4618" width="11" style="90" customWidth="1"/>
    <col min="4619" max="4619" width="12.28515625" style="90" customWidth="1"/>
    <col min="4620" max="4620" width="12.140625" style="90" customWidth="1"/>
    <col min="4621" max="4864" width="9.140625" style="90"/>
    <col min="4865" max="4865" width="5.140625" style="90" customWidth="1"/>
    <col min="4866" max="4866" width="7.42578125" style="90" customWidth="1"/>
    <col min="4867" max="4867" width="57" style="90" customWidth="1"/>
    <col min="4868" max="4868" width="5.140625" style="90" customWidth="1"/>
    <col min="4869" max="4869" width="8.42578125" style="90" customWidth="1"/>
    <col min="4870" max="4870" width="6.7109375" style="90" customWidth="1"/>
    <col min="4871" max="4871" width="7.5703125" style="90" customWidth="1"/>
    <col min="4872" max="4872" width="9.28515625" style="90" customWidth="1"/>
    <col min="4873" max="4873" width="6.140625" style="90" customWidth="1"/>
    <col min="4874" max="4874" width="11" style="90" customWidth="1"/>
    <col min="4875" max="4875" width="12.28515625" style="90" customWidth="1"/>
    <col min="4876" max="4876" width="12.140625" style="90" customWidth="1"/>
    <col min="4877" max="5120" width="9.140625" style="90"/>
    <col min="5121" max="5121" width="5.140625" style="90" customWidth="1"/>
    <col min="5122" max="5122" width="7.42578125" style="90" customWidth="1"/>
    <col min="5123" max="5123" width="57" style="90" customWidth="1"/>
    <col min="5124" max="5124" width="5.140625" style="90" customWidth="1"/>
    <col min="5125" max="5125" width="8.42578125" style="90" customWidth="1"/>
    <col min="5126" max="5126" width="6.7109375" style="90" customWidth="1"/>
    <col min="5127" max="5127" width="7.5703125" style="90" customWidth="1"/>
    <col min="5128" max="5128" width="9.28515625" style="90" customWidth="1"/>
    <col min="5129" max="5129" width="6.140625" style="90" customWidth="1"/>
    <col min="5130" max="5130" width="11" style="90" customWidth="1"/>
    <col min="5131" max="5131" width="12.28515625" style="90" customWidth="1"/>
    <col min="5132" max="5132" width="12.140625" style="90" customWidth="1"/>
    <col min="5133" max="5376" width="9.140625" style="90"/>
    <col min="5377" max="5377" width="5.140625" style="90" customWidth="1"/>
    <col min="5378" max="5378" width="7.42578125" style="90" customWidth="1"/>
    <col min="5379" max="5379" width="57" style="90" customWidth="1"/>
    <col min="5380" max="5380" width="5.140625" style="90" customWidth="1"/>
    <col min="5381" max="5381" width="8.42578125" style="90" customWidth="1"/>
    <col min="5382" max="5382" width="6.7109375" style="90" customWidth="1"/>
    <col min="5383" max="5383" width="7.5703125" style="90" customWidth="1"/>
    <col min="5384" max="5384" width="9.28515625" style="90" customWidth="1"/>
    <col min="5385" max="5385" width="6.140625" style="90" customWidth="1"/>
    <col min="5386" max="5386" width="11" style="90" customWidth="1"/>
    <col min="5387" max="5387" width="12.28515625" style="90" customWidth="1"/>
    <col min="5388" max="5388" width="12.140625" style="90" customWidth="1"/>
    <col min="5389" max="5632" width="9.140625" style="90"/>
    <col min="5633" max="5633" width="5.140625" style="90" customWidth="1"/>
    <col min="5634" max="5634" width="7.42578125" style="90" customWidth="1"/>
    <col min="5635" max="5635" width="57" style="90" customWidth="1"/>
    <col min="5636" max="5636" width="5.140625" style="90" customWidth="1"/>
    <col min="5637" max="5637" width="8.42578125" style="90" customWidth="1"/>
    <col min="5638" max="5638" width="6.7109375" style="90" customWidth="1"/>
    <col min="5639" max="5639" width="7.5703125" style="90" customWidth="1"/>
    <col min="5640" max="5640" width="9.28515625" style="90" customWidth="1"/>
    <col min="5641" max="5641" width="6.140625" style="90" customWidth="1"/>
    <col min="5642" max="5642" width="11" style="90" customWidth="1"/>
    <col min="5643" max="5643" width="12.28515625" style="90" customWidth="1"/>
    <col min="5644" max="5644" width="12.140625" style="90" customWidth="1"/>
    <col min="5645" max="5888" width="9.140625" style="90"/>
    <col min="5889" max="5889" width="5.140625" style="90" customWidth="1"/>
    <col min="5890" max="5890" width="7.42578125" style="90" customWidth="1"/>
    <col min="5891" max="5891" width="57" style="90" customWidth="1"/>
    <col min="5892" max="5892" width="5.140625" style="90" customWidth="1"/>
    <col min="5893" max="5893" width="8.42578125" style="90" customWidth="1"/>
    <col min="5894" max="5894" width="6.7109375" style="90" customWidth="1"/>
    <col min="5895" max="5895" width="7.5703125" style="90" customWidth="1"/>
    <col min="5896" max="5896" width="9.28515625" style="90" customWidth="1"/>
    <col min="5897" max="5897" width="6.140625" style="90" customWidth="1"/>
    <col min="5898" max="5898" width="11" style="90" customWidth="1"/>
    <col min="5899" max="5899" width="12.28515625" style="90" customWidth="1"/>
    <col min="5900" max="5900" width="12.140625" style="90" customWidth="1"/>
    <col min="5901" max="6144" width="9.140625" style="90"/>
    <col min="6145" max="6145" width="5.140625" style="90" customWidth="1"/>
    <col min="6146" max="6146" width="7.42578125" style="90" customWidth="1"/>
    <col min="6147" max="6147" width="57" style="90" customWidth="1"/>
    <col min="6148" max="6148" width="5.140625" style="90" customWidth="1"/>
    <col min="6149" max="6149" width="8.42578125" style="90" customWidth="1"/>
    <col min="6150" max="6150" width="6.7109375" style="90" customWidth="1"/>
    <col min="6151" max="6151" width="7.5703125" style="90" customWidth="1"/>
    <col min="6152" max="6152" width="9.28515625" style="90" customWidth="1"/>
    <col min="6153" max="6153" width="6.140625" style="90" customWidth="1"/>
    <col min="6154" max="6154" width="11" style="90" customWidth="1"/>
    <col min="6155" max="6155" width="12.28515625" style="90" customWidth="1"/>
    <col min="6156" max="6156" width="12.140625" style="90" customWidth="1"/>
    <col min="6157" max="6400" width="9.140625" style="90"/>
    <col min="6401" max="6401" width="5.140625" style="90" customWidth="1"/>
    <col min="6402" max="6402" width="7.42578125" style="90" customWidth="1"/>
    <col min="6403" max="6403" width="57" style="90" customWidth="1"/>
    <col min="6404" max="6404" width="5.140625" style="90" customWidth="1"/>
    <col min="6405" max="6405" width="8.42578125" style="90" customWidth="1"/>
    <col min="6406" max="6406" width="6.7109375" style="90" customWidth="1"/>
    <col min="6407" max="6407" width="7.5703125" style="90" customWidth="1"/>
    <col min="6408" max="6408" width="9.28515625" style="90" customWidth="1"/>
    <col min="6409" max="6409" width="6.140625" style="90" customWidth="1"/>
    <col min="6410" max="6410" width="11" style="90" customWidth="1"/>
    <col min="6411" max="6411" width="12.28515625" style="90" customWidth="1"/>
    <col min="6412" max="6412" width="12.140625" style="90" customWidth="1"/>
    <col min="6413" max="6656" width="9.140625" style="90"/>
    <col min="6657" max="6657" width="5.140625" style="90" customWidth="1"/>
    <col min="6658" max="6658" width="7.42578125" style="90" customWidth="1"/>
    <col min="6659" max="6659" width="57" style="90" customWidth="1"/>
    <col min="6660" max="6660" width="5.140625" style="90" customWidth="1"/>
    <col min="6661" max="6661" width="8.42578125" style="90" customWidth="1"/>
    <col min="6662" max="6662" width="6.7109375" style="90" customWidth="1"/>
    <col min="6663" max="6663" width="7.5703125" style="90" customWidth="1"/>
    <col min="6664" max="6664" width="9.28515625" style="90" customWidth="1"/>
    <col min="6665" max="6665" width="6.140625" style="90" customWidth="1"/>
    <col min="6666" max="6666" width="11" style="90" customWidth="1"/>
    <col min="6667" max="6667" width="12.28515625" style="90" customWidth="1"/>
    <col min="6668" max="6668" width="12.140625" style="90" customWidth="1"/>
    <col min="6669" max="6912" width="9.140625" style="90"/>
    <col min="6913" max="6913" width="5.140625" style="90" customWidth="1"/>
    <col min="6914" max="6914" width="7.42578125" style="90" customWidth="1"/>
    <col min="6915" max="6915" width="57" style="90" customWidth="1"/>
    <col min="6916" max="6916" width="5.140625" style="90" customWidth="1"/>
    <col min="6917" max="6917" width="8.42578125" style="90" customWidth="1"/>
    <col min="6918" max="6918" width="6.7109375" style="90" customWidth="1"/>
    <col min="6919" max="6919" width="7.5703125" style="90" customWidth="1"/>
    <col min="6920" max="6920" width="9.28515625" style="90" customWidth="1"/>
    <col min="6921" max="6921" width="6.140625" style="90" customWidth="1"/>
    <col min="6922" max="6922" width="11" style="90" customWidth="1"/>
    <col min="6923" max="6923" width="12.28515625" style="90" customWidth="1"/>
    <col min="6924" max="6924" width="12.140625" style="90" customWidth="1"/>
    <col min="6925" max="7168" width="9.140625" style="90"/>
    <col min="7169" max="7169" width="5.140625" style="90" customWidth="1"/>
    <col min="7170" max="7170" width="7.42578125" style="90" customWidth="1"/>
    <col min="7171" max="7171" width="57" style="90" customWidth="1"/>
    <col min="7172" max="7172" width="5.140625" style="90" customWidth="1"/>
    <col min="7173" max="7173" width="8.42578125" style="90" customWidth="1"/>
    <col min="7174" max="7174" width="6.7109375" style="90" customWidth="1"/>
    <col min="7175" max="7175" width="7.5703125" style="90" customWidth="1"/>
    <col min="7176" max="7176" width="9.28515625" style="90" customWidth="1"/>
    <col min="7177" max="7177" width="6.140625" style="90" customWidth="1"/>
    <col min="7178" max="7178" width="11" style="90" customWidth="1"/>
    <col min="7179" max="7179" width="12.28515625" style="90" customWidth="1"/>
    <col min="7180" max="7180" width="12.140625" style="90" customWidth="1"/>
    <col min="7181" max="7424" width="9.140625" style="90"/>
    <col min="7425" max="7425" width="5.140625" style="90" customWidth="1"/>
    <col min="7426" max="7426" width="7.42578125" style="90" customWidth="1"/>
    <col min="7427" max="7427" width="57" style="90" customWidth="1"/>
    <col min="7428" max="7428" width="5.140625" style="90" customWidth="1"/>
    <col min="7429" max="7429" width="8.42578125" style="90" customWidth="1"/>
    <col min="7430" max="7430" width="6.7109375" style="90" customWidth="1"/>
    <col min="7431" max="7431" width="7.5703125" style="90" customWidth="1"/>
    <col min="7432" max="7432" width="9.28515625" style="90" customWidth="1"/>
    <col min="7433" max="7433" width="6.140625" style="90" customWidth="1"/>
    <col min="7434" max="7434" width="11" style="90" customWidth="1"/>
    <col min="7435" max="7435" width="12.28515625" style="90" customWidth="1"/>
    <col min="7436" max="7436" width="12.140625" style="90" customWidth="1"/>
    <col min="7437" max="7680" width="9.140625" style="90"/>
    <col min="7681" max="7681" width="5.140625" style="90" customWidth="1"/>
    <col min="7682" max="7682" width="7.42578125" style="90" customWidth="1"/>
    <col min="7683" max="7683" width="57" style="90" customWidth="1"/>
    <col min="7684" max="7684" width="5.140625" style="90" customWidth="1"/>
    <col min="7685" max="7685" width="8.42578125" style="90" customWidth="1"/>
    <col min="7686" max="7686" width="6.7109375" style="90" customWidth="1"/>
    <col min="7687" max="7687" width="7.5703125" style="90" customWidth="1"/>
    <col min="7688" max="7688" width="9.28515625" style="90" customWidth="1"/>
    <col min="7689" max="7689" width="6.140625" style="90" customWidth="1"/>
    <col min="7690" max="7690" width="11" style="90" customWidth="1"/>
    <col min="7691" max="7691" width="12.28515625" style="90" customWidth="1"/>
    <col min="7692" max="7692" width="12.140625" style="90" customWidth="1"/>
    <col min="7693" max="7936" width="9.140625" style="90"/>
    <col min="7937" max="7937" width="5.140625" style="90" customWidth="1"/>
    <col min="7938" max="7938" width="7.42578125" style="90" customWidth="1"/>
    <col min="7939" max="7939" width="57" style="90" customWidth="1"/>
    <col min="7940" max="7940" width="5.140625" style="90" customWidth="1"/>
    <col min="7941" max="7941" width="8.42578125" style="90" customWidth="1"/>
    <col min="7942" max="7942" width="6.7109375" style="90" customWidth="1"/>
    <col min="7943" max="7943" width="7.5703125" style="90" customWidth="1"/>
    <col min="7944" max="7944" width="9.28515625" style="90" customWidth="1"/>
    <col min="7945" max="7945" width="6.140625" style="90" customWidth="1"/>
    <col min="7946" max="7946" width="11" style="90" customWidth="1"/>
    <col min="7947" max="7947" width="12.28515625" style="90" customWidth="1"/>
    <col min="7948" max="7948" width="12.140625" style="90" customWidth="1"/>
    <col min="7949" max="8192" width="9.140625" style="90"/>
    <col min="8193" max="8193" width="5.140625" style="90" customWidth="1"/>
    <col min="8194" max="8194" width="7.42578125" style="90" customWidth="1"/>
    <col min="8195" max="8195" width="57" style="90" customWidth="1"/>
    <col min="8196" max="8196" width="5.140625" style="90" customWidth="1"/>
    <col min="8197" max="8197" width="8.42578125" style="90" customWidth="1"/>
    <col min="8198" max="8198" width="6.7109375" style="90" customWidth="1"/>
    <col min="8199" max="8199" width="7.5703125" style="90" customWidth="1"/>
    <col min="8200" max="8200" width="9.28515625" style="90" customWidth="1"/>
    <col min="8201" max="8201" width="6.140625" style="90" customWidth="1"/>
    <col min="8202" max="8202" width="11" style="90" customWidth="1"/>
    <col min="8203" max="8203" width="12.28515625" style="90" customWidth="1"/>
    <col min="8204" max="8204" width="12.140625" style="90" customWidth="1"/>
    <col min="8205" max="8448" width="9.140625" style="90"/>
    <col min="8449" max="8449" width="5.140625" style="90" customWidth="1"/>
    <col min="8450" max="8450" width="7.42578125" style="90" customWidth="1"/>
    <col min="8451" max="8451" width="57" style="90" customWidth="1"/>
    <col min="8452" max="8452" width="5.140625" style="90" customWidth="1"/>
    <col min="8453" max="8453" width="8.42578125" style="90" customWidth="1"/>
    <col min="8454" max="8454" width="6.7109375" style="90" customWidth="1"/>
    <col min="8455" max="8455" width="7.5703125" style="90" customWidth="1"/>
    <col min="8456" max="8456" width="9.28515625" style="90" customWidth="1"/>
    <col min="8457" max="8457" width="6.140625" style="90" customWidth="1"/>
    <col min="8458" max="8458" width="11" style="90" customWidth="1"/>
    <col min="8459" max="8459" width="12.28515625" style="90" customWidth="1"/>
    <col min="8460" max="8460" width="12.140625" style="90" customWidth="1"/>
    <col min="8461" max="8704" width="9.140625" style="90"/>
    <col min="8705" max="8705" width="5.140625" style="90" customWidth="1"/>
    <col min="8706" max="8706" width="7.42578125" style="90" customWidth="1"/>
    <col min="8707" max="8707" width="57" style="90" customWidth="1"/>
    <col min="8708" max="8708" width="5.140625" style="90" customWidth="1"/>
    <col min="8709" max="8709" width="8.42578125" style="90" customWidth="1"/>
    <col min="8710" max="8710" width="6.7109375" style="90" customWidth="1"/>
    <col min="8711" max="8711" width="7.5703125" style="90" customWidth="1"/>
    <col min="8712" max="8712" width="9.28515625" style="90" customWidth="1"/>
    <col min="8713" max="8713" width="6.140625" style="90" customWidth="1"/>
    <col min="8714" max="8714" width="11" style="90" customWidth="1"/>
    <col min="8715" max="8715" width="12.28515625" style="90" customWidth="1"/>
    <col min="8716" max="8716" width="12.140625" style="90" customWidth="1"/>
    <col min="8717" max="8960" width="9.140625" style="90"/>
    <col min="8961" max="8961" width="5.140625" style="90" customWidth="1"/>
    <col min="8962" max="8962" width="7.42578125" style="90" customWidth="1"/>
    <col min="8963" max="8963" width="57" style="90" customWidth="1"/>
    <col min="8964" max="8964" width="5.140625" style="90" customWidth="1"/>
    <col min="8965" max="8965" width="8.42578125" style="90" customWidth="1"/>
    <col min="8966" max="8966" width="6.7109375" style="90" customWidth="1"/>
    <col min="8967" max="8967" width="7.5703125" style="90" customWidth="1"/>
    <col min="8968" max="8968" width="9.28515625" style="90" customWidth="1"/>
    <col min="8969" max="8969" width="6.140625" style="90" customWidth="1"/>
    <col min="8970" max="8970" width="11" style="90" customWidth="1"/>
    <col min="8971" max="8971" width="12.28515625" style="90" customWidth="1"/>
    <col min="8972" max="8972" width="12.140625" style="90" customWidth="1"/>
    <col min="8973" max="9216" width="9.140625" style="90"/>
    <col min="9217" max="9217" width="5.140625" style="90" customWidth="1"/>
    <col min="9218" max="9218" width="7.42578125" style="90" customWidth="1"/>
    <col min="9219" max="9219" width="57" style="90" customWidth="1"/>
    <col min="9220" max="9220" width="5.140625" style="90" customWidth="1"/>
    <col min="9221" max="9221" width="8.42578125" style="90" customWidth="1"/>
    <col min="9222" max="9222" width="6.7109375" style="90" customWidth="1"/>
    <col min="9223" max="9223" width="7.5703125" style="90" customWidth="1"/>
    <col min="9224" max="9224" width="9.28515625" style="90" customWidth="1"/>
    <col min="9225" max="9225" width="6.140625" style="90" customWidth="1"/>
    <col min="9226" max="9226" width="11" style="90" customWidth="1"/>
    <col min="9227" max="9227" width="12.28515625" style="90" customWidth="1"/>
    <col min="9228" max="9228" width="12.140625" style="90" customWidth="1"/>
    <col min="9229" max="9472" width="9.140625" style="90"/>
    <col min="9473" max="9473" width="5.140625" style="90" customWidth="1"/>
    <col min="9474" max="9474" width="7.42578125" style="90" customWidth="1"/>
    <col min="9475" max="9475" width="57" style="90" customWidth="1"/>
    <col min="9476" max="9476" width="5.140625" style="90" customWidth="1"/>
    <col min="9477" max="9477" width="8.42578125" style="90" customWidth="1"/>
    <col min="9478" max="9478" width="6.7109375" style="90" customWidth="1"/>
    <col min="9479" max="9479" width="7.5703125" style="90" customWidth="1"/>
    <col min="9480" max="9480" width="9.28515625" style="90" customWidth="1"/>
    <col min="9481" max="9481" width="6.140625" style="90" customWidth="1"/>
    <col min="9482" max="9482" width="11" style="90" customWidth="1"/>
    <col min="9483" max="9483" width="12.28515625" style="90" customWidth="1"/>
    <col min="9484" max="9484" width="12.140625" style="90" customWidth="1"/>
    <col min="9485" max="9728" width="9.140625" style="90"/>
    <col min="9729" max="9729" width="5.140625" style="90" customWidth="1"/>
    <col min="9730" max="9730" width="7.42578125" style="90" customWidth="1"/>
    <col min="9731" max="9731" width="57" style="90" customWidth="1"/>
    <col min="9732" max="9732" width="5.140625" style="90" customWidth="1"/>
    <col min="9733" max="9733" width="8.42578125" style="90" customWidth="1"/>
    <col min="9734" max="9734" width="6.7109375" style="90" customWidth="1"/>
    <col min="9735" max="9735" width="7.5703125" style="90" customWidth="1"/>
    <col min="9736" max="9736" width="9.28515625" style="90" customWidth="1"/>
    <col min="9737" max="9737" width="6.140625" style="90" customWidth="1"/>
    <col min="9738" max="9738" width="11" style="90" customWidth="1"/>
    <col min="9739" max="9739" width="12.28515625" style="90" customWidth="1"/>
    <col min="9740" max="9740" width="12.140625" style="90" customWidth="1"/>
    <col min="9741" max="9984" width="9.140625" style="90"/>
    <col min="9985" max="9985" width="5.140625" style="90" customWidth="1"/>
    <col min="9986" max="9986" width="7.42578125" style="90" customWidth="1"/>
    <col min="9987" max="9987" width="57" style="90" customWidth="1"/>
    <col min="9988" max="9988" width="5.140625" style="90" customWidth="1"/>
    <col min="9989" max="9989" width="8.42578125" style="90" customWidth="1"/>
    <col min="9990" max="9990" width="6.7109375" style="90" customWidth="1"/>
    <col min="9991" max="9991" width="7.5703125" style="90" customWidth="1"/>
    <col min="9992" max="9992" width="9.28515625" style="90" customWidth="1"/>
    <col min="9993" max="9993" width="6.140625" style="90" customWidth="1"/>
    <col min="9994" max="9994" width="11" style="90" customWidth="1"/>
    <col min="9995" max="9995" width="12.28515625" style="90" customWidth="1"/>
    <col min="9996" max="9996" width="12.140625" style="90" customWidth="1"/>
    <col min="9997" max="10240" width="9.140625" style="90"/>
    <col min="10241" max="10241" width="5.140625" style="90" customWidth="1"/>
    <col min="10242" max="10242" width="7.42578125" style="90" customWidth="1"/>
    <col min="10243" max="10243" width="57" style="90" customWidth="1"/>
    <col min="10244" max="10244" width="5.140625" style="90" customWidth="1"/>
    <col min="10245" max="10245" width="8.42578125" style="90" customWidth="1"/>
    <col min="10246" max="10246" width="6.7109375" style="90" customWidth="1"/>
    <col min="10247" max="10247" width="7.5703125" style="90" customWidth="1"/>
    <col min="10248" max="10248" width="9.28515625" style="90" customWidth="1"/>
    <col min="10249" max="10249" width="6.140625" style="90" customWidth="1"/>
    <col min="10250" max="10250" width="11" style="90" customWidth="1"/>
    <col min="10251" max="10251" width="12.28515625" style="90" customWidth="1"/>
    <col min="10252" max="10252" width="12.140625" style="90" customWidth="1"/>
    <col min="10253" max="10496" width="9.140625" style="90"/>
    <col min="10497" max="10497" width="5.140625" style="90" customWidth="1"/>
    <col min="10498" max="10498" width="7.42578125" style="90" customWidth="1"/>
    <col min="10499" max="10499" width="57" style="90" customWidth="1"/>
    <col min="10500" max="10500" width="5.140625" style="90" customWidth="1"/>
    <col min="10501" max="10501" width="8.42578125" style="90" customWidth="1"/>
    <col min="10502" max="10502" width="6.7109375" style="90" customWidth="1"/>
    <col min="10503" max="10503" width="7.5703125" style="90" customWidth="1"/>
    <col min="10504" max="10504" width="9.28515625" style="90" customWidth="1"/>
    <col min="10505" max="10505" width="6.140625" style="90" customWidth="1"/>
    <col min="10506" max="10506" width="11" style="90" customWidth="1"/>
    <col min="10507" max="10507" width="12.28515625" style="90" customWidth="1"/>
    <col min="10508" max="10508" width="12.140625" style="90" customWidth="1"/>
    <col min="10509" max="10752" width="9.140625" style="90"/>
    <col min="10753" max="10753" width="5.140625" style="90" customWidth="1"/>
    <col min="10754" max="10754" width="7.42578125" style="90" customWidth="1"/>
    <col min="10755" max="10755" width="57" style="90" customWidth="1"/>
    <col min="10756" max="10756" width="5.140625" style="90" customWidth="1"/>
    <col min="10757" max="10757" width="8.42578125" style="90" customWidth="1"/>
    <col min="10758" max="10758" width="6.7109375" style="90" customWidth="1"/>
    <col min="10759" max="10759" width="7.5703125" style="90" customWidth="1"/>
    <col min="10760" max="10760" width="9.28515625" style="90" customWidth="1"/>
    <col min="10761" max="10761" width="6.140625" style="90" customWidth="1"/>
    <col min="10762" max="10762" width="11" style="90" customWidth="1"/>
    <col min="10763" max="10763" width="12.28515625" style="90" customWidth="1"/>
    <col min="10764" max="10764" width="12.140625" style="90" customWidth="1"/>
    <col min="10765" max="11008" width="9.140625" style="90"/>
    <col min="11009" max="11009" width="5.140625" style="90" customWidth="1"/>
    <col min="11010" max="11010" width="7.42578125" style="90" customWidth="1"/>
    <col min="11011" max="11011" width="57" style="90" customWidth="1"/>
    <col min="11012" max="11012" width="5.140625" style="90" customWidth="1"/>
    <col min="11013" max="11013" width="8.42578125" style="90" customWidth="1"/>
    <col min="11014" max="11014" width="6.7109375" style="90" customWidth="1"/>
    <col min="11015" max="11015" width="7.5703125" style="90" customWidth="1"/>
    <col min="11016" max="11016" width="9.28515625" style="90" customWidth="1"/>
    <col min="11017" max="11017" width="6.140625" style="90" customWidth="1"/>
    <col min="11018" max="11018" width="11" style="90" customWidth="1"/>
    <col min="11019" max="11019" width="12.28515625" style="90" customWidth="1"/>
    <col min="11020" max="11020" width="12.140625" style="90" customWidth="1"/>
    <col min="11021" max="11264" width="9.140625" style="90"/>
    <col min="11265" max="11265" width="5.140625" style="90" customWidth="1"/>
    <col min="11266" max="11266" width="7.42578125" style="90" customWidth="1"/>
    <col min="11267" max="11267" width="57" style="90" customWidth="1"/>
    <col min="11268" max="11268" width="5.140625" style="90" customWidth="1"/>
    <col min="11269" max="11269" width="8.42578125" style="90" customWidth="1"/>
    <col min="11270" max="11270" width="6.7109375" style="90" customWidth="1"/>
    <col min="11271" max="11271" width="7.5703125" style="90" customWidth="1"/>
    <col min="11272" max="11272" width="9.28515625" style="90" customWidth="1"/>
    <col min="11273" max="11273" width="6.140625" style="90" customWidth="1"/>
    <col min="11274" max="11274" width="11" style="90" customWidth="1"/>
    <col min="11275" max="11275" width="12.28515625" style="90" customWidth="1"/>
    <col min="11276" max="11276" width="12.140625" style="90" customWidth="1"/>
    <col min="11277" max="11520" width="9.140625" style="90"/>
    <col min="11521" max="11521" width="5.140625" style="90" customWidth="1"/>
    <col min="11522" max="11522" width="7.42578125" style="90" customWidth="1"/>
    <col min="11523" max="11523" width="57" style="90" customWidth="1"/>
    <col min="11524" max="11524" width="5.140625" style="90" customWidth="1"/>
    <col min="11525" max="11525" width="8.42578125" style="90" customWidth="1"/>
    <col min="11526" max="11526" width="6.7109375" style="90" customWidth="1"/>
    <col min="11527" max="11527" width="7.5703125" style="90" customWidth="1"/>
    <col min="11528" max="11528" width="9.28515625" style="90" customWidth="1"/>
    <col min="11529" max="11529" width="6.140625" style="90" customWidth="1"/>
    <col min="11530" max="11530" width="11" style="90" customWidth="1"/>
    <col min="11531" max="11531" width="12.28515625" style="90" customWidth="1"/>
    <col min="11532" max="11532" width="12.140625" style="90" customWidth="1"/>
    <col min="11533" max="11776" width="9.140625" style="90"/>
    <col min="11777" max="11777" width="5.140625" style="90" customWidth="1"/>
    <col min="11778" max="11778" width="7.42578125" style="90" customWidth="1"/>
    <col min="11779" max="11779" width="57" style="90" customWidth="1"/>
    <col min="11780" max="11780" width="5.140625" style="90" customWidth="1"/>
    <col min="11781" max="11781" width="8.42578125" style="90" customWidth="1"/>
    <col min="11782" max="11782" width="6.7109375" style="90" customWidth="1"/>
    <col min="11783" max="11783" width="7.5703125" style="90" customWidth="1"/>
    <col min="11784" max="11784" width="9.28515625" style="90" customWidth="1"/>
    <col min="11785" max="11785" width="6.140625" style="90" customWidth="1"/>
    <col min="11786" max="11786" width="11" style="90" customWidth="1"/>
    <col min="11787" max="11787" width="12.28515625" style="90" customWidth="1"/>
    <col min="11788" max="11788" width="12.140625" style="90" customWidth="1"/>
    <col min="11789" max="12032" width="9.140625" style="90"/>
    <col min="12033" max="12033" width="5.140625" style="90" customWidth="1"/>
    <col min="12034" max="12034" width="7.42578125" style="90" customWidth="1"/>
    <col min="12035" max="12035" width="57" style="90" customWidth="1"/>
    <col min="12036" max="12036" width="5.140625" style="90" customWidth="1"/>
    <col min="12037" max="12037" width="8.42578125" style="90" customWidth="1"/>
    <col min="12038" max="12038" width="6.7109375" style="90" customWidth="1"/>
    <col min="12039" max="12039" width="7.5703125" style="90" customWidth="1"/>
    <col min="12040" max="12040" width="9.28515625" style="90" customWidth="1"/>
    <col min="12041" max="12041" width="6.140625" style="90" customWidth="1"/>
    <col min="12042" max="12042" width="11" style="90" customWidth="1"/>
    <col min="12043" max="12043" width="12.28515625" style="90" customWidth="1"/>
    <col min="12044" max="12044" width="12.140625" style="90" customWidth="1"/>
    <col min="12045" max="12288" width="9.140625" style="90"/>
    <col min="12289" max="12289" width="5.140625" style="90" customWidth="1"/>
    <col min="12290" max="12290" width="7.42578125" style="90" customWidth="1"/>
    <col min="12291" max="12291" width="57" style="90" customWidth="1"/>
    <col min="12292" max="12292" width="5.140625" style="90" customWidth="1"/>
    <col min="12293" max="12293" width="8.42578125" style="90" customWidth="1"/>
    <col min="12294" max="12294" width="6.7109375" style="90" customWidth="1"/>
    <col min="12295" max="12295" width="7.5703125" style="90" customWidth="1"/>
    <col min="12296" max="12296" width="9.28515625" style="90" customWidth="1"/>
    <col min="12297" max="12297" width="6.140625" style="90" customWidth="1"/>
    <col min="12298" max="12298" width="11" style="90" customWidth="1"/>
    <col min="12299" max="12299" width="12.28515625" style="90" customWidth="1"/>
    <col min="12300" max="12300" width="12.140625" style="90" customWidth="1"/>
    <col min="12301" max="12544" width="9.140625" style="90"/>
    <col min="12545" max="12545" width="5.140625" style="90" customWidth="1"/>
    <col min="12546" max="12546" width="7.42578125" style="90" customWidth="1"/>
    <col min="12547" max="12547" width="57" style="90" customWidth="1"/>
    <col min="12548" max="12548" width="5.140625" style="90" customWidth="1"/>
    <col min="12549" max="12549" width="8.42578125" style="90" customWidth="1"/>
    <col min="12550" max="12550" width="6.7109375" style="90" customWidth="1"/>
    <col min="12551" max="12551" width="7.5703125" style="90" customWidth="1"/>
    <col min="12552" max="12552" width="9.28515625" style="90" customWidth="1"/>
    <col min="12553" max="12553" width="6.140625" style="90" customWidth="1"/>
    <col min="12554" max="12554" width="11" style="90" customWidth="1"/>
    <col min="12555" max="12555" width="12.28515625" style="90" customWidth="1"/>
    <col min="12556" max="12556" width="12.140625" style="90" customWidth="1"/>
    <col min="12557" max="12800" width="9.140625" style="90"/>
    <col min="12801" max="12801" width="5.140625" style="90" customWidth="1"/>
    <col min="12802" max="12802" width="7.42578125" style="90" customWidth="1"/>
    <col min="12803" max="12803" width="57" style="90" customWidth="1"/>
    <col min="12804" max="12804" width="5.140625" style="90" customWidth="1"/>
    <col min="12805" max="12805" width="8.42578125" style="90" customWidth="1"/>
    <col min="12806" max="12806" width="6.7109375" style="90" customWidth="1"/>
    <col min="12807" max="12807" width="7.5703125" style="90" customWidth="1"/>
    <col min="12808" max="12808" width="9.28515625" style="90" customWidth="1"/>
    <col min="12809" max="12809" width="6.140625" style="90" customWidth="1"/>
    <col min="12810" max="12810" width="11" style="90" customWidth="1"/>
    <col min="12811" max="12811" width="12.28515625" style="90" customWidth="1"/>
    <col min="12812" max="12812" width="12.140625" style="90" customWidth="1"/>
    <col min="12813" max="13056" width="9.140625" style="90"/>
    <col min="13057" max="13057" width="5.140625" style="90" customWidth="1"/>
    <col min="13058" max="13058" width="7.42578125" style="90" customWidth="1"/>
    <col min="13059" max="13059" width="57" style="90" customWidth="1"/>
    <col min="13060" max="13060" width="5.140625" style="90" customWidth="1"/>
    <col min="13061" max="13061" width="8.42578125" style="90" customWidth="1"/>
    <col min="13062" max="13062" width="6.7109375" style="90" customWidth="1"/>
    <col min="13063" max="13063" width="7.5703125" style="90" customWidth="1"/>
    <col min="13064" max="13064" width="9.28515625" style="90" customWidth="1"/>
    <col min="13065" max="13065" width="6.140625" style="90" customWidth="1"/>
    <col min="13066" max="13066" width="11" style="90" customWidth="1"/>
    <col min="13067" max="13067" width="12.28515625" style="90" customWidth="1"/>
    <col min="13068" max="13068" width="12.140625" style="90" customWidth="1"/>
    <col min="13069" max="13312" width="9.140625" style="90"/>
    <col min="13313" max="13313" width="5.140625" style="90" customWidth="1"/>
    <col min="13314" max="13314" width="7.42578125" style="90" customWidth="1"/>
    <col min="13315" max="13315" width="57" style="90" customWidth="1"/>
    <col min="13316" max="13316" width="5.140625" style="90" customWidth="1"/>
    <col min="13317" max="13317" width="8.42578125" style="90" customWidth="1"/>
    <col min="13318" max="13318" width="6.7109375" style="90" customWidth="1"/>
    <col min="13319" max="13319" width="7.5703125" style="90" customWidth="1"/>
    <col min="13320" max="13320" width="9.28515625" style="90" customWidth="1"/>
    <col min="13321" max="13321" width="6.140625" style="90" customWidth="1"/>
    <col min="13322" max="13322" width="11" style="90" customWidth="1"/>
    <col min="13323" max="13323" width="12.28515625" style="90" customWidth="1"/>
    <col min="13324" max="13324" width="12.140625" style="90" customWidth="1"/>
    <col min="13325" max="13568" width="9.140625" style="90"/>
    <col min="13569" max="13569" width="5.140625" style="90" customWidth="1"/>
    <col min="13570" max="13570" width="7.42578125" style="90" customWidth="1"/>
    <col min="13571" max="13571" width="57" style="90" customWidth="1"/>
    <col min="13572" max="13572" width="5.140625" style="90" customWidth="1"/>
    <col min="13573" max="13573" width="8.42578125" style="90" customWidth="1"/>
    <col min="13574" max="13574" width="6.7109375" style="90" customWidth="1"/>
    <col min="13575" max="13575" width="7.5703125" style="90" customWidth="1"/>
    <col min="13576" max="13576" width="9.28515625" style="90" customWidth="1"/>
    <col min="13577" max="13577" width="6.140625" style="90" customWidth="1"/>
    <col min="13578" max="13578" width="11" style="90" customWidth="1"/>
    <col min="13579" max="13579" width="12.28515625" style="90" customWidth="1"/>
    <col min="13580" max="13580" width="12.140625" style="90" customWidth="1"/>
    <col min="13581" max="13824" width="9.140625" style="90"/>
    <col min="13825" max="13825" width="5.140625" style="90" customWidth="1"/>
    <col min="13826" max="13826" width="7.42578125" style="90" customWidth="1"/>
    <col min="13827" max="13827" width="57" style="90" customWidth="1"/>
    <col min="13828" max="13828" width="5.140625" style="90" customWidth="1"/>
    <col min="13829" max="13829" width="8.42578125" style="90" customWidth="1"/>
    <col min="13830" max="13830" width="6.7109375" style="90" customWidth="1"/>
    <col min="13831" max="13831" width="7.5703125" style="90" customWidth="1"/>
    <col min="13832" max="13832" width="9.28515625" style="90" customWidth="1"/>
    <col min="13833" max="13833" width="6.140625" style="90" customWidth="1"/>
    <col min="13834" max="13834" width="11" style="90" customWidth="1"/>
    <col min="13835" max="13835" width="12.28515625" style="90" customWidth="1"/>
    <col min="13836" max="13836" width="12.140625" style="90" customWidth="1"/>
    <col min="13837" max="14080" width="9.140625" style="90"/>
    <col min="14081" max="14081" width="5.140625" style="90" customWidth="1"/>
    <col min="14082" max="14082" width="7.42578125" style="90" customWidth="1"/>
    <col min="14083" max="14083" width="57" style="90" customWidth="1"/>
    <col min="14084" max="14084" width="5.140625" style="90" customWidth="1"/>
    <col min="14085" max="14085" width="8.42578125" style="90" customWidth="1"/>
    <col min="14086" max="14086" width="6.7109375" style="90" customWidth="1"/>
    <col min="14087" max="14087" width="7.5703125" style="90" customWidth="1"/>
    <col min="14088" max="14088" width="9.28515625" style="90" customWidth="1"/>
    <col min="14089" max="14089" width="6.140625" style="90" customWidth="1"/>
    <col min="14090" max="14090" width="11" style="90" customWidth="1"/>
    <col min="14091" max="14091" width="12.28515625" style="90" customWidth="1"/>
    <col min="14092" max="14092" width="12.140625" style="90" customWidth="1"/>
    <col min="14093" max="14336" width="9.140625" style="90"/>
    <col min="14337" max="14337" width="5.140625" style="90" customWidth="1"/>
    <col min="14338" max="14338" width="7.42578125" style="90" customWidth="1"/>
    <col min="14339" max="14339" width="57" style="90" customWidth="1"/>
    <col min="14340" max="14340" width="5.140625" style="90" customWidth="1"/>
    <col min="14341" max="14341" width="8.42578125" style="90" customWidth="1"/>
    <col min="14342" max="14342" width="6.7109375" style="90" customWidth="1"/>
    <col min="14343" max="14343" width="7.5703125" style="90" customWidth="1"/>
    <col min="14344" max="14344" width="9.28515625" style="90" customWidth="1"/>
    <col min="14345" max="14345" width="6.140625" style="90" customWidth="1"/>
    <col min="14346" max="14346" width="11" style="90" customWidth="1"/>
    <col min="14347" max="14347" width="12.28515625" style="90" customWidth="1"/>
    <col min="14348" max="14348" width="12.140625" style="90" customWidth="1"/>
    <col min="14349" max="14592" width="9.140625" style="90"/>
    <col min="14593" max="14593" width="5.140625" style="90" customWidth="1"/>
    <col min="14594" max="14594" width="7.42578125" style="90" customWidth="1"/>
    <col min="14595" max="14595" width="57" style="90" customWidth="1"/>
    <col min="14596" max="14596" width="5.140625" style="90" customWidth="1"/>
    <col min="14597" max="14597" width="8.42578125" style="90" customWidth="1"/>
    <col min="14598" max="14598" width="6.7109375" style="90" customWidth="1"/>
    <col min="14599" max="14599" width="7.5703125" style="90" customWidth="1"/>
    <col min="14600" max="14600" width="9.28515625" style="90" customWidth="1"/>
    <col min="14601" max="14601" width="6.140625" style="90" customWidth="1"/>
    <col min="14602" max="14602" width="11" style="90" customWidth="1"/>
    <col min="14603" max="14603" width="12.28515625" style="90" customWidth="1"/>
    <col min="14604" max="14604" width="12.140625" style="90" customWidth="1"/>
    <col min="14605" max="14848" width="9.140625" style="90"/>
    <col min="14849" max="14849" width="5.140625" style="90" customWidth="1"/>
    <col min="14850" max="14850" width="7.42578125" style="90" customWidth="1"/>
    <col min="14851" max="14851" width="57" style="90" customWidth="1"/>
    <col min="14852" max="14852" width="5.140625" style="90" customWidth="1"/>
    <col min="14853" max="14853" width="8.42578125" style="90" customWidth="1"/>
    <col min="14854" max="14854" width="6.7109375" style="90" customWidth="1"/>
    <col min="14855" max="14855" width="7.5703125" style="90" customWidth="1"/>
    <col min="14856" max="14856" width="9.28515625" style="90" customWidth="1"/>
    <col min="14857" max="14857" width="6.140625" style="90" customWidth="1"/>
    <col min="14858" max="14858" width="11" style="90" customWidth="1"/>
    <col min="14859" max="14859" width="12.28515625" style="90" customWidth="1"/>
    <col min="14860" max="14860" width="12.140625" style="90" customWidth="1"/>
    <col min="14861" max="15104" width="9.140625" style="90"/>
    <col min="15105" max="15105" width="5.140625" style="90" customWidth="1"/>
    <col min="15106" max="15106" width="7.42578125" style="90" customWidth="1"/>
    <col min="15107" max="15107" width="57" style="90" customWidth="1"/>
    <col min="15108" max="15108" width="5.140625" style="90" customWidth="1"/>
    <col min="15109" max="15109" width="8.42578125" style="90" customWidth="1"/>
    <col min="15110" max="15110" width="6.7109375" style="90" customWidth="1"/>
    <col min="15111" max="15111" width="7.5703125" style="90" customWidth="1"/>
    <col min="15112" max="15112" width="9.28515625" style="90" customWidth="1"/>
    <col min="15113" max="15113" width="6.140625" style="90" customWidth="1"/>
    <col min="15114" max="15114" width="11" style="90" customWidth="1"/>
    <col min="15115" max="15115" width="12.28515625" style="90" customWidth="1"/>
    <col min="15116" max="15116" width="12.140625" style="90" customWidth="1"/>
    <col min="15117" max="15360" width="9.140625" style="90"/>
    <col min="15361" max="15361" width="5.140625" style="90" customWidth="1"/>
    <col min="15362" max="15362" width="7.42578125" style="90" customWidth="1"/>
    <col min="15363" max="15363" width="57" style="90" customWidth="1"/>
    <col min="15364" max="15364" width="5.140625" style="90" customWidth="1"/>
    <col min="15365" max="15365" width="8.42578125" style="90" customWidth="1"/>
    <col min="15366" max="15366" width="6.7109375" style="90" customWidth="1"/>
    <col min="15367" max="15367" width="7.5703125" style="90" customWidth="1"/>
    <col min="15368" max="15368" width="9.28515625" style="90" customWidth="1"/>
    <col min="15369" max="15369" width="6.140625" style="90" customWidth="1"/>
    <col min="15370" max="15370" width="11" style="90" customWidth="1"/>
    <col min="15371" max="15371" width="12.28515625" style="90" customWidth="1"/>
    <col min="15372" max="15372" width="12.140625" style="90" customWidth="1"/>
    <col min="15373" max="15616" width="9.140625" style="90"/>
    <col min="15617" max="15617" width="5.140625" style="90" customWidth="1"/>
    <col min="15618" max="15618" width="7.42578125" style="90" customWidth="1"/>
    <col min="15619" max="15619" width="57" style="90" customWidth="1"/>
    <col min="15620" max="15620" width="5.140625" style="90" customWidth="1"/>
    <col min="15621" max="15621" width="8.42578125" style="90" customWidth="1"/>
    <col min="15622" max="15622" width="6.7109375" style="90" customWidth="1"/>
    <col min="15623" max="15623" width="7.5703125" style="90" customWidth="1"/>
    <col min="15624" max="15624" width="9.28515625" style="90" customWidth="1"/>
    <col min="15625" max="15625" width="6.140625" style="90" customWidth="1"/>
    <col min="15626" max="15626" width="11" style="90" customWidth="1"/>
    <col min="15627" max="15627" width="12.28515625" style="90" customWidth="1"/>
    <col min="15628" max="15628" width="12.140625" style="90" customWidth="1"/>
    <col min="15629" max="15872" width="9.140625" style="90"/>
    <col min="15873" max="15873" width="5.140625" style="90" customWidth="1"/>
    <col min="15874" max="15874" width="7.42578125" style="90" customWidth="1"/>
    <col min="15875" max="15875" width="57" style="90" customWidth="1"/>
    <col min="15876" max="15876" width="5.140625" style="90" customWidth="1"/>
    <col min="15877" max="15877" width="8.42578125" style="90" customWidth="1"/>
    <col min="15878" max="15878" width="6.7109375" style="90" customWidth="1"/>
    <col min="15879" max="15879" width="7.5703125" style="90" customWidth="1"/>
    <col min="15880" max="15880" width="9.28515625" style="90" customWidth="1"/>
    <col min="15881" max="15881" width="6.140625" style="90" customWidth="1"/>
    <col min="15882" max="15882" width="11" style="90" customWidth="1"/>
    <col min="15883" max="15883" width="12.28515625" style="90" customWidth="1"/>
    <col min="15884" max="15884" width="12.140625" style="90" customWidth="1"/>
    <col min="15885" max="16128" width="9.140625" style="90"/>
    <col min="16129" max="16129" width="5.140625" style="90" customWidth="1"/>
    <col min="16130" max="16130" width="7.42578125" style="90" customWidth="1"/>
    <col min="16131" max="16131" width="57" style="90" customWidth="1"/>
    <col min="16132" max="16132" width="5.140625" style="90" customWidth="1"/>
    <col min="16133" max="16133" width="8.42578125" style="90" customWidth="1"/>
    <col min="16134" max="16134" width="6.7109375" style="90" customWidth="1"/>
    <col min="16135" max="16135" width="7.5703125" style="90" customWidth="1"/>
    <col min="16136" max="16136" width="9.28515625" style="90" customWidth="1"/>
    <col min="16137" max="16137" width="6.140625" style="90" customWidth="1"/>
    <col min="16138" max="16138" width="11" style="90" customWidth="1"/>
    <col min="16139" max="16139" width="12.28515625" style="90" customWidth="1"/>
    <col min="16140" max="16140" width="12.140625" style="90" customWidth="1"/>
    <col min="16141" max="16384" width="9.140625" style="90"/>
  </cols>
  <sheetData>
    <row r="2" spans="1:12" ht="15" x14ac:dyDescent="0.2">
      <c r="C2" s="106" t="s">
        <v>592</v>
      </c>
    </row>
    <row r="3" spans="1:12" ht="15.75" x14ac:dyDescent="0.2">
      <c r="A3" s="949" t="s">
        <v>659</v>
      </c>
      <c r="B3" s="949"/>
      <c r="C3" s="949"/>
      <c r="D3" s="949"/>
      <c r="E3" s="949"/>
      <c r="F3" s="949"/>
      <c r="G3" s="949"/>
      <c r="H3" s="949"/>
      <c r="I3" s="949"/>
    </row>
    <row r="4" spans="1:12" ht="15.75" x14ac:dyDescent="0.2">
      <c r="A4" s="112"/>
      <c r="B4" s="112"/>
      <c r="C4" s="112"/>
      <c r="D4" s="112"/>
      <c r="E4" s="112"/>
      <c r="F4" s="112"/>
      <c r="G4" s="112"/>
      <c r="H4" s="112"/>
      <c r="I4" s="112"/>
    </row>
    <row r="5" spans="1:12" ht="25.5" x14ac:dyDescent="0.2">
      <c r="A5" s="372" t="s">
        <v>99</v>
      </c>
      <c r="B5" s="373" t="s">
        <v>216</v>
      </c>
      <c r="C5" s="374" t="s">
        <v>101</v>
      </c>
      <c r="D5" s="375" t="s">
        <v>102</v>
      </c>
      <c r="E5" s="376" t="s">
        <v>103</v>
      </c>
      <c r="F5" s="376" t="s">
        <v>104</v>
      </c>
      <c r="G5" s="376" t="s">
        <v>105</v>
      </c>
      <c r="H5" s="399" t="s">
        <v>106</v>
      </c>
      <c r="I5" s="377" t="s">
        <v>107</v>
      </c>
      <c r="J5" s="376" t="s">
        <v>108</v>
      </c>
      <c r="K5" s="376" t="s">
        <v>660</v>
      </c>
      <c r="L5" s="203" t="s">
        <v>95</v>
      </c>
    </row>
    <row r="6" spans="1:12" ht="42.75" customHeight="1" x14ac:dyDescent="0.2">
      <c r="A6" s="116">
        <v>1</v>
      </c>
      <c r="B6" s="206" t="s">
        <v>217</v>
      </c>
      <c r="C6" s="207" t="s">
        <v>218</v>
      </c>
      <c r="D6" s="119"/>
      <c r="E6" s="121"/>
      <c r="F6" s="121"/>
      <c r="G6" s="121"/>
      <c r="H6" s="208"/>
      <c r="I6" s="122"/>
      <c r="J6" s="209"/>
      <c r="K6" s="209"/>
      <c r="L6" s="210"/>
    </row>
    <row r="7" spans="1:12" x14ac:dyDescent="0.2">
      <c r="A7" s="124"/>
      <c r="B7" s="211"/>
      <c r="C7" s="132" t="s">
        <v>139</v>
      </c>
      <c r="D7" s="133">
        <v>18</v>
      </c>
      <c r="E7" s="134">
        <v>0.3</v>
      </c>
      <c r="F7" s="134">
        <v>0.6</v>
      </c>
      <c r="G7" s="134">
        <v>2.4</v>
      </c>
      <c r="H7" s="212">
        <f>G7*F7*E7*D7</f>
        <v>7.7759999999999998</v>
      </c>
      <c r="I7" s="136"/>
      <c r="J7" s="213"/>
      <c r="K7" s="213"/>
      <c r="L7" s="214"/>
    </row>
    <row r="8" spans="1:12" x14ac:dyDescent="0.2">
      <c r="A8" s="124"/>
      <c r="B8" s="211"/>
      <c r="C8" s="132" t="s">
        <v>140</v>
      </c>
      <c r="D8" s="133">
        <v>14</v>
      </c>
      <c r="E8" s="134">
        <v>0.3</v>
      </c>
      <c r="F8" s="134">
        <v>0.6</v>
      </c>
      <c r="G8" s="134">
        <v>2.4</v>
      </c>
      <c r="H8" s="212">
        <f>G8*F8*E8*D8</f>
        <v>6.048</v>
      </c>
      <c r="I8" s="136"/>
      <c r="J8" s="213"/>
      <c r="K8" s="213"/>
      <c r="L8" s="214"/>
    </row>
    <row r="9" spans="1:12" x14ac:dyDescent="0.2">
      <c r="A9" s="124"/>
      <c r="B9" s="211"/>
      <c r="C9" s="132" t="s">
        <v>597</v>
      </c>
      <c r="D9" s="133">
        <v>15</v>
      </c>
      <c r="E9" s="134">
        <v>0.3</v>
      </c>
      <c r="F9" s="134">
        <v>0.6</v>
      </c>
      <c r="G9" s="134">
        <v>2.4</v>
      </c>
      <c r="H9" s="212">
        <f>G9*F9*E9*D9</f>
        <v>6.4799999999999995</v>
      </c>
      <c r="I9" s="136"/>
      <c r="J9" s="213"/>
      <c r="K9" s="213"/>
      <c r="L9" s="214"/>
    </row>
    <row r="10" spans="1:12" x14ac:dyDescent="0.2">
      <c r="A10" s="139"/>
      <c r="B10" s="215"/>
      <c r="C10" s="141" t="s">
        <v>117</v>
      </c>
      <c r="D10" s="142">
        <f>SUM(D7:D9)</f>
        <v>47</v>
      </c>
      <c r="E10" s="143"/>
      <c r="F10" s="143"/>
      <c r="G10" s="143"/>
      <c r="H10" s="216">
        <v>18</v>
      </c>
      <c r="I10" s="141" t="s">
        <v>118</v>
      </c>
      <c r="J10" s="217">
        <v>10852.95</v>
      </c>
      <c r="K10" s="217">
        <f>J10*100/118</f>
        <v>9197.4152542372885</v>
      </c>
      <c r="L10" s="218">
        <f>K10*H10</f>
        <v>165553.4745762712</v>
      </c>
    </row>
    <row r="11" spans="1:12" ht="37.5" customHeight="1" x14ac:dyDescent="0.2">
      <c r="A11" s="116" t="s">
        <v>219</v>
      </c>
      <c r="B11" s="206">
        <v>5.3</v>
      </c>
      <c r="C11" s="219" t="s">
        <v>220</v>
      </c>
      <c r="D11" s="119"/>
      <c r="E11" s="121"/>
      <c r="F11" s="121"/>
      <c r="G11" s="121"/>
      <c r="H11" s="208"/>
      <c r="I11" s="122"/>
      <c r="J11" s="209"/>
      <c r="K11" s="217">
        <f t="shared" ref="K11:K74" si="0">J11*100/118</f>
        <v>0</v>
      </c>
      <c r="L11" s="218">
        <f t="shared" ref="L11:L74" si="1">K11*H11</f>
        <v>0</v>
      </c>
    </row>
    <row r="12" spans="1:12" x14ac:dyDescent="0.2">
      <c r="A12" s="124"/>
      <c r="B12" s="211"/>
      <c r="C12" s="187" t="s">
        <v>221</v>
      </c>
      <c r="D12" s="133" t="s">
        <v>91</v>
      </c>
      <c r="E12" s="135" t="s">
        <v>91</v>
      </c>
      <c r="F12" s="135" t="s">
        <v>91</v>
      </c>
      <c r="G12" s="135" t="s">
        <v>91</v>
      </c>
      <c r="H12" s="134" t="s">
        <v>91</v>
      </c>
      <c r="I12" s="136"/>
      <c r="J12" s="213"/>
      <c r="K12" s="217">
        <f t="shared" si="0"/>
        <v>0</v>
      </c>
      <c r="L12" s="218">
        <v>0</v>
      </c>
    </row>
    <row r="13" spans="1:12" x14ac:dyDescent="0.2">
      <c r="A13" s="124"/>
      <c r="B13" s="211"/>
      <c r="C13" s="187" t="s">
        <v>418</v>
      </c>
      <c r="D13" s="133">
        <v>0</v>
      </c>
      <c r="E13" s="135">
        <f>1.05+0.25+0.25</f>
        <v>1.55</v>
      </c>
      <c r="F13" s="135">
        <v>0.125</v>
      </c>
      <c r="G13" s="135">
        <v>0.15</v>
      </c>
      <c r="H13" s="134">
        <f>G13*F13*E13*D13</f>
        <v>0</v>
      </c>
      <c r="I13" s="136"/>
      <c r="J13" s="213"/>
      <c r="K13" s="217">
        <f t="shared" si="0"/>
        <v>0</v>
      </c>
      <c r="L13" s="218">
        <f t="shared" si="1"/>
        <v>0</v>
      </c>
    </row>
    <row r="14" spans="1:12" x14ac:dyDescent="0.2">
      <c r="A14" s="124"/>
      <c r="B14" s="211"/>
      <c r="C14" s="187" t="s">
        <v>293</v>
      </c>
      <c r="D14" s="133">
        <v>7</v>
      </c>
      <c r="E14" s="135">
        <f>1+0.125+0.125</f>
        <v>1.25</v>
      </c>
      <c r="F14" s="135">
        <v>0.25</v>
      </c>
      <c r="G14" s="135">
        <v>0.15</v>
      </c>
      <c r="H14" s="134">
        <f>G14*F14*E14*D14</f>
        <v>0.328125</v>
      </c>
      <c r="I14" s="136"/>
      <c r="J14" s="213"/>
      <c r="K14" s="217">
        <f t="shared" si="0"/>
        <v>0</v>
      </c>
      <c r="L14" s="218">
        <f t="shared" si="1"/>
        <v>0</v>
      </c>
    </row>
    <row r="15" spans="1:12" x14ac:dyDescent="0.2">
      <c r="A15" s="124"/>
      <c r="B15" s="211"/>
      <c r="C15" s="187" t="s">
        <v>222</v>
      </c>
      <c r="D15" s="133">
        <v>2</v>
      </c>
      <c r="E15" s="135">
        <f>0.9+0.125+0.125</f>
        <v>1.1499999999999999</v>
      </c>
      <c r="F15" s="135">
        <v>0.125</v>
      </c>
      <c r="G15" s="135">
        <v>0.15</v>
      </c>
      <c r="H15" s="134">
        <f>G15*F15*E15*D15</f>
        <v>4.3124999999999997E-2</v>
      </c>
      <c r="I15" s="136"/>
      <c r="J15" s="213"/>
      <c r="K15" s="217">
        <f t="shared" si="0"/>
        <v>0</v>
      </c>
      <c r="L15" s="218">
        <f t="shared" si="1"/>
        <v>0</v>
      </c>
    </row>
    <row r="16" spans="1:12" x14ac:dyDescent="0.2">
      <c r="A16" s="124"/>
      <c r="B16" s="211"/>
      <c r="C16" s="220" t="s">
        <v>223</v>
      </c>
      <c r="D16" s="133">
        <v>5</v>
      </c>
      <c r="E16" s="135">
        <f>0.75+0.125+0.125</f>
        <v>1</v>
      </c>
      <c r="F16" s="135">
        <v>0.125</v>
      </c>
      <c r="G16" s="135">
        <v>0.15</v>
      </c>
      <c r="H16" s="134">
        <f>G16*F16*E16*D16</f>
        <v>9.375E-2</v>
      </c>
      <c r="I16" s="136"/>
      <c r="J16" s="213"/>
      <c r="K16" s="217">
        <f t="shared" si="0"/>
        <v>0</v>
      </c>
      <c r="L16" s="218">
        <f t="shared" si="1"/>
        <v>0</v>
      </c>
    </row>
    <row r="17" spans="1:12" x14ac:dyDescent="0.2">
      <c r="A17" s="124"/>
      <c r="B17" s="211"/>
      <c r="C17" s="220" t="s">
        <v>419</v>
      </c>
      <c r="D17" s="133">
        <v>3</v>
      </c>
      <c r="E17" s="135">
        <f>0.9 + 0.25+0.25</f>
        <v>1.4</v>
      </c>
      <c r="F17" s="135">
        <v>0.125</v>
      </c>
      <c r="G17" s="135">
        <v>0.15</v>
      </c>
      <c r="H17" s="134">
        <f>G17*F17*E17*D17</f>
        <v>7.8750000000000001E-2</v>
      </c>
      <c r="I17" s="136"/>
      <c r="J17" s="213"/>
      <c r="K17" s="217">
        <f t="shared" si="0"/>
        <v>0</v>
      </c>
      <c r="L17" s="218">
        <f t="shared" si="1"/>
        <v>0</v>
      </c>
    </row>
    <row r="18" spans="1:12" x14ac:dyDescent="0.2">
      <c r="A18" s="124"/>
      <c r="B18" s="211"/>
      <c r="C18" s="187" t="s">
        <v>224</v>
      </c>
      <c r="D18" s="133"/>
      <c r="E18" s="135"/>
      <c r="F18" s="135"/>
      <c r="G18" s="135"/>
      <c r="H18" s="212"/>
      <c r="I18" s="136"/>
      <c r="J18" s="213"/>
      <c r="K18" s="217">
        <f t="shared" si="0"/>
        <v>0</v>
      </c>
      <c r="L18" s="218">
        <f t="shared" si="1"/>
        <v>0</v>
      </c>
    </row>
    <row r="19" spans="1:12" x14ac:dyDescent="0.2">
      <c r="A19" s="124"/>
      <c r="B19" s="211"/>
      <c r="C19" s="187" t="s">
        <v>225</v>
      </c>
      <c r="D19" s="133"/>
      <c r="E19" s="135"/>
      <c r="F19" s="135"/>
      <c r="G19" s="135"/>
      <c r="H19" s="212"/>
      <c r="I19" s="136"/>
      <c r="J19" s="213"/>
      <c r="K19" s="217">
        <f t="shared" si="0"/>
        <v>0</v>
      </c>
      <c r="L19" s="218">
        <f t="shared" si="1"/>
        <v>0</v>
      </c>
    </row>
    <row r="20" spans="1:12" x14ac:dyDescent="0.2">
      <c r="A20" s="124"/>
      <c r="B20" s="211"/>
      <c r="C20" s="220" t="s">
        <v>661</v>
      </c>
      <c r="D20" s="133">
        <v>2</v>
      </c>
      <c r="E20" s="135">
        <v>9.5</v>
      </c>
      <c r="F20" s="135">
        <v>0.25</v>
      </c>
      <c r="G20" s="135">
        <f t="shared" ref="G20:G44" si="2">0.6-0.13</f>
        <v>0.47</v>
      </c>
      <c r="H20" s="134">
        <f t="shared" ref="H20:H28" si="3">G20*F20*E20*D20</f>
        <v>2.2324999999999999</v>
      </c>
      <c r="I20" s="136"/>
      <c r="J20" s="213"/>
      <c r="K20" s="217">
        <f t="shared" si="0"/>
        <v>0</v>
      </c>
      <c r="L20" s="218">
        <f t="shared" si="1"/>
        <v>0</v>
      </c>
    </row>
    <row r="21" spans="1:12" x14ac:dyDescent="0.2">
      <c r="A21" s="124"/>
      <c r="B21" s="211"/>
      <c r="C21" s="220" t="s">
        <v>662</v>
      </c>
      <c r="D21" s="133">
        <v>1</v>
      </c>
      <c r="E21" s="135">
        <v>21.574999999999999</v>
      </c>
      <c r="F21" s="135">
        <v>0.25</v>
      </c>
      <c r="G21" s="135">
        <f t="shared" si="2"/>
        <v>0.47</v>
      </c>
      <c r="H21" s="134">
        <f t="shared" si="3"/>
        <v>2.5350624999999996</v>
      </c>
      <c r="I21" s="136"/>
      <c r="J21" s="213"/>
      <c r="K21" s="217">
        <f t="shared" si="0"/>
        <v>0</v>
      </c>
      <c r="L21" s="218">
        <f t="shared" si="1"/>
        <v>0</v>
      </c>
    </row>
    <row r="22" spans="1:12" x14ac:dyDescent="0.2">
      <c r="A22" s="124"/>
      <c r="B22" s="211"/>
      <c r="C22" s="220" t="s">
        <v>663</v>
      </c>
      <c r="D22" s="133">
        <v>2</v>
      </c>
      <c r="E22" s="135">
        <v>8.5</v>
      </c>
      <c r="F22" s="135">
        <v>0.25</v>
      </c>
      <c r="G22" s="135">
        <f t="shared" si="2"/>
        <v>0.47</v>
      </c>
      <c r="H22" s="134">
        <f t="shared" si="3"/>
        <v>1.9974999999999998</v>
      </c>
      <c r="I22" s="136"/>
      <c r="J22" s="213"/>
      <c r="K22" s="217">
        <f t="shared" si="0"/>
        <v>0</v>
      </c>
      <c r="L22" s="218">
        <f t="shared" si="1"/>
        <v>0</v>
      </c>
    </row>
    <row r="23" spans="1:12" x14ac:dyDescent="0.2">
      <c r="A23" s="124"/>
      <c r="B23" s="211"/>
      <c r="C23" s="220" t="s">
        <v>664</v>
      </c>
      <c r="D23" s="133">
        <v>1</v>
      </c>
      <c r="E23" s="135">
        <v>6.8</v>
      </c>
      <c r="F23" s="135">
        <v>0.25</v>
      </c>
      <c r="G23" s="135">
        <f t="shared" si="2"/>
        <v>0.47</v>
      </c>
      <c r="H23" s="134">
        <f>G23*F23*E23*D23</f>
        <v>0.79899999999999993</v>
      </c>
      <c r="I23" s="136"/>
      <c r="J23" s="213"/>
      <c r="K23" s="217">
        <f t="shared" si="0"/>
        <v>0</v>
      </c>
      <c r="L23" s="218">
        <f t="shared" si="1"/>
        <v>0</v>
      </c>
    </row>
    <row r="24" spans="1:12" x14ac:dyDescent="0.2">
      <c r="A24" s="124"/>
      <c r="B24" s="211"/>
      <c r="C24" s="220" t="s">
        <v>427</v>
      </c>
      <c r="D24" s="133">
        <v>1</v>
      </c>
      <c r="E24" s="135">
        <v>6.5</v>
      </c>
      <c r="F24" s="135">
        <v>0.25</v>
      </c>
      <c r="G24" s="135">
        <f t="shared" si="2"/>
        <v>0.47</v>
      </c>
      <c r="H24" s="134">
        <f t="shared" si="3"/>
        <v>0.76374999999999993</v>
      </c>
      <c r="I24" s="136"/>
      <c r="J24" s="213"/>
      <c r="K24" s="217">
        <f t="shared" si="0"/>
        <v>0</v>
      </c>
      <c r="L24" s="218">
        <f t="shared" si="1"/>
        <v>0</v>
      </c>
    </row>
    <row r="25" spans="1:12" x14ac:dyDescent="0.2">
      <c r="A25" s="124"/>
      <c r="B25" s="211"/>
      <c r="C25" s="220" t="s">
        <v>665</v>
      </c>
      <c r="D25" s="133">
        <v>1</v>
      </c>
      <c r="E25" s="135">
        <v>16.5</v>
      </c>
      <c r="F25" s="135">
        <v>0.25</v>
      </c>
      <c r="G25" s="135">
        <f t="shared" si="2"/>
        <v>0.47</v>
      </c>
      <c r="H25" s="134">
        <f t="shared" si="3"/>
        <v>1.93875</v>
      </c>
      <c r="I25" s="136"/>
      <c r="J25" s="213"/>
      <c r="K25" s="217">
        <f t="shared" si="0"/>
        <v>0</v>
      </c>
      <c r="L25" s="218">
        <f t="shared" si="1"/>
        <v>0</v>
      </c>
    </row>
    <row r="26" spans="1:12" x14ac:dyDescent="0.2">
      <c r="A26" s="124"/>
      <c r="B26" s="211"/>
      <c r="C26" s="220" t="s">
        <v>666</v>
      </c>
      <c r="D26" s="133">
        <v>1</v>
      </c>
      <c r="E26" s="135">
        <v>27</v>
      </c>
      <c r="F26" s="135">
        <v>0.25</v>
      </c>
      <c r="G26" s="135">
        <f t="shared" si="2"/>
        <v>0.47</v>
      </c>
      <c r="H26" s="134">
        <f t="shared" si="3"/>
        <v>3.1724999999999999</v>
      </c>
      <c r="I26" s="136"/>
      <c r="J26" s="213"/>
      <c r="K26" s="217">
        <f t="shared" si="0"/>
        <v>0</v>
      </c>
      <c r="L26" s="218">
        <f t="shared" si="1"/>
        <v>0</v>
      </c>
    </row>
    <row r="27" spans="1:12" x14ac:dyDescent="0.2">
      <c r="A27" s="124"/>
      <c r="B27" s="211"/>
      <c r="C27" s="220" t="s">
        <v>667</v>
      </c>
      <c r="D27" s="133">
        <v>1</v>
      </c>
      <c r="E27" s="135">
        <v>10.45</v>
      </c>
      <c r="F27" s="135">
        <v>0.25</v>
      </c>
      <c r="G27" s="135">
        <f t="shared" si="2"/>
        <v>0.47</v>
      </c>
      <c r="H27" s="134">
        <f t="shared" si="3"/>
        <v>1.2278749999999998</v>
      </c>
      <c r="I27" s="136"/>
      <c r="J27" s="213"/>
      <c r="K27" s="217">
        <f t="shared" si="0"/>
        <v>0</v>
      </c>
      <c r="L27" s="218">
        <f t="shared" si="1"/>
        <v>0</v>
      </c>
    </row>
    <row r="28" spans="1:12" x14ac:dyDescent="0.2">
      <c r="A28" s="124"/>
      <c r="B28" s="211"/>
      <c r="C28" s="220" t="s">
        <v>668</v>
      </c>
      <c r="D28" s="133">
        <v>1</v>
      </c>
      <c r="E28" s="135">
        <v>3.05</v>
      </c>
      <c r="F28" s="135">
        <v>0.25</v>
      </c>
      <c r="G28" s="135">
        <f t="shared" si="2"/>
        <v>0.47</v>
      </c>
      <c r="H28" s="134">
        <f t="shared" si="3"/>
        <v>0.35837499999999994</v>
      </c>
      <c r="I28" s="136"/>
      <c r="J28" s="213"/>
      <c r="K28" s="217">
        <f t="shared" si="0"/>
        <v>0</v>
      </c>
      <c r="L28" s="218">
        <f t="shared" si="1"/>
        <v>0</v>
      </c>
    </row>
    <row r="29" spans="1:12" x14ac:dyDescent="0.2">
      <c r="A29" s="124"/>
      <c r="B29" s="211"/>
      <c r="C29" s="220" t="s">
        <v>669</v>
      </c>
      <c r="D29" s="133">
        <v>1</v>
      </c>
      <c r="E29" s="135">
        <v>4.5</v>
      </c>
      <c r="F29" s="135">
        <v>0.25</v>
      </c>
      <c r="G29" s="135">
        <f t="shared" si="2"/>
        <v>0.47</v>
      </c>
      <c r="H29" s="134">
        <f>G29*F29*E29*D29</f>
        <v>0.52874999999999994</v>
      </c>
      <c r="I29" s="136"/>
      <c r="J29" s="213"/>
      <c r="K29" s="217">
        <f t="shared" si="0"/>
        <v>0</v>
      </c>
      <c r="L29" s="218">
        <f t="shared" si="1"/>
        <v>0</v>
      </c>
    </row>
    <row r="30" spans="1:12" x14ac:dyDescent="0.2">
      <c r="A30" s="124"/>
      <c r="B30" s="211"/>
      <c r="C30" s="220" t="s">
        <v>670</v>
      </c>
      <c r="D30" s="133">
        <v>2</v>
      </c>
      <c r="E30" s="135">
        <v>9.5</v>
      </c>
      <c r="F30" s="135">
        <v>0.25</v>
      </c>
      <c r="G30" s="135">
        <f t="shared" si="2"/>
        <v>0.47</v>
      </c>
      <c r="H30" s="134">
        <f>G30*F30*E30*D30</f>
        <v>2.2324999999999999</v>
      </c>
      <c r="I30" s="136"/>
      <c r="J30" s="213"/>
      <c r="K30" s="217">
        <f t="shared" si="0"/>
        <v>0</v>
      </c>
      <c r="L30" s="218">
        <f t="shared" si="1"/>
        <v>0</v>
      </c>
    </row>
    <row r="31" spans="1:12" x14ac:dyDescent="0.2">
      <c r="A31" s="124"/>
      <c r="B31" s="211"/>
      <c r="C31" s="220" t="s">
        <v>671</v>
      </c>
      <c r="D31" s="133">
        <v>1</v>
      </c>
      <c r="E31" s="135">
        <v>11.5</v>
      </c>
      <c r="F31" s="135">
        <v>0.25</v>
      </c>
      <c r="G31" s="135">
        <f t="shared" si="2"/>
        <v>0.47</v>
      </c>
      <c r="H31" s="134">
        <f>G31*F31*E31*D31</f>
        <v>1.3512499999999998</v>
      </c>
      <c r="I31" s="136"/>
      <c r="J31" s="213"/>
      <c r="K31" s="217">
        <f t="shared" si="0"/>
        <v>0</v>
      </c>
      <c r="L31" s="218">
        <f t="shared" si="1"/>
        <v>0</v>
      </c>
    </row>
    <row r="32" spans="1:12" x14ac:dyDescent="0.2">
      <c r="A32" s="124"/>
      <c r="B32" s="211"/>
      <c r="C32" s="220" t="s">
        <v>629</v>
      </c>
      <c r="D32" s="133">
        <v>1</v>
      </c>
      <c r="E32" s="135">
        <v>15.06</v>
      </c>
      <c r="F32" s="135">
        <v>0.25</v>
      </c>
      <c r="G32" s="135">
        <f t="shared" si="2"/>
        <v>0.47</v>
      </c>
      <c r="H32" s="134">
        <f>G32*F32*E32*D32</f>
        <v>1.76955</v>
      </c>
      <c r="I32" s="136"/>
      <c r="J32" s="213"/>
      <c r="K32" s="217">
        <f t="shared" si="0"/>
        <v>0</v>
      </c>
      <c r="L32" s="218">
        <f t="shared" si="1"/>
        <v>0</v>
      </c>
    </row>
    <row r="33" spans="1:12" x14ac:dyDescent="0.2">
      <c r="A33" s="124"/>
      <c r="B33" s="211"/>
      <c r="C33" s="220" t="s">
        <v>672</v>
      </c>
      <c r="D33" s="133">
        <v>1</v>
      </c>
      <c r="E33" s="135">
        <v>5.3</v>
      </c>
      <c r="F33" s="135">
        <v>0.25</v>
      </c>
      <c r="G33" s="135">
        <f t="shared" si="2"/>
        <v>0.47</v>
      </c>
      <c r="H33" s="134">
        <f t="shared" ref="H33:H43" si="4">G33*F33*E33*D33</f>
        <v>0.62274999999999991</v>
      </c>
      <c r="I33" s="136"/>
      <c r="J33" s="213"/>
      <c r="K33" s="217">
        <f t="shared" si="0"/>
        <v>0</v>
      </c>
      <c r="L33" s="218">
        <f t="shared" si="1"/>
        <v>0</v>
      </c>
    </row>
    <row r="34" spans="1:12" x14ac:dyDescent="0.2">
      <c r="A34" s="124"/>
      <c r="B34" s="211"/>
      <c r="C34" s="220" t="s">
        <v>673</v>
      </c>
      <c r="D34" s="133">
        <v>1</v>
      </c>
      <c r="E34" s="135">
        <v>7</v>
      </c>
      <c r="F34" s="135">
        <v>0.25</v>
      </c>
      <c r="G34" s="135">
        <f t="shared" si="2"/>
        <v>0.47</v>
      </c>
      <c r="H34" s="134">
        <f t="shared" si="4"/>
        <v>0.82250000000000001</v>
      </c>
      <c r="I34" s="136"/>
      <c r="J34" s="213"/>
      <c r="K34" s="217">
        <f t="shared" si="0"/>
        <v>0</v>
      </c>
      <c r="L34" s="218">
        <f t="shared" si="1"/>
        <v>0</v>
      </c>
    </row>
    <row r="35" spans="1:12" x14ac:dyDescent="0.2">
      <c r="A35" s="124"/>
      <c r="B35" s="211"/>
      <c r="C35" s="220" t="s">
        <v>674</v>
      </c>
      <c r="D35" s="133">
        <v>1</v>
      </c>
      <c r="E35" s="135">
        <v>9.75</v>
      </c>
      <c r="F35" s="135">
        <v>0.25</v>
      </c>
      <c r="G35" s="135">
        <f t="shared" si="2"/>
        <v>0.47</v>
      </c>
      <c r="H35" s="134">
        <f t="shared" si="4"/>
        <v>1.1456249999999999</v>
      </c>
      <c r="I35" s="136"/>
      <c r="J35" s="213"/>
      <c r="K35" s="217">
        <f t="shared" si="0"/>
        <v>0</v>
      </c>
      <c r="L35" s="218">
        <f t="shared" si="1"/>
        <v>0</v>
      </c>
    </row>
    <row r="36" spans="1:12" x14ac:dyDescent="0.2">
      <c r="A36" s="124"/>
      <c r="B36" s="211"/>
      <c r="C36" s="220" t="s">
        <v>675</v>
      </c>
      <c r="D36" s="133">
        <v>1</v>
      </c>
      <c r="E36" s="135">
        <v>11.65</v>
      </c>
      <c r="F36" s="135">
        <v>0.25</v>
      </c>
      <c r="G36" s="135">
        <f t="shared" si="2"/>
        <v>0.47</v>
      </c>
      <c r="H36" s="134">
        <f t="shared" si="4"/>
        <v>1.3688750000000001</v>
      </c>
      <c r="I36" s="136"/>
      <c r="J36" s="213"/>
      <c r="K36" s="217">
        <f t="shared" si="0"/>
        <v>0</v>
      </c>
      <c r="L36" s="218">
        <f t="shared" si="1"/>
        <v>0</v>
      </c>
    </row>
    <row r="37" spans="1:12" x14ac:dyDescent="0.2">
      <c r="A37" s="124"/>
      <c r="B37" s="211"/>
      <c r="C37" s="220" t="s">
        <v>676</v>
      </c>
      <c r="D37" s="133">
        <v>1</v>
      </c>
      <c r="E37" s="135">
        <v>22.65</v>
      </c>
      <c r="F37" s="135">
        <v>0.25</v>
      </c>
      <c r="G37" s="135">
        <f t="shared" si="2"/>
        <v>0.47</v>
      </c>
      <c r="H37" s="134">
        <f t="shared" si="4"/>
        <v>2.6613749999999996</v>
      </c>
      <c r="I37" s="136"/>
      <c r="J37" s="213"/>
      <c r="K37" s="217">
        <f t="shared" si="0"/>
        <v>0</v>
      </c>
      <c r="L37" s="218">
        <f t="shared" si="1"/>
        <v>0</v>
      </c>
    </row>
    <row r="38" spans="1:12" x14ac:dyDescent="0.2">
      <c r="A38" s="124"/>
      <c r="B38" s="211"/>
      <c r="C38" s="220" t="s">
        <v>677</v>
      </c>
      <c r="D38" s="133">
        <v>1</v>
      </c>
      <c r="E38" s="135">
        <v>6.2</v>
      </c>
      <c r="F38" s="135">
        <v>0.25</v>
      </c>
      <c r="G38" s="135">
        <f t="shared" si="2"/>
        <v>0.47</v>
      </c>
      <c r="H38" s="134">
        <f t="shared" si="4"/>
        <v>0.72849999999999993</v>
      </c>
      <c r="I38" s="136"/>
      <c r="J38" s="213"/>
      <c r="K38" s="217">
        <f t="shared" si="0"/>
        <v>0</v>
      </c>
      <c r="L38" s="218">
        <f t="shared" si="1"/>
        <v>0</v>
      </c>
    </row>
    <row r="39" spans="1:12" x14ac:dyDescent="0.2">
      <c r="A39" s="124"/>
      <c r="B39" s="211"/>
      <c r="C39" s="220" t="s">
        <v>678</v>
      </c>
      <c r="D39" s="133">
        <v>1</v>
      </c>
      <c r="E39" s="135">
        <v>9.77</v>
      </c>
      <c r="F39" s="135">
        <v>0.25</v>
      </c>
      <c r="G39" s="135">
        <f t="shared" si="2"/>
        <v>0.47</v>
      </c>
      <c r="H39" s="134">
        <f t="shared" si="4"/>
        <v>1.147975</v>
      </c>
      <c r="I39" s="136"/>
      <c r="J39" s="213"/>
      <c r="K39" s="217">
        <f t="shared" si="0"/>
        <v>0</v>
      </c>
      <c r="L39" s="218">
        <f t="shared" si="1"/>
        <v>0</v>
      </c>
    </row>
    <row r="40" spans="1:12" x14ac:dyDescent="0.2">
      <c r="A40" s="124"/>
      <c r="B40" s="211"/>
      <c r="C40" s="220" t="s">
        <v>679</v>
      </c>
      <c r="D40" s="133">
        <v>2</v>
      </c>
      <c r="E40" s="135">
        <v>13.26</v>
      </c>
      <c r="F40" s="135">
        <v>0.25</v>
      </c>
      <c r="G40" s="135">
        <f t="shared" si="2"/>
        <v>0.47</v>
      </c>
      <c r="H40" s="134">
        <f t="shared" si="4"/>
        <v>3.1160999999999999</v>
      </c>
      <c r="I40" s="136"/>
      <c r="J40" s="213"/>
      <c r="K40" s="217">
        <f t="shared" si="0"/>
        <v>0</v>
      </c>
      <c r="L40" s="218">
        <f t="shared" si="1"/>
        <v>0</v>
      </c>
    </row>
    <row r="41" spans="1:12" x14ac:dyDescent="0.2">
      <c r="A41" s="124"/>
      <c r="B41" s="211"/>
      <c r="C41" s="220" t="s">
        <v>680</v>
      </c>
      <c r="D41" s="133">
        <v>1</v>
      </c>
      <c r="E41" s="135">
        <v>15.7</v>
      </c>
      <c r="F41" s="135">
        <v>0.25</v>
      </c>
      <c r="G41" s="135">
        <f t="shared" si="2"/>
        <v>0.47</v>
      </c>
      <c r="H41" s="134">
        <f t="shared" si="4"/>
        <v>1.8447499999999999</v>
      </c>
      <c r="I41" s="136"/>
      <c r="J41" s="213"/>
      <c r="K41" s="217">
        <f t="shared" si="0"/>
        <v>0</v>
      </c>
      <c r="L41" s="218">
        <f t="shared" si="1"/>
        <v>0</v>
      </c>
    </row>
    <row r="42" spans="1:12" x14ac:dyDescent="0.2">
      <c r="A42" s="124"/>
      <c r="B42" s="211"/>
      <c r="C42" s="220" t="s">
        <v>635</v>
      </c>
      <c r="D42" s="133">
        <v>1</v>
      </c>
      <c r="E42" s="135">
        <v>12.95</v>
      </c>
      <c r="F42" s="135">
        <v>0.25</v>
      </c>
      <c r="G42" s="135">
        <f t="shared" si="2"/>
        <v>0.47</v>
      </c>
      <c r="H42" s="134">
        <f t="shared" si="4"/>
        <v>1.5216249999999998</v>
      </c>
      <c r="I42" s="136"/>
      <c r="J42" s="213"/>
      <c r="K42" s="217">
        <f t="shared" si="0"/>
        <v>0</v>
      </c>
      <c r="L42" s="218">
        <f t="shared" si="1"/>
        <v>0</v>
      </c>
    </row>
    <row r="43" spans="1:12" x14ac:dyDescent="0.2">
      <c r="A43" s="124"/>
      <c r="B43" s="211"/>
      <c r="C43" s="220" t="s">
        <v>681</v>
      </c>
      <c r="D43" s="133">
        <v>9</v>
      </c>
      <c r="E43" s="135">
        <v>3.3</v>
      </c>
      <c r="F43" s="135">
        <v>0.25</v>
      </c>
      <c r="G43" s="135">
        <f t="shared" si="2"/>
        <v>0.47</v>
      </c>
      <c r="H43" s="134">
        <f t="shared" si="4"/>
        <v>3.4897499999999999</v>
      </c>
      <c r="I43" s="136"/>
      <c r="J43" s="213"/>
      <c r="K43" s="217">
        <f t="shared" si="0"/>
        <v>0</v>
      </c>
      <c r="L43" s="218">
        <f t="shared" si="1"/>
        <v>0</v>
      </c>
    </row>
    <row r="44" spans="1:12" x14ac:dyDescent="0.2">
      <c r="A44" s="124"/>
      <c r="B44" s="211"/>
      <c r="C44" s="220" t="s">
        <v>681</v>
      </c>
      <c r="D44" s="133">
        <v>1</v>
      </c>
      <c r="E44" s="135">
        <f>3.3+1.8</f>
        <v>5.0999999999999996</v>
      </c>
      <c r="F44" s="135">
        <v>0.25</v>
      </c>
      <c r="G44" s="135">
        <f t="shared" si="2"/>
        <v>0.47</v>
      </c>
      <c r="H44" s="134">
        <f>G44*F44*E44*D44</f>
        <v>0.59924999999999995</v>
      </c>
      <c r="I44" s="136"/>
      <c r="J44" s="213"/>
      <c r="K44" s="217">
        <f t="shared" si="0"/>
        <v>0</v>
      </c>
      <c r="L44" s="218">
        <f t="shared" si="1"/>
        <v>0</v>
      </c>
    </row>
    <row r="45" spans="1:12" x14ac:dyDescent="0.2">
      <c r="A45" s="124"/>
      <c r="B45" s="211"/>
      <c r="C45" s="220" t="s">
        <v>636</v>
      </c>
      <c r="D45" s="133">
        <v>16</v>
      </c>
      <c r="E45" s="135">
        <v>0.125</v>
      </c>
      <c r="F45" s="135">
        <v>0.125</v>
      </c>
      <c r="G45" s="135">
        <f>0.6</f>
        <v>0.6</v>
      </c>
      <c r="H45" s="134">
        <f>G45*F45*E45*D45</f>
        <v>0.15</v>
      </c>
      <c r="I45" s="136"/>
      <c r="J45" s="213"/>
      <c r="K45" s="217">
        <f t="shared" si="0"/>
        <v>0</v>
      </c>
      <c r="L45" s="218">
        <f t="shared" si="1"/>
        <v>0</v>
      </c>
    </row>
    <row r="46" spans="1:12" x14ac:dyDescent="0.2">
      <c r="A46" s="124"/>
      <c r="B46" s="211"/>
      <c r="C46" s="187" t="s">
        <v>256</v>
      </c>
      <c r="D46" s="133" t="s">
        <v>91</v>
      </c>
      <c r="E46" s="135" t="s">
        <v>91</v>
      </c>
      <c r="F46" s="135" t="s">
        <v>91</v>
      </c>
      <c r="G46" s="135" t="s">
        <v>91</v>
      </c>
      <c r="H46" s="134" t="s">
        <v>91</v>
      </c>
      <c r="I46" s="136"/>
      <c r="J46" s="213"/>
      <c r="K46" s="217">
        <f t="shared" si="0"/>
        <v>0</v>
      </c>
      <c r="L46" s="218">
        <v>0</v>
      </c>
    </row>
    <row r="47" spans="1:12" x14ac:dyDescent="0.2">
      <c r="A47" s="124"/>
      <c r="B47" s="211"/>
      <c r="C47" s="220" t="s">
        <v>637</v>
      </c>
      <c r="D47" s="133">
        <v>6</v>
      </c>
      <c r="E47" s="135">
        <v>1.6</v>
      </c>
      <c r="F47" s="135">
        <v>0.125</v>
      </c>
      <c r="G47" s="135">
        <f>0.6-0.13</f>
        <v>0.47</v>
      </c>
      <c r="H47" s="134">
        <f>G47*F47*E47*D47</f>
        <v>0.56400000000000006</v>
      </c>
      <c r="I47" s="136"/>
      <c r="J47" s="213"/>
      <c r="K47" s="217">
        <f t="shared" si="0"/>
        <v>0</v>
      </c>
      <c r="L47" s="218">
        <f t="shared" si="1"/>
        <v>0</v>
      </c>
    </row>
    <row r="48" spans="1:12" x14ac:dyDescent="0.2">
      <c r="A48" s="124"/>
      <c r="B48" s="211"/>
      <c r="C48" s="316"/>
      <c r="D48" s="142"/>
      <c r="E48" s="145"/>
      <c r="F48" s="145"/>
      <c r="G48" s="145"/>
      <c r="H48" s="143"/>
      <c r="I48" s="141"/>
      <c r="J48" s="217"/>
      <c r="K48" s="217">
        <f t="shared" si="0"/>
        <v>0</v>
      </c>
      <c r="L48" s="218">
        <f t="shared" si="1"/>
        <v>0</v>
      </c>
    </row>
    <row r="49" spans="1:12" x14ac:dyDescent="0.2">
      <c r="A49" s="124"/>
      <c r="B49" s="211"/>
      <c r="C49" s="221" t="s">
        <v>117</v>
      </c>
      <c r="D49" s="142"/>
      <c r="E49" s="145"/>
      <c r="F49" s="145"/>
      <c r="G49" s="145"/>
      <c r="H49" s="222">
        <v>41</v>
      </c>
      <c r="I49" s="141" t="s">
        <v>118</v>
      </c>
      <c r="J49" s="217">
        <v>11505.5</v>
      </c>
      <c r="K49" s="217">
        <f t="shared" si="0"/>
        <v>9750.4237288135591</v>
      </c>
      <c r="L49" s="218">
        <f t="shared" si="1"/>
        <v>399767.37288135593</v>
      </c>
    </row>
    <row r="50" spans="1:12" x14ac:dyDescent="0.2">
      <c r="A50" s="124"/>
      <c r="B50" s="211"/>
      <c r="C50" s="223" t="s">
        <v>227</v>
      </c>
      <c r="D50" s="133"/>
      <c r="E50" s="135">
        <f>SUM(E20*D20+E21*D21+E22*D22+E23*D23+E25*D25+E26*D26+E27*D27+E28*D28+E29*D29+E3+D30*E30+D31*E31+D32*E32+D33*E33+D34*E34+D35*E35+D36*E36+D37*E37+D38*E38+D39*E39+D40*E40+D41*E41+D42*E42+D43*E43+D44*E44+D45*E45)</f>
        <v>335.72500000000002</v>
      </c>
      <c r="F50" s="135"/>
      <c r="G50" s="135"/>
      <c r="H50" s="224"/>
      <c r="I50" s="136"/>
      <c r="J50" s="213"/>
      <c r="K50" s="217">
        <f t="shared" si="0"/>
        <v>0</v>
      </c>
      <c r="L50" s="218">
        <f t="shared" si="1"/>
        <v>0</v>
      </c>
    </row>
    <row r="51" spans="1:12" x14ac:dyDescent="0.2">
      <c r="A51" s="124"/>
      <c r="B51" s="211"/>
      <c r="C51" s="223" t="s">
        <v>228</v>
      </c>
      <c r="D51" s="133"/>
      <c r="E51" s="135">
        <f>E47</f>
        <v>1.6</v>
      </c>
      <c r="F51" s="135"/>
      <c r="G51" s="135"/>
      <c r="H51" s="224"/>
      <c r="I51" s="136"/>
      <c r="J51" s="213"/>
      <c r="K51" s="217">
        <f t="shared" si="0"/>
        <v>0</v>
      </c>
      <c r="L51" s="218">
        <f t="shared" si="1"/>
        <v>0</v>
      </c>
    </row>
    <row r="52" spans="1:12" x14ac:dyDescent="0.2">
      <c r="A52" s="139"/>
      <c r="B52" s="215"/>
      <c r="C52" s="223"/>
      <c r="D52" s="133"/>
      <c r="E52" s="135"/>
      <c r="F52" s="135"/>
      <c r="G52" s="135"/>
      <c r="H52" s="224"/>
      <c r="I52" s="136"/>
      <c r="J52" s="213"/>
      <c r="K52" s="217">
        <f t="shared" si="0"/>
        <v>0</v>
      </c>
      <c r="L52" s="218">
        <f t="shared" si="1"/>
        <v>0</v>
      </c>
    </row>
    <row r="53" spans="1:12" ht="33.75" customHeight="1" x14ac:dyDescent="0.2">
      <c r="A53" s="116" t="s">
        <v>229</v>
      </c>
      <c r="B53" s="206">
        <v>5.3</v>
      </c>
      <c r="C53" s="219" t="s">
        <v>230</v>
      </c>
      <c r="D53" s="119"/>
      <c r="E53" s="121"/>
      <c r="F53" s="121"/>
      <c r="G53" s="121"/>
      <c r="H53" s="208"/>
      <c r="I53" s="122"/>
      <c r="J53" s="209"/>
      <c r="K53" s="217">
        <f t="shared" si="0"/>
        <v>0</v>
      </c>
      <c r="L53" s="218">
        <f t="shared" si="1"/>
        <v>0</v>
      </c>
    </row>
    <row r="54" spans="1:12" x14ac:dyDescent="0.2">
      <c r="A54" s="124"/>
      <c r="B54" s="211"/>
      <c r="C54" s="225" t="s">
        <v>231</v>
      </c>
      <c r="D54" s="226">
        <v>1</v>
      </c>
      <c r="E54" s="227">
        <v>4.7</v>
      </c>
      <c r="F54" s="227">
        <v>9.5</v>
      </c>
      <c r="G54" s="227">
        <v>0.13500000000000001</v>
      </c>
      <c r="H54" s="135">
        <f t="shared" ref="H54:H70" si="5">G54*F54*E54*D54</f>
        <v>6.0277500000000011</v>
      </c>
      <c r="I54" s="136"/>
      <c r="J54" s="213"/>
      <c r="K54" s="217">
        <f t="shared" si="0"/>
        <v>0</v>
      </c>
      <c r="L54" s="218">
        <f t="shared" si="1"/>
        <v>0</v>
      </c>
    </row>
    <row r="55" spans="1:12" x14ac:dyDescent="0.2">
      <c r="A55" s="124"/>
      <c r="B55" s="211"/>
      <c r="C55" s="225"/>
      <c r="D55" s="226">
        <v>1</v>
      </c>
      <c r="E55" s="227">
        <v>1.5</v>
      </c>
      <c r="F55" s="227">
        <v>8.85</v>
      </c>
      <c r="G55" s="227">
        <v>0.13500000000000001</v>
      </c>
      <c r="H55" s="135">
        <f t="shared" si="5"/>
        <v>1.792125</v>
      </c>
      <c r="I55" s="136"/>
      <c r="J55" s="213"/>
      <c r="K55" s="217">
        <f t="shared" si="0"/>
        <v>0</v>
      </c>
      <c r="L55" s="218">
        <f t="shared" si="1"/>
        <v>0</v>
      </c>
    </row>
    <row r="56" spans="1:12" x14ac:dyDescent="0.2">
      <c r="A56" s="124"/>
      <c r="B56" s="211"/>
      <c r="C56" s="225" t="s">
        <v>91</v>
      </c>
      <c r="D56" s="226">
        <v>1</v>
      </c>
      <c r="E56" s="950">
        <v>60.96</v>
      </c>
      <c r="F56" s="951"/>
      <c r="G56" s="227">
        <v>0.13500000000000001</v>
      </c>
      <c r="H56" s="135">
        <f>G56*E56*D56</f>
        <v>8.2296000000000014</v>
      </c>
      <c r="I56" s="136"/>
      <c r="J56" s="213"/>
      <c r="K56" s="217">
        <f t="shared" si="0"/>
        <v>0</v>
      </c>
      <c r="L56" s="218">
        <f t="shared" si="1"/>
        <v>0</v>
      </c>
    </row>
    <row r="57" spans="1:12" x14ac:dyDescent="0.2">
      <c r="A57" s="124"/>
      <c r="B57" s="211"/>
      <c r="C57" s="225"/>
      <c r="D57" s="226">
        <v>1</v>
      </c>
      <c r="E57" s="228">
        <v>6.5</v>
      </c>
      <c r="F57" s="229">
        <v>5.15</v>
      </c>
      <c r="G57" s="227">
        <v>0.13500000000000001</v>
      </c>
      <c r="H57" s="135">
        <f t="shared" si="5"/>
        <v>4.5191250000000007</v>
      </c>
      <c r="I57" s="136"/>
      <c r="J57" s="213"/>
      <c r="K57" s="217">
        <f t="shared" si="0"/>
        <v>0</v>
      </c>
      <c r="L57" s="218">
        <f t="shared" si="1"/>
        <v>0</v>
      </c>
    </row>
    <row r="58" spans="1:12" x14ac:dyDescent="0.2">
      <c r="A58" s="124"/>
      <c r="B58" s="211"/>
      <c r="C58" s="225"/>
      <c r="D58" s="226">
        <v>1</v>
      </c>
      <c r="E58" s="228">
        <v>2.37</v>
      </c>
      <c r="F58" s="229">
        <v>4.3</v>
      </c>
      <c r="G58" s="227">
        <v>0.13500000000000001</v>
      </c>
      <c r="H58" s="135">
        <f t="shared" si="5"/>
        <v>1.375785</v>
      </c>
      <c r="I58" s="136"/>
      <c r="J58" s="213"/>
      <c r="K58" s="217">
        <f t="shared" si="0"/>
        <v>0</v>
      </c>
      <c r="L58" s="218">
        <f t="shared" si="1"/>
        <v>0</v>
      </c>
    </row>
    <row r="59" spans="1:12" x14ac:dyDescent="0.2">
      <c r="A59" s="124"/>
      <c r="B59" s="211"/>
      <c r="C59" s="225"/>
      <c r="D59" s="226">
        <v>1</v>
      </c>
      <c r="E59" s="228">
        <v>11.5</v>
      </c>
      <c r="F59" s="229">
        <v>11.92</v>
      </c>
      <c r="G59" s="227">
        <v>0.13500000000000001</v>
      </c>
      <c r="H59" s="135">
        <f t="shared" si="5"/>
        <v>18.505800000000001</v>
      </c>
      <c r="I59" s="136"/>
      <c r="J59" s="213"/>
      <c r="K59" s="217">
        <f t="shared" si="0"/>
        <v>0</v>
      </c>
      <c r="L59" s="218">
        <f t="shared" si="1"/>
        <v>0</v>
      </c>
    </row>
    <row r="60" spans="1:12" x14ac:dyDescent="0.2">
      <c r="A60" s="124"/>
      <c r="B60" s="211"/>
      <c r="C60" s="225"/>
      <c r="D60" s="226">
        <v>1</v>
      </c>
      <c r="E60" s="228">
        <v>4.5</v>
      </c>
      <c r="F60" s="229">
        <v>2.25</v>
      </c>
      <c r="G60" s="227">
        <v>0.13500000000000001</v>
      </c>
      <c r="H60" s="135">
        <f t="shared" si="5"/>
        <v>1.3668750000000001</v>
      </c>
      <c r="I60" s="136"/>
      <c r="J60" s="213"/>
      <c r="K60" s="217">
        <f t="shared" si="0"/>
        <v>0</v>
      </c>
      <c r="L60" s="218">
        <f t="shared" si="1"/>
        <v>0</v>
      </c>
    </row>
    <row r="61" spans="1:12" x14ac:dyDescent="0.2">
      <c r="A61" s="124"/>
      <c r="B61" s="211"/>
      <c r="C61" s="225"/>
      <c r="D61" s="226">
        <v>1</v>
      </c>
      <c r="E61" s="228">
        <v>11.6</v>
      </c>
      <c r="F61" s="229">
        <v>9.3699999999999992</v>
      </c>
      <c r="G61" s="227">
        <v>0.13500000000000001</v>
      </c>
      <c r="H61" s="135">
        <f t="shared" si="5"/>
        <v>14.67342</v>
      </c>
      <c r="I61" s="136"/>
      <c r="J61" s="213"/>
      <c r="K61" s="217">
        <f t="shared" si="0"/>
        <v>0</v>
      </c>
      <c r="L61" s="218">
        <f t="shared" si="1"/>
        <v>0</v>
      </c>
    </row>
    <row r="62" spans="1:12" x14ac:dyDescent="0.2">
      <c r="A62" s="124"/>
      <c r="B62" s="211"/>
      <c r="C62" s="225"/>
      <c r="D62" s="226">
        <v>9</v>
      </c>
      <c r="E62" s="228">
        <v>3.3</v>
      </c>
      <c r="F62" s="229">
        <v>1.8</v>
      </c>
      <c r="G62" s="227">
        <v>0.13500000000000001</v>
      </c>
      <c r="H62" s="135">
        <f t="shared" si="5"/>
        <v>7.2171000000000003</v>
      </c>
      <c r="I62" s="136"/>
      <c r="J62" s="213"/>
      <c r="K62" s="217">
        <f t="shared" si="0"/>
        <v>0</v>
      </c>
      <c r="L62" s="218">
        <f t="shared" si="1"/>
        <v>0</v>
      </c>
    </row>
    <row r="63" spans="1:12" x14ac:dyDescent="0.2">
      <c r="A63" s="124"/>
      <c r="B63" s="211"/>
      <c r="C63" s="225" t="s">
        <v>233</v>
      </c>
      <c r="D63" s="226">
        <v>3</v>
      </c>
      <c r="E63" s="227">
        <v>4.5</v>
      </c>
      <c r="F63" s="227">
        <v>0.6</v>
      </c>
      <c r="G63" s="227">
        <v>0.1</v>
      </c>
      <c r="H63" s="135">
        <f t="shared" si="5"/>
        <v>0.81</v>
      </c>
      <c r="I63" s="136"/>
      <c r="J63" s="213"/>
      <c r="K63" s="217">
        <f t="shared" si="0"/>
        <v>0</v>
      </c>
      <c r="L63" s="218">
        <f t="shared" si="1"/>
        <v>0</v>
      </c>
    </row>
    <row r="64" spans="1:12" x14ac:dyDescent="0.2">
      <c r="A64" s="124"/>
      <c r="B64" s="211"/>
      <c r="C64" s="225" t="s">
        <v>420</v>
      </c>
      <c r="D64" s="226">
        <v>3</v>
      </c>
      <c r="E64" s="227">
        <v>1.8</v>
      </c>
      <c r="F64" s="227">
        <v>0.7</v>
      </c>
      <c r="G64" s="227">
        <v>7.4999999999999997E-2</v>
      </c>
      <c r="H64" s="135">
        <f>G64*F64*E64*D64</f>
        <v>0.28349999999999997</v>
      </c>
      <c r="I64" s="136"/>
      <c r="J64" s="213"/>
      <c r="K64" s="217">
        <f t="shared" si="0"/>
        <v>0</v>
      </c>
      <c r="L64" s="218">
        <f t="shared" si="1"/>
        <v>0</v>
      </c>
    </row>
    <row r="65" spans="1:12" x14ac:dyDescent="0.2">
      <c r="A65" s="124"/>
      <c r="B65" s="211"/>
      <c r="C65" s="225" t="s">
        <v>421</v>
      </c>
      <c r="D65" s="226">
        <v>6</v>
      </c>
      <c r="E65" s="227">
        <f>1.37+0.125+0.125</f>
        <v>1.62</v>
      </c>
      <c r="F65" s="227">
        <v>0.6</v>
      </c>
      <c r="G65" s="227">
        <v>7.4999999999999997E-2</v>
      </c>
      <c r="H65" s="135">
        <f>G65*F65*E65*D65</f>
        <v>0.43740000000000001</v>
      </c>
      <c r="I65" s="136"/>
      <c r="J65" s="213"/>
      <c r="K65" s="217">
        <f t="shared" si="0"/>
        <v>0</v>
      </c>
      <c r="L65" s="218">
        <f t="shared" si="1"/>
        <v>0</v>
      </c>
    </row>
    <row r="66" spans="1:12" x14ac:dyDescent="0.2">
      <c r="A66" s="124"/>
      <c r="B66" s="211"/>
      <c r="C66" s="225" t="s">
        <v>422</v>
      </c>
      <c r="D66" s="226">
        <v>3</v>
      </c>
      <c r="E66" s="227">
        <f>0.9+0.125+0.125</f>
        <v>1.1499999999999999</v>
      </c>
      <c r="F66" s="227">
        <v>0.6</v>
      </c>
      <c r="G66" s="227">
        <v>7.4999999999999997E-2</v>
      </c>
      <c r="H66" s="135">
        <f>G66*F66*E66*D66</f>
        <v>0.15525</v>
      </c>
      <c r="I66" s="136"/>
      <c r="J66" s="213"/>
      <c r="K66" s="217">
        <f t="shared" si="0"/>
        <v>0</v>
      </c>
      <c r="L66" s="218">
        <f t="shared" si="1"/>
        <v>0</v>
      </c>
    </row>
    <row r="67" spans="1:12" x14ac:dyDescent="0.2">
      <c r="A67" s="124"/>
      <c r="B67" s="211"/>
      <c r="C67" s="225" t="s">
        <v>236</v>
      </c>
      <c r="D67" s="226">
        <v>2</v>
      </c>
      <c r="E67" s="227">
        <f>1.2+0.25+0.25</f>
        <v>1.7</v>
      </c>
      <c r="F67" s="227">
        <v>0.6</v>
      </c>
      <c r="G67" s="227">
        <v>7.4999999999999997E-2</v>
      </c>
      <c r="H67" s="135">
        <f>G67*F67*E67*D67</f>
        <v>0.153</v>
      </c>
      <c r="I67" s="136"/>
      <c r="J67" s="213"/>
      <c r="K67" s="217">
        <f t="shared" si="0"/>
        <v>0</v>
      </c>
      <c r="L67" s="218">
        <f t="shared" si="1"/>
        <v>0</v>
      </c>
    </row>
    <row r="68" spans="1:12" x14ac:dyDescent="0.2">
      <c r="A68" s="124"/>
      <c r="B68" s="211"/>
      <c r="C68" s="225" t="s">
        <v>282</v>
      </c>
      <c r="D68" s="226">
        <v>7</v>
      </c>
      <c r="E68" s="227">
        <f>0.6+0.125+0.125</f>
        <v>0.85</v>
      </c>
      <c r="F68" s="227">
        <v>0.6</v>
      </c>
      <c r="G68" s="227">
        <v>7.4999999999999997E-2</v>
      </c>
      <c r="H68" s="135">
        <f>G68*F68*E68*D68</f>
        <v>0.26774999999999999</v>
      </c>
      <c r="I68" s="136"/>
      <c r="J68" s="213"/>
      <c r="K68" s="217">
        <f t="shared" si="0"/>
        <v>0</v>
      </c>
      <c r="L68" s="218">
        <f t="shared" si="1"/>
        <v>0</v>
      </c>
    </row>
    <row r="69" spans="1:12" x14ac:dyDescent="0.2">
      <c r="A69" s="124"/>
      <c r="B69" s="211"/>
      <c r="C69" s="225" t="s">
        <v>237</v>
      </c>
      <c r="D69" s="226">
        <v>-1</v>
      </c>
      <c r="E69" s="227">
        <v>3.3250000000000002</v>
      </c>
      <c r="F69" s="227">
        <v>2.7</v>
      </c>
      <c r="G69" s="227">
        <v>0.13500000000000001</v>
      </c>
      <c r="H69" s="135">
        <f t="shared" si="5"/>
        <v>-1.2119625000000003</v>
      </c>
      <c r="I69" s="136"/>
      <c r="J69" s="213"/>
      <c r="K69" s="217">
        <f t="shared" si="0"/>
        <v>0</v>
      </c>
      <c r="L69" s="218">
        <f t="shared" si="1"/>
        <v>0</v>
      </c>
    </row>
    <row r="70" spans="1:12" x14ac:dyDescent="0.2">
      <c r="A70" s="124"/>
      <c r="B70" s="211"/>
      <c r="C70" s="230" t="s">
        <v>238</v>
      </c>
      <c r="D70" s="231">
        <v>-1</v>
      </c>
      <c r="E70" s="232">
        <v>2.0499999999999998</v>
      </c>
      <c r="F70" s="232">
        <v>2.37</v>
      </c>
      <c r="G70" s="232">
        <v>0.13500000000000001</v>
      </c>
      <c r="H70" s="145">
        <f t="shared" si="5"/>
        <v>-0.65589750000000002</v>
      </c>
      <c r="I70" s="141"/>
      <c r="J70" s="217"/>
      <c r="K70" s="217">
        <f t="shared" si="0"/>
        <v>0</v>
      </c>
      <c r="L70" s="218">
        <f t="shared" si="1"/>
        <v>0</v>
      </c>
    </row>
    <row r="71" spans="1:12" x14ac:dyDescent="0.2">
      <c r="A71" s="139"/>
      <c r="B71" s="215"/>
      <c r="C71" s="233" t="s">
        <v>117</v>
      </c>
      <c r="D71" s="142"/>
      <c r="E71" s="143"/>
      <c r="F71" s="143"/>
      <c r="G71" s="143"/>
      <c r="H71" s="216">
        <v>65</v>
      </c>
      <c r="I71" s="141" t="s">
        <v>118</v>
      </c>
      <c r="J71" s="217">
        <f>J49</f>
        <v>11505.5</v>
      </c>
      <c r="K71" s="217">
        <f t="shared" si="0"/>
        <v>9750.4237288135591</v>
      </c>
      <c r="L71" s="218">
        <f t="shared" si="1"/>
        <v>633777.54237288132</v>
      </c>
    </row>
    <row r="72" spans="1:12" ht="25.5" x14ac:dyDescent="0.2">
      <c r="A72" s="116" t="s">
        <v>239</v>
      </c>
      <c r="B72" s="206">
        <v>5.3</v>
      </c>
      <c r="C72" s="219" t="s">
        <v>240</v>
      </c>
      <c r="D72" s="119"/>
      <c r="E72" s="121"/>
      <c r="F72" s="121"/>
      <c r="G72" s="121"/>
      <c r="H72" s="208"/>
      <c r="I72" s="122"/>
      <c r="J72" s="234"/>
      <c r="K72" s="217">
        <f t="shared" si="0"/>
        <v>0</v>
      </c>
      <c r="L72" s="218">
        <f t="shared" si="1"/>
        <v>0</v>
      </c>
    </row>
    <row r="73" spans="1:12" x14ac:dyDescent="0.2">
      <c r="A73" s="124"/>
      <c r="B73" s="211"/>
      <c r="C73" s="237" t="s">
        <v>241</v>
      </c>
      <c r="D73" s="133">
        <v>2</v>
      </c>
      <c r="E73" s="135">
        <v>3.6</v>
      </c>
      <c r="F73" s="135">
        <v>1.2749999999999999</v>
      </c>
      <c r="G73" s="135">
        <v>0.15</v>
      </c>
      <c r="H73" s="134">
        <f>G73*F73*E73*D73</f>
        <v>1.3769999999999998</v>
      </c>
      <c r="I73" s="136"/>
      <c r="J73" s="236"/>
      <c r="K73" s="217">
        <f t="shared" si="0"/>
        <v>0</v>
      </c>
      <c r="L73" s="218">
        <f t="shared" si="1"/>
        <v>0</v>
      </c>
    </row>
    <row r="74" spans="1:12" x14ac:dyDescent="0.2">
      <c r="A74" s="124"/>
      <c r="B74" s="211"/>
      <c r="C74" s="132" t="s">
        <v>242</v>
      </c>
      <c r="D74" s="133">
        <v>1</v>
      </c>
      <c r="E74" s="135">
        <v>1.325</v>
      </c>
      <c r="F74" s="135">
        <v>2.7</v>
      </c>
      <c r="G74" s="135">
        <v>0.15</v>
      </c>
      <c r="H74" s="135">
        <f>G74*F74*E74*D74</f>
        <v>0.53662500000000002</v>
      </c>
      <c r="I74" s="136"/>
      <c r="J74" s="236"/>
      <c r="K74" s="217">
        <f t="shared" si="0"/>
        <v>0</v>
      </c>
      <c r="L74" s="218">
        <f t="shared" si="1"/>
        <v>0</v>
      </c>
    </row>
    <row r="75" spans="1:12" x14ac:dyDescent="0.2">
      <c r="A75" s="124"/>
      <c r="B75" s="211"/>
      <c r="C75" s="237" t="s">
        <v>243</v>
      </c>
      <c r="D75" s="133">
        <v>20</v>
      </c>
      <c r="E75" s="135">
        <v>1.2749999999999999</v>
      </c>
      <c r="F75" s="135">
        <v>0.25</v>
      </c>
      <c r="G75" s="135">
        <f>0.15/2</f>
        <v>7.4999999999999997E-2</v>
      </c>
      <c r="H75" s="134">
        <f>G75*F75*E75*D75</f>
        <v>0.47812499999999991</v>
      </c>
      <c r="I75" s="136"/>
      <c r="J75" s="236"/>
      <c r="K75" s="217">
        <f t="shared" ref="K75:K138" si="6">J75*100/118</f>
        <v>0</v>
      </c>
      <c r="L75" s="218">
        <f t="shared" ref="L75:L138" si="7">K75*H75</f>
        <v>0</v>
      </c>
    </row>
    <row r="76" spans="1:12" x14ac:dyDescent="0.2">
      <c r="A76" s="139"/>
      <c r="B76" s="215"/>
      <c r="C76" s="221" t="s">
        <v>117</v>
      </c>
      <c r="D76" s="142"/>
      <c r="E76" s="145"/>
      <c r="F76" s="145"/>
      <c r="G76" s="145"/>
      <c r="H76" s="216">
        <v>2.5</v>
      </c>
      <c r="I76" s="141" t="s">
        <v>118</v>
      </c>
      <c r="J76" s="217">
        <f>J71</f>
        <v>11505.5</v>
      </c>
      <c r="K76" s="217">
        <f t="shared" si="6"/>
        <v>9750.4237288135591</v>
      </c>
      <c r="L76" s="218">
        <f t="shared" si="7"/>
        <v>24376.0593220339</v>
      </c>
    </row>
    <row r="77" spans="1:12" ht="39" customHeight="1" x14ac:dyDescent="0.2">
      <c r="A77" s="116">
        <v>3</v>
      </c>
      <c r="B77" s="206">
        <v>5.22</v>
      </c>
      <c r="C77" s="219" t="s">
        <v>244</v>
      </c>
      <c r="D77" s="119"/>
      <c r="E77" s="121"/>
      <c r="F77" s="121"/>
      <c r="G77" s="121"/>
      <c r="H77" s="208"/>
      <c r="I77" s="122"/>
      <c r="J77" s="209"/>
      <c r="K77" s="217">
        <f t="shared" si="6"/>
        <v>0</v>
      </c>
      <c r="L77" s="218">
        <f t="shared" si="7"/>
        <v>0</v>
      </c>
    </row>
    <row r="78" spans="1:12" ht="24.75" customHeight="1" x14ac:dyDescent="0.2">
      <c r="A78" s="124"/>
      <c r="B78" s="211" t="s">
        <v>193</v>
      </c>
      <c r="C78" s="238" t="s">
        <v>245</v>
      </c>
      <c r="D78" s="127"/>
      <c r="E78" s="138"/>
      <c r="F78" s="129"/>
      <c r="G78" s="129"/>
      <c r="H78" s="239"/>
      <c r="I78" s="130"/>
      <c r="J78" s="240"/>
      <c r="K78" s="217">
        <f t="shared" si="6"/>
        <v>0</v>
      </c>
      <c r="L78" s="218">
        <f t="shared" si="7"/>
        <v>0</v>
      </c>
    </row>
    <row r="79" spans="1:12" x14ac:dyDescent="0.2">
      <c r="A79" s="124"/>
      <c r="B79" s="211"/>
      <c r="C79" s="187" t="s">
        <v>191</v>
      </c>
      <c r="D79" s="241"/>
      <c r="E79" s="190">
        <f>H10+H49+H71+H76</f>
        <v>126.5</v>
      </c>
      <c r="F79" s="190"/>
      <c r="G79" s="135"/>
      <c r="H79" s="212"/>
      <c r="I79" s="136"/>
      <c r="J79" s="213"/>
      <c r="K79" s="217">
        <f t="shared" si="6"/>
        <v>0</v>
      </c>
      <c r="L79" s="218">
        <f t="shared" si="7"/>
        <v>0</v>
      </c>
    </row>
    <row r="80" spans="1:12" x14ac:dyDescent="0.2">
      <c r="A80" s="139"/>
      <c r="B80" s="215"/>
      <c r="C80" s="220" t="s">
        <v>246</v>
      </c>
      <c r="D80" s="133">
        <v>120</v>
      </c>
      <c r="E80" s="190"/>
      <c r="F80" s="135"/>
      <c r="G80" s="135"/>
      <c r="H80" s="242">
        <f>D80*E79</f>
        <v>15180</v>
      </c>
      <c r="I80" s="136" t="s">
        <v>195</v>
      </c>
      <c r="J80" s="213">
        <v>107.85</v>
      </c>
      <c r="K80" s="217">
        <f t="shared" si="6"/>
        <v>91.398305084745758</v>
      </c>
      <c r="L80" s="218">
        <f t="shared" si="7"/>
        <v>1387426.2711864407</v>
      </c>
    </row>
    <row r="81" spans="1:12" ht="25.5" x14ac:dyDescent="0.2">
      <c r="A81" s="116">
        <v>4</v>
      </c>
      <c r="B81" s="206">
        <v>5.9</v>
      </c>
      <c r="C81" s="182" t="s">
        <v>247</v>
      </c>
      <c r="D81" s="119"/>
      <c r="E81" s="121"/>
      <c r="F81" s="121"/>
      <c r="G81" s="121"/>
      <c r="H81" s="208"/>
      <c r="I81" s="122"/>
      <c r="J81" s="209"/>
      <c r="K81" s="217">
        <f t="shared" si="6"/>
        <v>0</v>
      </c>
      <c r="L81" s="218">
        <f t="shared" si="7"/>
        <v>0</v>
      </c>
    </row>
    <row r="82" spans="1:12" ht="30" customHeight="1" x14ac:dyDescent="0.2">
      <c r="A82" s="124" t="s">
        <v>248</v>
      </c>
      <c r="B82" s="211" t="s">
        <v>249</v>
      </c>
      <c r="C82" s="244" t="s">
        <v>250</v>
      </c>
      <c r="D82" s="127"/>
      <c r="E82" s="129"/>
      <c r="F82" s="129"/>
      <c r="G82" s="129"/>
      <c r="H82" s="239"/>
      <c r="I82" s="130"/>
      <c r="J82" s="240"/>
      <c r="K82" s="217">
        <f t="shared" si="6"/>
        <v>0</v>
      </c>
      <c r="L82" s="218">
        <f t="shared" si="7"/>
        <v>0</v>
      </c>
    </row>
    <row r="83" spans="1:12" x14ac:dyDescent="0.2">
      <c r="A83" s="124"/>
      <c r="B83" s="211"/>
      <c r="C83" s="225" t="s">
        <v>231</v>
      </c>
      <c r="D83" s="226">
        <v>1</v>
      </c>
      <c r="E83" s="227">
        <v>4.7</v>
      </c>
      <c r="F83" s="227">
        <v>9.5</v>
      </c>
      <c r="G83" s="227"/>
      <c r="H83" s="135">
        <f>D83*E83*F83</f>
        <v>44.65</v>
      </c>
      <c r="I83" s="136"/>
      <c r="J83" s="213"/>
      <c r="K83" s="217">
        <f t="shared" si="6"/>
        <v>0</v>
      </c>
      <c r="L83" s="218">
        <f t="shared" si="7"/>
        <v>0</v>
      </c>
    </row>
    <row r="84" spans="1:12" x14ac:dyDescent="0.2">
      <c r="A84" s="124"/>
      <c r="B84" s="211"/>
      <c r="C84" s="225"/>
      <c r="D84" s="226">
        <v>1</v>
      </c>
      <c r="E84" s="227">
        <v>1.5</v>
      </c>
      <c r="F84" s="227">
        <v>8.85</v>
      </c>
      <c r="G84" s="227"/>
      <c r="H84" s="135">
        <f t="shared" ref="H84:H99" si="8">D84*E84*F84</f>
        <v>13.274999999999999</v>
      </c>
      <c r="I84" s="136"/>
      <c r="J84" s="213"/>
      <c r="K84" s="217">
        <f t="shared" si="6"/>
        <v>0</v>
      </c>
      <c r="L84" s="218">
        <f t="shared" si="7"/>
        <v>0</v>
      </c>
    </row>
    <row r="85" spans="1:12" x14ac:dyDescent="0.2">
      <c r="A85" s="124"/>
      <c r="B85" s="211"/>
      <c r="C85" s="225" t="s">
        <v>91</v>
      </c>
      <c r="D85" s="226">
        <v>1</v>
      </c>
      <c r="E85" s="950">
        <v>60.96</v>
      </c>
      <c r="F85" s="951"/>
      <c r="G85" s="227"/>
      <c r="H85" s="135">
        <f>D85*E85</f>
        <v>60.96</v>
      </c>
      <c r="I85" s="136"/>
      <c r="J85" s="213"/>
      <c r="K85" s="217">
        <f t="shared" si="6"/>
        <v>0</v>
      </c>
      <c r="L85" s="218">
        <f t="shared" si="7"/>
        <v>0</v>
      </c>
    </row>
    <row r="86" spans="1:12" x14ac:dyDescent="0.2">
      <c r="A86" s="124"/>
      <c r="B86" s="211"/>
      <c r="C86" s="225"/>
      <c r="D86" s="226">
        <v>1</v>
      </c>
      <c r="E86" s="228">
        <v>6.5</v>
      </c>
      <c r="F86" s="229">
        <v>5.15</v>
      </c>
      <c r="G86" s="227"/>
      <c r="H86" s="135">
        <f t="shared" si="8"/>
        <v>33.475000000000001</v>
      </c>
      <c r="I86" s="136"/>
      <c r="J86" s="213"/>
      <c r="K86" s="217">
        <f t="shared" si="6"/>
        <v>0</v>
      </c>
      <c r="L86" s="218">
        <f t="shared" si="7"/>
        <v>0</v>
      </c>
    </row>
    <row r="87" spans="1:12" x14ac:dyDescent="0.2">
      <c r="A87" s="124"/>
      <c r="B87" s="211"/>
      <c r="C87" s="225"/>
      <c r="D87" s="226">
        <v>1</v>
      </c>
      <c r="E87" s="228">
        <v>2.37</v>
      </c>
      <c r="F87" s="229">
        <v>4.3</v>
      </c>
      <c r="G87" s="227"/>
      <c r="H87" s="135">
        <f t="shared" si="8"/>
        <v>10.191000000000001</v>
      </c>
      <c r="I87" s="136"/>
      <c r="J87" s="213"/>
      <c r="K87" s="217">
        <f t="shared" si="6"/>
        <v>0</v>
      </c>
      <c r="L87" s="218">
        <f t="shared" si="7"/>
        <v>0</v>
      </c>
    </row>
    <row r="88" spans="1:12" x14ac:dyDescent="0.2">
      <c r="A88" s="124"/>
      <c r="B88" s="211"/>
      <c r="C88" s="225"/>
      <c r="D88" s="226">
        <v>1</v>
      </c>
      <c r="E88" s="228">
        <v>11.5</v>
      </c>
      <c r="F88" s="229">
        <v>11.92</v>
      </c>
      <c r="G88" s="227"/>
      <c r="H88" s="135">
        <f t="shared" si="8"/>
        <v>137.08000000000001</v>
      </c>
      <c r="I88" s="136"/>
      <c r="J88" s="213"/>
      <c r="K88" s="217">
        <f t="shared" si="6"/>
        <v>0</v>
      </c>
      <c r="L88" s="218">
        <f t="shared" si="7"/>
        <v>0</v>
      </c>
    </row>
    <row r="89" spans="1:12" x14ac:dyDescent="0.2">
      <c r="A89" s="124"/>
      <c r="B89" s="211"/>
      <c r="C89" s="225"/>
      <c r="D89" s="226">
        <v>1</v>
      </c>
      <c r="E89" s="228">
        <v>4.5</v>
      </c>
      <c r="F89" s="229">
        <v>2.25</v>
      </c>
      <c r="G89" s="227"/>
      <c r="H89" s="135">
        <f t="shared" si="8"/>
        <v>10.125</v>
      </c>
      <c r="I89" s="136"/>
      <c r="J89" s="213"/>
      <c r="K89" s="217">
        <f t="shared" si="6"/>
        <v>0</v>
      </c>
      <c r="L89" s="218">
        <f t="shared" si="7"/>
        <v>0</v>
      </c>
    </row>
    <row r="90" spans="1:12" x14ac:dyDescent="0.2">
      <c r="A90" s="124"/>
      <c r="B90" s="211"/>
      <c r="C90" s="225"/>
      <c r="D90" s="226">
        <v>1</v>
      </c>
      <c r="E90" s="228">
        <v>11.6</v>
      </c>
      <c r="F90" s="229">
        <v>9.3699999999999992</v>
      </c>
      <c r="G90" s="227"/>
      <c r="H90" s="135">
        <f t="shared" si="8"/>
        <v>108.69199999999999</v>
      </c>
      <c r="I90" s="136"/>
      <c r="J90" s="213"/>
      <c r="K90" s="217">
        <f t="shared" si="6"/>
        <v>0</v>
      </c>
      <c r="L90" s="218">
        <f t="shared" si="7"/>
        <v>0</v>
      </c>
    </row>
    <row r="91" spans="1:12" x14ac:dyDescent="0.2">
      <c r="A91" s="124"/>
      <c r="B91" s="211"/>
      <c r="C91" s="225"/>
      <c r="D91" s="226">
        <v>9</v>
      </c>
      <c r="E91" s="228">
        <v>3.3</v>
      </c>
      <c r="F91" s="229">
        <v>1.8</v>
      </c>
      <c r="G91" s="227"/>
      <c r="H91" s="135">
        <f t="shared" si="8"/>
        <v>53.46</v>
      </c>
      <c r="I91" s="136"/>
      <c r="J91" s="213"/>
      <c r="K91" s="217">
        <f t="shared" si="6"/>
        <v>0</v>
      </c>
      <c r="L91" s="218">
        <f t="shared" si="7"/>
        <v>0</v>
      </c>
    </row>
    <row r="92" spans="1:12" x14ac:dyDescent="0.2">
      <c r="A92" s="124"/>
      <c r="B92" s="211"/>
      <c r="C92" s="225" t="s">
        <v>233</v>
      </c>
      <c r="D92" s="226">
        <v>3</v>
      </c>
      <c r="E92" s="227">
        <v>4.5</v>
      </c>
      <c r="F92" s="227">
        <v>0.6</v>
      </c>
      <c r="G92" s="227"/>
      <c r="H92" s="135">
        <f t="shared" si="8"/>
        <v>8.1</v>
      </c>
      <c r="I92" s="136"/>
      <c r="J92" s="213"/>
      <c r="K92" s="217">
        <f t="shared" si="6"/>
        <v>0</v>
      </c>
      <c r="L92" s="218">
        <f t="shared" si="7"/>
        <v>0</v>
      </c>
    </row>
    <row r="93" spans="1:12" x14ac:dyDescent="0.2">
      <c r="A93" s="124"/>
      <c r="B93" s="211"/>
      <c r="C93" s="225" t="s">
        <v>420</v>
      </c>
      <c r="D93" s="226">
        <v>3</v>
      </c>
      <c r="E93" s="227">
        <v>1.8</v>
      </c>
      <c r="F93" s="227">
        <v>0.7</v>
      </c>
      <c r="G93" s="227"/>
      <c r="H93" s="135">
        <f t="shared" si="8"/>
        <v>3.78</v>
      </c>
      <c r="I93" s="136"/>
      <c r="J93" s="213"/>
      <c r="K93" s="217">
        <f t="shared" si="6"/>
        <v>0</v>
      </c>
      <c r="L93" s="218">
        <f t="shared" si="7"/>
        <v>0</v>
      </c>
    </row>
    <row r="94" spans="1:12" x14ac:dyDescent="0.2">
      <c r="A94" s="124"/>
      <c r="B94" s="211"/>
      <c r="C94" s="225" t="s">
        <v>421</v>
      </c>
      <c r="D94" s="226">
        <v>6</v>
      </c>
      <c r="E94" s="227">
        <f>1.37+0.125+0.125</f>
        <v>1.62</v>
      </c>
      <c r="F94" s="227">
        <v>0.6</v>
      </c>
      <c r="G94" s="227"/>
      <c r="H94" s="135">
        <f t="shared" si="8"/>
        <v>5.8319999999999999</v>
      </c>
      <c r="I94" s="136"/>
      <c r="J94" s="213"/>
      <c r="K94" s="217">
        <f t="shared" si="6"/>
        <v>0</v>
      </c>
      <c r="L94" s="218">
        <f t="shared" si="7"/>
        <v>0</v>
      </c>
    </row>
    <row r="95" spans="1:12" x14ac:dyDescent="0.2">
      <c r="A95" s="124"/>
      <c r="B95" s="211"/>
      <c r="C95" s="225" t="s">
        <v>422</v>
      </c>
      <c r="D95" s="226">
        <v>3</v>
      </c>
      <c r="E95" s="227">
        <f>0.9+0.125+0.125</f>
        <v>1.1499999999999999</v>
      </c>
      <c r="F95" s="227">
        <v>0.6</v>
      </c>
      <c r="G95" s="227"/>
      <c r="H95" s="135">
        <f t="shared" si="8"/>
        <v>2.0699999999999998</v>
      </c>
      <c r="I95" s="136"/>
      <c r="J95" s="213"/>
      <c r="K95" s="217">
        <f t="shared" si="6"/>
        <v>0</v>
      </c>
      <c r="L95" s="218">
        <f t="shared" si="7"/>
        <v>0</v>
      </c>
    </row>
    <row r="96" spans="1:12" x14ac:dyDescent="0.2">
      <c r="A96" s="124"/>
      <c r="B96" s="211"/>
      <c r="C96" s="225" t="s">
        <v>236</v>
      </c>
      <c r="D96" s="226">
        <v>2</v>
      </c>
      <c r="E96" s="227">
        <f>1.2+0.25+0.25</f>
        <v>1.7</v>
      </c>
      <c r="F96" s="227">
        <v>0.6</v>
      </c>
      <c r="G96" s="227"/>
      <c r="H96" s="135">
        <f t="shared" si="8"/>
        <v>2.04</v>
      </c>
      <c r="I96" s="136"/>
      <c r="J96" s="213"/>
      <c r="K96" s="217">
        <f t="shared" si="6"/>
        <v>0</v>
      </c>
      <c r="L96" s="218">
        <f t="shared" si="7"/>
        <v>0</v>
      </c>
    </row>
    <row r="97" spans="1:19" x14ac:dyDescent="0.2">
      <c r="A97" s="124"/>
      <c r="B97" s="211"/>
      <c r="C97" s="225" t="s">
        <v>282</v>
      </c>
      <c r="D97" s="226">
        <v>7</v>
      </c>
      <c r="E97" s="227">
        <f>0.6+0.125+0.125</f>
        <v>0.85</v>
      </c>
      <c r="F97" s="227">
        <v>0.6</v>
      </c>
      <c r="G97" s="227"/>
      <c r="H97" s="135">
        <f t="shared" si="8"/>
        <v>3.57</v>
      </c>
      <c r="I97" s="136"/>
      <c r="J97" s="213"/>
      <c r="K97" s="217">
        <f t="shared" si="6"/>
        <v>0</v>
      </c>
      <c r="L97" s="218">
        <f t="shared" si="7"/>
        <v>0</v>
      </c>
    </row>
    <row r="98" spans="1:19" x14ac:dyDescent="0.2">
      <c r="A98" s="124"/>
      <c r="B98" s="211"/>
      <c r="C98" s="225" t="s">
        <v>237</v>
      </c>
      <c r="D98" s="226">
        <v>-1</v>
      </c>
      <c r="E98" s="227">
        <v>3.3250000000000002</v>
      </c>
      <c r="F98" s="227">
        <v>2.7</v>
      </c>
      <c r="G98" s="227"/>
      <c r="H98" s="135">
        <f t="shared" si="8"/>
        <v>-8.9775000000000009</v>
      </c>
      <c r="I98" s="136"/>
      <c r="J98" s="213"/>
      <c r="K98" s="217">
        <f t="shared" si="6"/>
        <v>0</v>
      </c>
      <c r="L98" s="218">
        <f t="shared" si="7"/>
        <v>0</v>
      </c>
    </row>
    <row r="99" spans="1:19" x14ac:dyDescent="0.2">
      <c r="A99" s="124"/>
      <c r="B99" s="211"/>
      <c r="C99" s="230" t="s">
        <v>238</v>
      </c>
      <c r="D99" s="231">
        <v>-1</v>
      </c>
      <c r="E99" s="232">
        <v>2.0499999999999998</v>
      </c>
      <c r="F99" s="232">
        <v>2.37</v>
      </c>
      <c r="G99" s="232"/>
      <c r="H99" s="135">
        <f t="shared" si="8"/>
        <v>-4.8584999999999994</v>
      </c>
      <c r="I99" s="141"/>
      <c r="J99" s="217"/>
      <c r="K99" s="217">
        <f t="shared" si="6"/>
        <v>0</v>
      </c>
      <c r="L99" s="218">
        <f t="shared" si="7"/>
        <v>0</v>
      </c>
    </row>
    <row r="100" spans="1:19" x14ac:dyDescent="0.2">
      <c r="A100" s="124"/>
      <c r="B100" s="215"/>
      <c r="C100" s="180" t="s">
        <v>117</v>
      </c>
      <c r="D100" s="133"/>
      <c r="E100" s="135"/>
      <c r="F100" s="135"/>
      <c r="G100" s="135"/>
      <c r="H100" s="242">
        <v>485</v>
      </c>
      <c r="I100" s="136" t="s">
        <v>128</v>
      </c>
      <c r="J100" s="213">
        <v>927.25</v>
      </c>
      <c r="K100" s="217">
        <f t="shared" si="6"/>
        <v>785.80508474576266</v>
      </c>
      <c r="L100" s="218">
        <f t="shared" si="7"/>
        <v>381115.46610169491</v>
      </c>
    </row>
    <row r="101" spans="1:19" x14ac:dyDescent="0.2">
      <c r="A101" s="124" t="s">
        <v>252</v>
      </c>
      <c r="B101" s="211" t="s">
        <v>199</v>
      </c>
      <c r="C101" s="245" t="s">
        <v>253</v>
      </c>
      <c r="D101" s="127"/>
      <c r="E101" s="129"/>
      <c r="F101" s="129"/>
      <c r="G101" s="129"/>
      <c r="H101" s="239"/>
      <c r="I101" s="130"/>
      <c r="J101" s="240"/>
      <c r="K101" s="217">
        <f t="shared" si="6"/>
        <v>0</v>
      </c>
      <c r="L101" s="218">
        <f t="shared" si="7"/>
        <v>0</v>
      </c>
    </row>
    <row r="102" spans="1:19" x14ac:dyDescent="0.2">
      <c r="A102" s="124"/>
      <c r="B102" s="211"/>
      <c r="C102" s="187" t="s">
        <v>418</v>
      </c>
      <c r="D102" s="133">
        <v>0</v>
      </c>
      <c r="E102" s="135">
        <f>1.05+0.125+0.125</f>
        <v>1.3</v>
      </c>
      <c r="F102" s="135">
        <f>2*G13+F13</f>
        <v>0.42499999999999999</v>
      </c>
      <c r="G102" s="129"/>
      <c r="H102" s="134">
        <f>D102*E102*F102</f>
        <v>0</v>
      </c>
      <c r="I102" s="130"/>
      <c r="J102" s="240"/>
      <c r="K102" s="217">
        <f t="shared" si="6"/>
        <v>0</v>
      </c>
      <c r="L102" s="218">
        <f t="shared" si="7"/>
        <v>0</v>
      </c>
    </row>
    <row r="103" spans="1:19" x14ac:dyDescent="0.2">
      <c r="A103" s="124"/>
      <c r="B103" s="211"/>
      <c r="C103" s="187" t="s">
        <v>293</v>
      </c>
      <c r="D103" s="133">
        <v>7</v>
      </c>
      <c r="E103" s="135">
        <f>1+0.125+0.125</f>
        <v>1.25</v>
      </c>
      <c r="F103" s="135">
        <f>2*G14+F14</f>
        <v>0.55000000000000004</v>
      </c>
      <c r="G103" s="129"/>
      <c r="H103" s="134">
        <f>D103*E103*F103</f>
        <v>4.8125</v>
      </c>
      <c r="I103" s="130"/>
      <c r="J103" s="240"/>
      <c r="K103" s="217">
        <f t="shared" si="6"/>
        <v>0</v>
      </c>
      <c r="L103" s="218">
        <f t="shared" si="7"/>
        <v>0</v>
      </c>
    </row>
    <row r="104" spans="1:19" x14ac:dyDescent="0.2">
      <c r="A104" s="124"/>
      <c r="B104" s="211"/>
      <c r="C104" s="187" t="s">
        <v>222</v>
      </c>
      <c r="D104" s="133">
        <v>3</v>
      </c>
      <c r="E104" s="135">
        <f>0.9+0.125+0.125</f>
        <v>1.1499999999999999</v>
      </c>
      <c r="F104" s="135">
        <f>2*G15+F15</f>
        <v>0.42499999999999999</v>
      </c>
      <c r="G104" s="129"/>
      <c r="H104" s="134">
        <f>D104*E104*F104</f>
        <v>1.4662499999999998</v>
      </c>
      <c r="I104" s="130"/>
      <c r="J104" s="240"/>
      <c r="K104" s="217">
        <f t="shared" si="6"/>
        <v>0</v>
      </c>
      <c r="L104" s="218">
        <f t="shared" si="7"/>
        <v>0</v>
      </c>
    </row>
    <row r="105" spans="1:19" x14ac:dyDescent="0.2">
      <c r="A105" s="124"/>
      <c r="B105" s="211"/>
      <c r="C105" s="220" t="s">
        <v>223</v>
      </c>
      <c r="D105" s="133">
        <v>7</v>
      </c>
      <c r="E105" s="135">
        <f>0.75+0.125+0.125</f>
        <v>1</v>
      </c>
      <c r="F105" s="135">
        <f>2*G16+F16</f>
        <v>0.42499999999999999</v>
      </c>
      <c r="G105" s="135"/>
      <c r="H105" s="134">
        <f>D105*E105*F105</f>
        <v>2.9750000000000001</v>
      </c>
      <c r="I105" s="136"/>
      <c r="J105" s="213"/>
      <c r="K105" s="217">
        <f t="shared" si="6"/>
        <v>0</v>
      </c>
      <c r="L105" s="218">
        <f t="shared" si="7"/>
        <v>0</v>
      </c>
    </row>
    <row r="106" spans="1:19" x14ac:dyDescent="0.2">
      <c r="A106" s="124"/>
      <c r="B106" s="211"/>
      <c r="C106" s="220" t="s">
        <v>419</v>
      </c>
      <c r="D106" s="133">
        <v>3</v>
      </c>
      <c r="E106" s="135">
        <f>0.9+0.25+0.25</f>
        <v>1.4</v>
      </c>
      <c r="F106" s="135">
        <f>2*G17+F17</f>
        <v>0.42499999999999999</v>
      </c>
      <c r="G106" s="135"/>
      <c r="H106" s="134">
        <f>D106*E106*F106</f>
        <v>1.7849999999999997</v>
      </c>
      <c r="I106" s="136"/>
      <c r="J106" s="213"/>
      <c r="K106" s="217">
        <f t="shared" si="6"/>
        <v>0</v>
      </c>
      <c r="L106" s="218">
        <f t="shared" si="7"/>
        <v>0</v>
      </c>
    </row>
    <row r="107" spans="1:19" x14ac:dyDescent="0.2">
      <c r="A107" s="124"/>
      <c r="B107" s="211"/>
      <c r="C107" s="187" t="s">
        <v>254</v>
      </c>
      <c r="D107" s="133"/>
      <c r="E107" s="135"/>
      <c r="F107" s="135"/>
      <c r="G107" s="135"/>
      <c r="H107" s="212"/>
      <c r="I107" s="136"/>
      <c r="J107" s="213"/>
      <c r="K107" s="217">
        <f t="shared" si="6"/>
        <v>0</v>
      </c>
      <c r="L107" s="218">
        <f t="shared" si="7"/>
        <v>0</v>
      </c>
    </row>
    <row r="108" spans="1:19" x14ac:dyDescent="0.2">
      <c r="A108" s="124"/>
      <c r="B108" s="211"/>
      <c r="C108" s="220" t="s">
        <v>255</v>
      </c>
      <c r="D108" s="133">
        <v>1</v>
      </c>
      <c r="E108" s="135">
        <f>E50</f>
        <v>335.72500000000002</v>
      </c>
      <c r="F108" s="135">
        <f>2*G20+F20</f>
        <v>1.19</v>
      </c>
      <c r="G108" s="135"/>
      <c r="H108" s="212">
        <f>D108*E108*F108</f>
        <v>399.51274999999998</v>
      </c>
      <c r="I108" s="136"/>
      <c r="J108" s="213"/>
      <c r="K108" s="217">
        <f t="shared" si="6"/>
        <v>0</v>
      </c>
      <c r="L108" s="218">
        <f t="shared" si="7"/>
        <v>0</v>
      </c>
    </row>
    <row r="109" spans="1:19" x14ac:dyDescent="0.2">
      <c r="A109" s="124"/>
      <c r="B109" s="211"/>
      <c r="C109" s="220" t="s">
        <v>682</v>
      </c>
      <c r="D109" s="133">
        <v>1</v>
      </c>
      <c r="E109" s="135">
        <f>E51</f>
        <v>1.6</v>
      </c>
      <c r="F109" s="135">
        <f>2* G47+F47</f>
        <v>1.0649999999999999</v>
      </c>
      <c r="G109" s="135"/>
      <c r="H109" s="212">
        <f>D109*E109*F109</f>
        <v>1.704</v>
      </c>
      <c r="I109" s="136"/>
      <c r="J109" s="213"/>
      <c r="K109" s="217">
        <f t="shared" si="6"/>
        <v>0</v>
      </c>
      <c r="L109" s="218">
        <f t="shared" si="7"/>
        <v>0</v>
      </c>
    </row>
    <row r="110" spans="1:19" x14ac:dyDescent="0.2">
      <c r="A110" s="124"/>
      <c r="B110" s="215"/>
      <c r="C110" s="223" t="s">
        <v>117</v>
      </c>
      <c r="D110" s="133"/>
      <c r="E110" s="135"/>
      <c r="F110" s="135"/>
      <c r="G110" s="135"/>
      <c r="H110" s="242">
        <v>415</v>
      </c>
      <c r="I110" s="136" t="s">
        <v>128</v>
      </c>
      <c r="J110" s="213">
        <v>736.4</v>
      </c>
      <c r="K110" s="217">
        <f t="shared" si="6"/>
        <v>624.06779661016947</v>
      </c>
      <c r="L110" s="218">
        <f t="shared" si="7"/>
        <v>258988.13559322033</v>
      </c>
    </row>
    <row r="111" spans="1:19" x14ac:dyDescent="0.2">
      <c r="A111" s="124" t="s">
        <v>257</v>
      </c>
      <c r="B111" s="211" t="s">
        <v>258</v>
      </c>
      <c r="C111" s="246" t="s">
        <v>259</v>
      </c>
      <c r="D111" s="247"/>
      <c r="E111" s="248"/>
      <c r="F111" s="248"/>
      <c r="G111" s="129"/>
      <c r="H111" s="239"/>
      <c r="I111" s="130"/>
      <c r="J111" s="240"/>
      <c r="K111" s="217">
        <f t="shared" si="6"/>
        <v>0</v>
      </c>
      <c r="L111" s="218">
        <f t="shared" si="7"/>
        <v>0</v>
      </c>
      <c r="P111" s="108"/>
      <c r="Q111" s="108"/>
      <c r="R111" s="108"/>
      <c r="S111" s="108"/>
    </row>
    <row r="112" spans="1:19" x14ac:dyDescent="0.2">
      <c r="A112" s="124"/>
      <c r="B112" s="211"/>
      <c r="C112" s="225" t="s">
        <v>420</v>
      </c>
      <c r="D112" s="226">
        <f>D64</f>
        <v>3</v>
      </c>
      <c r="E112" s="227">
        <f>E64</f>
        <v>1.8</v>
      </c>
      <c r="F112" s="227">
        <f>F64</f>
        <v>0.7</v>
      </c>
      <c r="G112" s="135"/>
      <c r="H112" s="212">
        <f>F112*E112*D112</f>
        <v>3.7800000000000002</v>
      </c>
      <c r="I112" s="136"/>
      <c r="J112" s="213"/>
      <c r="K112" s="217">
        <f t="shared" si="6"/>
        <v>0</v>
      </c>
      <c r="L112" s="218">
        <f t="shared" si="7"/>
        <v>0</v>
      </c>
    </row>
    <row r="113" spans="1:19" x14ac:dyDescent="0.2">
      <c r="A113" s="124"/>
      <c r="B113" s="211"/>
      <c r="C113" s="225" t="s">
        <v>421</v>
      </c>
      <c r="D113" s="226">
        <f>D65</f>
        <v>6</v>
      </c>
      <c r="E113" s="227">
        <f t="shared" ref="E113:F116" si="9">E65</f>
        <v>1.62</v>
      </c>
      <c r="F113" s="227">
        <f t="shared" si="9"/>
        <v>0.6</v>
      </c>
      <c r="G113" s="227"/>
      <c r="H113" s="212">
        <f>F113*E113*D113</f>
        <v>5.8319999999999999</v>
      </c>
      <c r="I113" s="136"/>
      <c r="J113" s="213"/>
      <c r="K113" s="217">
        <f t="shared" si="6"/>
        <v>0</v>
      </c>
      <c r="L113" s="218">
        <f t="shared" si="7"/>
        <v>0</v>
      </c>
    </row>
    <row r="114" spans="1:19" x14ac:dyDescent="0.2">
      <c r="A114" s="124"/>
      <c r="B114" s="211"/>
      <c r="C114" s="225" t="s">
        <v>422</v>
      </c>
      <c r="D114" s="226">
        <f>D66</f>
        <v>3</v>
      </c>
      <c r="E114" s="227">
        <f t="shared" si="9"/>
        <v>1.1499999999999999</v>
      </c>
      <c r="F114" s="227">
        <f t="shared" si="9"/>
        <v>0.6</v>
      </c>
      <c r="G114" s="227"/>
      <c r="H114" s="212">
        <f>F114*E114*D114</f>
        <v>2.0699999999999998</v>
      </c>
      <c r="I114" s="136"/>
      <c r="J114" s="213"/>
      <c r="K114" s="217">
        <f t="shared" si="6"/>
        <v>0</v>
      </c>
      <c r="L114" s="218">
        <f t="shared" si="7"/>
        <v>0</v>
      </c>
    </row>
    <row r="115" spans="1:19" x14ac:dyDescent="0.2">
      <c r="A115" s="124"/>
      <c r="B115" s="211"/>
      <c r="C115" s="225" t="s">
        <v>236</v>
      </c>
      <c r="D115" s="226">
        <f>D67</f>
        <v>2</v>
      </c>
      <c r="E115" s="227">
        <f t="shared" si="9"/>
        <v>1.7</v>
      </c>
      <c r="F115" s="227">
        <f t="shared" si="9"/>
        <v>0.6</v>
      </c>
      <c r="G115" s="227"/>
      <c r="H115" s="212">
        <f>F115*E115*D115</f>
        <v>2.04</v>
      </c>
      <c r="I115" s="136"/>
      <c r="J115" s="213"/>
      <c r="K115" s="217">
        <f t="shared" si="6"/>
        <v>0</v>
      </c>
      <c r="L115" s="218">
        <f t="shared" si="7"/>
        <v>0</v>
      </c>
    </row>
    <row r="116" spans="1:19" x14ac:dyDescent="0.2">
      <c r="A116" s="124"/>
      <c r="B116" s="211"/>
      <c r="C116" s="225" t="s">
        <v>282</v>
      </c>
      <c r="D116" s="226">
        <f>D68</f>
        <v>7</v>
      </c>
      <c r="E116" s="227">
        <f t="shared" si="9"/>
        <v>0.85</v>
      </c>
      <c r="F116" s="227">
        <f t="shared" si="9"/>
        <v>0.6</v>
      </c>
      <c r="G116" s="227"/>
      <c r="H116" s="212">
        <f>F116*E116*D116</f>
        <v>3.5700000000000003</v>
      </c>
      <c r="I116" s="136"/>
      <c r="J116" s="213"/>
      <c r="K116" s="217">
        <f t="shared" si="6"/>
        <v>0</v>
      </c>
      <c r="L116" s="218">
        <f t="shared" si="7"/>
        <v>0</v>
      </c>
    </row>
    <row r="117" spans="1:19" x14ac:dyDescent="0.2">
      <c r="A117" s="124"/>
      <c r="B117" s="211"/>
      <c r="C117" s="236"/>
      <c r="D117" s="226"/>
      <c r="E117" s="227"/>
      <c r="F117" s="227"/>
      <c r="G117" s="135"/>
      <c r="H117" s="212"/>
      <c r="I117" s="136"/>
      <c r="J117" s="213"/>
      <c r="K117" s="217">
        <f t="shared" si="6"/>
        <v>0</v>
      </c>
      <c r="L117" s="218">
        <f t="shared" si="7"/>
        <v>0</v>
      </c>
      <c r="P117" s="108"/>
      <c r="Q117" s="108"/>
      <c r="R117" s="108"/>
      <c r="S117" s="108"/>
    </row>
    <row r="118" spans="1:19" x14ac:dyDescent="0.2">
      <c r="A118" s="124"/>
      <c r="B118" s="233"/>
      <c r="C118" s="180" t="s">
        <v>117</v>
      </c>
      <c r="D118" s="133"/>
      <c r="E118" s="135"/>
      <c r="F118" s="135"/>
      <c r="G118" s="135"/>
      <c r="H118" s="242">
        <v>17</v>
      </c>
      <c r="I118" s="136" t="s">
        <v>128</v>
      </c>
      <c r="J118" s="213">
        <v>951.1</v>
      </c>
      <c r="K118" s="217">
        <f t="shared" si="6"/>
        <v>806.01694915254234</v>
      </c>
      <c r="L118" s="218">
        <f t="shared" si="7"/>
        <v>13702.28813559322</v>
      </c>
    </row>
    <row r="119" spans="1:19" x14ac:dyDescent="0.2">
      <c r="A119" s="124" t="s">
        <v>261</v>
      </c>
      <c r="B119" s="211" t="s">
        <v>203</v>
      </c>
      <c r="C119" s="250" t="s">
        <v>262</v>
      </c>
      <c r="D119" s="127"/>
      <c r="E119" s="129"/>
      <c r="F119" s="129"/>
      <c r="G119" s="129"/>
      <c r="H119" s="239"/>
      <c r="I119" s="130"/>
      <c r="J119" s="240"/>
      <c r="K119" s="217">
        <f t="shared" si="6"/>
        <v>0</v>
      </c>
      <c r="L119" s="218">
        <f t="shared" si="7"/>
        <v>0</v>
      </c>
    </row>
    <row r="120" spans="1:19" x14ac:dyDescent="0.2">
      <c r="A120" s="124"/>
      <c r="B120" s="211"/>
      <c r="C120" s="132" t="s">
        <v>139</v>
      </c>
      <c r="D120" s="133">
        <f>D7</f>
        <v>18</v>
      </c>
      <c r="E120" s="134">
        <f>2*(E7+F7)</f>
        <v>1.7999999999999998</v>
      </c>
      <c r="F120" s="134"/>
      <c r="G120" s="134">
        <f>G7</f>
        <v>2.4</v>
      </c>
      <c r="H120" s="212">
        <f>G120*E120*D120</f>
        <v>77.759999999999991</v>
      </c>
      <c r="I120" s="136"/>
      <c r="J120" s="213"/>
      <c r="K120" s="217">
        <f t="shared" si="6"/>
        <v>0</v>
      </c>
      <c r="L120" s="218">
        <f t="shared" si="7"/>
        <v>0</v>
      </c>
    </row>
    <row r="121" spans="1:19" x14ac:dyDescent="0.2">
      <c r="A121" s="124"/>
      <c r="B121" s="211"/>
      <c r="C121" s="132" t="s">
        <v>140</v>
      </c>
      <c r="D121" s="133">
        <f>D8</f>
        <v>14</v>
      </c>
      <c r="E121" s="134">
        <f>2*(E8+F8)</f>
        <v>1.7999999999999998</v>
      </c>
      <c r="F121" s="134"/>
      <c r="G121" s="134">
        <f>G8</f>
        <v>2.4</v>
      </c>
      <c r="H121" s="212">
        <f>G121*E121*D121</f>
        <v>60.47999999999999</v>
      </c>
      <c r="I121" s="136"/>
      <c r="J121" s="213"/>
      <c r="K121" s="217">
        <f t="shared" si="6"/>
        <v>0</v>
      </c>
      <c r="L121" s="218">
        <f t="shared" si="7"/>
        <v>0</v>
      </c>
    </row>
    <row r="122" spans="1:19" x14ac:dyDescent="0.2">
      <c r="A122" s="124"/>
      <c r="B122" s="211"/>
      <c r="C122" s="132" t="s">
        <v>597</v>
      </c>
      <c r="D122" s="133">
        <f>D9</f>
        <v>15</v>
      </c>
      <c r="E122" s="134">
        <f>2*(E9+F9)</f>
        <v>1.7999999999999998</v>
      </c>
      <c r="F122" s="134"/>
      <c r="G122" s="134">
        <f>G9</f>
        <v>2.4</v>
      </c>
      <c r="H122" s="212">
        <f>G122*E122*D122</f>
        <v>64.8</v>
      </c>
      <c r="I122" s="136"/>
      <c r="J122" s="213"/>
      <c r="K122" s="217">
        <f t="shared" si="6"/>
        <v>0</v>
      </c>
      <c r="L122" s="218">
        <f t="shared" si="7"/>
        <v>0</v>
      </c>
    </row>
    <row r="123" spans="1:19" x14ac:dyDescent="0.2">
      <c r="A123" s="124"/>
      <c r="B123" s="215"/>
      <c r="C123" s="223" t="s">
        <v>117</v>
      </c>
      <c r="D123" s="133"/>
      <c r="E123" s="135"/>
      <c r="F123" s="135"/>
      <c r="G123" s="135"/>
      <c r="H123" s="242">
        <v>205</v>
      </c>
      <c r="I123" s="136" t="s">
        <v>128</v>
      </c>
      <c r="J123" s="213">
        <v>961.3</v>
      </c>
      <c r="K123" s="217">
        <f t="shared" si="6"/>
        <v>814.66101694915255</v>
      </c>
      <c r="L123" s="218">
        <f t="shared" si="7"/>
        <v>167005.50847457629</v>
      </c>
    </row>
    <row r="124" spans="1:19" x14ac:dyDescent="0.2">
      <c r="A124" s="124" t="s">
        <v>263</v>
      </c>
      <c r="B124" s="211" t="s">
        <v>264</v>
      </c>
      <c r="C124" s="245" t="s">
        <v>265</v>
      </c>
      <c r="D124" s="127"/>
      <c r="E124" s="129"/>
      <c r="F124" s="129"/>
      <c r="G124" s="129"/>
      <c r="H124" s="239"/>
      <c r="I124" s="130"/>
      <c r="J124" s="240"/>
      <c r="K124" s="217">
        <f t="shared" si="6"/>
        <v>0</v>
      </c>
      <c r="L124" s="218">
        <f t="shared" si="7"/>
        <v>0</v>
      </c>
    </row>
    <row r="125" spans="1:19" x14ac:dyDescent="0.2">
      <c r="A125" s="124"/>
      <c r="B125" s="211"/>
      <c r="C125" s="220" t="s">
        <v>241</v>
      </c>
      <c r="D125" s="133">
        <v>2</v>
      </c>
      <c r="E125" s="135">
        <f>E73</f>
        <v>3.6</v>
      </c>
      <c r="F125" s="135">
        <f>F73</f>
        <v>1.2749999999999999</v>
      </c>
      <c r="G125" s="135"/>
      <c r="H125" s="212">
        <f>F125*E125*D125</f>
        <v>9.18</v>
      </c>
      <c r="I125" s="136"/>
      <c r="J125" s="213"/>
      <c r="K125" s="217">
        <f t="shared" si="6"/>
        <v>0</v>
      </c>
      <c r="L125" s="218">
        <f t="shared" si="7"/>
        <v>0</v>
      </c>
    </row>
    <row r="126" spans="1:19" x14ac:dyDescent="0.2">
      <c r="A126" s="124"/>
      <c r="B126" s="211"/>
      <c r="C126" s="220" t="s">
        <v>641</v>
      </c>
      <c r="D126" s="133">
        <v>1</v>
      </c>
      <c r="E126" s="135">
        <f>E74</f>
        <v>1.325</v>
      </c>
      <c r="F126" s="135">
        <f>F74</f>
        <v>2.7</v>
      </c>
      <c r="G126" s="134"/>
      <c r="H126" s="212">
        <f>F126*E126*D126</f>
        <v>3.5775000000000001</v>
      </c>
      <c r="I126" s="136"/>
      <c r="J126" s="213"/>
      <c r="K126" s="217">
        <f t="shared" si="6"/>
        <v>0</v>
      </c>
      <c r="L126" s="218">
        <f t="shared" si="7"/>
        <v>0</v>
      </c>
    </row>
    <row r="127" spans="1:19" x14ac:dyDescent="0.2">
      <c r="A127" s="124"/>
      <c r="B127" s="211"/>
      <c r="C127" s="220" t="s">
        <v>642</v>
      </c>
      <c r="D127" s="133">
        <v>20</v>
      </c>
      <c r="E127" s="135">
        <f>E75</f>
        <v>1.2749999999999999</v>
      </c>
      <c r="F127" s="135">
        <v>0.25</v>
      </c>
      <c r="G127" s="134"/>
      <c r="H127" s="212">
        <f>F127*E127*D127</f>
        <v>6.375</v>
      </c>
      <c r="I127" s="136"/>
      <c r="J127" s="213"/>
      <c r="K127" s="217">
        <f t="shared" si="6"/>
        <v>0</v>
      </c>
      <c r="L127" s="218">
        <f t="shared" si="7"/>
        <v>0</v>
      </c>
    </row>
    <row r="128" spans="1:19" x14ac:dyDescent="0.2">
      <c r="A128" s="139"/>
      <c r="B128" s="215"/>
      <c r="C128" s="221" t="s">
        <v>117</v>
      </c>
      <c r="D128" s="142"/>
      <c r="E128" s="145"/>
      <c r="F128" s="145"/>
      <c r="G128" s="145"/>
      <c r="H128" s="216">
        <v>19</v>
      </c>
      <c r="I128" s="141" t="s">
        <v>128</v>
      </c>
      <c r="J128" s="217">
        <v>764.95</v>
      </c>
      <c r="K128" s="217">
        <f t="shared" si="6"/>
        <v>648.26271186440681</v>
      </c>
      <c r="L128" s="218">
        <f t="shared" si="7"/>
        <v>12316.991525423729</v>
      </c>
    </row>
    <row r="129" spans="1:12" s="256" customFormat="1" ht="38.25" x14ac:dyDescent="0.2">
      <c r="A129" s="116">
        <v>5</v>
      </c>
      <c r="B129" s="117">
        <v>6.4</v>
      </c>
      <c r="C129" s="251" t="s">
        <v>267</v>
      </c>
      <c r="D129" s="116"/>
      <c r="E129" s="252"/>
      <c r="F129" s="252"/>
      <c r="G129" s="252"/>
      <c r="H129" s="253"/>
      <c r="I129" s="254"/>
      <c r="J129" s="255"/>
      <c r="K129" s="217">
        <f t="shared" si="6"/>
        <v>0</v>
      </c>
      <c r="L129" s="218">
        <f t="shared" si="7"/>
        <v>0</v>
      </c>
    </row>
    <row r="130" spans="1:12" s="256" customFormat="1" ht="30" customHeight="1" x14ac:dyDescent="0.2">
      <c r="A130" s="124"/>
      <c r="B130" s="125" t="s">
        <v>268</v>
      </c>
      <c r="C130" s="257" t="s">
        <v>269</v>
      </c>
      <c r="D130" s="124"/>
      <c r="E130" s="258"/>
      <c r="F130" s="258"/>
      <c r="G130" s="258"/>
      <c r="H130" s="259"/>
      <c r="I130" s="260"/>
      <c r="J130" s="261"/>
      <c r="K130" s="217">
        <f t="shared" si="6"/>
        <v>0</v>
      </c>
      <c r="L130" s="218">
        <f t="shared" si="7"/>
        <v>0</v>
      </c>
    </row>
    <row r="131" spans="1:12" x14ac:dyDescent="0.2">
      <c r="A131" s="124"/>
      <c r="B131" s="125"/>
      <c r="C131" s="262" t="s">
        <v>424</v>
      </c>
      <c r="D131" s="133"/>
      <c r="E131" s="135"/>
      <c r="F131" s="135"/>
      <c r="G131" s="135"/>
      <c r="H131" s="212"/>
      <c r="I131" s="136"/>
      <c r="J131" s="213"/>
      <c r="K131" s="217">
        <f t="shared" si="6"/>
        <v>0</v>
      </c>
      <c r="L131" s="218">
        <f t="shared" si="7"/>
        <v>0</v>
      </c>
    </row>
    <row r="132" spans="1:12" x14ac:dyDescent="0.2">
      <c r="A132" s="124"/>
      <c r="B132" s="211"/>
      <c r="C132" s="225" t="s">
        <v>683</v>
      </c>
      <c r="D132" s="133">
        <v>1</v>
      </c>
      <c r="E132" s="135">
        <v>11.475</v>
      </c>
      <c r="F132" s="135">
        <v>0.25</v>
      </c>
      <c r="G132" s="135">
        <f t="shared" ref="G132:G141" si="10">3-0.6</f>
        <v>2.4</v>
      </c>
      <c r="H132" s="212">
        <f t="shared" ref="H132:H138" si="11">G132*F132*E132*D132</f>
        <v>6.8849999999999998</v>
      </c>
      <c r="I132" s="136"/>
      <c r="J132" s="213"/>
      <c r="K132" s="217">
        <f t="shared" si="6"/>
        <v>0</v>
      </c>
      <c r="L132" s="218">
        <f t="shared" si="7"/>
        <v>0</v>
      </c>
    </row>
    <row r="133" spans="1:12" x14ac:dyDescent="0.2">
      <c r="A133" s="124"/>
      <c r="B133" s="211"/>
      <c r="C133" s="325" t="s">
        <v>684</v>
      </c>
      <c r="D133" s="133">
        <v>1</v>
      </c>
      <c r="E133" s="134">
        <f>20.75-0.3*2+0.6*3</f>
        <v>21.95</v>
      </c>
      <c r="F133" s="135">
        <v>0.25</v>
      </c>
      <c r="G133" s="135">
        <f t="shared" si="10"/>
        <v>2.4</v>
      </c>
      <c r="H133" s="212">
        <f t="shared" si="11"/>
        <v>13.17</v>
      </c>
      <c r="I133" s="136"/>
      <c r="J133" s="213"/>
      <c r="K133" s="217">
        <f t="shared" si="6"/>
        <v>0</v>
      </c>
      <c r="L133" s="218">
        <f t="shared" si="7"/>
        <v>0</v>
      </c>
    </row>
    <row r="134" spans="1:12" x14ac:dyDescent="0.2">
      <c r="A134" s="124"/>
      <c r="B134" s="211"/>
      <c r="C134" s="325" t="s">
        <v>685</v>
      </c>
      <c r="D134" s="133">
        <v>2</v>
      </c>
      <c r="E134" s="134">
        <v>8.5</v>
      </c>
      <c r="F134" s="135">
        <v>0.25</v>
      </c>
      <c r="G134" s="135">
        <f t="shared" si="10"/>
        <v>2.4</v>
      </c>
      <c r="H134" s="212">
        <f t="shared" si="11"/>
        <v>10.199999999999999</v>
      </c>
      <c r="I134" s="136"/>
      <c r="J134" s="213"/>
      <c r="K134" s="217">
        <f t="shared" si="6"/>
        <v>0</v>
      </c>
      <c r="L134" s="218">
        <f t="shared" si="7"/>
        <v>0</v>
      </c>
    </row>
    <row r="135" spans="1:12" x14ac:dyDescent="0.2">
      <c r="A135" s="124"/>
      <c r="B135" s="211"/>
      <c r="C135" s="325" t="s">
        <v>666</v>
      </c>
      <c r="D135" s="133">
        <v>1</v>
      </c>
      <c r="E135" s="134">
        <v>4.95</v>
      </c>
      <c r="F135" s="135">
        <v>0.25</v>
      </c>
      <c r="G135" s="135">
        <f t="shared" si="10"/>
        <v>2.4</v>
      </c>
      <c r="H135" s="212">
        <f t="shared" si="11"/>
        <v>2.97</v>
      </c>
      <c r="I135" s="136"/>
      <c r="J135" s="213"/>
      <c r="K135" s="217">
        <f t="shared" si="6"/>
        <v>0</v>
      </c>
      <c r="L135" s="218">
        <f t="shared" si="7"/>
        <v>0</v>
      </c>
    </row>
    <row r="136" spans="1:12" x14ac:dyDescent="0.2">
      <c r="A136" s="124"/>
      <c r="B136" s="211"/>
      <c r="C136" s="325" t="s">
        <v>686</v>
      </c>
      <c r="D136" s="133">
        <v>1</v>
      </c>
      <c r="E136" s="134">
        <v>4.9749999999999996</v>
      </c>
      <c r="F136" s="135">
        <v>0.25</v>
      </c>
      <c r="G136" s="135">
        <f t="shared" si="10"/>
        <v>2.4</v>
      </c>
      <c r="H136" s="212">
        <f>G136*F136*E136*D136</f>
        <v>2.9849999999999999</v>
      </c>
      <c r="I136" s="136"/>
      <c r="J136" s="213"/>
      <c r="K136" s="217">
        <f t="shared" si="6"/>
        <v>0</v>
      </c>
      <c r="L136" s="218">
        <f t="shared" si="7"/>
        <v>0</v>
      </c>
    </row>
    <row r="137" spans="1:12" x14ac:dyDescent="0.2">
      <c r="A137" s="124"/>
      <c r="B137" s="211"/>
      <c r="C137" s="325" t="s">
        <v>687</v>
      </c>
      <c r="D137" s="133">
        <v>1</v>
      </c>
      <c r="E137" s="134">
        <v>11.92</v>
      </c>
      <c r="F137" s="135">
        <v>0.25</v>
      </c>
      <c r="G137" s="135">
        <f t="shared" si="10"/>
        <v>2.4</v>
      </c>
      <c r="H137" s="212">
        <f t="shared" si="11"/>
        <v>7.1520000000000001</v>
      </c>
      <c r="I137" s="136"/>
      <c r="J137" s="213"/>
      <c r="K137" s="217">
        <f t="shared" si="6"/>
        <v>0</v>
      </c>
      <c r="L137" s="218">
        <f t="shared" si="7"/>
        <v>0</v>
      </c>
    </row>
    <row r="138" spans="1:12" x14ac:dyDescent="0.2">
      <c r="A138" s="124"/>
      <c r="B138" s="211"/>
      <c r="C138" s="325" t="s">
        <v>688</v>
      </c>
      <c r="D138" s="133">
        <v>1</v>
      </c>
      <c r="E138" s="134">
        <v>7.02</v>
      </c>
      <c r="F138" s="135">
        <v>0.25</v>
      </c>
      <c r="G138" s="135">
        <f t="shared" si="10"/>
        <v>2.4</v>
      </c>
      <c r="H138" s="212">
        <f t="shared" si="11"/>
        <v>4.2119999999999997</v>
      </c>
      <c r="I138" s="136"/>
      <c r="J138" s="213"/>
      <c r="K138" s="217">
        <f t="shared" si="6"/>
        <v>0</v>
      </c>
      <c r="L138" s="218">
        <f t="shared" si="7"/>
        <v>0</v>
      </c>
    </row>
    <row r="139" spans="1:12" x14ac:dyDescent="0.2">
      <c r="A139" s="124"/>
      <c r="B139" s="211"/>
      <c r="C139" s="325" t="s">
        <v>689</v>
      </c>
      <c r="D139" s="133">
        <v>1</v>
      </c>
      <c r="E139" s="134">
        <v>15.75</v>
      </c>
      <c r="F139" s="135">
        <v>0.25</v>
      </c>
      <c r="G139" s="135">
        <f t="shared" si="10"/>
        <v>2.4</v>
      </c>
      <c r="H139" s="212">
        <f>G139*F139*E139*D139</f>
        <v>9.4499999999999993</v>
      </c>
      <c r="I139" s="136"/>
      <c r="J139" s="213"/>
      <c r="K139" s="217">
        <f t="shared" ref="K139:K202" si="12">J139*100/118</f>
        <v>0</v>
      </c>
      <c r="L139" s="218">
        <f t="shared" ref="L139:L202" si="13">K139*H139</f>
        <v>0</v>
      </c>
    </row>
    <row r="140" spans="1:12" x14ac:dyDescent="0.2">
      <c r="A140" s="124"/>
      <c r="B140" s="211"/>
      <c r="C140" s="325" t="s">
        <v>690</v>
      </c>
      <c r="D140" s="133">
        <v>1</v>
      </c>
      <c r="E140" s="134">
        <f>2.475+1.5+3.48+4.7</f>
        <v>12.155000000000001</v>
      </c>
      <c r="F140" s="135">
        <v>0.25</v>
      </c>
      <c r="G140" s="135">
        <f t="shared" si="10"/>
        <v>2.4</v>
      </c>
      <c r="H140" s="212">
        <f>G140*F140*E140*D140</f>
        <v>7.2930000000000001</v>
      </c>
      <c r="I140" s="136"/>
      <c r="J140" s="213"/>
      <c r="K140" s="217">
        <f t="shared" si="12"/>
        <v>0</v>
      </c>
      <c r="L140" s="218">
        <f t="shared" si="13"/>
        <v>0</v>
      </c>
    </row>
    <row r="141" spans="1:12" x14ac:dyDescent="0.2">
      <c r="A141" s="124"/>
      <c r="B141" s="211"/>
      <c r="C141" s="325" t="s">
        <v>691</v>
      </c>
      <c r="D141" s="133">
        <v>1</v>
      </c>
      <c r="E141" s="134">
        <v>12.95</v>
      </c>
      <c r="F141" s="135">
        <v>0.25</v>
      </c>
      <c r="G141" s="135">
        <f t="shared" si="10"/>
        <v>2.4</v>
      </c>
      <c r="H141" s="212">
        <f>G141*F141*E141*D141</f>
        <v>7.77</v>
      </c>
      <c r="I141" s="136"/>
      <c r="J141" s="213"/>
      <c r="K141" s="217">
        <f t="shared" si="12"/>
        <v>0</v>
      </c>
      <c r="L141" s="218">
        <f t="shared" si="13"/>
        <v>0</v>
      </c>
    </row>
    <row r="142" spans="1:12" x14ac:dyDescent="0.2">
      <c r="A142" s="124"/>
      <c r="B142" s="211"/>
      <c r="C142" s="325" t="s">
        <v>448</v>
      </c>
      <c r="D142" s="133"/>
      <c r="E142" s="134">
        <f>SUM(E132*D132+E133*D133+E134*D134+E135*D135+ E136* D136+E137*D137+E138*D138+E139*D139+E140*D140 + E141* D141)</f>
        <v>120.145</v>
      </c>
      <c r="F142" s="135"/>
      <c r="G142" s="135"/>
      <c r="H142" s="212"/>
      <c r="I142" s="136"/>
      <c r="J142" s="213"/>
      <c r="K142" s="217">
        <f t="shared" si="12"/>
        <v>0</v>
      </c>
      <c r="L142" s="218">
        <f t="shared" si="13"/>
        <v>0</v>
      </c>
    </row>
    <row r="143" spans="1:12" x14ac:dyDescent="0.2">
      <c r="A143" s="124"/>
      <c r="B143" s="125"/>
      <c r="C143" s="262" t="s">
        <v>449</v>
      </c>
      <c r="D143" s="133"/>
      <c r="E143" s="135"/>
      <c r="F143" s="135"/>
      <c r="G143" s="135"/>
      <c r="H143" s="212"/>
      <c r="I143" s="136"/>
      <c r="J143" s="213"/>
      <c r="K143" s="217">
        <f t="shared" si="12"/>
        <v>0</v>
      </c>
      <c r="L143" s="218">
        <f t="shared" si="13"/>
        <v>0</v>
      </c>
    </row>
    <row r="144" spans="1:12" x14ac:dyDescent="0.2">
      <c r="A144" s="124"/>
      <c r="B144" s="125"/>
      <c r="C144" s="225" t="s">
        <v>662</v>
      </c>
      <c r="D144" s="133">
        <v>1</v>
      </c>
      <c r="E144" s="135">
        <v>2.15</v>
      </c>
      <c r="F144" s="135">
        <v>0.25</v>
      </c>
      <c r="G144" s="135">
        <f t="shared" ref="G144:G149" si="14">3-0.6</f>
        <v>2.4</v>
      </c>
      <c r="H144" s="212">
        <f t="shared" ref="H144:H149" si="15">G144*F144*E144*D144</f>
        <v>1.2899999999999998</v>
      </c>
      <c r="I144" s="136"/>
      <c r="J144" s="213"/>
      <c r="K144" s="217">
        <f t="shared" si="12"/>
        <v>0</v>
      </c>
      <c r="L144" s="218">
        <f t="shared" si="13"/>
        <v>0</v>
      </c>
    </row>
    <row r="145" spans="1:12" x14ac:dyDescent="0.2">
      <c r="A145" s="124"/>
      <c r="B145" s="125"/>
      <c r="C145" s="225" t="s">
        <v>692</v>
      </c>
      <c r="D145" s="133">
        <v>1</v>
      </c>
      <c r="E145" s="135">
        <v>7.17</v>
      </c>
      <c r="F145" s="135">
        <v>0.25</v>
      </c>
      <c r="G145" s="135">
        <f t="shared" si="14"/>
        <v>2.4</v>
      </c>
      <c r="H145" s="212">
        <f t="shared" si="15"/>
        <v>4.3019999999999996</v>
      </c>
      <c r="I145" s="136"/>
      <c r="J145" s="213"/>
      <c r="K145" s="217">
        <f t="shared" si="12"/>
        <v>0</v>
      </c>
      <c r="L145" s="218">
        <f t="shared" si="13"/>
        <v>0</v>
      </c>
    </row>
    <row r="146" spans="1:12" x14ac:dyDescent="0.2">
      <c r="A146" s="124"/>
      <c r="B146" s="125"/>
      <c r="C146" s="225" t="s">
        <v>693</v>
      </c>
      <c r="D146" s="133">
        <v>1</v>
      </c>
      <c r="E146" s="135">
        <v>2.25</v>
      </c>
      <c r="F146" s="135">
        <v>0.25</v>
      </c>
      <c r="G146" s="135">
        <f t="shared" si="14"/>
        <v>2.4</v>
      </c>
      <c r="H146" s="212">
        <f t="shared" si="15"/>
        <v>1.3499999999999999</v>
      </c>
      <c r="I146" s="136"/>
      <c r="J146" s="213"/>
      <c r="K146" s="217">
        <f t="shared" si="12"/>
        <v>0</v>
      </c>
      <c r="L146" s="218">
        <f t="shared" si="13"/>
        <v>0</v>
      </c>
    </row>
    <row r="147" spans="1:12" x14ac:dyDescent="0.2">
      <c r="A147" s="124"/>
      <c r="B147" s="125"/>
      <c r="C147" s="225" t="s">
        <v>694</v>
      </c>
      <c r="D147" s="133">
        <v>1</v>
      </c>
      <c r="E147" s="135">
        <v>3.05</v>
      </c>
      <c r="F147" s="135">
        <v>0.25</v>
      </c>
      <c r="G147" s="135">
        <f t="shared" si="14"/>
        <v>2.4</v>
      </c>
      <c r="H147" s="212">
        <f t="shared" si="15"/>
        <v>1.8299999999999998</v>
      </c>
      <c r="I147" s="136"/>
      <c r="J147" s="213"/>
      <c r="K147" s="217">
        <f t="shared" si="12"/>
        <v>0</v>
      </c>
      <c r="L147" s="218">
        <f t="shared" si="13"/>
        <v>0</v>
      </c>
    </row>
    <row r="148" spans="1:12" x14ac:dyDescent="0.2">
      <c r="A148" s="124"/>
      <c r="B148" s="211"/>
      <c r="C148" s="225" t="s">
        <v>666</v>
      </c>
      <c r="D148" s="133">
        <v>1</v>
      </c>
      <c r="E148" s="135">
        <v>6.0750000000000002</v>
      </c>
      <c r="F148" s="135">
        <v>0.25</v>
      </c>
      <c r="G148" s="135">
        <f t="shared" si="14"/>
        <v>2.4</v>
      </c>
      <c r="H148" s="212">
        <f t="shared" si="15"/>
        <v>3.645</v>
      </c>
      <c r="I148" s="136"/>
      <c r="J148" s="213"/>
      <c r="K148" s="217">
        <f t="shared" si="12"/>
        <v>0</v>
      </c>
      <c r="L148" s="218">
        <f t="shared" si="13"/>
        <v>0</v>
      </c>
    </row>
    <row r="149" spans="1:12" x14ac:dyDescent="0.2">
      <c r="A149" s="124"/>
      <c r="B149" s="211"/>
      <c r="C149" s="225" t="s">
        <v>695</v>
      </c>
      <c r="D149" s="133">
        <v>1</v>
      </c>
      <c r="E149" s="135">
        <v>7.7919999999999998</v>
      </c>
      <c r="F149" s="135">
        <v>0.25</v>
      </c>
      <c r="G149" s="135">
        <f t="shared" si="14"/>
        <v>2.4</v>
      </c>
      <c r="H149" s="212">
        <f t="shared" si="15"/>
        <v>4.6751999999999994</v>
      </c>
      <c r="I149" s="136"/>
      <c r="J149" s="213"/>
      <c r="K149" s="217">
        <f t="shared" si="12"/>
        <v>0</v>
      </c>
      <c r="L149" s="218">
        <f t="shared" si="13"/>
        <v>0</v>
      </c>
    </row>
    <row r="150" spans="1:12" x14ac:dyDescent="0.2">
      <c r="A150" s="124"/>
      <c r="B150" s="211"/>
      <c r="C150" s="326" t="s">
        <v>455</v>
      </c>
      <c r="D150" s="133"/>
      <c r="E150" s="134">
        <f>SUM(E144:E149)</f>
        <v>28.487000000000002</v>
      </c>
      <c r="F150" s="135"/>
      <c r="G150" s="135"/>
      <c r="H150" s="212"/>
      <c r="I150" s="136"/>
      <c r="J150" s="213"/>
      <c r="K150" s="217">
        <f t="shared" si="12"/>
        <v>0</v>
      </c>
      <c r="L150" s="218">
        <f t="shared" si="13"/>
        <v>0</v>
      </c>
    </row>
    <row r="151" spans="1:12" x14ac:dyDescent="0.2">
      <c r="A151" s="124"/>
      <c r="B151" s="211"/>
      <c r="C151" s="191" t="s">
        <v>271</v>
      </c>
      <c r="D151" s="133"/>
      <c r="E151" s="134"/>
      <c r="F151" s="134"/>
      <c r="G151" s="134"/>
      <c r="H151" s="212"/>
      <c r="I151" s="136"/>
      <c r="J151" s="236"/>
      <c r="K151" s="217">
        <f t="shared" si="12"/>
        <v>0</v>
      </c>
      <c r="L151" s="218">
        <f t="shared" si="13"/>
        <v>0</v>
      </c>
    </row>
    <row r="152" spans="1:12" x14ac:dyDescent="0.2">
      <c r="A152" s="124"/>
      <c r="B152" s="211"/>
      <c r="C152" s="183" t="s">
        <v>418</v>
      </c>
      <c r="D152" s="133">
        <v>-2</v>
      </c>
      <c r="E152" s="135">
        <v>1.05</v>
      </c>
      <c r="F152" s="135">
        <v>0.25</v>
      </c>
      <c r="G152" s="135">
        <v>2.4</v>
      </c>
      <c r="H152" s="212">
        <f t="shared" ref="H152:H159" si="16">G152*F152*E152*D152</f>
        <v>-1.26</v>
      </c>
      <c r="I152" s="136"/>
      <c r="J152" s="236"/>
      <c r="K152" s="217">
        <f t="shared" si="12"/>
        <v>0</v>
      </c>
      <c r="L152" s="218">
        <f t="shared" si="13"/>
        <v>0</v>
      </c>
    </row>
    <row r="153" spans="1:12" x14ac:dyDescent="0.2">
      <c r="A153" s="124"/>
      <c r="B153" s="211"/>
      <c r="C153" s="183" t="s">
        <v>419</v>
      </c>
      <c r="D153" s="133">
        <v>-3</v>
      </c>
      <c r="E153" s="135">
        <v>0.9</v>
      </c>
      <c r="F153" s="135">
        <v>0.25</v>
      </c>
      <c r="G153" s="135">
        <v>2.4</v>
      </c>
      <c r="H153" s="212">
        <f t="shared" si="16"/>
        <v>-1.62</v>
      </c>
      <c r="I153" s="136"/>
      <c r="J153" s="236"/>
      <c r="K153" s="217">
        <f t="shared" si="12"/>
        <v>0</v>
      </c>
      <c r="L153" s="218">
        <f t="shared" si="13"/>
        <v>0</v>
      </c>
    </row>
    <row r="154" spans="1:12" x14ac:dyDescent="0.2">
      <c r="A154" s="124"/>
      <c r="B154" s="211"/>
      <c r="C154" s="183" t="s">
        <v>696</v>
      </c>
      <c r="D154" s="133">
        <v>-3</v>
      </c>
      <c r="E154" s="135">
        <v>1.8</v>
      </c>
      <c r="F154" s="135">
        <v>0.25</v>
      </c>
      <c r="G154" s="135">
        <v>1.5</v>
      </c>
      <c r="H154" s="212">
        <f t="shared" si="16"/>
        <v>-2.0250000000000004</v>
      </c>
      <c r="I154" s="136"/>
      <c r="J154" s="236"/>
      <c r="K154" s="217">
        <f t="shared" si="12"/>
        <v>0</v>
      </c>
      <c r="L154" s="218">
        <f t="shared" si="13"/>
        <v>0</v>
      </c>
    </row>
    <row r="155" spans="1:12" x14ac:dyDescent="0.2">
      <c r="A155" s="124"/>
      <c r="B155" s="211"/>
      <c r="C155" s="220" t="s">
        <v>457</v>
      </c>
      <c r="D155" s="133">
        <v>-3</v>
      </c>
      <c r="E155" s="135">
        <v>1.37</v>
      </c>
      <c r="F155" s="135">
        <v>0.25</v>
      </c>
      <c r="G155" s="135">
        <v>1.5</v>
      </c>
      <c r="H155" s="212">
        <f t="shared" si="16"/>
        <v>-1.5412500000000002</v>
      </c>
      <c r="I155" s="136"/>
      <c r="J155" s="236"/>
      <c r="K155" s="217">
        <f t="shared" si="12"/>
        <v>0</v>
      </c>
      <c r="L155" s="218">
        <f t="shared" si="13"/>
        <v>0</v>
      </c>
    </row>
    <row r="156" spans="1:12" x14ac:dyDescent="0.2">
      <c r="A156" s="124"/>
      <c r="B156" s="211"/>
      <c r="C156" s="220" t="s">
        <v>458</v>
      </c>
      <c r="D156" s="133">
        <v>-3</v>
      </c>
      <c r="E156" s="135">
        <v>1</v>
      </c>
      <c r="F156" s="135">
        <v>0.25</v>
      </c>
      <c r="G156" s="135">
        <v>1.35</v>
      </c>
      <c r="H156" s="212">
        <f t="shared" si="16"/>
        <v>-1.0125000000000002</v>
      </c>
      <c r="I156" s="136"/>
      <c r="J156" s="236"/>
      <c r="K156" s="217">
        <f t="shared" si="12"/>
        <v>0</v>
      </c>
      <c r="L156" s="218">
        <f t="shared" si="13"/>
        <v>0</v>
      </c>
    </row>
    <row r="157" spans="1:12" x14ac:dyDescent="0.2">
      <c r="A157" s="124"/>
      <c r="B157" s="211"/>
      <c r="C157" s="220" t="s">
        <v>260</v>
      </c>
      <c r="D157" s="133">
        <v>-2</v>
      </c>
      <c r="E157" s="135">
        <v>1.2</v>
      </c>
      <c r="F157" s="135">
        <v>0.25</v>
      </c>
      <c r="G157" s="135">
        <v>1.2</v>
      </c>
      <c r="H157" s="212">
        <f t="shared" si="16"/>
        <v>-0.72</v>
      </c>
      <c r="I157" s="136"/>
      <c r="J157" s="236"/>
      <c r="K157" s="217">
        <f t="shared" si="12"/>
        <v>0</v>
      </c>
      <c r="L157" s="218">
        <f t="shared" si="13"/>
        <v>0</v>
      </c>
    </row>
    <row r="158" spans="1:12" x14ac:dyDescent="0.2">
      <c r="A158" s="124"/>
      <c r="B158" s="211"/>
      <c r="C158" s="220" t="s">
        <v>273</v>
      </c>
      <c r="D158" s="133">
        <v>-7</v>
      </c>
      <c r="E158" s="135">
        <v>0.6</v>
      </c>
      <c r="F158" s="135">
        <v>0.25</v>
      </c>
      <c r="G158" s="135">
        <v>0.9</v>
      </c>
      <c r="H158" s="212">
        <f t="shared" si="16"/>
        <v>-0.94500000000000006</v>
      </c>
      <c r="I158" s="136"/>
      <c r="J158" s="236"/>
      <c r="K158" s="217">
        <f t="shared" si="12"/>
        <v>0</v>
      </c>
      <c r="L158" s="218">
        <f t="shared" si="13"/>
        <v>0</v>
      </c>
    </row>
    <row r="159" spans="1:12" x14ac:dyDescent="0.2">
      <c r="A159" s="124"/>
      <c r="B159" s="211"/>
      <c r="C159" s="316" t="s">
        <v>456</v>
      </c>
      <c r="D159" s="142">
        <v>-8</v>
      </c>
      <c r="E159" s="145">
        <v>1.8</v>
      </c>
      <c r="F159" s="145">
        <v>0.25</v>
      </c>
      <c r="G159" s="145">
        <v>2.4</v>
      </c>
      <c r="H159" s="400">
        <f t="shared" si="16"/>
        <v>-8.64</v>
      </c>
      <c r="I159" s="141"/>
      <c r="J159" s="314"/>
      <c r="K159" s="217">
        <f t="shared" si="12"/>
        <v>0</v>
      </c>
      <c r="L159" s="218">
        <f t="shared" si="13"/>
        <v>0</v>
      </c>
    </row>
    <row r="160" spans="1:12" x14ac:dyDescent="0.2">
      <c r="A160" s="139"/>
      <c r="B160" s="215"/>
      <c r="C160" s="221" t="s">
        <v>117</v>
      </c>
      <c r="D160" s="142"/>
      <c r="E160" s="145"/>
      <c r="F160" s="145"/>
      <c r="G160" s="145"/>
      <c r="H160" s="216">
        <v>75</v>
      </c>
      <c r="I160" s="141" t="s">
        <v>118</v>
      </c>
      <c r="J160" s="217">
        <v>9105.9500000000007</v>
      </c>
      <c r="K160" s="217">
        <f t="shared" si="12"/>
        <v>7716.9067796610179</v>
      </c>
      <c r="L160" s="218">
        <f t="shared" si="13"/>
        <v>578768.00847457629</v>
      </c>
    </row>
    <row r="161" spans="1:12" ht="38.25" x14ac:dyDescent="0.2">
      <c r="A161" s="116">
        <v>6</v>
      </c>
      <c r="B161" s="117">
        <v>6.13</v>
      </c>
      <c r="C161" s="251" t="s">
        <v>274</v>
      </c>
      <c r="D161" s="119"/>
      <c r="E161" s="121"/>
      <c r="F161" s="121"/>
      <c r="G161" s="121"/>
      <c r="H161" s="263"/>
      <c r="I161" s="122"/>
      <c r="J161" s="209"/>
      <c r="K161" s="217">
        <f t="shared" si="12"/>
        <v>0</v>
      </c>
      <c r="L161" s="218">
        <f t="shared" si="13"/>
        <v>0</v>
      </c>
    </row>
    <row r="162" spans="1:12" ht="27" customHeight="1" x14ac:dyDescent="0.2">
      <c r="A162" s="124"/>
      <c r="B162" s="125" t="s">
        <v>275</v>
      </c>
      <c r="C162" s="257" t="s">
        <v>276</v>
      </c>
      <c r="D162" s="127"/>
      <c r="E162" s="129"/>
      <c r="F162" s="129"/>
      <c r="G162" s="129"/>
      <c r="H162" s="264"/>
      <c r="I162" s="130"/>
      <c r="J162" s="240"/>
      <c r="K162" s="217">
        <f t="shared" si="12"/>
        <v>0</v>
      </c>
      <c r="L162" s="218">
        <f t="shared" si="13"/>
        <v>0</v>
      </c>
    </row>
    <row r="163" spans="1:12" x14ac:dyDescent="0.2">
      <c r="A163" s="124"/>
      <c r="B163" s="211"/>
      <c r="C163" s="187" t="s">
        <v>277</v>
      </c>
      <c r="D163" s="180"/>
      <c r="E163" s="135"/>
      <c r="F163" s="135"/>
      <c r="G163" s="135"/>
      <c r="H163" s="212"/>
      <c r="I163" s="136"/>
      <c r="J163" s="213"/>
      <c r="K163" s="217">
        <f t="shared" si="12"/>
        <v>0</v>
      </c>
      <c r="L163" s="218">
        <f t="shared" si="13"/>
        <v>0</v>
      </c>
    </row>
    <row r="164" spans="1:12" x14ac:dyDescent="0.2">
      <c r="A164" s="124"/>
      <c r="B164" s="211"/>
      <c r="C164" s="225" t="s">
        <v>692</v>
      </c>
      <c r="D164" s="133">
        <v>1</v>
      </c>
      <c r="E164" s="135">
        <v>3.67</v>
      </c>
      <c r="F164" s="135"/>
      <c r="G164" s="135">
        <f>3-0.6</f>
        <v>2.4</v>
      </c>
      <c r="H164" s="212">
        <f>D164*E164*G164</f>
        <v>8.8079999999999998</v>
      </c>
      <c r="I164" s="136"/>
      <c r="J164" s="213"/>
      <c r="K164" s="217">
        <f t="shared" si="12"/>
        <v>0</v>
      </c>
      <c r="L164" s="218">
        <f t="shared" si="13"/>
        <v>0</v>
      </c>
    </row>
    <row r="165" spans="1:12" x14ac:dyDescent="0.2">
      <c r="A165" s="124"/>
      <c r="B165" s="211"/>
      <c r="C165" s="225" t="s">
        <v>697</v>
      </c>
      <c r="D165" s="133">
        <v>2</v>
      </c>
      <c r="E165" s="135">
        <v>3.2</v>
      </c>
      <c r="F165" s="135"/>
      <c r="G165" s="135">
        <f>3-0.6</f>
        <v>2.4</v>
      </c>
      <c r="H165" s="212">
        <f t="shared" ref="H165:H186" si="17">D165*E165*G165</f>
        <v>15.36</v>
      </c>
      <c r="I165" s="136"/>
      <c r="J165" s="213"/>
      <c r="K165" s="217">
        <f t="shared" si="12"/>
        <v>0</v>
      </c>
      <c r="L165" s="218">
        <f t="shared" si="13"/>
        <v>0</v>
      </c>
    </row>
    <row r="166" spans="1:12" x14ac:dyDescent="0.2">
      <c r="A166" s="124"/>
      <c r="B166" s="211"/>
      <c r="C166" s="225" t="s">
        <v>698</v>
      </c>
      <c r="D166" s="133">
        <v>1</v>
      </c>
      <c r="E166" s="135">
        <v>2.8</v>
      </c>
      <c r="F166" s="135"/>
      <c r="G166" s="135">
        <f>3-0.6</f>
        <v>2.4</v>
      </c>
      <c r="H166" s="212">
        <f t="shared" si="17"/>
        <v>6.72</v>
      </c>
      <c r="I166" s="136"/>
      <c r="J166" s="213"/>
      <c r="K166" s="217">
        <f t="shared" si="12"/>
        <v>0</v>
      </c>
      <c r="L166" s="218">
        <f t="shared" si="13"/>
        <v>0</v>
      </c>
    </row>
    <row r="167" spans="1:12" x14ac:dyDescent="0.2">
      <c r="A167" s="124"/>
      <c r="B167" s="211"/>
      <c r="C167" s="225" t="s">
        <v>427</v>
      </c>
      <c r="D167" s="133">
        <v>1</v>
      </c>
      <c r="E167" s="135">
        <v>4.7</v>
      </c>
      <c r="F167" s="135"/>
      <c r="G167" s="135">
        <f t="shared" ref="G167:G179" si="18">3-0.6</f>
        <v>2.4</v>
      </c>
      <c r="H167" s="212">
        <f t="shared" si="17"/>
        <v>11.28</v>
      </c>
      <c r="I167" s="136"/>
      <c r="J167" s="213"/>
      <c r="K167" s="217">
        <f t="shared" si="12"/>
        <v>0</v>
      </c>
      <c r="L167" s="218">
        <f t="shared" si="13"/>
        <v>0</v>
      </c>
    </row>
    <row r="168" spans="1:12" x14ac:dyDescent="0.2">
      <c r="A168" s="124"/>
      <c r="B168" s="211"/>
      <c r="C168" s="225" t="s">
        <v>699</v>
      </c>
      <c r="D168" s="133">
        <v>1</v>
      </c>
      <c r="E168" s="135">
        <v>3.2</v>
      </c>
      <c r="F168" s="135"/>
      <c r="G168" s="135">
        <f t="shared" si="18"/>
        <v>2.4</v>
      </c>
      <c r="H168" s="212">
        <f>D168*E168*G168</f>
        <v>7.68</v>
      </c>
      <c r="I168" s="136"/>
      <c r="J168" s="213"/>
      <c r="K168" s="217">
        <f t="shared" si="12"/>
        <v>0</v>
      </c>
      <c r="L168" s="218">
        <f t="shared" si="13"/>
        <v>0</v>
      </c>
    </row>
    <row r="169" spans="1:12" x14ac:dyDescent="0.2">
      <c r="A169" s="124"/>
      <c r="B169" s="211"/>
      <c r="C169" s="225"/>
      <c r="D169" s="133">
        <v>1</v>
      </c>
      <c r="E169" s="135">
        <f>1.6+2.2</f>
        <v>3.8000000000000003</v>
      </c>
      <c r="F169" s="135"/>
      <c r="G169" s="135">
        <f t="shared" si="18"/>
        <v>2.4</v>
      </c>
      <c r="H169" s="212">
        <f>D169*E169*G169</f>
        <v>9.120000000000001</v>
      </c>
      <c r="I169" s="136"/>
      <c r="J169" s="213"/>
      <c r="K169" s="217">
        <f t="shared" si="12"/>
        <v>0</v>
      </c>
      <c r="L169" s="218">
        <f t="shared" si="13"/>
        <v>0</v>
      </c>
    </row>
    <row r="170" spans="1:12" x14ac:dyDescent="0.2">
      <c r="A170" s="124"/>
      <c r="B170" s="211"/>
      <c r="C170" s="225" t="s">
        <v>666</v>
      </c>
      <c r="D170" s="133">
        <v>1</v>
      </c>
      <c r="E170" s="135">
        <v>8.52</v>
      </c>
      <c r="F170" s="135"/>
      <c r="G170" s="135">
        <f t="shared" si="18"/>
        <v>2.4</v>
      </c>
      <c r="H170" s="212">
        <f>D170*E170*G170</f>
        <v>20.447999999999997</v>
      </c>
      <c r="I170" s="136"/>
      <c r="J170" s="213"/>
      <c r="K170" s="217">
        <f t="shared" si="12"/>
        <v>0</v>
      </c>
      <c r="L170" s="218">
        <f t="shared" si="13"/>
        <v>0</v>
      </c>
    </row>
    <row r="171" spans="1:12" x14ac:dyDescent="0.2">
      <c r="A171" s="124"/>
      <c r="B171" s="211"/>
      <c r="C171" s="225" t="s">
        <v>700</v>
      </c>
      <c r="D171" s="133">
        <v>1</v>
      </c>
      <c r="E171" s="135">
        <v>4.3</v>
      </c>
      <c r="F171" s="135"/>
      <c r="G171" s="135">
        <f t="shared" si="18"/>
        <v>2.4</v>
      </c>
      <c r="H171" s="212">
        <f>D171*E171*G171</f>
        <v>10.319999999999999</v>
      </c>
      <c r="I171" s="136"/>
      <c r="J171" s="213"/>
      <c r="K171" s="217">
        <f t="shared" si="12"/>
        <v>0</v>
      </c>
      <c r="L171" s="218">
        <f t="shared" si="13"/>
        <v>0</v>
      </c>
    </row>
    <row r="172" spans="1:12" x14ac:dyDescent="0.2">
      <c r="A172" s="124"/>
      <c r="B172" s="211"/>
      <c r="C172" s="225" t="s">
        <v>701</v>
      </c>
      <c r="D172" s="133">
        <v>1</v>
      </c>
      <c r="E172" s="135">
        <v>3.2</v>
      </c>
      <c r="F172" s="135"/>
      <c r="G172" s="135">
        <f t="shared" si="18"/>
        <v>2.4</v>
      </c>
      <c r="H172" s="212">
        <f t="shared" si="17"/>
        <v>7.68</v>
      </c>
      <c r="I172" s="136"/>
      <c r="J172" s="213"/>
      <c r="K172" s="217">
        <f t="shared" si="12"/>
        <v>0</v>
      </c>
      <c r="L172" s="218">
        <f t="shared" si="13"/>
        <v>0</v>
      </c>
    </row>
    <row r="173" spans="1:12" x14ac:dyDescent="0.2">
      <c r="A173" s="124"/>
      <c r="B173" s="211"/>
      <c r="C173" s="225" t="s">
        <v>702</v>
      </c>
      <c r="D173" s="133">
        <v>2</v>
      </c>
      <c r="E173" s="135">
        <v>2.2000000000000002</v>
      </c>
      <c r="F173" s="135"/>
      <c r="G173" s="135">
        <f t="shared" si="18"/>
        <v>2.4</v>
      </c>
      <c r="H173" s="212">
        <f t="shared" si="17"/>
        <v>10.56</v>
      </c>
      <c r="I173" s="136"/>
      <c r="J173" s="213"/>
      <c r="K173" s="217">
        <f t="shared" si="12"/>
        <v>0</v>
      </c>
      <c r="L173" s="218">
        <f t="shared" si="13"/>
        <v>0</v>
      </c>
    </row>
    <row r="174" spans="1:12" x14ac:dyDescent="0.2">
      <c r="A174" s="124"/>
      <c r="B174" s="211"/>
      <c r="C174" s="225" t="s">
        <v>703</v>
      </c>
      <c r="D174" s="133">
        <v>1</v>
      </c>
      <c r="E174" s="135">
        <v>4.0999999999999996</v>
      </c>
      <c r="F174" s="135"/>
      <c r="G174" s="135">
        <f t="shared" si="18"/>
        <v>2.4</v>
      </c>
      <c r="H174" s="212">
        <f t="shared" si="17"/>
        <v>9.8399999999999981</v>
      </c>
      <c r="I174" s="136"/>
      <c r="J174" s="213"/>
      <c r="K174" s="217">
        <f t="shared" si="12"/>
        <v>0</v>
      </c>
      <c r="L174" s="218">
        <f t="shared" si="13"/>
        <v>0</v>
      </c>
    </row>
    <row r="175" spans="1:12" x14ac:dyDescent="0.2">
      <c r="A175" s="124"/>
      <c r="B175" s="211"/>
      <c r="C175" s="225" t="s">
        <v>704</v>
      </c>
      <c r="D175" s="133">
        <v>1</v>
      </c>
      <c r="E175" s="135">
        <v>3.2</v>
      </c>
      <c r="F175" s="135"/>
      <c r="G175" s="135">
        <f t="shared" si="18"/>
        <v>2.4</v>
      </c>
      <c r="H175" s="212">
        <f t="shared" si="17"/>
        <v>7.68</v>
      </c>
      <c r="I175" s="136"/>
      <c r="J175" s="213"/>
      <c r="K175" s="217">
        <f t="shared" si="12"/>
        <v>0</v>
      </c>
      <c r="L175" s="218">
        <f t="shared" si="13"/>
        <v>0</v>
      </c>
    </row>
    <row r="176" spans="1:12" x14ac:dyDescent="0.2">
      <c r="A176" s="124"/>
      <c r="B176" s="211"/>
      <c r="C176" s="225" t="s">
        <v>705</v>
      </c>
      <c r="D176" s="133">
        <v>2</v>
      </c>
      <c r="E176" s="135">
        <v>4.45</v>
      </c>
      <c r="F176" s="135"/>
      <c r="G176" s="135">
        <f t="shared" si="18"/>
        <v>2.4</v>
      </c>
      <c r="H176" s="212">
        <f t="shared" si="17"/>
        <v>21.36</v>
      </c>
      <c r="I176" s="136"/>
      <c r="J176" s="213"/>
      <c r="K176" s="217">
        <f t="shared" si="12"/>
        <v>0</v>
      </c>
      <c r="L176" s="218">
        <f t="shared" si="13"/>
        <v>0</v>
      </c>
    </row>
    <row r="177" spans="1:12" x14ac:dyDescent="0.2">
      <c r="A177" s="124"/>
      <c r="B177" s="211"/>
      <c r="C177" s="225" t="s">
        <v>706</v>
      </c>
      <c r="D177" s="133">
        <v>1</v>
      </c>
      <c r="E177" s="135">
        <f>1.625*3</f>
        <v>4.875</v>
      </c>
      <c r="F177" s="135"/>
      <c r="G177" s="135">
        <f t="shared" si="18"/>
        <v>2.4</v>
      </c>
      <c r="H177" s="212">
        <f>D177*E177*G177</f>
        <v>11.7</v>
      </c>
      <c r="I177" s="136"/>
      <c r="J177" s="213"/>
      <c r="K177" s="217">
        <f t="shared" si="12"/>
        <v>0</v>
      </c>
      <c r="L177" s="218">
        <f t="shared" si="13"/>
        <v>0</v>
      </c>
    </row>
    <row r="178" spans="1:12" x14ac:dyDescent="0.2">
      <c r="A178" s="124"/>
      <c r="B178" s="211"/>
      <c r="C178" s="225" t="s">
        <v>707</v>
      </c>
      <c r="D178" s="133">
        <v>1</v>
      </c>
      <c r="E178" s="135">
        <v>4.2</v>
      </c>
      <c r="F178" s="135"/>
      <c r="G178" s="135">
        <f t="shared" si="18"/>
        <v>2.4</v>
      </c>
      <c r="H178" s="212">
        <f>D178*E178*G178</f>
        <v>10.08</v>
      </c>
      <c r="I178" s="136"/>
      <c r="J178" s="213"/>
      <c r="K178" s="217">
        <f t="shared" si="12"/>
        <v>0</v>
      </c>
      <c r="L178" s="218">
        <f t="shared" si="13"/>
        <v>0</v>
      </c>
    </row>
    <row r="179" spans="1:12" x14ac:dyDescent="0.2">
      <c r="A179" s="124"/>
      <c r="B179" s="211"/>
      <c r="C179" s="225" t="s">
        <v>708</v>
      </c>
      <c r="D179" s="133">
        <v>2</v>
      </c>
      <c r="E179" s="135">
        <v>4.45</v>
      </c>
      <c r="F179" s="135"/>
      <c r="G179" s="135">
        <f t="shared" si="18"/>
        <v>2.4</v>
      </c>
      <c r="H179" s="212">
        <f>D179*E179*G179</f>
        <v>21.36</v>
      </c>
      <c r="I179" s="136"/>
      <c r="J179" s="213"/>
      <c r="K179" s="217">
        <f t="shared" si="12"/>
        <v>0</v>
      </c>
      <c r="L179" s="218">
        <f t="shared" si="13"/>
        <v>0</v>
      </c>
    </row>
    <row r="180" spans="1:12" x14ac:dyDescent="0.2">
      <c r="A180" s="124"/>
      <c r="B180" s="211"/>
      <c r="C180" s="225" t="s">
        <v>709</v>
      </c>
      <c r="D180" s="133">
        <v>9</v>
      </c>
      <c r="E180" s="135">
        <f>3.3+1.8+1.8</f>
        <v>6.8999999999999995</v>
      </c>
      <c r="F180" s="135"/>
      <c r="G180" s="135">
        <v>0.45</v>
      </c>
      <c r="H180" s="212">
        <f>D180*E180*G180</f>
        <v>27.944999999999997</v>
      </c>
      <c r="I180" s="136"/>
      <c r="J180" s="213"/>
      <c r="K180" s="217">
        <f t="shared" si="12"/>
        <v>0</v>
      </c>
      <c r="L180" s="218">
        <f t="shared" si="13"/>
        <v>0</v>
      </c>
    </row>
    <row r="181" spans="1:12" x14ac:dyDescent="0.2">
      <c r="A181" s="124"/>
      <c r="B181" s="211"/>
      <c r="C181" s="225" t="s">
        <v>476</v>
      </c>
      <c r="D181" s="133"/>
      <c r="E181" s="135">
        <f>SUM(E164:E180)</f>
        <v>71.765000000000015</v>
      </c>
      <c r="F181" s="135"/>
      <c r="G181" s="135"/>
      <c r="H181" s="212"/>
      <c r="I181" s="136"/>
      <c r="J181" s="213"/>
      <c r="K181" s="217">
        <f t="shared" si="12"/>
        <v>0</v>
      </c>
      <c r="L181" s="218">
        <f t="shared" si="13"/>
        <v>0</v>
      </c>
    </row>
    <row r="182" spans="1:12" x14ac:dyDescent="0.2">
      <c r="A182" s="124"/>
      <c r="B182" s="211"/>
      <c r="C182" s="225"/>
      <c r="D182" s="133"/>
      <c r="E182" s="135"/>
      <c r="F182" s="135"/>
      <c r="G182" s="135"/>
      <c r="H182" s="212"/>
      <c r="I182" s="136"/>
      <c r="J182" s="213"/>
      <c r="K182" s="217">
        <f t="shared" si="12"/>
        <v>0</v>
      </c>
      <c r="L182" s="218">
        <f t="shared" si="13"/>
        <v>0</v>
      </c>
    </row>
    <row r="183" spans="1:12" x14ac:dyDescent="0.2">
      <c r="A183" s="124"/>
      <c r="B183" s="211"/>
      <c r="C183" s="191" t="s">
        <v>271</v>
      </c>
      <c r="D183" s="133"/>
      <c r="E183" s="135"/>
      <c r="F183" s="135"/>
      <c r="G183" s="135"/>
      <c r="H183" s="212"/>
      <c r="I183" s="136"/>
      <c r="J183" s="213"/>
      <c r="K183" s="217">
        <f t="shared" si="12"/>
        <v>0</v>
      </c>
      <c r="L183" s="218">
        <f t="shared" si="13"/>
        <v>0</v>
      </c>
    </row>
    <row r="184" spans="1:12" x14ac:dyDescent="0.2">
      <c r="A184" s="124"/>
      <c r="B184" s="211"/>
      <c r="C184" s="183" t="s">
        <v>293</v>
      </c>
      <c r="D184" s="133">
        <v>-7</v>
      </c>
      <c r="E184" s="135">
        <v>1</v>
      </c>
      <c r="F184" s="135"/>
      <c r="G184" s="135">
        <v>2.13</v>
      </c>
      <c r="H184" s="212">
        <f t="shared" si="17"/>
        <v>-14.91</v>
      </c>
      <c r="I184" s="136"/>
      <c r="J184" s="213"/>
      <c r="K184" s="217">
        <f t="shared" si="12"/>
        <v>0</v>
      </c>
      <c r="L184" s="218">
        <f t="shared" si="13"/>
        <v>0</v>
      </c>
    </row>
    <row r="185" spans="1:12" x14ac:dyDescent="0.2">
      <c r="A185" s="124"/>
      <c r="B185" s="211"/>
      <c r="C185" s="183" t="s">
        <v>222</v>
      </c>
      <c r="D185" s="133">
        <v>-3</v>
      </c>
      <c r="E185" s="135">
        <v>0.9</v>
      </c>
      <c r="F185" s="135"/>
      <c r="G185" s="135">
        <v>2.13</v>
      </c>
      <c r="H185" s="212">
        <f t="shared" si="17"/>
        <v>-5.7510000000000003</v>
      </c>
      <c r="I185" s="136"/>
      <c r="J185" s="213"/>
      <c r="K185" s="217">
        <f t="shared" si="12"/>
        <v>0</v>
      </c>
      <c r="L185" s="218">
        <f t="shared" si="13"/>
        <v>0</v>
      </c>
    </row>
    <row r="186" spans="1:12" x14ac:dyDescent="0.2">
      <c r="A186" s="124"/>
      <c r="B186" s="211"/>
      <c r="C186" s="183" t="s">
        <v>223</v>
      </c>
      <c r="D186" s="133">
        <v>-7</v>
      </c>
      <c r="E186" s="135">
        <v>0.75</v>
      </c>
      <c r="F186" s="135"/>
      <c r="G186" s="135">
        <v>2.13</v>
      </c>
      <c r="H186" s="212">
        <f t="shared" si="17"/>
        <v>-11.182499999999999</v>
      </c>
      <c r="I186" s="136"/>
      <c r="J186" s="213"/>
      <c r="K186" s="217">
        <f t="shared" si="12"/>
        <v>0</v>
      </c>
      <c r="L186" s="218">
        <f t="shared" si="13"/>
        <v>0</v>
      </c>
    </row>
    <row r="187" spans="1:12" x14ac:dyDescent="0.2">
      <c r="A187" s="124"/>
      <c r="B187" s="211"/>
      <c r="C187" s="183" t="s">
        <v>457</v>
      </c>
      <c r="D187" s="133">
        <v>-3</v>
      </c>
      <c r="E187" s="135">
        <v>1.37</v>
      </c>
      <c r="F187" s="135"/>
      <c r="G187" s="135">
        <v>1.5</v>
      </c>
      <c r="H187" s="212">
        <f>D187*E187*G187</f>
        <v>-6.1650000000000009</v>
      </c>
      <c r="I187" s="136"/>
      <c r="J187" s="213"/>
      <c r="K187" s="217">
        <f t="shared" si="12"/>
        <v>0</v>
      </c>
      <c r="L187" s="218">
        <f t="shared" si="13"/>
        <v>0</v>
      </c>
    </row>
    <row r="188" spans="1:12" x14ac:dyDescent="0.2">
      <c r="A188" s="124"/>
      <c r="B188" s="211"/>
      <c r="C188" s="183"/>
      <c r="D188" s="133"/>
      <c r="E188" s="135"/>
      <c r="F188" s="135"/>
      <c r="G188" s="135"/>
      <c r="H188" s="212"/>
      <c r="I188" s="136"/>
      <c r="J188" s="213"/>
      <c r="K188" s="217">
        <f t="shared" si="12"/>
        <v>0</v>
      </c>
      <c r="L188" s="218">
        <f t="shared" si="13"/>
        <v>0</v>
      </c>
    </row>
    <row r="189" spans="1:12" x14ac:dyDescent="0.2">
      <c r="A189" s="139"/>
      <c r="B189" s="215"/>
      <c r="C189" s="221" t="s">
        <v>117</v>
      </c>
      <c r="D189" s="142"/>
      <c r="E189" s="145"/>
      <c r="F189" s="145"/>
      <c r="G189" s="145"/>
      <c r="H189" s="216">
        <v>180</v>
      </c>
      <c r="I189" s="141" t="s">
        <v>278</v>
      </c>
      <c r="J189" s="217">
        <v>1123.8</v>
      </c>
      <c r="K189" s="217">
        <f t="shared" si="12"/>
        <v>952.37288135593224</v>
      </c>
      <c r="L189" s="218">
        <f t="shared" si="13"/>
        <v>171427.11864406781</v>
      </c>
    </row>
    <row r="190" spans="1:12" x14ac:dyDescent="0.2">
      <c r="A190" s="116">
        <v>7</v>
      </c>
      <c r="B190" s="206">
        <v>13.16</v>
      </c>
      <c r="C190" s="265" t="s">
        <v>279</v>
      </c>
      <c r="D190" s="119"/>
      <c r="E190" s="121"/>
      <c r="F190" s="121"/>
      <c r="G190" s="121"/>
      <c r="H190" s="263"/>
      <c r="I190" s="122"/>
      <c r="J190" s="209"/>
      <c r="K190" s="217">
        <f t="shared" si="12"/>
        <v>0</v>
      </c>
      <c r="L190" s="218">
        <f t="shared" si="13"/>
        <v>0</v>
      </c>
    </row>
    <row r="191" spans="1:12" x14ac:dyDescent="0.2">
      <c r="A191" s="124"/>
      <c r="B191" s="211" t="s">
        <v>280</v>
      </c>
      <c r="C191" s="266" t="s">
        <v>281</v>
      </c>
      <c r="D191" s="127"/>
      <c r="E191" s="129"/>
      <c r="F191" s="129"/>
      <c r="G191" s="129"/>
      <c r="H191" s="239"/>
      <c r="I191" s="130"/>
      <c r="J191" s="240"/>
      <c r="K191" s="217">
        <f t="shared" si="12"/>
        <v>0</v>
      </c>
      <c r="L191" s="218">
        <f t="shared" si="13"/>
        <v>0</v>
      </c>
    </row>
    <row r="192" spans="1:12" x14ac:dyDescent="0.2">
      <c r="A192" s="124"/>
      <c r="B192" s="211"/>
      <c r="C192" s="225" t="s">
        <v>231</v>
      </c>
      <c r="D192" s="226">
        <v>1</v>
      </c>
      <c r="E192" s="227">
        <v>4.7</v>
      </c>
      <c r="F192" s="227">
        <v>9.5</v>
      </c>
      <c r="G192" s="227"/>
      <c r="H192" s="135">
        <f>D192*E192*F192</f>
        <v>44.65</v>
      </c>
      <c r="I192" s="136"/>
      <c r="J192" s="213"/>
      <c r="K192" s="217">
        <f t="shared" si="12"/>
        <v>0</v>
      </c>
      <c r="L192" s="218">
        <f t="shared" si="13"/>
        <v>0</v>
      </c>
    </row>
    <row r="193" spans="1:12" x14ac:dyDescent="0.2">
      <c r="A193" s="124"/>
      <c r="B193" s="211"/>
      <c r="C193" s="225"/>
      <c r="D193" s="226">
        <v>1</v>
      </c>
      <c r="E193" s="227">
        <v>1.5</v>
      </c>
      <c r="F193" s="227">
        <v>8.85</v>
      </c>
      <c r="G193" s="227"/>
      <c r="H193" s="135">
        <f>D193*E193*F193</f>
        <v>13.274999999999999</v>
      </c>
      <c r="I193" s="136"/>
      <c r="J193" s="213"/>
      <c r="K193" s="217">
        <f t="shared" si="12"/>
        <v>0</v>
      </c>
      <c r="L193" s="218">
        <f t="shared" si="13"/>
        <v>0</v>
      </c>
    </row>
    <row r="194" spans="1:12" x14ac:dyDescent="0.2">
      <c r="A194" s="124"/>
      <c r="B194" s="211"/>
      <c r="C194" s="225" t="s">
        <v>91</v>
      </c>
      <c r="D194" s="226">
        <v>1</v>
      </c>
      <c r="E194" s="950">
        <v>60.96</v>
      </c>
      <c r="F194" s="951"/>
      <c r="G194" s="227"/>
      <c r="H194" s="135">
        <f>D194*E194</f>
        <v>60.96</v>
      </c>
      <c r="I194" s="136"/>
      <c r="J194" s="213"/>
      <c r="K194" s="217">
        <f t="shared" si="12"/>
        <v>0</v>
      </c>
      <c r="L194" s="218">
        <f t="shared" si="13"/>
        <v>0</v>
      </c>
    </row>
    <row r="195" spans="1:12" x14ac:dyDescent="0.2">
      <c r="A195" s="124"/>
      <c r="B195" s="211"/>
      <c r="C195" s="225"/>
      <c r="D195" s="226">
        <v>1</v>
      </c>
      <c r="E195" s="228">
        <v>6.5</v>
      </c>
      <c r="F195" s="229">
        <v>5.15</v>
      </c>
      <c r="G195" s="227"/>
      <c r="H195" s="135">
        <f t="shared" ref="H195:H208" si="19">D195*E195*F195</f>
        <v>33.475000000000001</v>
      </c>
      <c r="I195" s="136"/>
      <c r="J195" s="213"/>
      <c r="K195" s="217">
        <f t="shared" si="12"/>
        <v>0</v>
      </c>
      <c r="L195" s="218">
        <f t="shared" si="13"/>
        <v>0</v>
      </c>
    </row>
    <row r="196" spans="1:12" x14ac:dyDescent="0.2">
      <c r="A196" s="124"/>
      <c r="B196" s="211"/>
      <c r="C196" s="225"/>
      <c r="D196" s="226">
        <v>1</v>
      </c>
      <c r="E196" s="228">
        <v>2.37</v>
      </c>
      <c r="F196" s="229">
        <v>4.3</v>
      </c>
      <c r="G196" s="227"/>
      <c r="H196" s="135">
        <f t="shared" si="19"/>
        <v>10.191000000000001</v>
      </c>
      <c r="I196" s="136"/>
      <c r="J196" s="213"/>
      <c r="K196" s="217">
        <f t="shared" si="12"/>
        <v>0</v>
      </c>
      <c r="L196" s="218">
        <f t="shared" si="13"/>
        <v>0</v>
      </c>
    </row>
    <row r="197" spans="1:12" x14ac:dyDescent="0.2">
      <c r="A197" s="124"/>
      <c r="B197" s="211"/>
      <c r="C197" s="225"/>
      <c r="D197" s="226">
        <v>1</v>
      </c>
      <c r="E197" s="228">
        <v>11.5</v>
      </c>
      <c r="F197" s="229">
        <v>11.92</v>
      </c>
      <c r="G197" s="227"/>
      <c r="H197" s="135">
        <f t="shared" si="19"/>
        <v>137.08000000000001</v>
      </c>
      <c r="I197" s="136"/>
      <c r="J197" s="213"/>
      <c r="K197" s="217">
        <f t="shared" si="12"/>
        <v>0</v>
      </c>
      <c r="L197" s="218">
        <f t="shared" si="13"/>
        <v>0</v>
      </c>
    </row>
    <row r="198" spans="1:12" x14ac:dyDescent="0.2">
      <c r="A198" s="124"/>
      <c r="B198" s="211"/>
      <c r="C198" s="225"/>
      <c r="D198" s="226">
        <v>1</v>
      </c>
      <c r="E198" s="228">
        <v>4.5</v>
      </c>
      <c r="F198" s="229">
        <v>2.25</v>
      </c>
      <c r="G198" s="227"/>
      <c r="H198" s="135">
        <f t="shared" si="19"/>
        <v>10.125</v>
      </c>
      <c r="I198" s="136"/>
      <c r="J198" s="213"/>
      <c r="K198" s="217">
        <f t="shared" si="12"/>
        <v>0</v>
      </c>
      <c r="L198" s="218">
        <f t="shared" si="13"/>
        <v>0</v>
      </c>
    </row>
    <row r="199" spans="1:12" x14ac:dyDescent="0.2">
      <c r="A199" s="124"/>
      <c r="B199" s="211"/>
      <c r="C199" s="225"/>
      <c r="D199" s="226">
        <v>1</v>
      </c>
      <c r="E199" s="228">
        <v>11.6</v>
      </c>
      <c r="F199" s="229">
        <v>9.3699999999999992</v>
      </c>
      <c r="G199" s="227"/>
      <c r="H199" s="135">
        <f t="shared" si="19"/>
        <v>108.69199999999999</v>
      </c>
      <c r="I199" s="136"/>
      <c r="J199" s="213"/>
      <c r="K199" s="217">
        <f t="shared" si="12"/>
        <v>0</v>
      </c>
      <c r="L199" s="218">
        <f t="shared" si="13"/>
        <v>0</v>
      </c>
    </row>
    <row r="200" spans="1:12" x14ac:dyDescent="0.2">
      <c r="A200" s="124"/>
      <c r="B200" s="211"/>
      <c r="C200" s="225"/>
      <c r="D200" s="226">
        <v>9</v>
      </c>
      <c r="E200" s="228">
        <v>3.3</v>
      </c>
      <c r="F200" s="229">
        <v>1.8</v>
      </c>
      <c r="G200" s="227"/>
      <c r="H200" s="135">
        <f t="shared" si="19"/>
        <v>53.46</v>
      </c>
      <c r="I200" s="136"/>
      <c r="J200" s="213"/>
      <c r="K200" s="217">
        <f t="shared" si="12"/>
        <v>0</v>
      </c>
      <c r="L200" s="218">
        <f t="shared" si="13"/>
        <v>0</v>
      </c>
    </row>
    <row r="201" spans="1:12" x14ac:dyDescent="0.2">
      <c r="A201" s="124"/>
      <c r="B201" s="211"/>
      <c r="C201" s="225" t="s">
        <v>233</v>
      </c>
      <c r="D201" s="226">
        <v>3</v>
      </c>
      <c r="E201" s="227">
        <v>4.5</v>
      </c>
      <c r="F201" s="227">
        <v>0.6</v>
      </c>
      <c r="G201" s="227"/>
      <c r="H201" s="135">
        <f t="shared" si="19"/>
        <v>8.1</v>
      </c>
      <c r="I201" s="136"/>
      <c r="J201" s="213"/>
      <c r="K201" s="217">
        <f t="shared" si="12"/>
        <v>0</v>
      </c>
      <c r="L201" s="218">
        <f t="shared" si="13"/>
        <v>0</v>
      </c>
    </row>
    <row r="202" spans="1:12" x14ac:dyDescent="0.2">
      <c r="A202" s="124"/>
      <c r="B202" s="211"/>
      <c r="C202" s="225" t="s">
        <v>420</v>
      </c>
      <c r="D202" s="226">
        <v>3</v>
      </c>
      <c r="E202" s="227">
        <v>1.8</v>
      </c>
      <c r="F202" s="227">
        <v>0.7</v>
      </c>
      <c r="G202" s="227"/>
      <c r="H202" s="135">
        <f t="shared" si="19"/>
        <v>3.78</v>
      </c>
      <c r="I202" s="136"/>
      <c r="J202" s="213"/>
      <c r="K202" s="217">
        <f t="shared" si="12"/>
        <v>0</v>
      </c>
      <c r="L202" s="218">
        <f t="shared" si="13"/>
        <v>0</v>
      </c>
    </row>
    <row r="203" spans="1:12" x14ac:dyDescent="0.2">
      <c r="A203" s="124"/>
      <c r="B203" s="211"/>
      <c r="C203" s="225" t="s">
        <v>421</v>
      </c>
      <c r="D203" s="226">
        <v>6</v>
      </c>
      <c r="E203" s="227">
        <f>1.37+0.125+0.125</f>
        <v>1.62</v>
      </c>
      <c r="F203" s="227">
        <v>0.6</v>
      </c>
      <c r="G203" s="227"/>
      <c r="H203" s="135">
        <f t="shared" si="19"/>
        <v>5.8319999999999999</v>
      </c>
      <c r="I203" s="136"/>
      <c r="J203" s="213"/>
      <c r="K203" s="217">
        <f t="shared" ref="K203:K266" si="20">J203*100/118</f>
        <v>0</v>
      </c>
      <c r="L203" s="218">
        <f t="shared" ref="L203:L266" si="21">K203*H203</f>
        <v>0</v>
      </c>
    </row>
    <row r="204" spans="1:12" x14ac:dyDescent="0.2">
      <c r="A204" s="124"/>
      <c r="B204" s="211"/>
      <c r="C204" s="225" t="s">
        <v>422</v>
      </c>
      <c r="D204" s="226">
        <v>3</v>
      </c>
      <c r="E204" s="227">
        <f>0.9+0.125+0.125</f>
        <v>1.1499999999999999</v>
      </c>
      <c r="F204" s="227">
        <v>0.6</v>
      </c>
      <c r="G204" s="227"/>
      <c r="H204" s="135">
        <f t="shared" si="19"/>
        <v>2.0699999999999998</v>
      </c>
      <c r="I204" s="136"/>
      <c r="J204" s="213"/>
      <c r="K204" s="217">
        <f t="shared" si="20"/>
        <v>0</v>
      </c>
      <c r="L204" s="218">
        <f t="shared" si="21"/>
        <v>0</v>
      </c>
    </row>
    <row r="205" spans="1:12" x14ac:dyDescent="0.2">
      <c r="A205" s="124"/>
      <c r="B205" s="211"/>
      <c r="C205" s="225" t="s">
        <v>236</v>
      </c>
      <c r="D205" s="226">
        <v>2</v>
      </c>
      <c r="E205" s="227">
        <f>1.2+0.25+0.25</f>
        <v>1.7</v>
      </c>
      <c r="F205" s="227">
        <v>0.6</v>
      </c>
      <c r="G205" s="227"/>
      <c r="H205" s="135">
        <f t="shared" si="19"/>
        <v>2.04</v>
      </c>
      <c r="I205" s="136"/>
      <c r="J205" s="213"/>
      <c r="K205" s="217">
        <f t="shared" si="20"/>
        <v>0</v>
      </c>
      <c r="L205" s="218">
        <f t="shared" si="21"/>
        <v>0</v>
      </c>
    </row>
    <row r="206" spans="1:12" x14ac:dyDescent="0.2">
      <c r="A206" s="124"/>
      <c r="B206" s="211"/>
      <c r="C206" s="225" t="s">
        <v>282</v>
      </c>
      <c r="D206" s="226">
        <v>7</v>
      </c>
      <c r="E206" s="227">
        <f>0.6+0.125+0.125</f>
        <v>0.85</v>
      </c>
      <c r="F206" s="227">
        <v>0.6</v>
      </c>
      <c r="G206" s="227"/>
      <c r="H206" s="135">
        <f t="shared" si="19"/>
        <v>3.57</v>
      </c>
      <c r="I206" s="136"/>
      <c r="J206" s="213"/>
      <c r="K206" s="217">
        <f t="shared" si="20"/>
        <v>0</v>
      </c>
      <c r="L206" s="218">
        <f t="shared" si="21"/>
        <v>0</v>
      </c>
    </row>
    <row r="207" spans="1:12" x14ac:dyDescent="0.2">
      <c r="A207" s="124"/>
      <c r="B207" s="211"/>
      <c r="C207" s="225" t="s">
        <v>237</v>
      </c>
      <c r="D207" s="226">
        <v>-1</v>
      </c>
      <c r="E207" s="227">
        <v>3.3250000000000002</v>
      </c>
      <c r="F207" s="227">
        <v>2.7</v>
      </c>
      <c r="G207" s="227"/>
      <c r="H207" s="135">
        <f t="shared" si="19"/>
        <v>-8.9775000000000009</v>
      </c>
      <c r="I207" s="136"/>
      <c r="J207" s="213"/>
      <c r="K207" s="217">
        <f t="shared" si="20"/>
        <v>0</v>
      </c>
      <c r="L207" s="218">
        <f t="shared" si="21"/>
        <v>0</v>
      </c>
    </row>
    <row r="208" spans="1:12" x14ac:dyDescent="0.2">
      <c r="A208" s="124"/>
      <c r="B208" s="211"/>
      <c r="C208" s="230" t="s">
        <v>238</v>
      </c>
      <c r="D208" s="231">
        <v>-1</v>
      </c>
      <c r="E208" s="232">
        <v>2.0499999999999998</v>
      </c>
      <c r="F208" s="232">
        <v>2.37</v>
      </c>
      <c r="G208" s="232"/>
      <c r="H208" s="135">
        <f t="shared" si="19"/>
        <v>-4.8584999999999994</v>
      </c>
      <c r="I208" s="141"/>
      <c r="J208" s="217"/>
      <c r="K208" s="217">
        <f t="shared" si="20"/>
        <v>0</v>
      </c>
      <c r="L208" s="218">
        <f t="shared" si="21"/>
        <v>0</v>
      </c>
    </row>
    <row r="209" spans="1:12" x14ac:dyDescent="0.2">
      <c r="A209" s="139"/>
      <c r="B209" s="215"/>
      <c r="C209" s="221" t="s">
        <v>117</v>
      </c>
      <c r="D209" s="142"/>
      <c r="E209" s="233"/>
      <c r="F209" s="145"/>
      <c r="G209" s="145"/>
      <c r="H209" s="282">
        <v>480</v>
      </c>
      <c r="I209" s="268" t="s">
        <v>128</v>
      </c>
      <c r="J209" s="269">
        <v>300.45</v>
      </c>
      <c r="K209" s="217">
        <f t="shared" si="20"/>
        <v>254.61864406779662</v>
      </c>
      <c r="L209" s="218">
        <f t="shared" si="21"/>
        <v>122216.94915254238</v>
      </c>
    </row>
    <row r="210" spans="1:12" x14ac:dyDescent="0.2">
      <c r="A210" s="116">
        <v>8</v>
      </c>
      <c r="B210" s="206" t="s">
        <v>283</v>
      </c>
      <c r="C210" s="219" t="s">
        <v>284</v>
      </c>
      <c r="D210" s="119"/>
      <c r="E210" s="121"/>
      <c r="F210" s="121"/>
      <c r="G210" s="121"/>
      <c r="H210" s="208"/>
      <c r="I210" s="122"/>
      <c r="J210" s="209"/>
      <c r="K210" s="217">
        <f t="shared" si="20"/>
        <v>0</v>
      </c>
      <c r="L210" s="218">
        <f t="shared" si="21"/>
        <v>0</v>
      </c>
    </row>
    <row r="211" spans="1:12" ht="25.5" x14ac:dyDescent="0.2">
      <c r="A211" s="124"/>
      <c r="B211" s="211"/>
      <c r="C211" s="220" t="s">
        <v>485</v>
      </c>
      <c r="D211" s="133">
        <v>1</v>
      </c>
      <c r="E211" s="135">
        <f>E142</f>
        <v>120.145</v>
      </c>
      <c r="F211" s="135"/>
      <c r="G211" s="135">
        <f>3-0.13</f>
        <v>2.87</v>
      </c>
      <c r="H211" s="212">
        <f>SUM(G211*E211*D211)</f>
        <v>344.81614999999999</v>
      </c>
      <c r="I211" s="136"/>
      <c r="J211" s="213"/>
      <c r="K211" s="217">
        <f t="shared" si="20"/>
        <v>0</v>
      </c>
      <c r="L211" s="218">
        <f t="shared" si="21"/>
        <v>0</v>
      </c>
    </row>
    <row r="212" spans="1:12" x14ac:dyDescent="0.2">
      <c r="A212" s="124"/>
      <c r="B212" s="211"/>
      <c r="C212" s="225" t="s">
        <v>486</v>
      </c>
      <c r="D212" s="133">
        <v>2</v>
      </c>
      <c r="E212" s="135">
        <f>E150</f>
        <v>28.487000000000002</v>
      </c>
      <c r="F212" s="135"/>
      <c r="G212" s="135">
        <f>3-0.13</f>
        <v>2.87</v>
      </c>
      <c r="H212" s="212">
        <f>SUM(G212*E212*D212)</f>
        <v>163.51538000000002</v>
      </c>
      <c r="I212" s="136"/>
      <c r="J212" s="213"/>
      <c r="K212" s="217">
        <f t="shared" si="20"/>
        <v>0</v>
      </c>
      <c r="L212" s="218">
        <f t="shared" si="21"/>
        <v>0</v>
      </c>
    </row>
    <row r="213" spans="1:12" x14ac:dyDescent="0.2">
      <c r="A213" s="124"/>
      <c r="B213" s="211"/>
      <c r="C213" s="191" t="s">
        <v>271</v>
      </c>
      <c r="D213" s="133"/>
      <c r="E213" s="135"/>
      <c r="F213" s="135"/>
      <c r="G213" s="135"/>
      <c r="H213" s="180"/>
      <c r="I213" s="136"/>
      <c r="J213" s="213"/>
      <c r="K213" s="217">
        <f t="shared" si="20"/>
        <v>0</v>
      </c>
      <c r="L213" s="218">
        <f t="shared" si="21"/>
        <v>0</v>
      </c>
    </row>
    <row r="214" spans="1:12" x14ac:dyDescent="0.2">
      <c r="A214" s="124"/>
      <c r="B214" s="211"/>
      <c r="C214" s="183" t="s">
        <v>418</v>
      </c>
      <c r="D214" s="133">
        <v>-3</v>
      </c>
      <c r="E214" s="135">
        <v>1.05</v>
      </c>
      <c r="F214" s="135"/>
      <c r="G214" s="135">
        <v>2.4</v>
      </c>
      <c r="H214" s="212">
        <f>G214*E214*D214</f>
        <v>-7.5600000000000005</v>
      </c>
      <c r="I214" s="136"/>
      <c r="J214" s="236"/>
      <c r="K214" s="217">
        <f t="shared" si="20"/>
        <v>0</v>
      </c>
      <c r="L214" s="218">
        <f t="shared" si="21"/>
        <v>0</v>
      </c>
    </row>
    <row r="215" spans="1:12" x14ac:dyDescent="0.2">
      <c r="A215" s="124"/>
      <c r="B215" s="211"/>
      <c r="C215" s="183" t="s">
        <v>419</v>
      </c>
      <c r="D215" s="133">
        <v>-3</v>
      </c>
      <c r="E215" s="135">
        <v>0.9</v>
      </c>
      <c r="F215" s="135"/>
      <c r="G215" s="135">
        <v>2.4</v>
      </c>
      <c r="H215" s="212">
        <f t="shared" ref="H215:H221" si="22">G215*E215*D215</f>
        <v>-6.48</v>
      </c>
      <c r="I215" s="136"/>
      <c r="J215" s="236"/>
      <c r="K215" s="217">
        <f t="shared" si="20"/>
        <v>0</v>
      </c>
      <c r="L215" s="218">
        <f t="shared" si="21"/>
        <v>0</v>
      </c>
    </row>
    <row r="216" spans="1:12" x14ac:dyDescent="0.2">
      <c r="A216" s="124"/>
      <c r="B216" s="211"/>
      <c r="C216" s="183" t="s">
        <v>696</v>
      </c>
      <c r="D216" s="133">
        <v>-3</v>
      </c>
      <c r="E216" s="135">
        <v>1.8</v>
      </c>
      <c r="F216" s="135"/>
      <c r="G216" s="135">
        <v>1.5</v>
      </c>
      <c r="H216" s="212">
        <f t="shared" si="22"/>
        <v>-8.1000000000000014</v>
      </c>
      <c r="I216" s="136"/>
      <c r="J216" s="236"/>
      <c r="K216" s="217">
        <f t="shared" si="20"/>
        <v>0</v>
      </c>
      <c r="L216" s="218">
        <f t="shared" si="21"/>
        <v>0</v>
      </c>
    </row>
    <row r="217" spans="1:12" x14ac:dyDescent="0.2">
      <c r="A217" s="124"/>
      <c r="B217" s="211"/>
      <c r="C217" s="220" t="s">
        <v>457</v>
      </c>
      <c r="D217" s="133">
        <v>-3</v>
      </c>
      <c r="E217" s="135">
        <v>1.37</v>
      </c>
      <c r="F217" s="135"/>
      <c r="G217" s="135">
        <v>1.5</v>
      </c>
      <c r="H217" s="212">
        <f t="shared" si="22"/>
        <v>-6.1650000000000009</v>
      </c>
      <c r="I217" s="136"/>
      <c r="J217" s="236"/>
      <c r="K217" s="217">
        <f t="shared" si="20"/>
        <v>0</v>
      </c>
      <c r="L217" s="218">
        <f t="shared" si="21"/>
        <v>0</v>
      </c>
    </row>
    <row r="218" spans="1:12" x14ac:dyDescent="0.2">
      <c r="A218" s="124"/>
      <c r="B218" s="211"/>
      <c r="C218" s="220" t="s">
        <v>458</v>
      </c>
      <c r="D218" s="133">
        <v>-3</v>
      </c>
      <c r="E218" s="135">
        <v>1</v>
      </c>
      <c r="F218" s="135"/>
      <c r="G218" s="135">
        <v>1.35</v>
      </c>
      <c r="H218" s="212">
        <f t="shared" si="22"/>
        <v>-4.0500000000000007</v>
      </c>
      <c r="I218" s="136"/>
      <c r="J218" s="236"/>
      <c r="K218" s="217">
        <f t="shared" si="20"/>
        <v>0</v>
      </c>
      <c r="L218" s="218">
        <f t="shared" si="21"/>
        <v>0</v>
      </c>
    </row>
    <row r="219" spans="1:12" x14ac:dyDescent="0.2">
      <c r="A219" s="124"/>
      <c r="B219" s="211"/>
      <c r="C219" s="220" t="s">
        <v>260</v>
      </c>
      <c r="D219" s="133">
        <v>-2</v>
      </c>
      <c r="E219" s="135">
        <v>1.2</v>
      </c>
      <c r="F219" s="135"/>
      <c r="G219" s="135">
        <v>1.2</v>
      </c>
      <c r="H219" s="212">
        <f t="shared" si="22"/>
        <v>-2.88</v>
      </c>
      <c r="I219" s="136"/>
      <c r="J219" s="236"/>
      <c r="K219" s="217">
        <f t="shared" si="20"/>
        <v>0</v>
      </c>
      <c r="L219" s="218">
        <f t="shared" si="21"/>
        <v>0</v>
      </c>
    </row>
    <row r="220" spans="1:12" x14ac:dyDescent="0.2">
      <c r="A220" s="124"/>
      <c r="B220" s="211"/>
      <c r="C220" s="220" t="s">
        <v>273</v>
      </c>
      <c r="D220" s="133">
        <v>-7</v>
      </c>
      <c r="E220" s="135">
        <v>0.6</v>
      </c>
      <c r="F220" s="135"/>
      <c r="G220" s="135">
        <v>0.9</v>
      </c>
      <c r="H220" s="212">
        <f t="shared" si="22"/>
        <v>-3.7800000000000002</v>
      </c>
      <c r="I220" s="136"/>
      <c r="J220" s="236"/>
      <c r="K220" s="217">
        <f t="shared" si="20"/>
        <v>0</v>
      </c>
      <c r="L220" s="218">
        <f t="shared" si="21"/>
        <v>0</v>
      </c>
    </row>
    <row r="221" spans="1:12" x14ac:dyDescent="0.2">
      <c r="A221" s="124"/>
      <c r="B221" s="211"/>
      <c r="C221" s="316" t="s">
        <v>456</v>
      </c>
      <c r="D221" s="142">
        <v>-7</v>
      </c>
      <c r="E221" s="145">
        <v>2.4</v>
      </c>
      <c r="F221" s="145"/>
      <c r="G221" s="145">
        <v>2.4</v>
      </c>
      <c r="H221" s="212">
        <f t="shared" si="22"/>
        <v>-40.32</v>
      </c>
      <c r="I221" s="141"/>
      <c r="J221" s="314"/>
      <c r="K221" s="217">
        <f t="shared" si="20"/>
        <v>0</v>
      </c>
      <c r="L221" s="218">
        <f t="shared" si="21"/>
        <v>0</v>
      </c>
    </row>
    <row r="222" spans="1:12" x14ac:dyDescent="0.2">
      <c r="A222" s="124"/>
      <c r="B222" s="211"/>
      <c r="C222" s="223" t="s">
        <v>207</v>
      </c>
      <c r="D222" s="133"/>
      <c r="E222" s="135"/>
      <c r="F222" s="135"/>
      <c r="G222" s="135"/>
      <c r="H222" s="212">
        <v>425</v>
      </c>
      <c r="I222" s="136"/>
      <c r="J222" s="213"/>
      <c r="K222" s="217">
        <f t="shared" si="20"/>
        <v>0</v>
      </c>
      <c r="L222" s="218">
        <f t="shared" si="21"/>
        <v>0</v>
      </c>
    </row>
    <row r="223" spans="1:12" x14ac:dyDescent="0.2">
      <c r="A223" s="124"/>
      <c r="B223" s="211"/>
      <c r="C223" s="223"/>
      <c r="D223" s="133"/>
      <c r="E223" s="135"/>
      <c r="F223" s="135"/>
      <c r="G223" s="135"/>
      <c r="H223" s="212"/>
      <c r="I223" s="136"/>
      <c r="J223" s="213"/>
      <c r="K223" s="217">
        <f t="shared" si="20"/>
        <v>0</v>
      </c>
      <c r="L223" s="218">
        <f t="shared" si="21"/>
        <v>0</v>
      </c>
    </row>
    <row r="224" spans="1:12" ht="25.5" x14ac:dyDescent="0.2">
      <c r="A224" s="124"/>
      <c r="B224" s="211"/>
      <c r="C224" s="220" t="s">
        <v>487</v>
      </c>
      <c r="D224" s="133">
        <v>1</v>
      </c>
      <c r="E224" s="135">
        <f>E181</f>
        <v>71.765000000000015</v>
      </c>
      <c r="F224" s="135"/>
      <c r="G224" s="135">
        <f>3-0.13</f>
        <v>2.87</v>
      </c>
      <c r="H224" s="212">
        <f>SUM(G224*E224*D224)</f>
        <v>205.96555000000004</v>
      </c>
      <c r="I224" s="136"/>
      <c r="J224" s="213"/>
      <c r="K224" s="217">
        <f t="shared" si="20"/>
        <v>0</v>
      </c>
      <c r="L224" s="218">
        <f t="shared" si="21"/>
        <v>0</v>
      </c>
    </row>
    <row r="225" spans="1:12" x14ac:dyDescent="0.2">
      <c r="A225" s="124"/>
      <c r="B225" s="211"/>
      <c r="C225" s="183" t="s">
        <v>710</v>
      </c>
      <c r="D225" s="133">
        <v>0</v>
      </c>
      <c r="E225" s="135">
        <v>1.05</v>
      </c>
      <c r="F225" s="135"/>
      <c r="G225" s="135">
        <v>2.4</v>
      </c>
      <c r="H225" s="212">
        <f>D225*E225*G225</f>
        <v>0</v>
      </c>
      <c r="I225" s="136"/>
      <c r="J225" s="213"/>
      <c r="K225" s="217">
        <f t="shared" si="20"/>
        <v>0</v>
      </c>
      <c r="L225" s="218">
        <f t="shared" si="21"/>
        <v>0</v>
      </c>
    </row>
    <row r="226" spans="1:12" x14ac:dyDescent="0.2">
      <c r="A226" s="124"/>
      <c r="B226" s="211"/>
      <c r="C226" s="183" t="s">
        <v>293</v>
      </c>
      <c r="D226" s="133">
        <v>-7</v>
      </c>
      <c r="E226" s="135">
        <v>1</v>
      </c>
      <c r="F226" s="135"/>
      <c r="G226" s="135">
        <v>2.1</v>
      </c>
      <c r="H226" s="212">
        <f>D226*E226*G226</f>
        <v>-14.700000000000001</v>
      </c>
      <c r="I226" s="136"/>
      <c r="J226" s="213"/>
      <c r="K226" s="217">
        <f t="shared" si="20"/>
        <v>0</v>
      </c>
      <c r="L226" s="218">
        <f t="shared" si="21"/>
        <v>0</v>
      </c>
    </row>
    <row r="227" spans="1:12" x14ac:dyDescent="0.2">
      <c r="A227" s="124"/>
      <c r="B227" s="211"/>
      <c r="C227" s="183" t="s">
        <v>222</v>
      </c>
      <c r="D227" s="133">
        <v>-3</v>
      </c>
      <c r="E227" s="135">
        <v>0.9</v>
      </c>
      <c r="F227" s="135"/>
      <c r="G227" s="135">
        <v>2.13</v>
      </c>
      <c r="H227" s="212">
        <f>D227*E227*G227</f>
        <v>-5.7510000000000003</v>
      </c>
      <c r="I227" s="136"/>
      <c r="J227" s="213"/>
      <c r="K227" s="217">
        <f t="shared" si="20"/>
        <v>0</v>
      </c>
      <c r="L227" s="218">
        <f t="shared" si="21"/>
        <v>0</v>
      </c>
    </row>
    <row r="228" spans="1:12" x14ac:dyDescent="0.2">
      <c r="A228" s="124"/>
      <c r="B228" s="211"/>
      <c r="C228" s="183" t="s">
        <v>223</v>
      </c>
      <c r="D228" s="133">
        <v>-7</v>
      </c>
      <c r="E228" s="135">
        <v>0.75</v>
      </c>
      <c r="F228" s="135"/>
      <c r="G228" s="135">
        <v>2.13</v>
      </c>
      <c r="H228" s="212">
        <f>D228*E228*G228</f>
        <v>-11.182499999999999</v>
      </c>
      <c r="I228" s="136"/>
      <c r="J228" s="213"/>
      <c r="K228" s="217">
        <f t="shared" si="20"/>
        <v>0</v>
      </c>
      <c r="L228" s="218">
        <f t="shared" si="21"/>
        <v>0</v>
      </c>
    </row>
    <row r="229" spans="1:12" x14ac:dyDescent="0.2">
      <c r="A229" s="124"/>
      <c r="B229" s="211"/>
      <c r="C229" s="183" t="s">
        <v>457</v>
      </c>
      <c r="D229" s="133">
        <v>-3</v>
      </c>
      <c r="E229" s="135">
        <v>1.37</v>
      </c>
      <c r="F229" s="135"/>
      <c r="G229" s="135">
        <v>1.5</v>
      </c>
      <c r="H229" s="212">
        <f>D229*E229*G229</f>
        <v>-6.1650000000000009</v>
      </c>
      <c r="I229" s="136"/>
      <c r="J229" s="213"/>
      <c r="K229" s="217">
        <f t="shared" si="20"/>
        <v>0</v>
      </c>
      <c r="L229" s="218">
        <f t="shared" si="21"/>
        <v>0</v>
      </c>
    </row>
    <row r="230" spans="1:12" x14ac:dyDescent="0.2">
      <c r="A230" s="124"/>
      <c r="B230" s="211"/>
      <c r="C230" s="183"/>
      <c r="D230" s="133"/>
      <c r="E230" s="135"/>
      <c r="F230" s="135"/>
      <c r="G230" s="135"/>
      <c r="H230" s="212"/>
      <c r="I230" s="136"/>
      <c r="J230" s="213"/>
      <c r="K230" s="217">
        <f t="shared" si="20"/>
        <v>0</v>
      </c>
      <c r="L230" s="218">
        <f t="shared" si="21"/>
        <v>0</v>
      </c>
    </row>
    <row r="231" spans="1:12" x14ac:dyDescent="0.2">
      <c r="A231" s="124"/>
      <c r="B231" s="211"/>
      <c r="C231" s="223" t="s">
        <v>207</v>
      </c>
      <c r="D231" s="133"/>
      <c r="E231" s="135"/>
      <c r="F231" s="135"/>
      <c r="G231" s="135"/>
      <c r="H231" s="212">
        <f>SUM(H224:H230)</f>
        <v>168.16705000000005</v>
      </c>
      <c r="I231" s="136"/>
      <c r="J231" s="213"/>
      <c r="K231" s="217">
        <f t="shared" si="20"/>
        <v>0</v>
      </c>
      <c r="L231" s="218">
        <f t="shared" si="21"/>
        <v>0</v>
      </c>
    </row>
    <row r="232" spans="1:12" x14ac:dyDescent="0.2">
      <c r="A232" s="139"/>
      <c r="B232" s="215"/>
      <c r="C232" s="221" t="s">
        <v>295</v>
      </c>
      <c r="D232" s="142"/>
      <c r="E232" s="233"/>
      <c r="F232" s="145"/>
      <c r="G232" s="145"/>
      <c r="H232" s="282">
        <v>590</v>
      </c>
      <c r="I232" s="268" t="s">
        <v>128</v>
      </c>
      <c r="J232" s="269">
        <v>343.65</v>
      </c>
      <c r="K232" s="217">
        <f t="shared" si="20"/>
        <v>291.22881355932202</v>
      </c>
      <c r="L232" s="218">
        <f t="shared" si="21"/>
        <v>171825</v>
      </c>
    </row>
    <row r="233" spans="1:12" ht="25.5" x14ac:dyDescent="0.2">
      <c r="A233" s="116">
        <v>9</v>
      </c>
      <c r="B233" s="206" t="s">
        <v>296</v>
      </c>
      <c r="C233" s="270" t="s">
        <v>297</v>
      </c>
      <c r="D233" s="119"/>
      <c r="E233" s="271"/>
      <c r="F233" s="121"/>
      <c r="G233" s="121"/>
      <c r="H233" s="272"/>
      <c r="I233" s="254"/>
      <c r="J233" s="255"/>
      <c r="K233" s="217">
        <f t="shared" si="20"/>
        <v>0</v>
      </c>
      <c r="L233" s="218">
        <f t="shared" si="21"/>
        <v>0</v>
      </c>
    </row>
    <row r="234" spans="1:12" x14ac:dyDescent="0.2">
      <c r="A234" s="124"/>
      <c r="B234" s="211"/>
      <c r="C234" s="223" t="s">
        <v>488</v>
      </c>
      <c r="D234" s="133">
        <v>1</v>
      </c>
      <c r="E234" s="135">
        <f>E224</f>
        <v>71.765000000000015</v>
      </c>
      <c r="F234" s="135"/>
      <c r="G234" s="135">
        <f>G224</f>
        <v>2.87</v>
      </c>
      <c r="H234" s="212">
        <f>SUM(G234*E234*D234)</f>
        <v>205.96555000000004</v>
      </c>
      <c r="I234" s="273"/>
      <c r="J234" s="274"/>
      <c r="K234" s="217">
        <f t="shared" si="20"/>
        <v>0</v>
      </c>
      <c r="L234" s="218">
        <f t="shared" si="21"/>
        <v>0</v>
      </c>
    </row>
    <row r="235" spans="1:12" x14ac:dyDescent="0.2">
      <c r="A235" s="139"/>
      <c r="B235" s="215"/>
      <c r="C235" s="223" t="s">
        <v>207</v>
      </c>
      <c r="D235" s="133"/>
      <c r="E235" s="135"/>
      <c r="F235" s="135"/>
      <c r="G235" s="135"/>
      <c r="H235" s="242">
        <f>SUM(H234)</f>
        <v>205.96555000000004</v>
      </c>
      <c r="I235" s="136" t="s">
        <v>278</v>
      </c>
      <c r="J235" s="213">
        <v>395.35</v>
      </c>
      <c r="K235" s="217">
        <f t="shared" si="20"/>
        <v>335.04237288135596</v>
      </c>
      <c r="L235" s="218">
        <f t="shared" si="21"/>
        <v>69007.186603813578</v>
      </c>
    </row>
    <row r="236" spans="1:12" ht="27.75" customHeight="1" x14ac:dyDescent="0.2">
      <c r="A236" s="124">
        <v>10</v>
      </c>
      <c r="B236" s="211" t="s">
        <v>299</v>
      </c>
      <c r="C236" s="276" t="s">
        <v>300</v>
      </c>
      <c r="D236" s="127"/>
      <c r="E236" s="129"/>
      <c r="F236" s="129"/>
      <c r="G236" s="129"/>
      <c r="H236" s="264"/>
      <c r="I236" s="130"/>
      <c r="J236" s="240"/>
      <c r="K236" s="217">
        <f t="shared" si="20"/>
        <v>0</v>
      </c>
      <c r="L236" s="218">
        <f t="shared" si="21"/>
        <v>0</v>
      </c>
    </row>
    <row r="237" spans="1:12" x14ac:dyDescent="0.2">
      <c r="A237" s="124"/>
      <c r="B237" s="211"/>
      <c r="C237" s="225" t="s">
        <v>489</v>
      </c>
      <c r="D237" s="133">
        <v>1</v>
      </c>
      <c r="E237" s="135">
        <f>E142</f>
        <v>120.145</v>
      </c>
      <c r="F237" s="135"/>
      <c r="G237" s="135">
        <f>3</f>
        <v>3</v>
      </c>
      <c r="H237" s="212">
        <f>G237*E237*D237</f>
        <v>360.435</v>
      </c>
      <c r="I237" s="180"/>
      <c r="J237" s="213"/>
      <c r="K237" s="217">
        <f t="shared" si="20"/>
        <v>0</v>
      </c>
      <c r="L237" s="218">
        <f t="shared" si="21"/>
        <v>0</v>
      </c>
    </row>
    <row r="238" spans="1:12" x14ac:dyDescent="0.2">
      <c r="A238" s="139"/>
      <c r="B238" s="215"/>
      <c r="C238" s="221" t="s">
        <v>117</v>
      </c>
      <c r="D238" s="142"/>
      <c r="E238" s="143"/>
      <c r="F238" s="143"/>
      <c r="G238" s="143"/>
      <c r="H238" s="216">
        <v>355</v>
      </c>
      <c r="I238" s="233" t="s">
        <v>128</v>
      </c>
      <c r="J238" s="217">
        <v>466.05</v>
      </c>
      <c r="K238" s="217">
        <f t="shared" si="20"/>
        <v>394.95762711864404</v>
      </c>
      <c r="L238" s="218">
        <f t="shared" si="21"/>
        <v>140209.95762711862</v>
      </c>
    </row>
    <row r="239" spans="1:12" ht="85.5" x14ac:dyDescent="0.2">
      <c r="A239" s="124">
        <v>11</v>
      </c>
      <c r="B239" s="211">
        <v>13.73</v>
      </c>
      <c r="C239" s="118" t="s">
        <v>304</v>
      </c>
      <c r="D239" s="127"/>
      <c r="E239" s="128"/>
      <c r="F239" s="128"/>
      <c r="G239" s="128"/>
      <c r="H239" s="264"/>
      <c r="I239" s="249"/>
      <c r="J239" s="240"/>
      <c r="K239" s="217">
        <f t="shared" si="20"/>
        <v>0</v>
      </c>
      <c r="L239" s="218">
        <f t="shared" si="21"/>
        <v>0</v>
      </c>
    </row>
    <row r="240" spans="1:12" ht="14.25" x14ac:dyDescent="0.2">
      <c r="A240" s="124"/>
      <c r="B240" s="211" t="s">
        <v>305</v>
      </c>
      <c r="C240" s="118" t="s">
        <v>306</v>
      </c>
      <c r="D240" s="127"/>
      <c r="E240" s="128">
        <v>160</v>
      </c>
      <c r="F240" s="128"/>
      <c r="G240" s="128"/>
      <c r="H240" s="264"/>
      <c r="I240" s="249" t="s">
        <v>307</v>
      </c>
      <c r="J240" s="240">
        <v>75.8</v>
      </c>
      <c r="K240" s="217">
        <f t="shared" si="20"/>
        <v>64.237288135593218</v>
      </c>
      <c r="L240" s="218">
        <f t="shared" si="21"/>
        <v>0</v>
      </c>
    </row>
    <row r="241" spans="1:12" ht="91.5" customHeight="1" x14ac:dyDescent="0.2">
      <c r="A241" s="116">
        <v>12</v>
      </c>
      <c r="B241" s="175" t="s">
        <v>308</v>
      </c>
      <c r="C241" s="118" t="s">
        <v>309</v>
      </c>
      <c r="D241" s="119"/>
      <c r="E241" s="271"/>
      <c r="F241" s="121"/>
      <c r="G241" s="121"/>
      <c r="H241" s="272"/>
      <c r="I241" s="254"/>
      <c r="J241" s="255"/>
      <c r="K241" s="217">
        <f t="shared" si="20"/>
        <v>0</v>
      </c>
      <c r="L241" s="218">
        <f t="shared" si="21"/>
        <v>0</v>
      </c>
    </row>
    <row r="242" spans="1:12" ht="14.25" x14ac:dyDescent="0.2">
      <c r="A242" s="124"/>
      <c r="B242" s="176"/>
      <c r="C242" s="236" t="s">
        <v>310</v>
      </c>
      <c r="D242" s="133">
        <v>18</v>
      </c>
      <c r="E242" s="135">
        <v>1.2749999999999999</v>
      </c>
      <c r="F242" s="135">
        <v>0.25</v>
      </c>
      <c r="G242" s="135"/>
      <c r="H242" s="242">
        <f>D242*E242*F242</f>
        <v>5.7374999999999998</v>
      </c>
      <c r="I242" s="273"/>
      <c r="J242" s="274"/>
      <c r="K242" s="217">
        <f t="shared" si="20"/>
        <v>0</v>
      </c>
      <c r="L242" s="218">
        <f t="shared" si="21"/>
        <v>0</v>
      </c>
    </row>
    <row r="243" spans="1:12" ht="14.25" x14ac:dyDescent="0.2">
      <c r="A243" s="124"/>
      <c r="B243" s="176"/>
      <c r="C243" s="278" t="s">
        <v>311</v>
      </c>
      <c r="D243" s="133">
        <v>1</v>
      </c>
      <c r="E243" s="135">
        <v>2.7</v>
      </c>
      <c r="F243" s="135">
        <v>1.33</v>
      </c>
      <c r="G243" s="135"/>
      <c r="H243" s="242">
        <f>D243*E243*F243</f>
        <v>3.5910000000000006</v>
      </c>
      <c r="I243" s="273"/>
      <c r="J243" s="274"/>
      <c r="K243" s="217">
        <f t="shared" si="20"/>
        <v>0</v>
      </c>
      <c r="L243" s="218">
        <f t="shared" si="21"/>
        <v>0</v>
      </c>
    </row>
    <row r="244" spans="1:12" ht="14.25" x14ac:dyDescent="0.2">
      <c r="A244" s="139"/>
      <c r="B244" s="280"/>
      <c r="C244" s="281" t="s">
        <v>207</v>
      </c>
      <c r="D244" s="142"/>
      <c r="E244" s="233"/>
      <c r="F244" s="145"/>
      <c r="G244" s="145"/>
      <c r="H244" s="282">
        <v>9</v>
      </c>
      <c r="I244" s="268" t="s">
        <v>278</v>
      </c>
      <c r="J244" s="269">
        <v>1948.25</v>
      </c>
      <c r="K244" s="217">
        <f t="shared" si="20"/>
        <v>1651.0593220338983</v>
      </c>
      <c r="L244" s="218">
        <f t="shared" si="21"/>
        <v>14859.533898305084</v>
      </c>
    </row>
    <row r="245" spans="1:12" ht="100.5" x14ac:dyDescent="0.2">
      <c r="A245" s="116">
        <v>13</v>
      </c>
      <c r="B245" s="206">
        <v>11.41</v>
      </c>
      <c r="C245" s="288" t="s">
        <v>317</v>
      </c>
      <c r="D245" s="119"/>
      <c r="E245" s="121"/>
      <c r="F245" s="121"/>
      <c r="G245" s="121"/>
      <c r="H245" s="208"/>
      <c r="I245" s="122"/>
      <c r="J245" s="209"/>
      <c r="K245" s="217">
        <f t="shared" si="20"/>
        <v>0</v>
      </c>
      <c r="L245" s="218">
        <f t="shared" si="21"/>
        <v>0</v>
      </c>
    </row>
    <row r="246" spans="1:12" ht="25.5" x14ac:dyDescent="0.2">
      <c r="A246" s="124"/>
      <c r="B246" s="211" t="s">
        <v>318</v>
      </c>
      <c r="C246" s="289" t="s">
        <v>319</v>
      </c>
      <c r="D246" s="127"/>
      <c r="E246" s="129"/>
      <c r="F246" s="129"/>
      <c r="G246" s="129"/>
      <c r="H246" s="239"/>
      <c r="I246" s="130"/>
      <c r="J246" s="240"/>
      <c r="K246" s="217">
        <f t="shared" si="20"/>
        <v>0</v>
      </c>
      <c r="L246" s="218">
        <f t="shared" si="21"/>
        <v>0</v>
      </c>
    </row>
    <row r="247" spans="1:12" x14ac:dyDescent="0.2">
      <c r="A247" s="124"/>
      <c r="B247" s="211"/>
      <c r="C247" s="401" t="s">
        <v>711</v>
      </c>
      <c r="D247" s="127"/>
      <c r="E247" s="129"/>
      <c r="F247" s="129"/>
      <c r="G247" s="129"/>
      <c r="H247" s="239"/>
      <c r="I247" s="130"/>
      <c r="J247" s="240"/>
      <c r="K247" s="217">
        <f t="shared" si="20"/>
        <v>0</v>
      </c>
      <c r="L247" s="218">
        <f t="shared" si="21"/>
        <v>0</v>
      </c>
    </row>
    <row r="248" spans="1:12" x14ac:dyDescent="0.2">
      <c r="A248" s="124"/>
      <c r="B248" s="211"/>
      <c r="C248" s="225" t="s">
        <v>712</v>
      </c>
      <c r="D248" s="226">
        <v>1</v>
      </c>
      <c r="E248" s="227">
        <v>3.6</v>
      </c>
      <c r="F248" s="227">
        <v>7.7</v>
      </c>
      <c r="G248" s="227"/>
      <c r="H248" s="227">
        <f t="shared" ref="H248:H255" si="23">D248*E248*F248</f>
        <v>27.720000000000002</v>
      </c>
      <c r="I248" s="136"/>
      <c r="J248" s="213"/>
      <c r="K248" s="217">
        <f t="shared" si="20"/>
        <v>0</v>
      </c>
      <c r="L248" s="218">
        <f t="shared" si="21"/>
        <v>0</v>
      </c>
    </row>
    <row r="249" spans="1:12" x14ac:dyDescent="0.2">
      <c r="A249" s="124"/>
      <c r="B249" s="211"/>
      <c r="C249" s="225" t="s">
        <v>492</v>
      </c>
      <c r="D249" s="226">
        <v>1</v>
      </c>
      <c r="E249" s="227">
        <v>2.9249999999999998</v>
      </c>
      <c r="F249" s="227">
        <v>4.2</v>
      </c>
      <c r="G249" s="227"/>
      <c r="H249" s="227">
        <f t="shared" si="23"/>
        <v>12.285</v>
      </c>
      <c r="I249" s="136"/>
      <c r="J249" s="213"/>
      <c r="K249" s="217">
        <f t="shared" si="20"/>
        <v>0</v>
      </c>
      <c r="L249" s="218">
        <f t="shared" si="21"/>
        <v>0</v>
      </c>
    </row>
    <row r="250" spans="1:12" x14ac:dyDescent="0.2">
      <c r="A250" s="124"/>
      <c r="B250" s="211"/>
      <c r="C250" s="225" t="s">
        <v>493</v>
      </c>
      <c r="D250" s="226">
        <v>1</v>
      </c>
      <c r="E250" s="227">
        <v>3.7250000000000001</v>
      </c>
      <c r="F250" s="227">
        <v>4.0999999999999996</v>
      </c>
      <c r="G250" s="227"/>
      <c r="H250" s="227">
        <f t="shared" si="23"/>
        <v>15.272499999999999</v>
      </c>
      <c r="I250" s="136"/>
      <c r="J250" s="213"/>
      <c r="K250" s="217">
        <f t="shared" si="20"/>
        <v>0</v>
      </c>
      <c r="L250" s="218">
        <f t="shared" si="21"/>
        <v>0</v>
      </c>
    </row>
    <row r="251" spans="1:12" x14ac:dyDescent="0.2">
      <c r="A251" s="124"/>
      <c r="B251" s="211"/>
      <c r="C251" s="225" t="s">
        <v>713</v>
      </c>
      <c r="D251" s="226">
        <v>1</v>
      </c>
      <c r="E251" s="227">
        <v>4.2</v>
      </c>
      <c r="F251" s="227">
        <v>3.3</v>
      </c>
      <c r="G251" s="227"/>
      <c r="H251" s="227">
        <f t="shared" si="23"/>
        <v>13.86</v>
      </c>
      <c r="I251" s="136"/>
      <c r="J251" s="213"/>
      <c r="K251" s="217">
        <f t="shared" si="20"/>
        <v>0</v>
      </c>
      <c r="L251" s="218">
        <f t="shared" si="21"/>
        <v>0</v>
      </c>
    </row>
    <row r="252" spans="1:12" x14ac:dyDescent="0.2">
      <c r="A252" s="124"/>
      <c r="B252" s="211"/>
      <c r="C252" s="225" t="s">
        <v>713</v>
      </c>
      <c r="D252" s="226">
        <v>1</v>
      </c>
      <c r="E252" s="227">
        <v>4.2</v>
      </c>
      <c r="F252" s="227">
        <v>3.6</v>
      </c>
      <c r="G252" s="227"/>
      <c r="H252" s="227">
        <f t="shared" si="23"/>
        <v>15.120000000000001</v>
      </c>
      <c r="I252" s="136"/>
      <c r="J252" s="213"/>
      <c r="K252" s="217">
        <f t="shared" si="20"/>
        <v>0</v>
      </c>
      <c r="L252" s="218">
        <f t="shared" si="21"/>
        <v>0</v>
      </c>
    </row>
    <row r="253" spans="1:12" x14ac:dyDescent="0.2">
      <c r="A253" s="124"/>
      <c r="B253" s="211"/>
      <c r="C253" s="225" t="s">
        <v>714</v>
      </c>
      <c r="D253" s="226">
        <v>3</v>
      </c>
      <c r="E253" s="227">
        <v>4.0999999999999996</v>
      </c>
      <c r="F253" s="227">
        <v>0.6</v>
      </c>
      <c r="G253" s="227"/>
      <c r="H253" s="227">
        <f t="shared" si="23"/>
        <v>7.379999999999999</v>
      </c>
      <c r="I253" s="136"/>
      <c r="J253" s="213"/>
      <c r="K253" s="217">
        <f t="shared" si="20"/>
        <v>0</v>
      </c>
      <c r="L253" s="218">
        <f t="shared" si="21"/>
        <v>0</v>
      </c>
    </row>
    <row r="254" spans="1:12" x14ac:dyDescent="0.2">
      <c r="A254" s="124"/>
      <c r="B254" s="211"/>
      <c r="C254" s="225" t="s">
        <v>715</v>
      </c>
      <c r="D254" s="226">
        <v>1</v>
      </c>
      <c r="E254" s="227">
        <v>1.7</v>
      </c>
      <c r="F254" s="227">
        <v>3.3</v>
      </c>
      <c r="G254" s="227"/>
      <c r="H254" s="227">
        <f t="shared" si="23"/>
        <v>5.6099999999999994</v>
      </c>
      <c r="I254" s="136"/>
      <c r="J254" s="213"/>
      <c r="K254" s="217">
        <f t="shared" si="20"/>
        <v>0</v>
      </c>
      <c r="L254" s="218">
        <f t="shared" si="21"/>
        <v>0</v>
      </c>
    </row>
    <row r="255" spans="1:12" x14ac:dyDescent="0.2">
      <c r="A255" s="124"/>
      <c r="B255" s="211"/>
      <c r="C255" s="225"/>
      <c r="D255" s="226">
        <v>1</v>
      </c>
      <c r="E255" s="227">
        <v>2.2749999999999999</v>
      </c>
      <c r="F255" s="227">
        <v>0.85</v>
      </c>
      <c r="G255" s="227"/>
      <c r="H255" s="227">
        <f t="shared" si="23"/>
        <v>1.9337499999999999</v>
      </c>
      <c r="I255" s="136"/>
      <c r="J255" s="213"/>
      <c r="K255" s="217">
        <f t="shared" si="20"/>
        <v>0</v>
      </c>
      <c r="L255" s="218">
        <f t="shared" si="21"/>
        <v>0</v>
      </c>
    </row>
    <row r="256" spans="1:12" x14ac:dyDescent="0.2">
      <c r="A256" s="124"/>
      <c r="B256" s="211"/>
      <c r="C256" s="401" t="s">
        <v>716</v>
      </c>
      <c r="D256" s="127"/>
      <c r="E256" s="129"/>
      <c r="F256" s="129"/>
      <c r="G256" s="129"/>
      <c r="H256" s="239"/>
      <c r="I256" s="130"/>
      <c r="J256" s="240"/>
      <c r="K256" s="217">
        <f t="shared" si="20"/>
        <v>0</v>
      </c>
      <c r="L256" s="218">
        <f t="shared" si="21"/>
        <v>0</v>
      </c>
    </row>
    <row r="257" spans="1:12" x14ac:dyDescent="0.2">
      <c r="A257" s="124"/>
      <c r="B257" s="211"/>
      <c r="C257" s="225" t="s">
        <v>712</v>
      </c>
      <c r="D257" s="226">
        <v>2</v>
      </c>
      <c r="E257" s="227">
        <v>6.0750000000000002</v>
      </c>
      <c r="F257" s="227">
        <v>3.3</v>
      </c>
      <c r="G257" s="227"/>
      <c r="H257" s="227">
        <f t="shared" ref="H257:H263" si="24">D257*E257*F257</f>
        <v>40.094999999999999</v>
      </c>
      <c r="I257" s="136"/>
      <c r="J257" s="213"/>
      <c r="K257" s="217">
        <f t="shared" si="20"/>
        <v>0</v>
      </c>
      <c r="L257" s="218">
        <f t="shared" si="21"/>
        <v>0</v>
      </c>
    </row>
    <row r="258" spans="1:12" x14ac:dyDescent="0.2">
      <c r="A258" s="124"/>
      <c r="B258" s="211"/>
      <c r="C258" s="225" t="s">
        <v>492</v>
      </c>
      <c r="D258" s="226">
        <v>2</v>
      </c>
      <c r="E258" s="227">
        <v>2.75</v>
      </c>
      <c r="F258" s="227">
        <v>3.4750000000000001</v>
      </c>
      <c r="G258" s="227"/>
      <c r="H258" s="227">
        <f t="shared" si="24"/>
        <v>19.112500000000001</v>
      </c>
      <c r="I258" s="136"/>
      <c r="J258" s="213"/>
      <c r="K258" s="217">
        <f t="shared" si="20"/>
        <v>0</v>
      </c>
      <c r="L258" s="218">
        <f t="shared" si="21"/>
        <v>0</v>
      </c>
    </row>
    <row r="259" spans="1:12" x14ac:dyDescent="0.2">
      <c r="A259" s="124"/>
      <c r="B259" s="211"/>
      <c r="C259" s="225" t="s">
        <v>493</v>
      </c>
      <c r="D259" s="226">
        <v>2</v>
      </c>
      <c r="E259" s="227">
        <v>3.2</v>
      </c>
      <c r="F259" s="227">
        <v>4.2</v>
      </c>
      <c r="G259" s="227"/>
      <c r="H259" s="227">
        <f t="shared" si="24"/>
        <v>26.880000000000003</v>
      </c>
      <c r="I259" s="136"/>
      <c r="J259" s="213"/>
      <c r="K259" s="217">
        <f t="shared" si="20"/>
        <v>0</v>
      </c>
      <c r="L259" s="218">
        <f t="shared" si="21"/>
        <v>0</v>
      </c>
    </row>
    <row r="260" spans="1:12" x14ac:dyDescent="0.2">
      <c r="A260" s="124"/>
      <c r="B260" s="211"/>
      <c r="C260" s="225" t="s">
        <v>713</v>
      </c>
      <c r="D260" s="226">
        <v>2</v>
      </c>
      <c r="E260" s="227">
        <v>3.3</v>
      </c>
      <c r="F260" s="227">
        <v>4.2</v>
      </c>
      <c r="G260" s="227"/>
      <c r="H260" s="227">
        <f t="shared" si="24"/>
        <v>27.72</v>
      </c>
      <c r="I260" s="136"/>
      <c r="J260" s="213"/>
      <c r="K260" s="217">
        <f t="shared" si="20"/>
        <v>0</v>
      </c>
      <c r="L260" s="218">
        <f t="shared" si="21"/>
        <v>0</v>
      </c>
    </row>
    <row r="261" spans="1:12" x14ac:dyDescent="0.2">
      <c r="A261" s="124"/>
      <c r="B261" s="211"/>
      <c r="C261" s="225" t="s">
        <v>714</v>
      </c>
      <c r="D261" s="226">
        <v>4</v>
      </c>
      <c r="E261" s="227">
        <v>4.0999999999999996</v>
      </c>
      <c r="F261" s="227">
        <v>0.6</v>
      </c>
      <c r="G261" s="227"/>
      <c r="H261" s="227">
        <f t="shared" si="24"/>
        <v>9.8399999999999981</v>
      </c>
      <c r="I261" s="136"/>
      <c r="J261" s="213"/>
      <c r="K261" s="217">
        <f t="shared" si="20"/>
        <v>0</v>
      </c>
      <c r="L261" s="218">
        <f t="shared" si="21"/>
        <v>0</v>
      </c>
    </row>
    <row r="262" spans="1:12" x14ac:dyDescent="0.2">
      <c r="A262" s="124"/>
      <c r="B262" s="211"/>
      <c r="C262" s="225" t="s">
        <v>715</v>
      </c>
      <c r="D262" s="226">
        <v>2</v>
      </c>
      <c r="E262" s="227">
        <v>1.6</v>
      </c>
      <c r="F262" s="227">
        <v>1.2250000000000001</v>
      </c>
      <c r="G262" s="227"/>
      <c r="H262" s="227">
        <f t="shared" si="24"/>
        <v>3.9200000000000004</v>
      </c>
      <c r="I262" s="136"/>
      <c r="J262" s="213"/>
      <c r="K262" s="217">
        <f t="shared" si="20"/>
        <v>0</v>
      </c>
      <c r="L262" s="218">
        <f t="shared" si="21"/>
        <v>0</v>
      </c>
    </row>
    <row r="263" spans="1:12" x14ac:dyDescent="0.2">
      <c r="A263" s="124"/>
      <c r="B263" s="211"/>
      <c r="C263" s="230" t="s">
        <v>717</v>
      </c>
      <c r="D263" s="231">
        <v>2</v>
      </c>
      <c r="E263" s="232">
        <v>6.05</v>
      </c>
      <c r="F263" s="232">
        <v>5.05</v>
      </c>
      <c r="G263" s="232"/>
      <c r="H263" s="232">
        <f t="shared" si="24"/>
        <v>61.104999999999997</v>
      </c>
      <c r="I263" s="141"/>
      <c r="J263" s="217"/>
      <c r="K263" s="217">
        <f t="shared" si="20"/>
        <v>0</v>
      </c>
      <c r="L263" s="218">
        <f t="shared" si="21"/>
        <v>0</v>
      </c>
    </row>
    <row r="264" spans="1:12" x14ac:dyDescent="0.2">
      <c r="A264" s="139"/>
      <c r="B264" s="215"/>
      <c r="C264" s="221" t="s">
        <v>117</v>
      </c>
      <c r="D264" s="142"/>
      <c r="E264" s="144"/>
      <c r="F264" s="144"/>
      <c r="G264" s="145"/>
      <c r="H264" s="216">
        <v>290</v>
      </c>
      <c r="I264" s="141" t="s">
        <v>128</v>
      </c>
      <c r="J264" s="217">
        <v>1553.45</v>
      </c>
      <c r="K264" s="217">
        <f t="shared" si="20"/>
        <v>1316.4830508474577</v>
      </c>
      <c r="L264" s="218">
        <f t="shared" si="21"/>
        <v>381780.0847457627</v>
      </c>
    </row>
    <row r="265" spans="1:12" ht="39" customHeight="1" x14ac:dyDescent="0.2">
      <c r="A265" s="116">
        <v>14</v>
      </c>
      <c r="B265" s="206">
        <v>11.37</v>
      </c>
      <c r="C265" s="207" t="s">
        <v>321</v>
      </c>
      <c r="D265" s="119"/>
      <c r="E265" s="121"/>
      <c r="F265" s="121"/>
      <c r="G265" s="121"/>
      <c r="H265" s="263"/>
      <c r="I265" s="122"/>
      <c r="J265" s="209"/>
      <c r="K265" s="217">
        <f t="shared" si="20"/>
        <v>0</v>
      </c>
      <c r="L265" s="218">
        <f t="shared" si="21"/>
        <v>0</v>
      </c>
    </row>
    <row r="266" spans="1:12" ht="15.75" customHeight="1" x14ac:dyDescent="0.2">
      <c r="A266" s="124"/>
      <c r="B266" s="211"/>
      <c r="C266" s="401" t="s">
        <v>711</v>
      </c>
      <c r="D266" s="119"/>
      <c r="E266" s="121"/>
      <c r="F266" s="121"/>
      <c r="G266" s="121"/>
      <c r="H266" s="263"/>
      <c r="I266" s="122"/>
      <c r="J266" s="209"/>
      <c r="K266" s="217">
        <f t="shared" si="20"/>
        <v>0</v>
      </c>
      <c r="L266" s="218">
        <f t="shared" si="21"/>
        <v>0</v>
      </c>
    </row>
    <row r="267" spans="1:12" x14ac:dyDescent="0.2">
      <c r="A267" s="124"/>
      <c r="B267" s="211"/>
      <c r="C267" s="220" t="s">
        <v>322</v>
      </c>
      <c r="D267" s="133">
        <v>1</v>
      </c>
      <c r="E267" s="135">
        <v>2.375</v>
      </c>
      <c r="F267" s="135">
        <v>1.575</v>
      </c>
      <c r="G267" s="135"/>
      <c r="H267" s="212">
        <f t="shared" ref="H267:H272" si="25">F267*E267*D267</f>
        <v>3.7406250000000001</v>
      </c>
      <c r="I267" s="136"/>
      <c r="J267" s="213"/>
      <c r="K267" s="217">
        <f t="shared" ref="K267:K330" si="26">J267*100/118</f>
        <v>0</v>
      </c>
      <c r="L267" s="218">
        <f t="shared" ref="L267:L330" si="27">K267*H267</f>
        <v>0</v>
      </c>
    </row>
    <row r="268" spans="1:12" ht="12" customHeight="1" x14ac:dyDescent="0.2">
      <c r="A268" s="124"/>
      <c r="B268" s="211"/>
      <c r="C268" s="220" t="s">
        <v>322</v>
      </c>
      <c r="D268" s="133">
        <v>1</v>
      </c>
      <c r="E268" s="135">
        <v>2.375</v>
      </c>
      <c r="F268" s="135">
        <v>1.6</v>
      </c>
      <c r="G268" s="135"/>
      <c r="H268" s="212">
        <f t="shared" si="25"/>
        <v>3.8000000000000003</v>
      </c>
      <c r="I268" s="136"/>
      <c r="J268" s="213"/>
      <c r="K268" s="217">
        <f t="shared" si="26"/>
        <v>0</v>
      </c>
      <c r="L268" s="218">
        <f t="shared" si="27"/>
        <v>0</v>
      </c>
    </row>
    <row r="269" spans="1:12" ht="12" customHeight="1" x14ac:dyDescent="0.2">
      <c r="A269" s="124"/>
      <c r="B269" s="211"/>
      <c r="C269" s="220" t="s">
        <v>322</v>
      </c>
      <c r="D269" s="133">
        <v>1</v>
      </c>
      <c r="E269" s="135">
        <v>1.6</v>
      </c>
      <c r="F269" s="135">
        <v>2.2000000000000002</v>
      </c>
      <c r="G269" s="135"/>
      <c r="H269" s="212">
        <f t="shared" si="25"/>
        <v>3.5200000000000005</v>
      </c>
      <c r="I269" s="136"/>
      <c r="J269" s="213"/>
      <c r="K269" s="217">
        <f t="shared" si="26"/>
        <v>0</v>
      </c>
      <c r="L269" s="218">
        <f t="shared" si="27"/>
        <v>0</v>
      </c>
    </row>
    <row r="270" spans="1:12" ht="12" customHeight="1" x14ac:dyDescent="0.2">
      <c r="A270" s="124"/>
      <c r="B270" s="211"/>
      <c r="C270" s="220" t="s">
        <v>718</v>
      </c>
      <c r="D270" s="133">
        <v>1</v>
      </c>
      <c r="E270" s="135">
        <v>3.3</v>
      </c>
      <c r="F270" s="135">
        <v>1.8</v>
      </c>
      <c r="G270" s="135"/>
      <c r="H270" s="212">
        <f t="shared" si="25"/>
        <v>5.9399999999999995</v>
      </c>
      <c r="I270" s="136"/>
      <c r="J270" s="213"/>
      <c r="K270" s="217">
        <f t="shared" si="26"/>
        <v>0</v>
      </c>
      <c r="L270" s="218">
        <f t="shared" si="27"/>
        <v>0</v>
      </c>
    </row>
    <row r="271" spans="1:12" ht="12" customHeight="1" x14ac:dyDescent="0.2">
      <c r="A271" s="124"/>
      <c r="B271" s="211"/>
      <c r="C271" s="220" t="s">
        <v>718</v>
      </c>
      <c r="D271" s="133">
        <v>2</v>
      </c>
      <c r="E271" s="135">
        <v>3.3</v>
      </c>
      <c r="F271" s="135">
        <v>1.5</v>
      </c>
      <c r="G271" s="135"/>
      <c r="H271" s="212">
        <f t="shared" si="25"/>
        <v>9.8999999999999986</v>
      </c>
      <c r="I271" s="136"/>
      <c r="J271" s="213"/>
      <c r="K271" s="217">
        <f t="shared" si="26"/>
        <v>0</v>
      </c>
      <c r="L271" s="218">
        <f t="shared" si="27"/>
        <v>0</v>
      </c>
    </row>
    <row r="272" spans="1:12" ht="12" customHeight="1" x14ac:dyDescent="0.2">
      <c r="A272" s="124"/>
      <c r="B272" s="211"/>
      <c r="C272" s="220" t="s">
        <v>718</v>
      </c>
      <c r="D272" s="133">
        <v>1</v>
      </c>
      <c r="E272" s="135">
        <v>2.2570000000000001</v>
      </c>
      <c r="F272" s="135">
        <v>1.575</v>
      </c>
      <c r="G272" s="135"/>
      <c r="H272" s="212">
        <f t="shared" si="25"/>
        <v>3.5547750000000002</v>
      </c>
      <c r="I272" s="136"/>
      <c r="J272" s="213"/>
      <c r="K272" s="217">
        <f t="shared" si="26"/>
        <v>0</v>
      </c>
      <c r="L272" s="218">
        <f t="shared" si="27"/>
        <v>0</v>
      </c>
    </row>
    <row r="273" spans="1:12" x14ac:dyDescent="0.2">
      <c r="A273" s="124"/>
      <c r="B273" s="211"/>
      <c r="C273" s="402" t="s">
        <v>716</v>
      </c>
      <c r="D273" s="133"/>
      <c r="E273" s="135"/>
      <c r="F273" s="135"/>
      <c r="G273" s="135"/>
      <c r="H273" s="212"/>
      <c r="I273" s="136"/>
      <c r="J273" s="213"/>
      <c r="K273" s="217">
        <f t="shared" si="26"/>
        <v>0</v>
      </c>
      <c r="L273" s="218">
        <f t="shared" si="27"/>
        <v>0</v>
      </c>
    </row>
    <row r="274" spans="1:12" x14ac:dyDescent="0.2">
      <c r="A274" s="124"/>
      <c r="B274" s="211"/>
      <c r="C274" s="220" t="s">
        <v>322</v>
      </c>
      <c r="D274" s="133">
        <v>2</v>
      </c>
      <c r="E274" s="135">
        <v>2.15</v>
      </c>
      <c r="F274" s="135">
        <v>1.625</v>
      </c>
      <c r="G274" s="135"/>
      <c r="H274" s="212">
        <f>F274*E274*D274</f>
        <v>6.9874999999999998</v>
      </c>
      <c r="I274" s="136"/>
      <c r="J274" s="213"/>
      <c r="K274" s="217">
        <f t="shared" si="26"/>
        <v>0</v>
      </c>
      <c r="L274" s="218">
        <f t="shared" si="27"/>
        <v>0</v>
      </c>
    </row>
    <row r="275" spans="1:12" ht="12" customHeight="1" x14ac:dyDescent="0.2">
      <c r="A275" s="124"/>
      <c r="B275" s="211"/>
      <c r="C275" s="220" t="s">
        <v>322</v>
      </c>
      <c r="D275" s="133">
        <v>2</v>
      </c>
      <c r="E275" s="135">
        <v>1.6</v>
      </c>
      <c r="F275" s="135">
        <v>2.25</v>
      </c>
      <c r="G275" s="135"/>
      <c r="H275" s="212">
        <f>F275*E275*D275</f>
        <v>7.2</v>
      </c>
      <c r="I275" s="136"/>
      <c r="J275" s="213"/>
      <c r="K275" s="217">
        <f t="shared" si="26"/>
        <v>0</v>
      </c>
      <c r="L275" s="218">
        <f t="shared" si="27"/>
        <v>0</v>
      </c>
    </row>
    <row r="276" spans="1:12" ht="12" customHeight="1" x14ac:dyDescent="0.2">
      <c r="A276" s="124"/>
      <c r="B276" s="211"/>
      <c r="C276" s="220" t="s">
        <v>718</v>
      </c>
      <c r="D276" s="133">
        <v>4</v>
      </c>
      <c r="E276" s="135">
        <v>3.3</v>
      </c>
      <c r="F276" s="135">
        <v>1.5</v>
      </c>
      <c r="G276" s="135"/>
      <c r="H276" s="212">
        <f>F276*E276*D276</f>
        <v>19.799999999999997</v>
      </c>
      <c r="I276" s="136"/>
      <c r="J276" s="213"/>
      <c r="K276" s="217">
        <f t="shared" si="26"/>
        <v>0</v>
      </c>
      <c r="L276" s="218">
        <f t="shared" si="27"/>
        <v>0</v>
      </c>
    </row>
    <row r="277" spans="1:12" ht="12" customHeight="1" x14ac:dyDescent="0.2">
      <c r="A277" s="124"/>
      <c r="B277" s="211"/>
      <c r="C277" s="220" t="s">
        <v>718</v>
      </c>
      <c r="D277" s="133">
        <v>2</v>
      </c>
      <c r="E277" s="135">
        <v>3.3</v>
      </c>
      <c r="F277" s="135">
        <v>1.8</v>
      </c>
      <c r="G277" s="135"/>
      <c r="H277" s="212">
        <f>F277*E277*D277</f>
        <v>11.879999999999999</v>
      </c>
      <c r="I277" s="136"/>
      <c r="J277" s="213"/>
      <c r="K277" s="217">
        <f t="shared" si="26"/>
        <v>0</v>
      </c>
      <c r="L277" s="218">
        <f t="shared" si="27"/>
        <v>0</v>
      </c>
    </row>
    <row r="278" spans="1:12" ht="12" customHeight="1" x14ac:dyDescent="0.2">
      <c r="A278" s="124"/>
      <c r="B278" s="211"/>
      <c r="C278" s="220" t="s">
        <v>719</v>
      </c>
      <c r="D278" s="133">
        <v>2</v>
      </c>
      <c r="E278" s="135">
        <v>6.05</v>
      </c>
      <c r="F278" s="135">
        <v>2.2250000000000001</v>
      </c>
      <c r="G278" s="135"/>
      <c r="H278" s="212">
        <f>F278*E278*D278</f>
        <v>26.922499999999999</v>
      </c>
      <c r="I278" s="136"/>
      <c r="J278" s="213"/>
      <c r="K278" s="217">
        <f t="shared" si="26"/>
        <v>0</v>
      </c>
      <c r="L278" s="218">
        <f t="shared" si="27"/>
        <v>0</v>
      </c>
    </row>
    <row r="279" spans="1:12" x14ac:dyDescent="0.2">
      <c r="A279" s="139"/>
      <c r="B279" s="215"/>
      <c r="C279" s="221" t="s">
        <v>117</v>
      </c>
      <c r="D279" s="142"/>
      <c r="E279" s="145"/>
      <c r="F279" s="145"/>
      <c r="G279" s="145"/>
      <c r="H279" s="216">
        <v>105</v>
      </c>
      <c r="I279" s="141" t="s">
        <v>128</v>
      </c>
      <c r="J279" s="217">
        <v>1096.55</v>
      </c>
      <c r="K279" s="217">
        <f t="shared" si="26"/>
        <v>929.27966101694915</v>
      </c>
      <c r="L279" s="218">
        <f t="shared" si="27"/>
        <v>97574.364406779656</v>
      </c>
    </row>
    <row r="280" spans="1:12" ht="66" customHeight="1" x14ac:dyDescent="0.2">
      <c r="A280" s="124">
        <v>15</v>
      </c>
      <c r="B280" s="211">
        <v>11.23</v>
      </c>
      <c r="C280" s="207" t="s">
        <v>645</v>
      </c>
      <c r="D280" s="133"/>
      <c r="E280" s="135"/>
      <c r="F280" s="135"/>
      <c r="G280" s="135"/>
      <c r="H280" s="242"/>
      <c r="I280" s="136"/>
      <c r="J280" s="213"/>
      <c r="K280" s="217">
        <f t="shared" si="26"/>
        <v>0</v>
      </c>
      <c r="L280" s="218">
        <f t="shared" si="27"/>
        <v>0</v>
      </c>
    </row>
    <row r="281" spans="1:12" x14ac:dyDescent="0.2">
      <c r="A281" s="124"/>
      <c r="B281" s="211" t="s">
        <v>498</v>
      </c>
      <c r="C281" s="237" t="s">
        <v>499</v>
      </c>
      <c r="D281" s="133"/>
      <c r="E281" s="135"/>
      <c r="F281" s="135"/>
      <c r="G281" s="135"/>
      <c r="H281" s="242"/>
      <c r="I281" s="136"/>
      <c r="J281" s="213"/>
      <c r="K281" s="217">
        <f t="shared" si="26"/>
        <v>0</v>
      </c>
      <c r="L281" s="218">
        <f t="shared" si="27"/>
        <v>0</v>
      </c>
    </row>
    <row r="282" spans="1:12" x14ac:dyDescent="0.2">
      <c r="A282" s="124"/>
      <c r="B282" s="211"/>
      <c r="C282" s="223" t="s">
        <v>720</v>
      </c>
      <c r="D282" s="133">
        <v>1</v>
      </c>
      <c r="E282" s="135">
        <v>2.8</v>
      </c>
      <c r="F282" s="135">
        <v>3.2</v>
      </c>
      <c r="G282" s="135"/>
      <c r="H282" s="212">
        <f>F282*E282*D282</f>
        <v>8.9599999999999991</v>
      </c>
      <c r="I282" s="136"/>
      <c r="J282" s="213"/>
      <c r="K282" s="217">
        <f t="shared" si="26"/>
        <v>0</v>
      </c>
      <c r="L282" s="218">
        <f t="shared" si="27"/>
        <v>0</v>
      </c>
    </row>
    <row r="283" spans="1:12" x14ac:dyDescent="0.2">
      <c r="A283" s="124"/>
      <c r="B283" s="211"/>
      <c r="C283" s="223" t="s">
        <v>721</v>
      </c>
      <c r="D283" s="133">
        <v>2</v>
      </c>
      <c r="E283" s="135">
        <v>3.2</v>
      </c>
      <c r="F283" s="135">
        <v>2.7</v>
      </c>
      <c r="G283" s="135"/>
      <c r="H283" s="212">
        <f>F283*E283*D283</f>
        <v>17.28</v>
      </c>
      <c r="I283" s="136"/>
      <c r="J283" s="213"/>
      <c r="K283" s="217">
        <f t="shared" si="26"/>
        <v>0</v>
      </c>
      <c r="L283" s="218">
        <f t="shared" si="27"/>
        <v>0</v>
      </c>
    </row>
    <row r="284" spans="1:12" x14ac:dyDescent="0.2">
      <c r="A284" s="124"/>
      <c r="B284" s="211"/>
      <c r="C284" s="223"/>
      <c r="D284" s="133"/>
      <c r="E284" s="135"/>
      <c r="F284" s="135"/>
      <c r="G284" s="135"/>
      <c r="H284" s="212"/>
      <c r="I284" s="136"/>
      <c r="J284" s="213"/>
      <c r="K284" s="217">
        <f t="shared" si="26"/>
        <v>0</v>
      </c>
      <c r="L284" s="218">
        <f t="shared" si="27"/>
        <v>0</v>
      </c>
    </row>
    <row r="285" spans="1:12" x14ac:dyDescent="0.2">
      <c r="A285" s="139"/>
      <c r="B285" s="211"/>
      <c r="C285" s="223" t="s">
        <v>117</v>
      </c>
      <c r="D285" s="133"/>
      <c r="E285" s="135"/>
      <c r="F285" s="135"/>
      <c r="G285" s="135"/>
      <c r="H285" s="216">
        <v>25</v>
      </c>
      <c r="I285" s="141" t="s">
        <v>128</v>
      </c>
      <c r="J285" s="217">
        <v>2346.8000000000002</v>
      </c>
      <c r="K285" s="217">
        <f t="shared" si="26"/>
        <v>1988.8135593220341</v>
      </c>
      <c r="L285" s="218">
        <f t="shared" si="27"/>
        <v>49720.338983050853</v>
      </c>
    </row>
    <row r="286" spans="1:12" ht="57" x14ac:dyDescent="0.2">
      <c r="A286" s="124">
        <v>16</v>
      </c>
      <c r="B286" s="291">
        <v>8.9</v>
      </c>
      <c r="C286" s="292" t="s">
        <v>325</v>
      </c>
      <c r="D286" s="119"/>
      <c r="E286" s="121"/>
      <c r="F286" s="121"/>
      <c r="G286" s="121"/>
      <c r="H286" s="263"/>
      <c r="I286" s="122"/>
      <c r="J286" s="209"/>
      <c r="K286" s="217">
        <f t="shared" si="26"/>
        <v>0</v>
      </c>
      <c r="L286" s="218">
        <f t="shared" si="27"/>
        <v>0</v>
      </c>
    </row>
    <row r="287" spans="1:12" ht="14.25" x14ac:dyDescent="0.2">
      <c r="A287" s="124"/>
      <c r="B287" s="293" t="s">
        <v>326</v>
      </c>
      <c r="C287" s="294" t="s">
        <v>327</v>
      </c>
      <c r="D287" s="127"/>
      <c r="E287" s="129"/>
      <c r="F287" s="129"/>
      <c r="G287" s="129"/>
      <c r="H287" s="264"/>
      <c r="I287" s="130"/>
      <c r="J287" s="240"/>
      <c r="K287" s="217">
        <f t="shared" si="26"/>
        <v>0</v>
      </c>
      <c r="L287" s="218">
        <f t="shared" si="27"/>
        <v>0</v>
      </c>
    </row>
    <row r="288" spans="1:12" ht="14.25" x14ac:dyDescent="0.2">
      <c r="A288" s="124"/>
      <c r="B288" s="293" t="s">
        <v>328</v>
      </c>
      <c r="C288" s="294" t="s">
        <v>329</v>
      </c>
      <c r="D288" s="127" t="s">
        <v>91</v>
      </c>
      <c r="E288" s="129" t="s">
        <v>91</v>
      </c>
      <c r="F288" s="129"/>
      <c r="G288" s="129" t="s">
        <v>91</v>
      </c>
      <c r="H288" s="264" t="s">
        <v>91</v>
      </c>
      <c r="I288" s="130"/>
      <c r="J288" s="240"/>
      <c r="K288" s="217">
        <f t="shared" si="26"/>
        <v>0</v>
      </c>
      <c r="L288" s="218">
        <v>0</v>
      </c>
    </row>
    <row r="289" spans="1:12" ht="14.25" x14ac:dyDescent="0.2">
      <c r="A289" s="124"/>
      <c r="B289" s="293"/>
      <c r="C289" s="223" t="s">
        <v>720</v>
      </c>
      <c r="D289" s="133">
        <v>1</v>
      </c>
      <c r="E289" s="135">
        <f>(2.8+3.2)*2-0.9</f>
        <v>11.1</v>
      </c>
      <c r="F289" s="135"/>
      <c r="G289" s="135">
        <v>0.1</v>
      </c>
      <c r="H289" s="242">
        <f>D289*E289*G289</f>
        <v>1.1100000000000001</v>
      </c>
      <c r="I289" s="136"/>
      <c r="J289" s="213"/>
      <c r="K289" s="217">
        <f t="shared" si="26"/>
        <v>0</v>
      </c>
      <c r="L289" s="218">
        <f t="shared" si="27"/>
        <v>0</v>
      </c>
    </row>
    <row r="290" spans="1:12" ht="14.25" x14ac:dyDescent="0.2">
      <c r="A290" s="124"/>
      <c r="B290" s="293"/>
      <c r="C290" s="223" t="s">
        <v>721</v>
      </c>
      <c r="D290" s="133">
        <v>2</v>
      </c>
      <c r="E290" s="135">
        <f>(3.2+2.7)*2-0.9</f>
        <v>10.9</v>
      </c>
      <c r="F290" s="135"/>
      <c r="G290" s="135">
        <v>0.1</v>
      </c>
      <c r="H290" s="242">
        <f>D290*E290*G290</f>
        <v>2.1800000000000002</v>
      </c>
      <c r="I290" s="136"/>
      <c r="J290" s="213"/>
      <c r="K290" s="217">
        <f t="shared" si="26"/>
        <v>0</v>
      </c>
      <c r="L290" s="218">
        <f t="shared" si="27"/>
        <v>0</v>
      </c>
    </row>
    <row r="291" spans="1:12" ht="14.25" x14ac:dyDescent="0.2">
      <c r="A291" s="124"/>
      <c r="B291" s="295"/>
      <c r="C291" s="296" t="s">
        <v>117</v>
      </c>
      <c r="D291" s="142"/>
      <c r="E291" s="145"/>
      <c r="F291" s="145"/>
      <c r="G291" s="145"/>
      <c r="H291" s="216">
        <v>3</v>
      </c>
      <c r="I291" s="141" t="s">
        <v>334</v>
      </c>
      <c r="J291" s="217">
        <v>3190.3</v>
      </c>
      <c r="K291" s="217">
        <f t="shared" si="26"/>
        <v>2703.6440677966102</v>
      </c>
      <c r="L291" s="218">
        <f t="shared" si="27"/>
        <v>8110.9322033898306</v>
      </c>
    </row>
    <row r="292" spans="1:12" ht="58.5" customHeight="1" x14ac:dyDescent="0.2">
      <c r="A292" s="116">
        <v>17</v>
      </c>
      <c r="B292" s="291">
        <v>8.9</v>
      </c>
      <c r="C292" s="292" t="s">
        <v>325</v>
      </c>
      <c r="D292" s="119"/>
      <c r="E292" s="121"/>
      <c r="F292" s="121"/>
      <c r="G292" s="121"/>
      <c r="H292" s="263"/>
      <c r="I292" s="122"/>
      <c r="J292" s="209"/>
      <c r="K292" s="217">
        <f t="shared" si="26"/>
        <v>0</v>
      </c>
      <c r="L292" s="218">
        <f t="shared" si="27"/>
        <v>0</v>
      </c>
    </row>
    <row r="293" spans="1:12" ht="14.25" x14ac:dyDescent="0.2">
      <c r="A293" s="124"/>
      <c r="B293" s="293" t="s">
        <v>326</v>
      </c>
      <c r="C293" s="294" t="s">
        <v>327</v>
      </c>
      <c r="D293" s="127"/>
      <c r="E293" s="129"/>
      <c r="F293" s="129"/>
      <c r="G293" s="129"/>
      <c r="H293" s="264"/>
      <c r="I293" s="130"/>
      <c r="J293" s="240"/>
      <c r="K293" s="217">
        <f t="shared" si="26"/>
        <v>0</v>
      </c>
      <c r="L293" s="218">
        <f t="shared" si="27"/>
        <v>0</v>
      </c>
    </row>
    <row r="294" spans="1:12" ht="14.25" x14ac:dyDescent="0.2">
      <c r="A294" s="124"/>
      <c r="B294" s="293" t="s">
        <v>335</v>
      </c>
      <c r="C294" s="294" t="s">
        <v>336</v>
      </c>
      <c r="D294" s="127" t="s">
        <v>91</v>
      </c>
      <c r="E294" s="129" t="s">
        <v>91</v>
      </c>
      <c r="F294" s="129"/>
      <c r="G294" s="129" t="s">
        <v>91</v>
      </c>
      <c r="H294" s="264" t="s">
        <v>91</v>
      </c>
      <c r="I294" s="130"/>
      <c r="J294" s="240"/>
      <c r="K294" s="217">
        <f t="shared" si="26"/>
        <v>0</v>
      </c>
      <c r="L294" s="218">
        <v>0</v>
      </c>
    </row>
    <row r="295" spans="1:12" ht="14.25" x14ac:dyDescent="0.2">
      <c r="A295" s="124"/>
      <c r="B295" s="293"/>
      <c r="C295" s="278" t="s">
        <v>337</v>
      </c>
      <c r="D295" s="133">
        <v>1</v>
      </c>
      <c r="E295" s="135">
        <f>0.575*2</f>
        <v>1.1499999999999999</v>
      </c>
      <c r="F295" s="135"/>
      <c r="G295" s="135">
        <v>2.1</v>
      </c>
      <c r="H295" s="242">
        <f>D295*E295*G295</f>
        <v>2.415</v>
      </c>
      <c r="I295" s="136"/>
      <c r="J295" s="213"/>
      <c r="K295" s="217">
        <f t="shared" si="26"/>
        <v>0</v>
      </c>
      <c r="L295" s="218">
        <f t="shared" si="27"/>
        <v>0</v>
      </c>
    </row>
    <row r="296" spans="1:12" ht="14.25" x14ac:dyDescent="0.2">
      <c r="A296" s="139"/>
      <c r="B296" s="295"/>
      <c r="C296" s="296" t="s">
        <v>117</v>
      </c>
      <c r="D296" s="142"/>
      <c r="E296" s="145"/>
      <c r="F296" s="145"/>
      <c r="G296" s="145"/>
      <c r="H296" s="216">
        <v>2.2000000000000002</v>
      </c>
      <c r="I296" s="141" t="s">
        <v>334</v>
      </c>
      <c r="J296" s="217">
        <v>3617.55</v>
      </c>
      <c r="K296" s="217">
        <f t="shared" si="26"/>
        <v>3065.7203389830506</v>
      </c>
      <c r="L296" s="218">
        <f t="shared" si="27"/>
        <v>6744.5847457627115</v>
      </c>
    </row>
    <row r="297" spans="1:12" ht="87.75" customHeight="1" x14ac:dyDescent="0.2">
      <c r="A297" s="116">
        <v>18</v>
      </c>
      <c r="B297" s="175">
        <v>11.27</v>
      </c>
      <c r="C297" s="118" t="s">
        <v>338</v>
      </c>
      <c r="D297" s="119"/>
      <c r="E297" s="271"/>
      <c r="F297" s="121"/>
      <c r="G297" s="121"/>
      <c r="H297" s="272"/>
      <c r="I297" s="254"/>
      <c r="J297" s="255"/>
      <c r="K297" s="217">
        <f t="shared" si="26"/>
        <v>0</v>
      </c>
      <c r="L297" s="218">
        <f t="shared" si="27"/>
        <v>0</v>
      </c>
    </row>
    <row r="298" spans="1:12" ht="14.25" x14ac:dyDescent="0.2">
      <c r="A298" s="124"/>
      <c r="B298" s="176"/>
      <c r="C298" s="287" t="s">
        <v>503</v>
      </c>
      <c r="D298" s="133">
        <v>20</v>
      </c>
      <c r="E298" s="135">
        <v>1.2</v>
      </c>
      <c r="F298" s="135"/>
      <c r="G298" s="135">
        <v>0.15</v>
      </c>
      <c r="H298" s="242">
        <f>D298*E298*G298</f>
        <v>3.5999999999999996</v>
      </c>
      <c r="I298" s="273"/>
      <c r="J298" s="274"/>
      <c r="K298" s="217">
        <f t="shared" si="26"/>
        <v>0</v>
      </c>
      <c r="L298" s="218">
        <f t="shared" si="27"/>
        <v>0</v>
      </c>
    </row>
    <row r="299" spans="1:12" ht="14.25" x14ac:dyDescent="0.2">
      <c r="A299" s="124"/>
      <c r="B299" s="176"/>
      <c r="C299" s="177" t="s">
        <v>340</v>
      </c>
      <c r="D299" s="133">
        <v>1</v>
      </c>
      <c r="E299" s="135">
        <v>2.5499999999999998</v>
      </c>
      <c r="F299" s="135"/>
      <c r="G299" s="135">
        <v>0.15</v>
      </c>
      <c r="H299" s="242">
        <f>D299*E299*G299</f>
        <v>0.38249999999999995</v>
      </c>
      <c r="I299" s="273"/>
      <c r="J299" s="274"/>
      <c r="K299" s="217">
        <f t="shared" si="26"/>
        <v>0</v>
      </c>
      <c r="L299" s="218">
        <f t="shared" si="27"/>
        <v>0</v>
      </c>
    </row>
    <row r="300" spans="1:12" ht="14.25" x14ac:dyDescent="0.2">
      <c r="A300" s="124"/>
      <c r="B300" s="176"/>
      <c r="C300" s="177" t="s">
        <v>340</v>
      </c>
      <c r="D300" s="133">
        <v>2</v>
      </c>
      <c r="E300" s="135">
        <v>1.2</v>
      </c>
      <c r="F300" s="135"/>
      <c r="G300" s="135">
        <v>0.15</v>
      </c>
      <c r="H300" s="242">
        <f>D300*E300*G300</f>
        <v>0.36</v>
      </c>
      <c r="I300" s="273"/>
      <c r="J300" s="274"/>
      <c r="K300" s="217">
        <f t="shared" si="26"/>
        <v>0</v>
      </c>
      <c r="L300" s="218">
        <f t="shared" si="27"/>
        <v>0</v>
      </c>
    </row>
    <row r="301" spans="1:12" ht="14.25" x14ac:dyDescent="0.2">
      <c r="A301" s="124"/>
      <c r="B301" s="176"/>
      <c r="C301" s="177" t="s">
        <v>341</v>
      </c>
      <c r="D301" s="133">
        <v>2</v>
      </c>
      <c r="E301" s="135">
        <v>4</v>
      </c>
      <c r="F301" s="135"/>
      <c r="G301" s="135">
        <v>0.15</v>
      </c>
      <c r="H301" s="242">
        <f>D301*E301*G301</f>
        <v>1.2</v>
      </c>
      <c r="I301" s="273"/>
      <c r="J301" s="274"/>
      <c r="K301" s="217">
        <f t="shared" si="26"/>
        <v>0</v>
      </c>
      <c r="L301" s="218">
        <f t="shared" si="27"/>
        <v>0</v>
      </c>
    </row>
    <row r="302" spans="1:12" ht="14.25" x14ac:dyDescent="0.2">
      <c r="A302" s="139"/>
      <c r="B302" s="280"/>
      <c r="C302" s="281" t="s">
        <v>207</v>
      </c>
      <c r="D302" s="142"/>
      <c r="E302" s="233"/>
      <c r="F302" s="145"/>
      <c r="G302" s="145"/>
      <c r="H302" s="282">
        <v>5.5</v>
      </c>
      <c r="I302" s="268" t="s">
        <v>278</v>
      </c>
      <c r="J302" s="269">
        <v>2354.6999999999998</v>
      </c>
      <c r="K302" s="217">
        <f t="shared" si="26"/>
        <v>1995.5084745762708</v>
      </c>
      <c r="L302" s="218">
        <f t="shared" si="27"/>
        <v>10975.296610169489</v>
      </c>
    </row>
    <row r="303" spans="1:12" ht="25.5" x14ac:dyDescent="0.2">
      <c r="A303" s="116">
        <v>19</v>
      </c>
      <c r="B303" s="206" t="s">
        <v>343</v>
      </c>
      <c r="C303" s="207" t="s">
        <v>344</v>
      </c>
      <c r="D303" s="117"/>
      <c r="E303" s="328"/>
      <c r="F303" s="117"/>
      <c r="G303" s="329"/>
      <c r="H303" s="253"/>
      <c r="I303" s="254"/>
      <c r="J303" s="255"/>
      <c r="K303" s="217">
        <f t="shared" si="26"/>
        <v>0</v>
      </c>
      <c r="L303" s="218">
        <f t="shared" si="27"/>
        <v>0</v>
      </c>
    </row>
    <row r="304" spans="1:12" x14ac:dyDescent="0.2">
      <c r="A304" s="124"/>
      <c r="B304" s="211"/>
      <c r="C304" s="401" t="s">
        <v>711</v>
      </c>
      <c r="D304" s="127"/>
      <c r="E304" s="129"/>
      <c r="F304" s="403"/>
      <c r="G304" s="145"/>
      <c r="H304" s="404"/>
      <c r="I304" s="130"/>
      <c r="J304" s="240"/>
      <c r="K304" s="217">
        <f t="shared" si="26"/>
        <v>0</v>
      </c>
      <c r="L304" s="218">
        <f t="shared" si="27"/>
        <v>0</v>
      </c>
    </row>
    <row r="305" spans="1:12" x14ac:dyDescent="0.2">
      <c r="A305" s="124"/>
      <c r="B305" s="211"/>
      <c r="C305" s="225" t="s">
        <v>712</v>
      </c>
      <c r="D305" s="226">
        <v>1</v>
      </c>
      <c r="E305" s="227">
        <f>(E248+F248)*2-1.05+0.9+1+4.2</f>
        <v>27.65</v>
      </c>
      <c r="F305" s="227"/>
      <c r="G305" s="145">
        <v>0.1</v>
      </c>
      <c r="H305" s="212">
        <f>G305*E305*D305</f>
        <v>2.7650000000000001</v>
      </c>
      <c r="I305" s="136"/>
      <c r="J305" s="213"/>
      <c r="K305" s="217">
        <f t="shared" si="26"/>
        <v>0</v>
      </c>
      <c r="L305" s="218">
        <f t="shared" si="27"/>
        <v>0</v>
      </c>
    </row>
    <row r="306" spans="1:12" x14ac:dyDescent="0.2">
      <c r="A306" s="124"/>
      <c r="B306" s="211"/>
      <c r="C306" s="225" t="s">
        <v>492</v>
      </c>
      <c r="D306" s="226">
        <v>1</v>
      </c>
      <c r="E306" s="227">
        <f>(E249+F249)*2-4.2+1.57+0.9</f>
        <v>12.520000000000001</v>
      </c>
      <c r="F306" s="227"/>
      <c r="G306" s="135">
        <v>0.1</v>
      </c>
      <c r="H306" s="212">
        <f t="shared" ref="H306:H320" si="28">G306*E306*D306</f>
        <v>1.2520000000000002</v>
      </c>
      <c r="I306" s="136"/>
      <c r="J306" s="213"/>
      <c r="K306" s="217">
        <f t="shared" si="26"/>
        <v>0</v>
      </c>
      <c r="L306" s="218">
        <f t="shared" si="27"/>
        <v>0</v>
      </c>
    </row>
    <row r="307" spans="1:12" x14ac:dyDescent="0.2">
      <c r="A307" s="124"/>
      <c r="B307" s="211"/>
      <c r="C307" s="225" t="s">
        <v>493</v>
      </c>
      <c r="D307" s="226">
        <v>1</v>
      </c>
      <c r="E307" s="227">
        <f>(E250+F250)*2-1+2.4</f>
        <v>17.049999999999997</v>
      </c>
      <c r="F307" s="227"/>
      <c r="G307" s="135">
        <v>0.1</v>
      </c>
      <c r="H307" s="212">
        <f t="shared" si="28"/>
        <v>1.7049999999999998</v>
      </c>
      <c r="I307" s="136"/>
      <c r="J307" s="213"/>
      <c r="K307" s="217">
        <f t="shared" si="26"/>
        <v>0</v>
      </c>
      <c r="L307" s="218">
        <f t="shared" si="27"/>
        <v>0</v>
      </c>
    </row>
    <row r="308" spans="1:12" x14ac:dyDescent="0.2">
      <c r="A308" s="124"/>
      <c r="B308" s="211"/>
      <c r="C308" s="225" t="s">
        <v>713</v>
      </c>
      <c r="D308" s="226">
        <v>1</v>
      </c>
      <c r="E308" s="227">
        <f>(E251+F251)*2-1+2.4</f>
        <v>16.399999999999999</v>
      </c>
      <c r="F308" s="227"/>
      <c r="G308" s="135">
        <v>0.1</v>
      </c>
      <c r="H308" s="212">
        <f t="shared" si="28"/>
        <v>1.64</v>
      </c>
      <c r="I308" s="136"/>
      <c r="J308" s="213"/>
      <c r="K308" s="217">
        <f t="shared" si="26"/>
        <v>0</v>
      </c>
      <c r="L308" s="218">
        <f t="shared" si="27"/>
        <v>0</v>
      </c>
    </row>
    <row r="309" spans="1:12" x14ac:dyDescent="0.2">
      <c r="A309" s="124"/>
      <c r="B309" s="211"/>
      <c r="C309" s="225" t="s">
        <v>713</v>
      </c>
      <c r="D309" s="226">
        <v>1</v>
      </c>
      <c r="E309" s="227">
        <f>(E252+F252)*2-1</f>
        <v>14.600000000000001</v>
      </c>
      <c r="F309" s="227"/>
      <c r="G309" s="135">
        <v>0.1</v>
      </c>
      <c r="H309" s="212">
        <f t="shared" si="28"/>
        <v>1.4600000000000002</v>
      </c>
      <c r="I309" s="136"/>
      <c r="J309" s="213"/>
      <c r="K309" s="217">
        <f t="shared" si="26"/>
        <v>0</v>
      </c>
      <c r="L309" s="218">
        <f t="shared" si="27"/>
        <v>0</v>
      </c>
    </row>
    <row r="310" spans="1:12" x14ac:dyDescent="0.2">
      <c r="A310" s="124"/>
      <c r="B310" s="211"/>
      <c r="C310" s="225" t="s">
        <v>714</v>
      </c>
      <c r="D310" s="226">
        <v>3</v>
      </c>
      <c r="E310" s="227">
        <f>(E253+F253)</f>
        <v>4.6999999999999993</v>
      </c>
      <c r="F310" s="227"/>
      <c r="G310" s="135">
        <v>0.1</v>
      </c>
      <c r="H310" s="212">
        <f t="shared" si="28"/>
        <v>1.41</v>
      </c>
      <c r="I310" s="136"/>
      <c r="J310" s="213"/>
      <c r="K310" s="217">
        <f t="shared" si="26"/>
        <v>0</v>
      </c>
      <c r="L310" s="218">
        <f t="shared" si="27"/>
        <v>0</v>
      </c>
    </row>
    <row r="311" spans="1:12" x14ac:dyDescent="0.2">
      <c r="A311" s="124"/>
      <c r="B311" s="211"/>
      <c r="C311" s="225" t="s">
        <v>715</v>
      </c>
      <c r="D311" s="226">
        <v>1</v>
      </c>
      <c r="E311" s="227">
        <f>(E254+F254)*2-1+0.75*2+1+1.5</f>
        <v>13</v>
      </c>
      <c r="F311" s="227"/>
      <c r="G311" s="135">
        <v>0.1</v>
      </c>
      <c r="H311" s="212">
        <f t="shared" si="28"/>
        <v>1.3</v>
      </c>
      <c r="I311" s="136"/>
      <c r="J311" s="213"/>
      <c r="K311" s="217">
        <f t="shared" si="26"/>
        <v>0</v>
      </c>
      <c r="L311" s="218">
        <f t="shared" si="27"/>
        <v>0</v>
      </c>
    </row>
    <row r="312" spans="1:12" x14ac:dyDescent="0.2">
      <c r="A312" s="124"/>
      <c r="B312" s="211"/>
      <c r="C312" s="225"/>
      <c r="D312" s="226">
        <v>1</v>
      </c>
      <c r="E312" s="227">
        <f>(E255+F255)*2-2.52+0.75+0.9</f>
        <v>5.3800000000000008</v>
      </c>
      <c r="F312" s="227"/>
      <c r="G312" s="135">
        <v>0.1</v>
      </c>
      <c r="H312" s="212">
        <f t="shared" si="28"/>
        <v>0.53800000000000014</v>
      </c>
      <c r="I312" s="136"/>
      <c r="J312" s="213"/>
      <c r="K312" s="217">
        <f t="shared" si="26"/>
        <v>0</v>
      </c>
      <c r="L312" s="218">
        <f t="shared" si="27"/>
        <v>0</v>
      </c>
    </row>
    <row r="313" spans="1:12" x14ac:dyDescent="0.2">
      <c r="A313" s="124"/>
      <c r="B313" s="211"/>
      <c r="C313" s="401" t="s">
        <v>716</v>
      </c>
      <c r="D313" s="127"/>
      <c r="E313" s="227"/>
      <c r="F313" s="129"/>
      <c r="G313" s="135"/>
      <c r="H313" s="212"/>
      <c r="I313" s="130"/>
      <c r="J313" s="240"/>
      <c r="K313" s="217">
        <f t="shared" si="26"/>
        <v>0</v>
      </c>
      <c r="L313" s="218">
        <f t="shared" si="27"/>
        <v>0</v>
      </c>
    </row>
    <row r="314" spans="1:12" x14ac:dyDescent="0.2">
      <c r="A314" s="124"/>
      <c r="B314" s="211"/>
      <c r="C314" s="225" t="s">
        <v>712</v>
      </c>
      <c r="D314" s="226">
        <v>2</v>
      </c>
      <c r="E314" s="227">
        <f>(E257+F257)*2-2.75+1.05+0.9</f>
        <v>17.95</v>
      </c>
      <c r="F314" s="227"/>
      <c r="G314" s="135">
        <v>0.1</v>
      </c>
      <c r="H314" s="212">
        <f t="shared" si="28"/>
        <v>3.59</v>
      </c>
      <c r="I314" s="136"/>
      <c r="J314" s="213"/>
      <c r="K314" s="217">
        <f t="shared" si="26"/>
        <v>0</v>
      </c>
      <c r="L314" s="218">
        <f t="shared" si="27"/>
        <v>0</v>
      </c>
    </row>
    <row r="315" spans="1:12" x14ac:dyDescent="0.2">
      <c r="A315" s="124"/>
      <c r="B315" s="211"/>
      <c r="C315" s="225" t="s">
        <v>492</v>
      </c>
      <c r="D315" s="226">
        <v>2</v>
      </c>
      <c r="E315" s="227">
        <f>(E258+F258)*2-2.75+0.9+1.6</f>
        <v>12.2</v>
      </c>
      <c r="F315" s="227"/>
      <c r="G315" s="135">
        <v>0.1</v>
      </c>
      <c r="H315" s="212">
        <f t="shared" si="28"/>
        <v>2.44</v>
      </c>
      <c r="I315" s="136"/>
      <c r="J315" s="213"/>
      <c r="K315" s="217">
        <f t="shared" si="26"/>
        <v>0</v>
      </c>
      <c r="L315" s="218">
        <f t="shared" si="27"/>
        <v>0</v>
      </c>
    </row>
    <row r="316" spans="1:12" x14ac:dyDescent="0.2">
      <c r="A316" s="124"/>
      <c r="B316" s="211"/>
      <c r="C316" s="225" t="s">
        <v>493</v>
      </c>
      <c r="D316" s="226">
        <v>2</v>
      </c>
      <c r="E316" s="227">
        <f>(E259+F259)*2-0.75+1+2.4</f>
        <v>17.45</v>
      </c>
      <c r="F316" s="227"/>
      <c r="G316" s="135">
        <v>0.1</v>
      </c>
      <c r="H316" s="212">
        <f t="shared" si="28"/>
        <v>3.49</v>
      </c>
      <c r="I316" s="136"/>
      <c r="J316" s="213"/>
      <c r="K316" s="217">
        <f t="shared" si="26"/>
        <v>0</v>
      </c>
      <c r="L316" s="218">
        <f t="shared" si="27"/>
        <v>0</v>
      </c>
    </row>
    <row r="317" spans="1:12" x14ac:dyDescent="0.2">
      <c r="A317" s="124"/>
      <c r="B317" s="211"/>
      <c r="C317" s="225" t="s">
        <v>713</v>
      </c>
      <c r="D317" s="226">
        <v>2</v>
      </c>
      <c r="E317" s="227">
        <f>(E260+F260)*2-1+2.4</f>
        <v>16.399999999999999</v>
      </c>
      <c r="F317" s="227"/>
      <c r="G317" s="135">
        <v>0.1</v>
      </c>
      <c r="H317" s="212">
        <f t="shared" si="28"/>
        <v>3.28</v>
      </c>
      <c r="I317" s="136"/>
      <c r="J317" s="213"/>
      <c r="K317" s="217">
        <f t="shared" si="26"/>
        <v>0</v>
      </c>
      <c r="L317" s="218">
        <f t="shared" si="27"/>
        <v>0</v>
      </c>
    </row>
    <row r="318" spans="1:12" x14ac:dyDescent="0.2">
      <c r="A318" s="124"/>
      <c r="B318" s="211"/>
      <c r="C318" s="225" t="s">
        <v>714</v>
      </c>
      <c r="D318" s="226">
        <v>4</v>
      </c>
      <c r="E318" s="227">
        <f>(E261+F261)</f>
        <v>4.6999999999999993</v>
      </c>
      <c r="F318" s="227"/>
      <c r="G318" s="135">
        <v>0.1</v>
      </c>
      <c r="H318" s="212">
        <f t="shared" si="28"/>
        <v>1.88</v>
      </c>
      <c r="I318" s="136"/>
      <c r="J318" s="213"/>
      <c r="K318" s="217">
        <f t="shared" si="26"/>
        <v>0</v>
      </c>
      <c r="L318" s="218">
        <f t="shared" si="27"/>
        <v>0</v>
      </c>
    </row>
    <row r="319" spans="1:12" x14ac:dyDescent="0.2">
      <c r="A319" s="124"/>
      <c r="B319" s="211"/>
      <c r="C319" s="225" t="s">
        <v>715</v>
      </c>
      <c r="D319" s="226">
        <v>2</v>
      </c>
      <c r="E319" s="227">
        <f>(E262+F262)*2-1*2+0.75+1.6</f>
        <v>6</v>
      </c>
      <c r="F319" s="227"/>
      <c r="G319" s="135">
        <v>0.1</v>
      </c>
      <c r="H319" s="212">
        <f t="shared" si="28"/>
        <v>1.2000000000000002</v>
      </c>
      <c r="I319" s="136"/>
      <c r="J319" s="213"/>
      <c r="K319" s="217">
        <f t="shared" si="26"/>
        <v>0</v>
      </c>
      <c r="L319" s="218">
        <f t="shared" si="27"/>
        <v>0</v>
      </c>
    </row>
    <row r="320" spans="1:12" x14ac:dyDescent="0.2">
      <c r="A320" s="124"/>
      <c r="B320" s="211"/>
      <c r="C320" s="230" t="s">
        <v>717</v>
      </c>
      <c r="D320" s="231">
        <v>2</v>
      </c>
      <c r="E320" s="227">
        <f>(E263+F263)*2-1.05*2+0.9+2.55+0.9</f>
        <v>24.449999999999996</v>
      </c>
      <c r="F320" s="232"/>
      <c r="G320" s="135">
        <v>0.1</v>
      </c>
      <c r="H320" s="212">
        <f t="shared" si="28"/>
        <v>4.8899999999999997</v>
      </c>
      <c r="I320" s="141"/>
      <c r="J320" s="217"/>
      <c r="K320" s="217">
        <f t="shared" si="26"/>
        <v>0</v>
      </c>
      <c r="L320" s="218">
        <f t="shared" si="27"/>
        <v>0</v>
      </c>
    </row>
    <row r="321" spans="1:12" x14ac:dyDescent="0.2">
      <c r="A321" s="139"/>
      <c r="B321" s="215"/>
      <c r="C321" s="299" t="s">
        <v>207</v>
      </c>
      <c r="D321" s="142"/>
      <c r="E321" s="145"/>
      <c r="F321" s="145"/>
      <c r="G321" s="145"/>
      <c r="H321" s="216">
        <v>30</v>
      </c>
      <c r="I321" s="268" t="s">
        <v>334</v>
      </c>
      <c r="J321" s="269">
        <v>1623.05</v>
      </c>
      <c r="K321" s="217">
        <f t="shared" si="26"/>
        <v>1375.4661016949153</v>
      </c>
      <c r="L321" s="218">
        <f t="shared" si="27"/>
        <v>41263.983050847462</v>
      </c>
    </row>
    <row r="322" spans="1:12" ht="25.5" customHeight="1" x14ac:dyDescent="0.2">
      <c r="A322" s="116">
        <v>20</v>
      </c>
      <c r="B322" s="206">
        <v>8.31</v>
      </c>
      <c r="C322" s="219" t="s">
        <v>345</v>
      </c>
      <c r="D322" s="119"/>
      <c r="E322" s="121"/>
      <c r="F322" s="121"/>
      <c r="G322" s="121"/>
      <c r="H322" s="208"/>
      <c r="I322" s="122"/>
      <c r="J322" s="209"/>
      <c r="K322" s="217">
        <f t="shared" si="26"/>
        <v>0</v>
      </c>
      <c r="L322" s="218">
        <f t="shared" si="27"/>
        <v>0</v>
      </c>
    </row>
    <row r="323" spans="1:12" ht="15.75" customHeight="1" x14ac:dyDescent="0.2">
      <c r="A323" s="124"/>
      <c r="B323" s="211"/>
      <c r="C323" s="401" t="s">
        <v>711</v>
      </c>
      <c r="D323" s="119"/>
      <c r="E323" s="121"/>
      <c r="F323" s="121"/>
      <c r="G323" s="301"/>
      <c r="H323" s="302"/>
      <c r="I323" s="122"/>
      <c r="J323" s="209"/>
      <c r="K323" s="217">
        <f t="shared" si="26"/>
        <v>0</v>
      </c>
      <c r="L323" s="218">
        <f t="shared" si="27"/>
        <v>0</v>
      </c>
    </row>
    <row r="324" spans="1:12" ht="14.25" customHeight="1" x14ac:dyDescent="0.2">
      <c r="A324" s="124"/>
      <c r="B324" s="211"/>
      <c r="C324" s="220" t="s">
        <v>322</v>
      </c>
      <c r="D324" s="133">
        <v>1</v>
      </c>
      <c r="E324" s="301">
        <f t="shared" ref="E324:E329" si="29">(E267+F267)*2-0.75</f>
        <v>7.15</v>
      </c>
      <c r="F324" s="135"/>
      <c r="G324" s="301">
        <v>2.1</v>
      </c>
      <c r="H324" s="302">
        <f t="shared" ref="H324:H335" si="30">D324*E324*G324</f>
        <v>15.015000000000001</v>
      </c>
      <c r="I324" s="136"/>
      <c r="J324" s="213"/>
      <c r="K324" s="217">
        <f t="shared" si="26"/>
        <v>0</v>
      </c>
      <c r="L324" s="218">
        <f t="shared" si="27"/>
        <v>0</v>
      </c>
    </row>
    <row r="325" spans="1:12" ht="14.25" customHeight="1" x14ac:dyDescent="0.2">
      <c r="A325" s="124"/>
      <c r="B325" s="211"/>
      <c r="C325" s="220" t="s">
        <v>322</v>
      </c>
      <c r="D325" s="133">
        <v>1</v>
      </c>
      <c r="E325" s="301">
        <f t="shared" si="29"/>
        <v>7.2</v>
      </c>
      <c r="F325" s="135"/>
      <c r="G325" s="301">
        <v>2.1</v>
      </c>
      <c r="H325" s="302">
        <f t="shared" si="30"/>
        <v>15.120000000000001</v>
      </c>
      <c r="I325" s="136"/>
      <c r="J325" s="213"/>
      <c r="K325" s="217">
        <f t="shared" si="26"/>
        <v>0</v>
      </c>
      <c r="L325" s="218">
        <f t="shared" si="27"/>
        <v>0</v>
      </c>
    </row>
    <row r="326" spans="1:12" ht="14.25" customHeight="1" x14ac:dyDescent="0.2">
      <c r="A326" s="124"/>
      <c r="B326" s="211"/>
      <c r="C326" s="220" t="s">
        <v>322</v>
      </c>
      <c r="D326" s="133">
        <v>1</v>
      </c>
      <c r="E326" s="301">
        <f t="shared" si="29"/>
        <v>6.8500000000000005</v>
      </c>
      <c r="F326" s="135"/>
      <c r="G326" s="301">
        <v>2.1</v>
      </c>
      <c r="H326" s="302">
        <f t="shared" si="30"/>
        <v>14.385000000000002</v>
      </c>
      <c r="I326" s="136"/>
      <c r="J326" s="213"/>
      <c r="K326" s="217">
        <f t="shared" si="26"/>
        <v>0</v>
      </c>
      <c r="L326" s="218">
        <f t="shared" si="27"/>
        <v>0</v>
      </c>
    </row>
    <row r="327" spans="1:12" ht="14.25" customHeight="1" x14ac:dyDescent="0.2">
      <c r="A327" s="124"/>
      <c r="B327" s="211"/>
      <c r="C327" s="220" t="s">
        <v>718</v>
      </c>
      <c r="D327" s="133">
        <v>1</v>
      </c>
      <c r="E327" s="301">
        <f t="shared" si="29"/>
        <v>9.4499999999999993</v>
      </c>
      <c r="F327" s="135"/>
      <c r="G327" s="301">
        <f>0.1+0.15</f>
        <v>0.25</v>
      </c>
      <c r="H327" s="302">
        <f t="shared" si="30"/>
        <v>2.3624999999999998</v>
      </c>
      <c r="I327" s="136"/>
      <c r="J327" s="213"/>
      <c r="K327" s="217">
        <f t="shared" si="26"/>
        <v>0</v>
      </c>
      <c r="L327" s="218">
        <f t="shared" si="27"/>
        <v>0</v>
      </c>
    </row>
    <row r="328" spans="1:12" ht="14.25" customHeight="1" x14ac:dyDescent="0.2">
      <c r="A328" s="124"/>
      <c r="B328" s="211"/>
      <c r="C328" s="220" t="s">
        <v>718</v>
      </c>
      <c r="D328" s="133">
        <v>2</v>
      </c>
      <c r="E328" s="301">
        <f t="shared" si="29"/>
        <v>8.85</v>
      </c>
      <c r="F328" s="135"/>
      <c r="G328" s="301">
        <f>0.1+0.15</f>
        <v>0.25</v>
      </c>
      <c r="H328" s="302">
        <f t="shared" si="30"/>
        <v>4.4249999999999998</v>
      </c>
      <c r="I328" s="136"/>
      <c r="J328" s="213"/>
      <c r="K328" s="217">
        <f t="shared" si="26"/>
        <v>0</v>
      </c>
      <c r="L328" s="218">
        <f t="shared" si="27"/>
        <v>0</v>
      </c>
    </row>
    <row r="329" spans="1:12" ht="14.25" customHeight="1" x14ac:dyDescent="0.2">
      <c r="A329" s="124"/>
      <c r="B329" s="211"/>
      <c r="C329" s="220" t="s">
        <v>718</v>
      </c>
      <c r="D329" s="133">
        <v>1</v>
      </c>
      <c r="E329" s="301">
        <f t="shared" si="29"/>
        <v>6.9139999999999997</v>
      </c>
      <c r="F329" s="135"/>
      <c r="G329" s="301">
        <f>0.1+0.15</f>
        <v>0.25</v>
      </c>
      <c r="H329" s="302">
        <f t="shared" si="30"/>
        <v>1.7284999999999999</v>
      </c>
      <c r="I329" s="136"/>
      <c r="J329" s="213"/>
      <c r="K329" s="217">
        <f t="shared" si="26"/>
        <v>0</v>
      </c>
      <c r="L329" s="218">
        <f t="shared" si="27"/>
        <v>0</v>
      </c>
    </row>
    <row r="330" spans="1:12" ht="14.25" customHeight="1" x14ac:dyDescent="0.2">
      <c r="A330" s="124"/>
      <c r="B330" s="211"/>
      <c r="C330" s="402" t="s">
        <v>716</v>
      </c>
      <c r="D330" s="133"/>
      <c r="E330" s="301"/>
      <c r="F330" s="135"/>
      <c r="G330" s="301"/>
      <c r="H330" s="302"/>
      <c r="I330" s="136"/>
      <c r="J330" s="213"/>
      <c r="K330" s="217">
        <f t="shared" si="26"/>
        <v>0</v>
      </c>
      <c r="L330" s="218">
        <f t="shared" si="27"/>
        <v>0</v>
      </c>
    </row>
    <row r="331" spans="1:12" ht="14.25" customHeight="1" x14ac:dyDescent="0.2">
      <c r="A331" s="124"/>
      <c r="B331" s="211"/>
      <c r="C331" s="220" t="s">
        <v>322</v>
      </c>
      <c r="D331" s="133">
        <v>2</v>
      </c>
      <c r="E331" s="301">
        <f>(E274+F274)*2-0.75</f>
        <v>6.8</v>
      </c>
      <c r="F331" s="135"/>
      <c r="G331" s="301">
        <v>2.1</v>
      </c>
      <c r="H331" s="302">
        <f t="shared" si="30"/>
        <v>28.56</v>
      </c>
      <c r="I331" s="136"/>
      <c r="J331" s="213"/>
      <c r="K331" s="217">
        <f t="shared" ref="K331:K394" si="31">J331*100/118</f>
        <v>0</v>
      </c>
      <c r="L331" s="218">
        <f t="shared" ref="L331:L394" si="32">K331*H331</f>
        <v>0</v>
      </c>
    </row>
    <row r="332" spans="1:12" ht="14.25" customHeight="1" x14ac:dyDescent="0.2">
      <c r="A332" s="124"/>
      <c r="B332" s="211"/>
      <c r="C332" s="220" t="s">
        <v>322</v>
      </c>
      <c r="D332" s="133">
        <v>2</v>
      </c>
      <c r="E332" s="301">
        <f>(E275+F275)*2-0.75</f>
        <v>6.95</v>
      </c>
      <c r="F332" s="135"/>
      <c r="G332" s="301">
        <v>2.1</v>
      </c>
      <c r="H332" s="302">
        <f t="shared" si="30"/>
        <v>29.19</v>
      </c>
      <c r="I332" s="136"/>
      <c r="J332" s="213"/>
      <c r="K332" s="217">
        <f t="shared" si="31"/>
        <v>0</v>
      </c>
      <c r="L332" s="218">
        <f t="shared" si="32"/>
        <v>0</v>
      </c>
    </row>
    <row r="333" spans="1:12" ht="14.25" customHeight="1" x14ac:dyDescent="0.2">
      <c r="A333" s="124"/>
      <c r="B333" s="211"/>
      <c r="C333" s="220" t="s">
        <v>718</v>
      </c>
      <c r="D333" s="133">
        <v>4</v>
      </c>
      <c r="E333" s="301">
        <f>(E276+F276)*2-0.75</f>
        <v>8.85</v>
      </c>
      <c r="F333" s="135"/>
      <c r="G333" s="301">
        <f>0.1+0.15</f>
        <v>0.25</v>
      </c>
      <c r="H333" s="302">
        <f t="shared" si="30"/>
        <v>8.85</v>
      </c>
      <c r="I333" s="136"/>
      <c r="J333" s="213"/>
      <c r="K333" s="217">
        <f t="shared" si="31"/>
        <v>0</v>
      </c>
      <c r="L333" s="218">
        <f t="shared" si="32"/>
        <v>0</v>
      </c>
    </row>
    <row r="334" spans="1:12" ht="14.25" customHeight="1" x14ac:dyDescent="0.2">
      <c r="A334" s="124"/>
      <c r="B334" s="211"/>
      <c r="C334" s="220" t="s">
        <v>718</v>
      </c>
      <c r="D334" s="133">
        <v>2</v>
      </c>
      <c r="E334" s="301">
        <f>(E277+F277)*2-0.75</f>
        <v>9.4499999999999993</v>
      </c>
      <c r="F334" s="135"/>
      <c r="G334" s="301">
        <f>0.1+0.15</f>
        <v>0.25</v>
      </c>
      <c r="H334" s="302">
        <f t="shared" si="30"/>
        <v>4.7249999999999996</v>
      </c>
      <c r="I334" s="136"/>
      <c r="J334" s="213"/>
      <c r="K334" s="217">
        <f t="shared" si="31"/>
        <v>0</v>
      </c>
      <c r="L334" s="218">
        <f t="shared" si="32"/>
        <v>0</v>
      </c>
    </row>
    <row r="335" spans="1:12" ht="14.25" customHeight="1" x14ac:dyDescent="0.2">
      <c r="A335" s="124"/>
      <c r="B335" s="211"/>
      <c r="C335" s="220" t="s">
        <v>719</v>
      </c>
      <c r="D335" s="133">
        <v>2</v>
      </c>
      <c r="E335" s="301">
        <f>(E278+F278)*2-0.9+0.9+2.55+1.05*2</f>
        <v>21.200000000000003</v>
      </c>
      <c r="F335" s="135"/>
      <c r="G335" s="301">
        <f>0.1+0.15</f>
        <v>0.25</v>
      </c>
      <c r="H335" s="302">
        <f t="shared" si="30"/>
        <v>10.600000000000001</v>
      </c>
      <c r="I335" s="136"/>
      <c r="J335" s="213"/>
      <c r="K335" s="217">
        <f t="shared" si="31"/>
        <v>0</v>
      </c>
      <c r="L335" s="218">
        <f t="shared" si="32"/>
        <v>0</v>
      </c>
    </row>
    <row r="336" spans="1:12" ht="14.25" customHeight="1" x14ac:dyDescent="0.2">
      <c r="A336" s="139"/>
      <c r="B336" s="215"/>
      <c r="C336" s="141" t="s">
        <v>117</v>
      </c>
      <c r="D336" s="142"/>
      <c r="E336" s="145"/>
      <c r="F336" s="145"/>
      <c r="G336" s="145"/>
      <c r="H336" s="216">
        <v>130</v>
      </c>
      <c r="I336" s="141" t="s">
        <v>128</v>
      </c>
      <c r="J336" s="217">
        <v>1267.95</v>
      </c>
      <c r="K336" s="217">
        <f t="shared" si="31"/>
        <v>1074.5338983050847</v>
      </c>
      <c r="L336" s="218">
        <f t="shared" si="32"/>
        <v>139689.40677966102</v>
      </c>
    </row>
    <row r="337" spans="1:12" ht="51" x14ac:dyDescent="0.2">
      <c r="A337" s="116">
        <v>21</v>
      </c>
      <c r="B337" s="206">
        <v>9.1</v>
      </c>
      <c r="C337" s="219" t="s">
        <v>346</v>
      </c>
      <c r="D337" s="119"/>
      <c r="E337" s="121"/>
      <c r="F337" s="121"/>
      <c r="G337" s="121"/>
      <c r="H337" s="208"/>
      <c r="I337" s="122"/>
      <c r="J337" s="209"/>
      <c r="K337" s="217">
        <f t="shared" si="31"/>
        <v>0</v>
      </c>
      <c r="L337" s="218">
        <f t="shared" si="32"/>
        <v>0</v>
      </c>
    </row>
    <row r="338" spans="1:12" x14ac:dyDescent="0.2">
      <c r="A338" s="124"/>
      <c r="B338" s="211"/>
      <c r="C338" s="266" t="s">
        <v>347</v>
      </c>
      <c r="D338" s="127"/>
      <c r="E338" s="129"/>
      <c r="F338" s="129"/>
      <c r="G338" s="129"/>
      <c r="H338" s="239"/>
      <c r="I338" s="130"/>
      <c r="J338" s="240"/>
      <c r="K338" s="217">
        <f t="shared" si="31"/>
        <v>0</v>
      </c>
      <c r="L338" s="218">
        <f t="shared" si="32"/>
        <v>0</v>
      </c>
    </row>
    <row r="339" spans="1:12" ht="31.5" customHeight="1" x14ac:dyDescent="0.2">
      <c r="A339" s="124"/>
      <c r="B339" s="211" t="s">
        <v>348</v>
      </c>
      <c r="C339" s="289" t="s">
        <v>349</v>
      </c>
      <c r="D339" s="127"/>
      <c r="E339" s="129"/>
      <c r="F339" s="129"/>
      <c r="G339" s="129"/>
      <c r="H339" s="239"/>
      <c r="I339" s="130"/>
      <c r="J339" s="240"/>
      <c r="K339" s="217">
        <f t="shared" si="31"/>
        <v>0</v>
      </c>
      <c r="L339" s="218">
        <f t="shared" si="32"/>
        <v>0</v>
      </c>
    </row>
    <row r="340" spans="1:12" ht="14.25" customHeight="1" x14ac:dyDescent="0.2">
      <c r="A340" s="124"/>
      <c r="B340" s="211"/>
      <c r="C340" s="187" t="s">
        <v>418</v>
      </c>
      <c r="D340" s="133">
        <v>3</v>
      </c>
      <c r="E340" s="135">
        <f>2.4*2+1.05</f>
        <v>5.85</v>
      </c>
      <c r="F340" s="135">
        <v>0.125</v>
      </c>
      <c r="G340" s="135">
        <v>6.25E-2</v>
      </c>
      <c r="H340" s="303">
        <f>G340*F340*E340*D340</f>
        <v>0.13710937499999998</v>
      </c>
      <c r="I340" s="130"/>
      <c r="J340" s="240"/>
      <c r="K340" s="217">
        <f t="shared" si="31"/>
        <v>0</v>
      </c>
      <c r="L340" s="218">
        <f t="shared" si="32"/>
        <v>0</v>
      </c>
    </row>
    <row r="341" spans="1:12" ht="14.25" customHeight="1" x14ac:dyDescent="0.2">
      <c r="A341" s="124"/>
      <c r="B341" s="211"/>
      <c r="C341" s="187" t="s">
        <v>293</v>
      </c>
      <c r="D341" s="133">
        <v>7</v>
      </c>
      <c r="E341" s="135">
        <f>2.13*2+1</f>
        <v>5.26</v>
      </c>
      <c r="F341" s="135">
        <v>0.125</v>
      </c>
      <c r="G341" s="135">
        <v>6.25E-2</v>
      </c>
      <c r="H341" s="303">
        <f>G341*F341*E341*D341</f>
        <v>0.28765625</v>
      </c>
      <c r="I341" s="130"/>
      <c r="J341" s="240"/>
      <c r="K341" s="217">
        <f t="shared" si="31"/>
        <v>0</v>
      </c>
      <c r="L341" s="218">
        <f t="shared" si="32"/>
        <v>0</v>
      </c>
    </row>
    <row r="342" spans="1:12" ht="14.25" customHeight="1" x14ac:dyDescent="0.2">
      <c r="A342" s="124"/>
      <c r="B342" s="211"/>
      <c r="C342" s="187" t="s">
        <v>222</v>
      </c>
      <c r="D342" s="133">
        <v>3</v>
      </c>
      <c r="E342" s="135">
        <f>2.13*2+0.9</f>
        <v>5.16</v>
      </c>
      <c r="F342" s="135">
        <v>0.125</v>
      </c>
      <c r="G342" s="135">
        <v>6.25E-2</v>
      </c>
      <c r="H342" s="303">
        <f>G342*F342*E342*D342</f>
        <v>0.1209375</v>
      </c>
      <c r="I342" s="130"/>
      <c r="J342" s="240"/>
      <c r="K342" s="217">
        <f t="shared" si="31"/>
        <v>0</v>
      </c>
      <c r="L342" s="218">
        <f t="shared" si="32"/>
        <v>0</v>
      </c>
    </row>
    <row r="343" spans="1:12" ht="14.25" customHeight="1" x14ac:dyDescent="0.2">
      <c r="A343" s="124"/>
      <c r="B343" s="211"/>
      <c r="C343" s="220" t="s">
        <v>223</v>
      </c>
      <c r="D343" s="133">
        <v>7</v>
      </c>
      <c r="E343" s="135">
        <f>2.13*2+0.75</f>
        <v>5.01</v>
      </c>
      <c r="F343" s="135">
        <v>0.125</v>
      </c>
      <c r="G343" s="135">
        <v>6.25E-2</v>
      </c>
      <c r="H343" s="303">
        <f>G343*F343*E343*D343</f>
        <v>0.273984375</v>
      </c>
      <c r="I343" s="136"/>
      <c r="J343" s="213"/>
      <c r="K343" s="217">
        <f t="shared" si="31"/>
        <v>0</v>
      </c>
      <c r="L343" s="218">
        <f t="shared" si="32"/>
        <v>0</v>
      </c>
    </row>
    <row r="344" spans="1:12" ht="14.25" customHeight="1" x14ac:dyDescent="0.2">
      <c r="A344" s="124"/>
      <c r="B344" s="211"/>
      <c r="C344" s="220" t="s">
        <v>419</v>
      </c>
      <c r="D344" s="133">
        <v>3</v>
      </c>
      <c r="E344" s="135">
        <f>2.13*2+0.9</f>
        <v>5.16</v>
      </c>
      <c r="F344" s="135">
        <v>0.125</v>
      </c>
      <c r="G344" s="135">
        <v>6.25E-2</v>
      </c>
      <c r="H344" s="303">
        <f>G344*F344*E344*D344</f>
        <v>0.1209375</v>
      </c>
      <c r="I344" s="136"/>
      <c r="J344" s="213"/>
      <c r="K344" s="217">
        <f t="shared" si="31"/>
        <v>0</v>
      </c>
      <c r="L344" s="218">
        <f t="shared" si="32"/>
        <v>0</v>
      </c>
    </row>
    <row r="345" spans="1:12" ht="14.25" customHeight="1" x14ac:dyDescent="0.2">
      <c r="A345" s="139"/>
      <c r="B345" s="215"/>
      <c r="C345" s="141" t="s">
        <v>117</v>
      </c>
      <c r="D345" s="142"/>
      <c r="E345" s="145"/>
      <c r="F345" s="145"/>
      <c r="G345" s="145"/>
      <c r="H345" s="216">
        <f>SUM(H340:H344)</f>
        <v>0.94062499999999993</v>
      </c>
      <c r="I345" s="141" t="s">
        <v>118</v>
      </c>
      <c r="J345" s="217">
        <v>116520.3</v>
      </c>
      <c r="K345" s="217">
        <f t="shared" si="31"/>
        <v>98746.016949152545</v>
      </c>
      <c r="L345" s="218">
        <f t="shared" si="32"/>
        <v>92882.972192796602</v>
      </c>
    </row>
    <row r="346" spans="1:12" ht="146.25" customHeight="1" x14ac:dyDescent="0.2">
      <c r="A346" s="116">
        <v>22</v>
      </c>
      <c r="B346" s="206">
        <v>9.1310000000000002</v>
      </c>
      <c r="C346" s="288" t="s">
        <v>351</v>
      </c>
      <c r="D346" s="119"/>
      <c r="E346" s="121"/>
      <c r="F346" s="121"/>
      <c r="G346" s="121"/>
      <c r="H346" s="208"/>
      <c r="I346" s="122"/>
      <c r="J346" s="209"/>
      <c r="K346" s="217">
        <f t="shared" si="31"/>
        <v>0</v>
      </c>
      <c r="L346" s="218">
        <f t="shared" si="32"/>
        <v>0</v>
      </c>
    </row>
    <row r="347" spans="1:12" x14ac:dyDescent="0.2">
      <c r="A347" s="124"/>
      <c r="B347" s="211" t="s">
        <v>352</v>
      </c>
      <c r="C347" s="289" t="s">
        <v>353</v>
      </c>
      <c r="D347" s="127"/>
      <c r="E347" s="129"/>
      <c r="F347" s="129"/>
      <c r="G347" s="129"/>
      <c r="H347" s="239"/>
      <c r="I347" s="130"/>
      <c r="J347" s="240"/>
      <c r="K347" s="217">
        <f t="shared" si="31"/>
        <v>0</v>
      </c>
      <c r="L347" s="218">
        <f t="shared" si="32"/>
        <v>0</v>
      </c>
    </row>
    <row r="348" spans="1:12" ht="14.25" customHeight="1" x14ac:dyDescent="0.2">
      <c r="A348" s="124"/>
      <c r="B348" s="211"/>
      <c r="C348" s="220" t="s">
        <v>223</v>
      </c>
      <c r="D348" s="133">
        <v>7</v>
      </c>
      <c r="E348" s="135">
        <v>0.75</v>
      </c>
      <c r="F348" s="135"/>
      <c r="G348" s="135">
        <v>2.1</v>
      </c>
      <c r="H348" s="303">
        <f>D348*E348*G348</f>
        <v>11.025</v>
      </c>
      <c r="I348" s="136"/>
      <c r="J348" s="213"/>
      <c r="K348" s="217">
        <f t="shared" si="31"/>
        <v>0</v>
      </c>
      <c r="L348" s="218">
        <f t="shared" si="32"/>
        <v>0</v>
      </c>
    </row>
    <row r="349" spans="1:12" ht="14.25" customHeight="1" x14ac:dyDescent="0.2">
      <c r="A349" s="124"/>
      <c r="B349" s="211"/>
      <c r="C349" s="220" t="s">
        <v>505</v>
      </c>
      <c r="D349" s="133">
        <v>3</v>
      </c>
      <c r="E349" s="135">
        <v>0.9</v>
      </c>
      <c r="F349" s="135"/>
      <c r="G349" s="135">
        <v>2.1</v>
      </c>
      <c r="H349" s="303">
        <f>D349*E349*G349</f>
        <v>5.6700000000000008</v>
      </c>
      <c r="I349" s="136"/>
      <c r="J349" s="213"/>
      <c r="K349" s="217">
        <f t="shared" si="31"/>
        <v>0</v>
      </c>
      <c r="L349" s="218">
        <f t="shared" si="32"/>
        <v>0</v>
      </c>
    </row>
    <row r="350" spans="1:12" x14ac:dyDescent="0.2">
      <c r="A350" s="139"/>
      <c r="B350" s="215"/>
      <c r="C350" s="141" t="s">
        <v>117</v>
      </c>
      <c r="D350" s="142"/>
      <c r="E350" s="145"/>
      <c r="F350" s="145"/>
      <c r="G350" s="145"/>
      <c r="H350" s="216">
        <v>16</v>
      </c>
      <c r="I350" s="141" t="s">
        <v>334</v>
      </c>
      <c r="J350" s="217">
        <v>1801.6</v>
      </c>
      <c r="K350" s="217">
        <f t="shared" si="31"/>
        <v>1526.7796610169491</v>
      </c>
      <c r="L350" s="218">
        <f t="shared" si="32"/>
        <v>24428.474576271186</v>
      </c>
    </row>
    <row r="351" spans="1:12" ht="39" customHeight="1" x14ac:dyDescent="0.2">
      <c r="A351" s="116">
        <v>23</v>
      </c>
      <c r="B351" s="206">
        <v>9.1319999999999997</v>
      </c>
      <c r="C351" s="304" t="s">
        <v>354</v>
      </c>
      <c r="D351" s="119"/>
      <c r="E351" s="121"/>
      <c r="F351" s="121"/>
      <c r="G351" s="121"/>
      <c r="H351" s="263"/>
      <c r="I351" s="122"/>
      <c r="J351" s="209"/>
      <c r="K351" s="217">
        <f t="shared" si="31"/>
        <v>0</v>
      </c>
      <c r="L351" s="218">
        <f t="shared" si="32"/>
        <v>0</v>
      </c>
    </row>
    <row r="352" spans="1:12" x14ac:dyDescent="0.2">
      <c r="A352" s="124"/>
      <c r="B352" s="211"/>
      <c r="C352" s="220" t="s">
        <v>223</v>
      </c>
      <c r="D352" s="133">
        <v>7</v>
      </c>
      <c r="E352" s="135">
        <f>2.13*2+0.75</f>
        <v>5.01</v>
      </c>
      <c r="F352" s="135"/>
      <c r="G352" s="135"/>
      <c r="H352" s="134">
        <f>D352*E352</f>
        <v>35.07</v>
      </c>
      <c r="I352" s="136"/>
      <c r="J352" s="213"/>
      <c r="K352" s="217">
        <f t="shared" si="31"/>
        <v>0</v>
      </c>
      <c r="L352" s="218">
        <f t="shared" si="32"/>
        <v>0</v>
      </c>
    </row>
    <row r="353" spans="1:12" x14ac:dyDescent="0.2">
      <c r="A353" s="124"/>
      <c r="B353" s="211"/>
      <c r="C353" s="220" t="s">
        <v>505</v>
      </c>
      <c r="D353" s="133">
        <v>3</v>
      </c>
      <c r="E353" s="135">
        <f>2.13*2+0.9</f>
        <v>5.16</v>
      </c>
      <c r="F353" s="135"/>
      <c r="G353" s="135"/>
      <c r="H353" s="134">
        <f>D353*E353</f>
        <v>15.48</v>
      </c>
      <c r="I353" s="136"/>
      <c r="J353" s="213"/>
      <c r="K353" s="217">
        <f t="shared" si="31"/>
        <v>0</v>
      </c>
      <c r="L353" s="218">
        <f t="shared" si="32"/>
        <v>0</v>
      </c>
    </row>
    <row r="354" spans="1:12" x14ac:dyDescent="0.2">
      <c r="A354" s="139"/>
      <c r="B354" s="215"/>
      <c r="C354" s="141" t="s">
        <v>117</v>
      </c>
      <c r="D354" s="142">
        <f>SUM(D352:D353)</f>
        <v>10</v>
      </c>
      <c r="E354" s="145"/>
      <c r="F354" s="145"/>
      <c r="G354" s="145"/>
      <c r="H354" s="216">
        <v>25</v>
      </c>
      <c r="I354" s="141" t="s">
        <v>355</v>
      </c>
      <c r="J354" s="217">
        <v>596.15</v>
      </c>
      <c r="K354" s="217">
        <f t="shared" si="31"/>
        <v>505.21186440677968</v>
      </c>
      <c r="L354" s="218">
        <f t="shared" si="32"/>
        <v>12630.296610169493</v>
      </c>
    </row>
    <row r="355" spans="1:12" ht="85.5" x14ac:dyDescent="0.2">
      <c r="A355" s="124">
        <v>24</v>
      </c>
      <c r="B355" s="211">
        <v>9.2100000000000009</v>
      </c>
      <c r="C355" s="290" t="s">
        <v>506</v>
      </c>
      <c r="D355" s="133"/>
      <c r="E355" s="135"/>
      <c r="F355" s="135"/>
      <c r="G355" s="135"/>
      <c r="H355" s="242"/>
      <c r="I355" s="136"/>
      <c r="J355" s="213"/>
      <c r="K355" s="217">
        <f t="shared" si="31"/>
        <v>0</v>
      </c>
      <c r="L355" s="218">
        <f t="shared" si="32"/>
        <v>0</v>
      </c>
    </row>
    <row r="356" spans="1:12" ht="25.5" x14ac:dyDescent="0.2">
      <c r="A356" s="124"/>
      <c r="B356" s="211" t="s">
        <v>358</v>
      </c>
      <c r="C356" s="305" t="s">
        <v>359</v>
      </c>
      <c r="D356" s="133"/>
      <c r="E356" s="135"/>
      <c r="F356" s="135"/>
      <c r="G356" s="135"/>
      <c r="H356" s="242"/>
      <c r="I356" s="136"/>
      <c r="J356" s="213"/>
      <c r="K356" s="217">
        <f t="shared" si="31"/>
        <v>0</v>
      </c>
      <c r="L356" s="218">
        <f t="shared" si="32"/>
        <v>0</v>
      </c>
    </row>
    <row r="357" spans="1:12" x14ac:dyDescent="0.2">
      <c r="A357" s="124"/>
      <c r="B357" s="211"/>
      <c r="C357" s="305" t="s">
        <v>722</v>
      </c>
      <c r="D357" s="133">
        <v>3</v>
      </c>
      <c r="E357" s="135">
        <v>1.05</v>
      </c>
      <c r="F357" s="135"/>
      <c r="G357" s="135">
        <v>2.1</v>
      </c>
      <c r="H357" s="303">
        <f>D357*E357*G357</f>
        <v>6.6150000000000011</v>
      </c>
      <c r="I357" s="136"/>
      <c r="J357" s="213"/>
      <c r="K357" s="217">
        <f t="shared" si="31"/>
        <v>0</v>
      </c>
      <c r="L357" s="218">
        <f t="shared" si="32"/>
        <v>0</v>
      </c>
    </row>
    <row r="358" spans="1:12" x14ac:dyDescent="0.2">
      <c r="A358" s="124"/>
      <c r="B358" s="211"/>
      <c r="C358" s="305" t="s">
        <v>293</v>
      </c>
      <c r="D358" s="133">
        <v>7</v>
      </c>
      <c r="E358" s="135">
        <v>1</v>
      </c>
      <c r="F358" s="135"/>
      <c r="G358" s="135">
        <v>2.1</v>
      </c>
      <c r="H358" s="303">
        <f>D358*E358*G358</f>
        <v>14.700000000000001</v>
      </c>
      <c r="I358" s="136"/>
      <c r="J358" s="213"/>
      <c r="K358" s="217">
        <f t="shared" si="31"/>
        <v>0</v>
      </c>
      <c r="L358" s="218">
        <f t="shared" si="32"/>
        <v>0</v>
      </c>
    </row>
    <row r="359" spans="1:12" x14ac:dyDescent="0.2">
      <c r="A359" s="124"/>
      <c r="B359" s="211"/>
      <c r="C359" s="305" t="s">
        <v>222</v>
      </c>
      <c r="D359" s="133">
        <v>3</v>
      </c>
      <c r="E359" s="135">
        <v>0.9</v>
      </c>
      <c r="F359" s="135"/>
      <c r="G359" s="135">
        <v>2.1</v>
      </c>
      <c r="H359" s="303">
        <f>D359*E359*G359</f>
        <v>5.6700000000000008</v>
      </c>
      <c r="I359" s="141"/>
      <c r="J359" s="217"/>
      <c r="K359" s="217">
        <f t="shared" si="31"/>
        <v>0</v>
      </c>
      <c r="L359" s="218">
        <f t="shared" si="32"/>
        <v>0</v>
      </c>
    </row>
    <row r="360" spans="1:12" x14ac:dyDescent="0.2">
      <c r="A360" s="124"/>
      <c r="B360" s="211"/>
      <c r="C360" s="192"/>
      <c r="D360" s="127"/>
      <c r="E360" s="129"/>
      <c r="F360" s="129"/>
      <c r="G360" s="129"/>
      <c r="H360" s="264">
        <f>SUM(H357:H359)</f>
        <v>26.985000000000003</v>
      </c>
      <c r="I360" s="130" t="s">
        <v>334</v>
      </c>
      <c r="J360" s="240">
        <v>2392.65</v>
      </c>
      <c r="K360" s="217">
        <f t="shared" si="31"/>
        <v>2027.6694915254238</v>
      </c>
      <c r="L360" s="218">
        <f t="shared" si="32"/>
        <v>54716.661228813566</v>
      </c>
    </row>
    <row r="361" spans="1:12" ht="315.75" customHeight="1" x14ac:dyDescent="0.2">
      <c r="A361" s="116">
        <v>25</v>
      </c>
      <c r="B361" s="206" t="s">
        <v>360</v>
      </c>
      <c r="C361" s="290" t="s">
        <v>361</v>
      </c>
      <c r="D361" s="116"/>
      <c r="E361" s="252"/>
      <c r="F361" s="252"/>
      <c r="G361" s="252"/>
      <c r="H361" s="272"/>
      <c r="I361" s="254"/>
      <c r="J361" s="255"/>
      <c r="K361" s="217">
        <f t="shared" si="31"/>
        <v>0</v>
      </c>
      <c r="L361" s="218">
        <f t="shared" si="32"/>
        <v>0</v>
      </c>
    </row>
    <row r="362" spans="1:12" ht="173.25" customHeight="1" x14ac:dyDescent="0.2">
      <c r="A362" s="306"/>
      <c r="B362" s="211"/>
      <c r="C362" s="307" t="s">
        <v>362</v>
      </c>
      <c r="D362" s="127"/>
      <c r="E362" s="129"/>
      <c r="F362" s="129"/>
      <c r="G362" s="129"/>
      <c r="H362" s="239"/>
      <c r="I362" s="260"/>
      <c r="J362" s="261"/>
      <c r="K362" s="217">
        <f t="shared" si="31"/>
        <v>0</v>
      </c>
      <c r="L362" s="218">
        <f t="shared" si="32"/>
        <v>0</v>
      </c>
    </row>
    <row r="363" spans="1:12" ht="76.5" customHeight="1" x14ac:dyDescent="0.2">
      <c r="A363" s="116">
        <v>26</v>
      </c>
      <c r="B363" s="117" t="s">
        <v>363</v>
      </c>
      <c r="C363" s="288" t="s">
        <v>364</v>
      </c>
      <c r="D363" s="119"/>
      <c r="E363" s="121"/>
      <c r="F363" s="121"/>
      <c r="G363" s="121"/>
      <c r="H363" s="263"/>
      <c r="I363" s="122"/>
      <c r="J363" s="209"/>
      <c r="K363" s="217">
        <f t="shared" si="31"/>
        <v>0</v>
      </c>
      <c r="L363" s="218">
        <f t="shared" si="32"/>
        <v>0</v>
      </c>
    </row>
    <row r="364" spans="1:12" ht="14.25" x14ac:dyDescent="0.2">
      <c r="A364" s="124"/>
      <c r="B364" s="211"/>
      <c r="C364" s="340" t="s">
        <v>484</v>
      </c>
      <c r="D364" s="341">
        <v>3</v>
      </c>
      <c r="E364" s="342">
        <v>1.8</v>
      </c>
      <c r="F364" s="342"/>
      <c r="G364" s="342">
        <v>1.5</v>
      </c>
      <c r="H364" s="343">
        <f>G364*E364*D364</f>
        <v>8.1000000000000014</v>
      </c>
      <c r="I364" s="344"/>
      <c r="J364" s="345"/>
      <c r="K364" s="217">
        <f t="shared" si="31"/>
        <v>0</v>
      </c>
      <c r="L364" s="218">
        <f t="shared" si="32"/>
        <v>0</v>
      </c>
    </row>
    <row r="365" spans="1:12" ht="14.25" x14ac:dyDescent="0.2">
      <c r="A365" s="124"/>
      <c r="B365" s="211"/>
      <c r="C365" s="346" t="s">
        <v>457</v>
      </c>
      <c r="D365" s="133">
        <v>6</v>
      </c>
      <c r="E365" s="135">
        <v>1.37</v>
      </c>
      <c r="F365" s="135"/>
      <c r="G365" s="135">
        <v>1.5</v>
      </c>
      <c r="H365" s="212">
        <f>G365*E365*D365</f>
        <v>12.330000000000002</v>
      </c>
      <c r="I365" s="136"/>
      <c r="J365" s="213"/>
      <c r="K365" s="217">
        <f t="shared" si="31"/>
        <v>0</v>
      </c>
      <c r="L365" s="218">
        <f t="shared" si="32"/>
        <v>0</v>
      </c>
    </row>
    <row r="366" spans="1:12" x14ac:dyDescent="0.2">
      <c r="A366" s="124"/>
      <c r="B366" s="211"/>
      <c r="C366" s="220" t="s">
        <v>458</v>
      </c>
      <c r="D366" s="133">
        <v>3</v>
      </c>
      <c r="E366" s="135">
        <v>1.05</v>
      </c>
      <c r="F366" s="135"/>
      <c r="G366" s="135">
        <v>1.35</v>
      </c>
      <c r="H366" s="212">
        <f>G366*E366*D366</f>
        <v>4.2525000000000004</v>
      </c>
      <c r="I366" s="136"/>
      <c r="J366" s="213"/>
      <c r="K366" s="217">
        <f t="shared" si="31"/>
        <v>0</v>
      </c>
      <c r="L366" s="218">
        <f t="shared" si="32"/>
        <v>0</v>
      </c>
    </row>
    <row r="367" spans="1:12" x14ac:dyDescent="0.2">
      <c r="A367" s="124"/>
      <c r="B367" s="211"/>
      <c r="C367" s="220" t="s">
        <v>260</v>
      </c>
      <c r="D367" s="133">
        <v>2</v>
      </c>
      <c r="E367" s="135">
        <v>1.2</v>
      </c>
      <c r="F367" s="135"/>
      <c r="G367" s="135">
        <v>1.2</v>
      </c>
      <c r="H367" s="212">
        <f>D367*E367*G367</f>
        <v>2.88</v>
      </c>
      <c r="I367" s="136"/>
      <c r="J367" s="213"/>
      <c r="K367" s="217">
        <f t="shared" si="31"/>
        <v>0</v>
      </c>
      <c r="L367" s="218">
        <f t="shared" si="32"/>
        <v>0</v>
      </c>
    </row>
    <row r="368" spans="1:12" x14ac:dyDescent="0.2">
      <c r="A368" s="124"/>
      <c r="B368" s="211"/>
      <c r="C368" s="220" t="s">
        <v>273</v>
      </c>
      <c r="D368" s="133">
        <v>7</v>
      </c>
      <c r="E368" s="135">
        <v>0.6</v>
      </c>
      <c r="F368" s="135"/>
      <c r="G368" s="135">
        <v>0.9</v>
      </c>
      <c r="H368" s="212">
        <f>D368*E368*G368</f>
        <v>3.7800000000000002</v>
      </c>
      <c r="I368" s="136"/>
      <c r="J368" s="213"/>
      <c r="K368" s="217">
        <f t="shared" si="31"/>
        <v>0</v>
      </c>
      <c r="L368" s="218">
        <f t="shared" si="32"/>
        <v>0</v>
      </c>
    </row>
    <row r="369" spans="1:12" x14ac:dyDescent="0.2">
      <c r="A369" s="139"/>
      <c r="B369" s="215"/>
      <c r="C369" s="141" t="s">
        <v>117</v>
      </c>
      <c r="D369" s="142"/>
      <c r="E369" s="145"/>
      <c r="F369" s="145"/>
      <c r="G369" s="145"/>
      <c r="H369" s="216">
        <v>30</v>
      </c>
      <c r="I369" s="141" t="s">
        <v>128</v>
      </c>
      <c r="J369" s="217">
        <v>9628.6</v>
      </c>
      <c r="K369" s="217">
        <f t="shared" si="31"/>
        <v>8159.8305084745762</v>
      </c>
      <c r="L369" s="218">
        <f t="shared" si="32"/>
        <v>244794.91525423728</v>
      </c>
    </row>
    <row r="370" spans="1:12" x14ac:dyDescent="0.2">
      <c r="A370" s="124"/>
      <c r="B370" s="211"/>
      <c r="C370" s="130"/>
      <c r="D370" s="127"/>
      <c r="E370" s="129"/>
      <c r="F370" s="129"/>
      <c r="G370" s="129"/>
      <c r="H370" s="264"/>
      <c r="I370" s="130"/>
      <c r="J370" s="240"/>
      <c r="K370" s="217">
        <f t="shared" si="31"/>
        <v>0</v>
      </c>
      <c r="L370" s="218">
        <f t="shared" si="32"/>
        <v>0</v>
      </c>
    </row>
    <row r="371" spans="1:12" ht="75.75" customHeight="1" x14ac:dyDescent="0.2">
      <c r="A371" s="116">
        <v>27</v>
      </c>
      <c r="B371" s="117" t="s">
        <v>507</v>
      </c>
      <c r="C371" s="288" t="s">
        <v>508</v>
      </c>
      <c r="D371" s="119"/>
      <c r="E371" s="121"/>
      <c r="F371" s="121"/>
      <c r="G371" s="121"/>
      <c r="H371" s="263"/>
      <c r="I371" s="122"/>
      <c r="J371" s="209"/>
      <c r="K371" s="217">
        <f t="shared" si="31"/>
        <v>0</v>
      </c>
      <c r="L371" s="218">
        <f t="shared" si="32"/>
        <v>0</v>
      </c>
    </row>
    <row r="372" spans="1:12" ht="51.75" customHeight="1" x14ac:dyDescent="0.2">
      <c r="A372" s="243"/>
      <c r="B372" s="186" t="s">
        <v>509</v>
      </c>
      <c r="C372" s="288" t="s">
        <v>510</v>
      </c>
      <c r="D372" s="119"/>
      <c r="E372" s="121"/>
      <c r="F372" s="121"/>
      <c r="G372" s="121"/>
      <c r="H372" s="263"/>
      <c r="I372" s="122"/>
      <c r="J372" s="209"/>
      <c r="K372" s="217">
        <f t="shared" si="31"/>
        <v>0</v>
      </c>
      <c r="L372" s="218">
        <f t="shared" si="32"/>
        <v>0</v>
      </c>
    </row>
    <row r="373" spans="1:12" ht="14.25" x14ac:dyDescent="0.2">
      <c r="A373" s="124"/>
      <c r="B373" s="211"/>
      <c r="C373" s="340" t="s">
        <v>511</v>
      </c>
      <c r="D373" s="341">
        <v>7</v>
      </c>
      <c r="E373" s="342">
        <v>2.4</v>
      </c>
      <c r="F373" s="342"/>
      <c r="G373" s="342">
        <v>2.4</v>
      </c>
      <c r="H373" s="343">
        <f>G373*E373*D373</f>
        <v>40.32</v>
      </c>
      <c r="I373" s="344"/>
      <c r="J373" s="345"/>
      <c r="K373" s="217">
        <f t="shared" si="31"/>
        <v>0</v>
      </c>
      <c r="L373" s="218">
        <f t="shared" si="32"/>
        <v>0</v>
      </c>
    </row>
    <row r="374" spans="1:12" x14ac:dyDescent="0.2">
      <c r="A374" s="139"/>
      <c r="B374" s="215"/>
      <c r="C374" s="141" t="s">
        <v>117</v>
      </c>
      <c r="D374" s="142"/>
      <c r="E374" s="145"/>
      <c r="F374" s="145"/>
      <c r="G374" s="145"/>
      <c r="H374" s="216">
        <v>40</v>
      </c>
      <c r="I374" s="141" t="s">
        <v>128</v>
      </c>
      <c r="J374" s="217">
        <v>8287.0499999999993</v>
      </c>
      <c r="K374" s="217">
        <f t="shared" si="31"/>
        <v>7022.9237288135582</v>
      </c>
      <c r="L374" s="218">
        <f t="shared" si="32"/>
        <v>280916.94915254234</v>
      </c>
    </row>
    <row r="375" spans="1:12" ht="57.75" customHeight="1" x14ac:dyDescent="0.2">
      <c r="A375" s="116">
        <v>30</v>
      </c>
      <c r="B375" s="206">
        <v>9.9600000000000009</v>
      </c>
      <c r="C375" s="308" t="s">
        <v>366</v>
      </c>
      <c r="D375" s="119"/>
      <c r="E375" s="121"/>
      <c r="F375" s="121"/>
      <c r="G375" s="121"/>
      <c r="H375" s="263"/>
      <c r="I375" s="122"/>
      <c r="J375" s="209"/>
      <c r="K375" s="217">
        <f t="shared" si="31"/>
        <v>0</v>
      </c>
      <c r="L375" s="218">
        <f t="shared" si="32"/>
        <v>0</v>
      </c>
    </row>
    <row r="376" spans="1:12" ht="21" customHeight="1" x14ac:dyDescent="0.2">
      <c r="A376" s="124"/>
      <c r="B376" s="188" t="s">
        <v>367</v>
      </c>
      <c r="C376" s="405" t="s">
        <v>368</v>
      </c>
      <c r="D376" s="243">
        <v>11</v>
      </c>
      <c r="E376" s="301"/>
      <c r="F376" s="301"/>
      <c r="G376" s="301"/>
      <c r="H376" s="285">
        <f>D376</f>
        <v>11</v>
      </c>
      <c r="I376" s="273" t="s">
        <v>369</v>
      </c>
      <c r="J376" s="274">
        <v>303.25</v>
      </c>
      <c r="K376" s="217">
        <f t="shared" si="31"/>
        <v>256.99152542372883</v>
      </c>
      <c r="L376" s="218">
        <f t="shared" si="32"/>
        <v>2826.906779661017</v>
      </c>
    </row>
    <row r="377" spans="1:12" ht="20.25" customHeight="1" x14ac:dyDescent="0.2">
      <c r="A377" s="139"/>
      <c r="B377" s="215" t="s">
        <v>370</v>
      </c>
      <c r="C377" s="311" t="s">
        <v>371</v>
      </c>
      <c r="D377" s="139">
        <v>7</v>
      </c>
      <c r="E377" s="310"/>
      <c r="F377" s="310"/>
      <c r="G377" s="310"/>
      <c r="H377" s="282">
        <f>D377</f>
        <v>7</v>
      </c>
      <c r="I377" s="268" t="s">
        <v>369</v>
      </c>
      <c r="J377" s="269">
        <v>260.60000000000002</v>
      </c>
      <c r="K377" s="217">
        <f t="shared" si="31"/>
        <v>220.84745762711867</v>
      </c>
      <c r="L377" s="218">
        <f t="shared" si="32"/>
        <v>1545.9322033898306</v>
      </c>
    </row>
    <row r="378" spans="1:12" ht="58.5" customHeight="1" x14ac:dyDescent="0.2">
      <c r="A378" s="116">
        <v>31</v>
      </c>
      <c r="B378" s="206">
        <v>9.9700000000000006</v>
      </c>
      <c r="C378" s="308" t="s">
        <v>372</v>
      </c>
      <c r="D378" s="119"/>
      <c r="E378" s="121"/>
      <c r="F378" s="121"/>
      <c r="G378" s="121"/>
      <c r="H378" s="263"/>
      <c r="I378" s="122"/>
      <c r="J378" s="209"/>
      <c r="K378" s="217">
        <f t="shared" si="31"/>
        <v>0</v>
      </c>
      <c r="L378" s="218">
        <f t="shared" si="32"/>
        <v>0</v>
      </c>
    </row>
    <row r="379" spans="1:12" ht="21.75" customHeight="1" x14ac:dyDescent="0.2">
      <c r="A379" s="124"/>
      <c r="B379" s="211" t="s">
        <v>373</v>
      </c>
      <c r="C379" s="294" t="s">
        <v>374</v>
      </c>
      <c r="D379" s="139">
        <v>11</v>
      </c>
      <c r="E379" s="310"/>
      <c r="F379" s="310"/>
      <c r="G379" s="310"/>
      <c r="H379" s="282">
        <f>D379</f>
        <v>11</v>
      </c>
      <c r="I379" s="268" t="s">
        <v>369</v>
      </c>
      <c r="J379" s="269">
        <v>130.1</v>
      </c>
      <c r="K379" s="217">
        <f t="shared" si="31"/>
        <v>110.2542372881356</v>
      </c>
      <c r="L379" s="218">
        <f t="shared" si="32"/>
        <v>1212.7966101694915</v>
      </c>
    </row>
    <row r="380" spans="1:12" x14ac:dyDescent="0.2">
      <c r="A380" s="139"/>
      <c r="B380" s="188" t="s">
        <v>375</v>
      </c>
      <c r="C380" s="183" t="s">
        <v>376</v>
      </c>
      <c r="D380" s="139">
        <v>7</v>
      </c>
      <c r="E380" s="310"/>
      <c r="F380" s="310"/>
      <c r="G380" s="310"/>
      <c r="H380" s="282">
        <f>D380</f>
        <v>7</v>
      </c>
      <c r="I380" s="268" t="s">
        <v>369</v>
      </c>
      <c r="J380" s="269">
        <v>115.15</v>
      </c>
      <c r="K380" s="217">
        <f t="shared" si="31"/>
        <v>97.584745762711862</v>
      </c>
      <c r="L380" s="218">
        <f t="shared" si="32"/>
        <v>683.09322033898297</v>
      </c>
    </row>
    <row r="381" spans="1:12" ht="51" x14ac:dyDescent="0.2">
      <c r="A381" s="124">
        <v>32</v>
      </c>
      <c r="B381" s="211">
        <v>9.98</v>
      </c>
      <c r="C381" s="312" t="s">
        <v>377</v>
      </c>
      <c r="D381" s="139">
        <v>7</v>
      </c>
      <c r="E381" s="310"/>
      <c r="F381" s="310"/>
      <c r="G381" s="310"/>
      <c r="H381" s="282">
        <f>D381</f>
        <v>7</v>
      </c>
      <c r="I381" s="268" t="s">
        <v>378</v>
      </c>
      <c r="J381" s="269">
        <v>100.8</v>
      </c>
      <c r="K381" s="217">
        <f t="shared" si="31"/>
        <v>85.423728813559322</v>
      </c>
      <c r="L381" s="218">
        <f t="shared" si="32"/>
        <v>597.96610169491521</v>
      </c>
    </row>
    <row r="382" spans="1:12" ht="61.5" customHeight="1" x14ac:dyDescent="0.2">
      <c r="A382" s="116">
        <v>33</v>
      </c>
      <c r="B382" s="313">
        <v>9.1</v>
      </c>
      <c r="C382" s="118" t="s">
        <v>379</v>
      </c>
      <c r="D382" s="119"/>
      <c r="E382" s="121"/>
      <c r="F382" s="121"/>
      <c r="G382" s="121"/>
      <c r="H382" s="263"/>
      <c r="I382" s="122"/>
      <c r="J382" s="209"/>
      <c r="K382" s="217">
        <f t="shared" si="31"/>
        <v>0</v>
      </c>
      <c r="L382" s="218">
        <f t="shared" si="32"/>
        <v>0</v>
      </c>
    </row>
    <row r="383" spans="1:12" ht="14.25" x14ac:dyDescent="0.2">
      <c r="A383" s="124"/>
      <c r="B383" s="286" t="s">
        <v>380</v>
      </c>
      <c r="C383" s="177" t="s">
        <v>381</v>
      </c>
      <c r="D383" s="133">
        <v>26</v>
      </c>
      <c r="E383" s="135"/>
      <c r="F383" s="135"/>
      <c r="G383" s="135"/>
      <c r="H383" s="242">
        <v>22</v>
      </c>
      <c r="I383" s="136" t="s">
        <v>382</v>
      </c>
      <c r="J383" s="213">
        <v>66.25</v>
      </c>
      <c r="K383" s="217">
        <f t="shared" si="31"/>
        <v>56.144067796610166</v>
      </c>
      <c r="L383" s="218">
        <f t="shared" si="32"/>
        <v>1235.1694915254236</v>
      </c>
    </row>
    <row r="384" spans="1:12" ht="14.25" x14ac:dyDescent="0.2">
      <c r="A384" s="139"/>
      <c r="B384" s="286" t="s">
        <v>383</v>
      </c>
      <c r="C384" s="177" t="s">
        <v>384</v>
      </c>
      <c r="D384" s="133">
        <v>14</v>
      </c>
      <c r="E384" s="135"/>
      <c r="F384" s="135"/>
      <c r="G384" s="135"/>
      <c r="H384" s="242">
        <v>20</v>
      </c>
      <c r="I384" s="136" t="s">
        <v>382</v>
      </c>
      <c r="J384" s="213">
        <v>59.55</v>
      </c>
      <c r="K384" s="217">
        <f t="shared" si="31"/>
        <v>50.466101694915253</v>
      </c>
      <c r="L384" s="218">
        <f t="shared" si="32"/>
        <v>1009.3220338983051</v>
      </c>
    </row>
    <row r="385" spans="1:12" ht="54.75" customHeight="1" x14ac:dyDescent="0.2">
      <c r="A385" s="116">
        <v>34</v>
      </c>
      <c r="B385" s="175">
        <v>9.1010000000000009</v>
      </c>
      <c r="C385" s="118" t="s">
        <v>385</v>
      </c>
      <c r="D385" s="119"/>
      <c r="E385" s="121"/>
      <c r="F385" s="121"/>
      <c r="G385" s="121"/>
      <c r="H385" s="263"/>
      <c r="I385" s="122"/>
      <c r="J385" s="209"/>
      <c r="K385" s="217">
        <f t="shared" si="31"/>
        <v>0</v>
      </c>
      <c r="L385" s="218">
        <f t="shared" si="32"/>
        <v>0</v>
      </c>
    </row>
    <row r="386" spans="1:12" ht="14.25" x14ac:dyDescent="0.2">
      <c r="A386" s="139"/>
      <c r="B386" s="280" t="s">
        <v>386</v>
      </c>
      <c r="C386" s="297" t="s">
        <v>387</v>
      </c>
      <c r="D386" s="142">
        <v>13</v>
      </c>
      <c r="E386" s="145"/>
      <c r="F386" s="145"/>
      <c r="G386" s="145"/>
      <c r="H386" s="216">
        <v>13</v>
      </c>
      <c r="I386" s="314" t="s">
        <v>382</v>
      </c>
      <c r="J386" s="215">
        <v>72.349999999999994</v>
      </c>
      <c r="K386" s="217">
        <f t="shared" si="31"/>
        <v>61.313559322033889</v>
      </c>
      <c r="L386" s="218">
        <f t="shared" si="32"/>
        <v>797.07627118644052</v>
      </c>
    </row>
    <row r="387" spans="1:12" ht="34.5" customHeight="1" x14ac:dyDescent="0.2">
      <c r="A387" s="116">
        <v>35</v>
      </c>
      <c r="B387" s="206">
        <v>10.28</v>
      </c>
      <c r="C387" s="207" t="s">
        <v>388</v>
      </c>
      <c r="D387" s="119"/>
      <c r="E387" s="120"/>
      <c r="F387" s="120"/>
      <c r="G387" s="120"/>
      <c r="H387" s="208"/>
      <c r="I387" s="122"/>
      <c r="J387" s="209"/>
      <c r="K387" s="217">
        <f t="shared" si="31"/>
        <v>0</v>
      </c>
      <c r="L387" s="218">
        <f t="shared" si="32"/>
        <v>0</v>
      </c>
    </row>
    <row r="388" spans="1:12" x14ac:dyDescent="0.2">
      <c r="A388" s="124"/>
      <c r="B388" s="211"/>
      <c r="C388" s="183" t="s">
        <v>389</v>
      </c>
      <c r="D388" s="133">
        <v>2</v>
      </c>
      <c r="E388" s="135">
        <v>3.76</v>
      </c>
      <c r="F388" s="135"/>
      <c r="G388" s="135"/>
      <c r="H388" s="212">
        <f>E388*D388</f>
        <v>7.52</v>
      </c>
      <c r="I388" s="136"/>
      <c r="J388" s="213"/>
      <c r="K388" s="217">
        <f t="shared" si="31"/>
        <v>0</v>
      </c>
      <c r="L388" s="218">
        <f t="shared" si="32"/>
        <v>0</v>
      </c>
    </row>
    <row r="389" spans="1:12" x14ac:dyDescent="0.2">
      <c r="A389" s="124" t="s">
        <v>91</v>
      </c>
      <c r="B389" s="211"/>
      <c r="C389" s="183" t="s">
        <v>512</v>
      </c>
      <c r="D389" s="133">
        <v>8</v>
      </c>
      <c r="E389" s="135">
        <f>1.5*2+3.3</f>
        <v>6.3</v>
      </c>
      <c r="F389" s="135"/>
      <c r="G389" s="135"/>
      <c r="H389" s="212">
        <f>E389*D389</f>
        <v>50.4</v>
      </c>
      <c r="I389" s="136"/>
      <c r="J389" s="213"/>
      <c r="K389" s="217">
        <f t="shared" si="31"/>
        <v>0</v>
      </c>
      <c r="L389" s="218">
        <f t="shared" si="32"/>
        <v>0</v>
      </c>
    </row>
    <row r="390" spans="1:12" x14ac:dyDescent="0.2">
      <c r="A390" s="124"/>
      <c r="B390" s="211"/>
      <c r="C390" s="183"/>
      <c r="D390" s="133">
        <v>4</v>
      </c>
      <c r="E390" s="135">
        <v>3.3</v>
      </c>
      <c r="F390" s="135"/>
      <c r="G390" s="135"/>
      <c r="H390" s="212">
        <f>E390*D390</f>
        <v>13.2</v>
      </c>
      <c r="I390" s="136"/>
      <c r="J390" s="213"/>
      <c r="K390" s="217">
        <f t="shared" si="31"/>
        <v>0</v>
      </c>
      <c r="L390" s="218">
        <f t="shared" si="32"/>
        <v>0</v>
      </c>
    </row>
    <row r="391" spans="1:12" x14ac:dyDescent="0.2">
      <c r="A391" s="139"/>
      <c r="B391" s="215"/>
      <c r="C391" s="180" t="s">
        <v>117</v>
      </c>
      <c r="D391" s="133"/>
      <c r="E391" s="135"/>
      <c r="F391" s="135"/>
      <c r="G391" s="135"/>
      <c r="H391" s="242">
        <v>350</v>
      </c>
      <c r="I391" s="136" t="s">
        <v>195</v>
      </c>
      <c r="J391" s="213">
        <v>772.4</v>
      </c>
      <c r="K391" s="217">
        <f t="shared" si="31"/>
        <v>654.57627118644064</v>
      </c>
      <c r="L391" s="218">
        <f t="shared" si="32"/>
        <v>229101.69491525422</v>
      </c>
    </row>
    <row r="392" spans="1:12" ht="25.5" x14ac:dyDescent="0.2">
      <c r="A392" s="116">
        <v>36</v>
      </c>
      <c r="B392" s="117">
        <v>13.26</v>
      </c>
      <c r="C392" s="219" t="s">
        <v>390</v>
      </c>
      <c r="D392" s="119"/>
      <c r="E392" s="120"/>
      <c r="F392" s="120"/>
      <c r="G392" s="120"/>
      <c r="H392" s="208"/>
      <c r="I392" s="122"/>
      <c r="J392" s="209"/>
      <c r="K392" s="217">
        <f t="shared" si="31"/>
        <v>0</v>
      </c>
      <c r="L392" s="218">
        <f t="shared" si="32"/>
        <v>0</v>
      </c>
    </row>
    <row r="393" spans="1:12" x14ac:dyDescent="0.2">
      <c r="A393" s="124"/>
      <c r="B393" s="125"/>
      <c r="C393" s="220" t="s">
        <v>391</v>
      </c>
      <c r="D393" s="133"/>
      <c r="E393" s="134"/>
      <c r="F393" s="134"/>
      <c r="G393" s="134"/>
      <c r="H393" s="242">
        <f>H232</f>
        <v>590</v>
      </c>
      <c r="I393" s="136" t="s">
        <v>91</v>
      </c>
      <c r="J393" s="213" t="s">
        <v>91</v>
      </c>
      <c r="K393" s="217" t="e">
        <f t="shared" si="31"/>
        <v>#VALUE!</v>
      </c>
      <c r="L393" s="218">
        <v>0</v>
      </c>
    </row>
    <row r="394" spans="1:12" x14ac:dyDescent="0.2">
      <c r="A394" s="124"/>
      <c r="B394" s="125"/>
      <c r="C394" s="220" t="s">
        <v>392</v>
      </c>
      <c r="D394" s="133"/>
      <c r="E394" s="134"/>
      <c r="F394" s="134"/>
      <c r="G394" s="134"/>
      <c r="H394" s="242">
        <f>H235</f>
        <v>205.96555000000004</v>
      </c>
      <c r="I394" s="136"/>
      <c r="J394" s="213"/>
      <c r="K394" s="217">
        <f t="shared" si="31"/>
        <v>0</v>
      </c>
      <c r="L394" s="218">
        <f t="shared" si="32"/>
        <v>0</v>
      </c>
    </row>
    <row r="395" spans="1:12" x14ac:dyDescent="0.2">
      <c r="A395" s="124"/>
      <c r="B395" s="125"/>
      <c r="C395" s="220" t="s">
        <v>393</v>
      </c>
      <c r="D395" s="133"/>
      <c r="E395" s="134"/>
      <c r="F395" s="134"/>
      <c r="G395" s="134"/>
      <c r="H395" s="242">
        <f>H209</f>
        <v>480</v>
      </c>
      <c r="I395" s="136"/>
      <c r="J395" s="213"/>
      <c r="K395" s="217">
        <f t="shared" ref="K395:K428" si="33">J395*100/118</f>
        <v>0</v>
      </c>
      <c r="L395" s="218">
        <f t="shared" ref="L395:L428" si="34">K395*H395</f>
        <v>0</v>
      </c>
    </row>
    <row r="396" spans="1:12" x14ac:dyDescent="0.2">
      <c r="A396" s="124"/>
      <c r="B396" s="125"/>
      <c r="C396" s="220" t="s">
        <v>394</v>
      </c>
      <c r="D396" s="133" t="s">
        <v>91</v>
      </c>
      <c r="E396" s="134"/>
      <c r="F396" s="134"/>
      <c r="G396" s="134"/>
      <c r="H396" s="242">
        <f>-H336</f>
        <v>-130</v>
      </c>
      <c r="I396" s="136"/>
      <c r="J396" s="213"/>
      <c r="K396" s="217">
        <f t="shared" si="33"/>
        <v>0</v>
      </c>
      <c r="L396" s="218">
        <f t="shared" si="34"/>
        <v>0</v>
      </c>
    </row>
    <row r="397" spans="1:12" x14ac:dyDescent="0.2">
      <c r="A397" s="139"/>
      <c r="B397" s="140"/>
      <c r="C397" s="221" t="s">
        <v>207</v>
      </c>
      <c r="D397" s="142"/>
      <c r="E397" s="143"/>
      <c r="F397" s="143"/>
      <c r="G397" s="143"/>
      <c r="H397" s="216">
        <v>1150</v>
      </c>
      <c r="I397" s="141" t="s">
        <v>128</v>
      </c>
      <c r="J397" s="217">
        <v>262.7</v>
      </c>
      <c r="K397" s="217">
        <f t="shared" si="33"/>
        <v>222.62711864406779</v>
      </c>
      <c r="L397" s="218">
        <f t="shared" si="34"/>
        <v>256021.18644067796</v>
      </c>
    </row>
    <row r="398" spans="1:12" x14ac:dyDescent="0.2">
      <c r="A398" s="116">
        <v>37</v>
      </c>
      <c r="B398" s="206" t="s">
        <v>395</v>
      </c>
      <c r="C398" s="207" t="s">
        <v>396</v>
      </c>
      <c r="D398" s="119"/>
      <c r="E398" s="120"/>
      <c r="F398" s="120"/>
      <c r="G398" s="120"/>
      <c r="H398" s="208"/>
      <c r="I398" s="122"/>
      <c r="J398" s="209"/>
      <c r="K398" s="217">
        <f t="shared" si="33"/>
        <v>0</v>
      </c>
      <c r="L398" s="218">
        <f t="shared" si="34"/>
        <v>0</v>
      </c>
    </row>
    <row r="399" spans="1:12" x14ac:dyDescent="0.2">
      <c r="A399" s="139"/>
      <c r="B399" s="140"/>
      <c r="C399" s="316" t="s">
        <v>397</v>
      </c>
      <c r="D399" s="142"/>
      <c r="E399" s="143"/>
      <c r="F399" s="143"/>
      <c r="G399" s="143"/>
      <c r="H399" s="216">
        <f>H397</f>
        <v>1150</v>
      </c>
      <c r="I399" s="141" t="s">
        <v>128</v>
      </c>
      <c r="J399" s="217">
        <v>142.80000000000001</v>
      </c>
      <c r="K399" s="217">
        <f t="shared" si="33"/>
        <v>121.0169491525424</v>
      </c>
      <c r="L399" s="218">
        <f t="shared" si="34"/>
        <v>139169.49152542374</v>
      </c>
    </row>
    <row r="400" spans="1:12" ht="25.5" x14ac:dyDescent="0.2">
      <c r="A400" s="116">
        <v>38</v>
      </c>
      <c r="B400" s="117">
        <v>13.47</v>
      </c>
      <c r="C400" s="219" t="s">
        <v>398</v>
      </c>
      <c r="D400" s="119"/>
      <c r="E400" s="120"/>
      <c r="F400" s="120"/>
      <c r="G400" s="120"/>
      <c r="H400" s="208"/>
      <c r="I400" s="122"/>
      <c r="J400" s="209"/>
      <c r="K400" s="217">
        <f t="shared" si="33"/>
        <v>0</v>
      </c>
      <c r="L400" s="218">
        <f t="shared" si="34"/>
        <v>0</v>
      </c>
    </row>
    <row r="401" spans="1:12" ht="38.25" x14ac:dyDescent="0.2">
      <c r="A401" s="124"/>
      <c r="B401" s="125" t="s">
        <v>399</v>
      </c>
      <c r="C401" s="238" t="s">
        <v>400</v>
      </c>
      <c r="D401" s="127"/>
      <c r="E401" s="128"/>
      <c r="F401" s="128"/>
      <c r="G401" s="128"/>
      <c r="H401" s="239"/>
      <c r="I401" s="130"/>
      <c r="J401" s="240"/>
      <c r="K401" s="217">
        <f t="shared" si="33"/>
        <v>0</v>
      </c>
      <c r="L401" s="218">
        <f t="shared" si="34"/>
        <v>0</v>
      </c>
    </row>
    <row r="402" spans="1:12" x14ac:dyDescent="0.2">
      <c r="A402" s="139"/>
      <c r="B402" s="140"/>
      <c r="C402" s="316" t="s">
        <v>513</v>
      </c>
      <c r="D402" s="142"/>
      <c r="E402" s="143"/>
      <c r="F402" s="143"/>
      <c r="G402" s="143"/>
      <c r="H402" s="216">
        <v>350</v>
      </c>
      <c r="I402" s="141" t="s">
        <v>128</v>
      </c>
      <c r="J402" s="217">
        <v>171.1</v>
      </c>
      <c r="K402" s="217">
        <f t="shared" si="33"/>
        <v>145</v>
      </c>
      <c r="L402" s="218">
        <f t="shared" si="34"/>
        <v>50750</v>
      </c>
    </row>
    <row r="403" spans="1:12" ht="25.5" x14ac:dyDescent="0.2">
      <c r="A403" s="116">
        <v>39</v>
      </c>
      <c r="B403" s="117">
        <v>13.61</v>
      </c>
      <c r="C403" s="219" t="s">
        <v>402</v>
      </c>
      <c r="D403" s="119"/>
      <c r="E403" s="120"/>
      <c r="F403" s="120"/>
      <c r="G403" s="120"/>
      <c r="H403" s="263"/>
      <c r="I403" s="122"/>
      <c r="J403" s="209"/>
      <c r="K403" s="217">
        <f t="shared" si="33"/>
        <v>0</v>
      </c>
      <c r="L403" s="218">
        <f t="shared" si="34"/>
        <v>0</v>
      </c>
    </row>
    <row r="404" spans="1:12" ht="18.75" customHeight="1" x14ac:dyDescent="0.2">
      <c r="A404" s="124" t="s">
        <v>91</v>
      </c>
      <c r="B404" s="125" t="s">
        <v>403</v>
      </c>
      <c r="C404" s="238" t="s">
        <v>404</v>
      </c>
      <c r="D404" s="127"/>
      <c r="E404" s="128"/>
      <c r="F404" s="128"/>
      <c r="G404" s="128"/>
      <c r="H404" s="264"/>
      <c r="I404" s="130"/>
      <c r="J404" s="240"/>
      <c r="K404" s="217">
        <f t="shared" si="33"/>
        <v>0</v>
      </c>
      <c r="L404" s="218">
        <f t="shared" si="34"/>
        <v>0</v>
      </c>
    </row>
    <row r="405" spans="1:12" ht="15.75" customHeight="1" x14ac:dyDescent="0.2">
      <c r="A405" s="139"/>
      <c r="B405" s="215"/>
      <c r="C405" s="347" t="s">
        <v>91</v>
      </c>
      <c r="D405" s="139">
        <v>1</v>
      </c>
      <c r="E405" s="310">
        <f>H360+E410</f>
        <v>56.984999999999999</v>
      </c>
      <c r="F405" s="310">
        <v>2.5</v>
      </c>
      <c r="G405" s="310"/>
      <c r="H405" s="282">
        <v>140</v>
      </c>
      <c r="I405" s="268" t="s">
        <v>128</v>
      </c>
      <c r="J405" s="269">
        <v>155.9</v>
      </c>
      <c r="K405" s="217">
        <f t="shared" si="33"/>
        <v>132.11864406779662</v>
      </c>
      <c r="L405" s="218">
        <f t="shared" si="34"/>
        <v>18496.610169491527</v>
      </c>
    </row>
    <row r="406" spans="1:12" ht="30.75" customHeight="1" x14ac:dyDescent="0.2">
      <c r="A406" s="116">
        <v>40</v>
      </c>
      <c r="B406" s="206">
        <v>10.18</v>
      </c>
      <c r="C406" s="219" t="s">
        <v>405</v>
      </c>
      <c r="D406" s="139">
        <v>22</v>
      </c>
      <c r="E406" s="310"/>
      <c r="F406" s="310"/>
      <c r="G406" s="310"/>
      <c r="H406" s="218">
        <v>20</v>
      </c>
      <c r="I406" s="268" t="s">
        <v>406</v>
      </c>
      <c r="J406" s="269">
        <v>220.65</v>
      </c>
      <c r="K406" s="217">
        <f t="shared" si="33"/>
        <v>186.9915254237288</v>
      </c>
      <c r="L406" s="218">
        <f t="shared" si="34"/>
        <v>3739.8305084745762</v>
      </c>
    </row>
    <row r="407" spans="1:12" ht="32.25" customHeight="1" x14ac:dyDescent="0.2">
      <c r="A407" s="406">
        <v>41</v>
      </c>
      <c r="B407" s="206">
        <v>9.4700000000000006</v>
      </c>
      <c r="C407" s="318" t="s">
        <v>407</v>
      </c>
      <c r="D407" s="243"/>
      <c r="E407" s="301" t="s">
        <v>91</v>
      </c>
      <c r="F407" s="301"/>
      <c r="G407" s="301"/>
      <c r="H407" s="302" t="s">
        <v>91</v>
      </c>
      <c r="I407" s="273"/>
      <c r="J407" s="274"/>
      <c r="K407" s="217">
        <f t="shared" si="33"/>
        <v>0</v>
      </c>
      <c r="L407" s="218">
        <v>0</v>
      </c>
    </row>
    <row r="408" spans="1:12" ht="20.25" customHeight="1" x14ac:dyDescent="0.2">
      <c r="A408" s="315"/>
      <c r="B408" s="188" t="s">
        <v>408</v>
      </c>
      <c r="C408" s="220" t="s">
        <v>409</v>
      </c>
      <c r="D408" s="243"/>
      <c r="E408" s="252">
        <f>2.4*8+1.05*4+1*8+0.9*4+1.8*4</f>
        <v>42.2</v>
      </c>
      <c r="F408" s="252"/>
      <c r="G408" s="252"/>
      <c r="H408" s="302">
        <v>40</v>
      </c>
      <c r="I408" s="273" t="s">
        <v>307</v>
      </c>
      <c r="J408" s="274">
        <v>175</v>
      </c>
      <c r="K408" s="217">
        <f t="shared" si="33"/>
        <v>148.30508474576271</v>
      </c>
      <c r="L408" s="218">
        <f t="shared" si="34"/>
        <v>5932.203389830509</v>
      </c>
    </row>
    <row r="409" spans="1:12" ht="42" customHeight="1" x14ac:dyDescent="0.2">
      <c r="A409" s="406">
        <v>42</v>
      </c>
      <c r="B409" s="188">
        <v>9.48</v>
      </c>
      <c r="C409" s="220" t="s">
        <v>410</v>
      </c>
      <c r="D409" s="133"/>
      <c r="E409" s="135"/>
      <c r="F409" s="135"/>
      <c r="G409" s="135"/>
      <c r="H409" s="212"/>
      <c r="I409" s="136"/>
      <c r="J409" s="213"/>
      <c r="K409" s="217">
        <f t="shared" si="33"/>
        <v>0</v>
      </c>
      <c r="L409" s="218">
        <f t="shared" si="34"/>
        <v>0</v>
      </c>
    </row>
    <row r="410" spans="1:12" ht="25.5" x14ac:dyDescent="0.2">
      <c r="A410" s="315"/>
      <c r="B410" s="188" t="s">
        <v>411</v>
      </c>
      <c r="C410" s="220" t="s">
        <v>412</v>
      </c>
      <c r="D410" s="243"/>
      <c r="E410" s="301">
        <f>H369</f>
        <v>30</v>
      </c>
      <c r="F410" s="301"/>
      <c r="G410" s="301"/>
      <c r="H410" s="302">
        <f>E410*24</f>
        <v>720</v>
      </c>
      <c r="I410" s="273" t="s">
        <v>413</v>
      </c>
      <c r="J410" s="274">
        <v>283.35000000000002</v>
      </c>
      <c r="K410" s="217">
        <f t="shared" si="33"/>
        <v>240.12711864406782</v>
      </c>
      <c r="L410" s="218">
        <f t="shared" si="34"/>
        <v>172891.52542372883</v>
      </c>
    </row>
    <row r="411" spans="1:12" ht="38.25" x14ac:dyDescent="0.2">
      <c r="A411" s="407">
        <v>43</v>
      </c>
      <c r="B411" s="206">
        <v>22.5</v>
      </c>
      <c r="C411" s="349" t="s">
        <v>514</v>
      </c>
      <c r="D411" s="119"/>
      <c r="E411" s="271"/>
      <c r="F411" s="121"/>
      <c r="G411" s="121"/>
      <c r="H411" s="272"/>
      <c r="I411" s="254"/>
      <c r="J411" s="255"/>
      <c r="K411" s="217">
        <f t="shared" si="33"/>
        <v>0</v>
      </c>
      <c r="L411" s="218">
        <f t="shared" si="34"/>
        <v>0</v>
      </c>
    </row>
    <row r="412" spans="1:12" ht="38.25" x14ac:dyDescent="0.2">
      <c r="A412" s="407"/>
      <c r="B412" s="211"/>
      <c r="C412" s="276" t="s">
        <v>515</v>
      </c>
      <c r="D412" s="127"/>
      <c r="E412" s="249"/>
      <c r="F412" s="129"/>
      <c r="G412" s="129"/>
      <c r="H412" s="298"/>
      <c r="I412" s="260"/>
      <c r="J412" s="261"/>
      <c r="K412" s="217">
        <f t="shared" si="33"/>
        <v>0</v>
      </c>
      <c r="L412" s="218">
        <f t="shared" si="34"/>
        <v>0</v>
      </c>
    </row>
    <row r="413" spans="1:12" ht="51" x14ac:dyDescent="0.2">
      <c r="A413" s="407"/>
      <c r="B413" s="211"/>
      <c r="C413" s="350" t="s">
        <v>516</v>
      </c>
      <c r="D413" s="127"/>
      <c r="E413" s="249"/>
      <c r="F413" s="129"/>
      <c r="G413" s="129"/>
      <c r="H413" s="298"/>
      <c r="I413" s="260"/>
      <c r="J413" s="261"/>
      <c r="K413" s="217">
        <f t="shared" si="33"/>
        <v>0</v>
      </c>
      <c r="L413" s="218">
        <f t="shared" si="34"/>
        <v>0</v>
      </c>
    </row>
    <row r="414" spans="1:12" ht="38.25" x14ac:dyDescent="0.2">
      <c r="A414" s="407"/>
      <c r="B414" s="211"/>
      <c r="C414" s="276" t="s">
        <v>517</v>
      </c>
      <c r="D414" s="127"/>
      <c r="E414" s="249"/>
      <c r="F414" s="129"/>
      <c r="G414" s="129"/>
      <c r="H414" s="298"/>
      <c r="I414" s="260"/>
      <c r="J414" s="261"/>
      <c r="K414" s="217">
        <f t="shared" si="33"/>
        <v>0</v>
      </c>
      <c r="L414" s="218">
        <f t="shared" si="34"/>
        <v>0</v>
      </c>
    </row>
    <row r="415" spans="1:12" x14ac:dyDescent="0.2">
      <c r="A415" s="407"/>
      <c r="B415" s="211"/>
      <c r="C415" s="220" t="s">
        <v>322</v>
      </c>
      <c r="D415" s="133">
        <v>4</v>
      </c>
      <c r="E415" s="135">
        <v>1.6</v>
      </c>
      <c r="F415" s="135">
        <v>2.25</v>
      </c>
      <c r="G415" s="301"/>
      <c r="H415" s="302">
        <v>14</v>
      </c>
      <c r="I415" s="136"/>
      <c r="J415" s="213"/>
      <c r="K415" s="217">
        <f t="shared" si="33"/>
        <v>0</v>
      </c>
      <c r="L415" s="218">
        <f t="shared" si="34"/>
        <v>0</v>
      </c>
    </row>
    <row r="416" spans="1:12" ht="15.75" customHeight="1" x14ac:dyDescent="0.2">
      <c r="A416" s="124"/>
      <c r="B416" s="211"/>
      <c r="C416" s="401" t="s">
        <v>711</v>
      </c>
      <c r="D416" s="119"/>
      <c r="E416" s="121"/>
      <c r="F416" s="121"/>
      <c r="G416" s="121"/>
      <c r="H416" s="263"/>
      <c r="I416" s="122"/>
      <c r="J416" s="209"/>
      <c r="K416" s="217">
        <f t="shared" si="33"/>
        <v>0</v>
      </c>
      <c r="L416" s="218">
        <f t="shared" si="34"/>
        <v>0</v>
      </c>
    </row>
    <row r="417" spans="1:12" x14ac:dyDescent="0.2">
      <c r="A417" s="124"/>
      <c r="B417" s="211"/>
      <c r="C417" s="220" t="s">
        <v>322</v>
      </c>
      <c r="D417" s="133">
        <v>1</v>
      </c>
      <c r="E417" s="135">
        <v>2.375</v>
      </c>
      <c r="F417" s="135">
        <v>1.575</v>
      </c>
      <c r="G417" s="135"/>
      <c r="H417" s="212">
        <f t="shared" ref="H417:H422" si="35">F417*E417*D417</f>
        <v>3.7406250000000001</v>
      </c>
      <c r="I417" s="136"/>
      <c r="J417" s="213"/>
      <c r="K417" s="217">
        <f t="shared" si="33"/>
        <v>0</v>
      </c>
      <c r="L417" s="218">
        <f t="shared" si="34"/>
        <v>0</v>
      </c>
    </row>
    <row r="418" spans="1:12" x14ac:dyDescent="0.2">
      <c r="A418" s="124"/>
      <c r="B418" s="211"/>
      <c r="C418" s="220" t="s">
        <v>518</v>
      </c>
      <c r="D418" s="133">
        <v>1</v>
      </c>
      <c r="E418" s="135">
        <f>(E417+F417)*2</f>
        <v>7.9</v>
      </c>
      <c r="F418" s="135">
        <v>0.45</v>
      </c>
      <c r="G418" s="135"/>
      <c r="H418" s="212">
        <f t="shared" si="35"/>
        <v>3.5550000000000002</v>
      </c>
      <c r="I418" s="136"/>
      <c r="J418" s="213"/>
      <c r="K418" s="217">
        <f t="shared" si="33"/>
        <v>0</v>
      </c>
      <c r="L418" s="218">
        <f t="shared" si="34"/>
        <v>0</v>
      </c>
    </row>
    <row r="419" spans="1:12" ht="12" customHeight="1" x14ac:dyDescent="0.2">
      <c r="A419" s="124"/>
      <c r="B419" s="211"/>
      <c r="C419" s="220" t="s">
        <v>322</v>
      </c>
      <c r="D419" s="133">
        <v>1</v>
      </c>
      <c r="E419" s="135">
        <v>2.375</v>
      </c>
      <c r="F419" s="135">
        <v>1.6</v>
      </c>
      <c r="G419" s="135"/>
      <c r="H419" s="212">
        <f t="shared" si="35"/>
        <v>3.8000000000000003</v>
      </c>
      <c r="I419" s="136"/>
      <c r="J419" s="213"/>
      <c r="K419" s="217">
        <f t="shared" si="33"/>
        <v>0</v>
      </c>
      <c r="L419" s="218">
        <f t="shared" si="34"/>
        <v>0</v>
      </c>
    </row>
    <row r="420" spans="1:12" x14ac:dyDescent="0.2">
      <c r="A420" s="124"/>
      <c r="B420" s="211"/>
      <c r="C420" s="220" t="s">
        <v>518</v>
      </c>
      <c r="D420" s="133">
        <v>1</v>
      </c>
      <c r="E420" s="135">
        <f>(E419+F419)*2</f>
        <v>7.95</v>
      </c>
      <c r="F420" s="135">
        <v>0.45</v>
      </c>
      <c r="G420" s="135"/>
      <c r="H420" s="212">
        <f>F420*E420*D420</f>
        <v>3.5775000000000001</v>
      </c>
      <c r="I420" s="136"/>
      <c r="J420" s="213"/>
      <c r="K420" s="217">
        <f t="shared" si="33"/>
        <v>0</v>
      </c>
      <c r="L420" s="218">
        <f t="shared" si="34"/>
        <v>0</v>
      </c>
    </row>
    <row r="421" spans="1:12" ht="12" customHeight="1" x14ac:dyDescent="0.2">
      <c r="A421" s="124"/>
      <c r="B421" s="211"/>
      <c r="C421" s="220" t="s">
        <v>322</v>
      </c>
      <c r="D421" s="133">
        <v>1</v>
      </c>
      <c r="E421" s="135">
        <v>1.6</v>
      </c>
      <c r="F421" s="135">
        <v>2.2000000000000002</v>
      </c>
      <c r="G421" s="135"/>
      <c r="H421" s="212">
        <f t="shared" si="35"/>
        <v>3.5200000000000005</v>
      </c>
      <c r="I421" s="136"/>
      <c r="J421" s="213"/>
      <c r="K421" s="217">
        <f t="shared" si="33"/>
        <v>0</v>
      </c>
      <c r="L421" s="218">
        <f t="shared" si="34"/>
        <v>0</v>
      </c>
    </row>
    <row r="422" spans="1:12" x14ac:dyDescent="0.2">
      <c r="A422" s="124"/>
      <c r="B422" s="211"/>
      <c r="C422" s="220" t="s">
        <v>518</v>
      </c>
      <c r="D422" s="133">
        <v>1</v>
      </c>
      <c r="E422" s="135">
        <f>(E421+F421)*2</f>
        <v>7.6000000000000005</v>
      </c>
      <c r="F422" s="135">
        <v>0.45</v>
      </c>
      <c r="G422" s="135"/>
      <c r="H422" s="212">
        <f t="shared" si="35"/>
        <v>3.4200000000000004</v>
      </c>
      <c r="I422" s="136"/>
      <c r="J422" s="213"/>
      <c r="K422" s="217">
        <f t="shared" si="33"/>
        <v>0</v>
      </c>
      <c r="L422" s="218">
        <f t="shared" si="34"/>
        <v>0</v>
      </c>
    </row>
    <row r="423" spans="1:12" x14ac:dyDescent="0.2">
      <c r="A423" s="124"/>
      <c r="B423" s="211"/>
      <c r="C423" s="402" t="s">
        <v>716</v>
      </c>
      <c r="D423" s="133"/>
      <c r="E423" s="135"/>
      <c r="F423" s="135"/>
      <c r="G423" s="135"/>
      <c r="H423" s="212"/>
      <c r="I423" s="136"/>
      <c r="J423" s="213"/>
      <c r="K423" s="217">
        <f t="shared" si="33"/>
        <v>0</v>
      </c>
      <c r="L423" s="218">
        <f t="shared" si="34"/>
        <v>0</v>
      </c>
    </row>
    <row r="424" spans="1:12" x14ac:dyDescent="0.2">
      <c r="A424" s="124"/>
      <c r="B424" s="211"/>
      <c r="C424" s="220" t="s">
        <v>322</v>
      </c>
      <c r="D424" s="133">
        <v>2</v>
      </c>
      <c r="E424" s="135">
        <v>2.15</v>
      </c>
      <c r="F424" s="135">
        <v>1.625</v>
      </c>
      <c r="G424" s="135"/>
      <c r="H424" s="212">
        <f>F424*E424*D424</f>
        <v>6.9874999999999998</v>
      </c>
      <c r="I424" s="136"/>
      <c r="J424" s="213"/>
      <c r="K424" s="217">
        <f t="shared" si="33"/>
        <v>0</v>
      </c>
      <c r="L424" s="218">
        <f t="shared" si="34"/>
        <v>0</v>
      </c>
    </row>
    <row r="425" spans="1:12" x14ac:dyDescent="0.2">
      <c r="A425" s="124"/>
      <c r="B425" s="211"/>
      <c r="C425" s="220" t="s">
        <v>518</v>
      </c>
      <c r="D425" s="133">
        <v>2</v>
      </c>
      <c r="E425" s="135">
        <f>(E424+F424)*2</f>
        <v>7.55</v>
      </c>
      <c r="F425" s="135">
        <v>0.45</v>
      </c>
      <c r="G425" s="135"/>
      <c r="H425" s="212">
        <f>F425*E425*D425</f>
        <v>6.7949999999999999</v>
      </c>
      <c r="I425" s="136"/>
      <c r="J425" s="213"/>
      <c r="K425" s="217">
        <f t="shared" si="33"/>
        <v>0</v>
      </c>
      <c r="L425" s="218">
        <f t="shared" si="34"/>
        <v>0</v>
      </c>
    </row>
    <row r="426" spans="1:12" ht="12" customHeight="1" x14ac:dyDescent="0.2">
      <c r="A426" s="124"/>
      <c r="B426" s="211"/>
      <c r="C426" s="220" t="s">
        <v>322</v>
      </c>
      <c r="D426" s="133">
        <v>2</v>
      </c>
      <c r="E426" s="135">
        <v>1.6</v>
      </c>
      <c r="F426" s="135">
        <v>2.25</v>
      </c>
      <c r="G426" s="135"/>
      <c r="H426" s="212">
        <f>F426*E426*D426</f>
        <v>7.2</v>
      </c>
      <c r="I426" s="136"/>
      <c r="J426" s="213"/>
      <c r="K426" s="217">
        <f t="shared" si="33"/>
        <v>0</v>
      </c>
      <c r="L426" s="218">
        <f t="shared" si="34"/>
        <v>0</v>
      </c>
    </row>
    <row r="427" spans="1:12" x14ac:dyDescent="0.2">
      <c r="A427" s="124"/>
      <c r="B427" s="211"/>
      <c r="C427" s="220" t="s">
        <v>518</v>
      </c>
      <c r="D427" s="133">
        <v>2</v>
      </c>
      <c r="E427" s="135">
        <f>(E426+F426)*2</f>
        <v>7.7</v>
      </c>
      <c r="F427" s="135">
        <v>0.45</v>
      </c>
      <c r="G427" s="135"/>
      <c r="H427" s="212">
        <f>F427*E427*D427</f>
        <v>6.9300000000000006</v>
      </c>
      <c r="I427" s="136"/>
      <c r="J427" s="213"/>
      <c r="K427" s="217">
        <f t="shared" si="33"/>
        <v>0</v>
      </c>
      <c r="L427" s="218">
        <f t="shared" si="34"/>
        <v>0</v>
      </c>
    </row>
    <row r="428" spans="1:12" x14ac:dyDescent="0.2">
      <c r="A428" s="407"/>
      <c r="B428" s="215"/>
      <c r="C428" s="141" t="s">
        <v>117</v>
      </c>
      <c r="D428" s="142"/>
      <c r="E428" s="145" t="s">
        <v>91</v>
      </c>
      <c r="F428" s="145"/>
      <c r="G428" s="145"/>
      <c r="H428" s="216">
        <v>65</v>
      </c>
      <c r="I428" s="141" t="s">
        <v>128</v>
      </c>
      <c r="J428" s="217">
        <v>617.04999999999995</v>
      </c>
      <c r="K428" s="217">
        <f t="shared" si="33"/>
        <v>522.92372881355925</v>
      </c>
      <c r="L428" s="218">
        <f t="shared" si="34"/>
        <v>33990.042372881355</v>
      </c>
    </row>
    <row r="429" spans="1:12" x14ac:dyDescent="0.2">
      <c r="A429" s="408"/>
      <c r="B429" s="236"/>
      <c r="C429" s="351" t="s">
        <v>723</v>
      </c>
      <c r="D429" s="236"/>
      <c r="E429" s="236"/>
      <c r="F429" s="236"/>
      <c r="G429" s="236"/>
      <c r="H429" s="352"/>
      <c r="I429" s="953" t="s">
        <v>91</v>
      </c>
      <c r="J429" s="953"/>
      <c r="K429" s="353"/>
      <c r="L429" s="214">
        <f>SUM(L7:L428)</f>
        <v>7078572.9725677958</v>
      </c>
    </row>
  </sheetData>
  <sheetProtection algorithmName="SHA-512" hashValue="JFg0WW19FZOrOOIzZVtHFvJVQIj33PDoAcoz36T8uILi71a5vkdzszO6QeZgPQk+iNv+9Chos0cRudPP3Nvrag==" saltValue="IhPeAyz43PTSWAWanliNZw==" spinCount="100000" sheet="1" objects="1" scenarios="1" selectLockedCells="1" selectUnlockedCells="1"/>
  <mergeCells count="5">
    <mergeCell ref="A3:I3"/>
    <mergeCell ref="E56:F56"/>
    <mergeCell ref="E85:F85"/>
    <mergeCell ref="E194:F194"/>
    <mergeCell ref="I429:J429"/>
  </mergeCells>
  <pageMargins left="0.7" right="0.7" top="0.75" bottom="0.75" header="0.3" footer="0.3"/>
  <pageSetup scale="68"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00122-FE0B-4B53-A92C-416B590036B5}">
  <dimension ref="A2:S456"/>
  <sheetViews>
    <sheetView topLeftCell="A432" zoomScaleNormal="100" workbookViewId="0">
      <selection activeCell="V35" sqref="V35"/>
    </sheetView>
  </sheetViews>
  <sheetFormatPr defaultRowHeight="12.75" x14ac:dyDescent="0.2"/>
  <cols>
    <col min="1" max="1" width="5.140625" style="103" customWidth="1"/>
    <col min="2" max="2" width="7.42578125" style="90" customWidth="1"/>
    <col min="3" max="3" width="57" style="90" customWidth="1"/>
    <col min="4" max="4" width="5.140625" style="90" customWidth="1"/>
    <col min="5" max="5" width="8.42578125" style="90" customWidth="1"/>
    <col min="6" max="6" width="6.7109375" style="90" customWidth="1"/>
    <col min="7" max="7" width="7.5703125" style="90" customWidth="1"/>
    <col min="8" max="8" width="9.28515625" style="90" customWidth="1"/>
    <col min="9" max="9" width="6.140625" style="90" customWidth="1"/>
    <col min="10" max="11" width="11" style="202" customWidth="1"/>
    <col min="12" max="12" width="12.140625" style="203" customWidth="1"/>
    <col min="13" max="256" width="9.140625" style="90"/>
    <col min="257" max="257" width="5.140625" style="90" customWidth="1"/>
    <col min="258" max="258" width="7.42578125" style="90" customWidth="1"/>
    <col min="259" max="259" width="57" style="90" customWidth="1"/>
    <col min="260" max="260" width="5.140625" style="90" customWidth="1"/>
    <col min="261" max="261" width="8.42578125" style="90" customWidth="1"/>
    <col min="262" max="262" width="6.7109375" style="90" customWidth="1"/>
    <col min="263" max="263" width="7.5703125" style="90" customWidth="1"/>
    <col min="264" max="264" width="9.28515625" style="90" customWidth="1"/>
    <col min="265" max="265" width="6.140625" style="90" customWidth="1"/>
    <col min="266" max="267" width="11" style="90" customWidth="1"/>
    <col min="268" max="268" width="12.140625" style="90" customWidth="1"/>
    <col min="269" max="512" width="9.140625" style="90"/>
    <col min="513" max="513" width="5.140625" style="90" customWidth="1"/>
    <col min="514" max="514" width="7.42578125" style="90" customWidth="1"/>
    <col min="515" max="515" width="57" style="90" customWidth="1"/>
    <col min="516" max="516" width="5.140625" style="90" customWidth="1"/>
    <col min="517" max="517" width="8.42578125" style="90" customWidth="1"/>
    <col min="518" max="518" width="6.7109375" style="90" customWidth="1"/>
    <col min="519" max="519" width="7.5703125" style="90" customWidth="1"/>
    <col min="520" max="520" width="9.28515625" style="90" customWidth="1"/>
    <col min="521" max="521" width="6.140625" style="90" customWidth="1"/>
    <col min="522" max="523" width="11" style="90" customWidth="1"/>
    <col min="524" max="524" width="12.140625" style="90" customWidth="1"/>
    <col min="525" max="768" width="9.140625" style="90"/>
    <col min="769" max="769" width="5.140625" style="90" customWidth="1"/>
    <col min="770" max="770" width="7.42578125" style="90" customWidth="1"/>
    <col min="771" max="771" width="57" style="90" customWidth="1"/>
    <col min="772" max="772" width="5.140625" style="90" customWidth="1"/>
    <col min="773" max="773" width="8.42578125" style="90" customWidth="1"/>
    <col min="774" max="774" width="6.7109375" style="90" customWidth="1"/>
    <col min="775" max="775" width="7.5703125" style="90" customWidth="1"/>
    <col min="776" max="776" width="9.28515625" style="90" customWidth="1"/>
    <col min="777" max="777" width="6.140625" style="90" customWidth="1"/>
    <col min="778" max="779" width="11" style="90" customWidth="1"/>
    <col min="780" max="780" width="12.140625" style="90" customWidth="1"/>
    <col min="781" max="1024" width="9.140625" style="90"/>
    <col min="1025" max="1025" width="5.140625" style="90" customWidth="1"/>
    <col min="1026" max="1026" width="7.42578125" style="90" customWidth="1"/>
    <col min="1027" max="1027" width="57" style="90" customWidth="1"/>
    <col min="1028" max="1028" width="5.140625" style="90" customWidth="1"/>
    <col min="1029" max="1029" width="8.42578125" style="90" customWidth="1"/>
    <col min="1030" max="1030" width="6.7109375" style="90" customWidth="1"/>
    <col min="1031" max="1031" width="7.5703125" style="90" customWidth="1"/>
    <col min="1032" max="1032" width="9.28515625" style="90" customWidth="1"/>
    <col min="1033" max="1033" width="6.140625" style="90" customWidth="1"/>
    <col min="1034" max="1035" width="11" style="90" customWidth="1"/>
    <col min="1036" max="1036" width="12.140625" style="90" customWidth="1"/>
    <col min="1037" max="1280" width="9.140625" style="90"/>
    <col min="1281" max="1281" width="5.140625" style="90" customWidth="1"/>
    <col min="1282" max="1282" width="7.42578125" style="90" customWidth="1"/>
    <col min="1283" max="1283" width="57" style="90" customWidth="1"/>
    <col min="1284" max="1284" width="5.140625" style="90" customWidth="1"/>
    <col min="1285" max="1285" width="8.42578125" style="90" customWidth="1"/>
    <col min="1286" max="1286" width="6.7109375" style="90" customWidth="1"/>
    <col min="1287" max="1287" width="7.5703125" style="90" customWidth="1"/>
    <col min="1288" max="1288" width="9.28515625" style="90" customWidth="1"/>
    <col min="1289" max="1289" width="6.140625" style="90" customWidth="1"/>
    <col min="1290" max="1291" width="11" style="90" customWidth="1"/>
    <col min="1292" max="1292" width="12.140625" style="90" customWidth="1"/>
    <col min="1293" max="1536" width="9.140625" style="90"/>
    <col min="1537" max="1537" width="5.140625" style="90" customWidth="1"/>
    <col min="1538" max="1538" width="7.42578125" style="90" customWidth="1"/>
    <col min="1539" max="1539" width="57" style="90" customWidth="1"/>
    <col min="1540" max="1540" width="5.140625" style="90" customWidth="1"/>
    <col min="1541" max="1541" width="8.42578125" style="90" customWidth="1"/>
    <col min="1542" max="1542" width="6.7109375" style="90" customWidth="1"/>
    <col min="1543" max="1543" width="7.5703125" style="90" customWidth="1"/>
    <col min="1544" max="1544" width="9.28515625" style="90" customWidth="1"/>
    <col min="1545" max="1545" width="6.140625" style="90" customWidth="1"/>
    <col min="1546" max="1547" width="11" style="90" customWidth="1"/>
    <col min="1548" max="1548" width="12.140625" style="90" customWidth="1"/>
    <col min="1549" max="1792" width="9.140625" style="90"/>
    <col min="1793" max="1793" width="5.140625" style="90" customWidth="1"/>
    <col min="1794" max="1794" width="7.42578125" style="90" customWidth="1"/>
    <col min="1795" max="1795" width="57" style="90" customWidth="1"/>
    <col min="1796" max="1796" width="5.140625" style="90" customWidth="1"/>
    <col min="1797" max="1797" width="8.42578125" style="90" customWidth="1"/>
    <col min="1798" max="1798" width="6.7109375" style="90" customWidth="1"/>
    <col min="1799" max="1799" width="7.5703125" style="90" customWidth="1"/>
    <col min="1800" max="1800" width="9.28515625" style="90" customWidth="1"/>
    <col min="1801" max="1801" width="6.140625" style="90" customWidth="1"/>
    <col min="1802" max="1803" width="11" style="90" customWidth="1"/>
    <col min="1804" max="1804" width="12.140625" style="90" customWidth="1"/>
    <col min="1805" max="2048" width="9.140625" style="90"/>
    <col min="2049" max="2049" width="5.140625" style="90" customWidth="1"/>
    <col min="2050" max="2050" width="7.42578125" style="90" customWidth="1"/>
    <col min="2051" max="2051" width="57" style="90" customWidth="1"/>
    <col min="2052" max="2052" width="5.140625" style="90" customWidth="1"/>
    <col min="2053" max="2053" width="8.42578125" style="90" customWidth="1"/>
    <col min="2054" max="2054" width="6.7109375" style="90" customWidth="1"/>
    <col min="2055" max="2055" width="7.5703125" style="90" customWidth="1"/>
    <col min="2056" max="2056" width="9.28515625" style="90" customWidth="1"/>
    <col min="2057" max="2057" width="6.140625" style="90" customWidth="1"/>
    <col min="2058" max="2059" width="11" style="90" customWidth="1"/>
    <col min="2060" max="2060" width="12.140625" style="90" customWidth="1"/>
    <col min="2061" max="2304" width="9.140625" style="90"/>
    <col min="2305" max="2305" width="5.140625" style="90" customWidth="1"/>
    <col min="2306" max="2306" width="7.42578125" style="90" customWidth="1"/>
    <col min="2307" max="2307" width="57" style="90" customWidth="1"/>
    <col min="2308" max="2308" width="5.140625" style="90" customWidth="1"/>
    <col min="2309" max="2309" width="8.42578125" style="90" customWidth="1"/>
    <col min="2310" max="2310" width="6.7109375" style="90" customWidth="1"/>
    <col min="2311" max="2311" width="7.5703125" style="90" customWidth="1"/>
    <col min="2312" max="2312" width="9.28515625" style="90" customWidth="1"/>
    <col min="2313" max="2313" width="6.140625" style="90" customWidth="1"/>
    <col min="2314" max="2315" width="11" style="90" customWidth="1"/>
    <col min="2316" max="2316" width="12.140625" style="90" customWidth="1"/>
    <col min="2317" max="2560" width="9.140625" style="90"/>
    <col min="2561" max="2561" width="5.140625" style="90" customWidth="1"/>
    <col min="2562" max="2562" width="7.42578125" style="90" customWidth="1"/>
    <col min="2563" max="2563" width="57" style="90" customWidth="1"/>
    <col min="2564" max="2564" width="5.140625" style="90" customWidth="1"/>
    <col min="2565" max="2565" width="8.42578125" style="90" customWidth="1"/>
    <col min="2566" max="2566" width="6.7109375" style="90" customWidth="1"/>
    <col min="2567" max="2567" width="7.5703125" style="90" customWidth="1"/>
    <col min="2568" max="2568" width="9.28515625" style="90" customWidth="1"/>
    <col min="2569" max="2569" width="6.140625" style="90" customWidth="1"/>
    <col min="2570" max="2571" width="11" style="90" customWidth="1"/>
    <col min="2572" max="2572" width="12.140625" style="90" customWidth="1"/>
    <col min="2573" max="2816" width="9.140625" style="90"/>
    <col min="2817" max="2817" width="5.140625" style="90" customWidth="1"/>
    <col min="2818" max="2818" width="7.42578125" style="90" customWidth="1"/>
    <col min="2819" max="2819" width="57" style="90" customWidth="1"/>
    <col min="2820" max="2820" width="5.140625" style="90" customWidth="1"/>
    <col min="2821" max="2821" width="8.42578125" style="90" customWidth="1"/>
    <col min="2822" max="2822" width="6.7109375" style="90" customWidth="1"/>
    <col min="2823" max="2823" width="7.5703125" style="90" customWidth="1"/>
    <col min="2824" max="2824" width="9.28515625" style="90" customWidth="1"/>
    <col min="2825" max="2825" width="6.140625" style="90" customWidth="1"/>
    <col min="2826" max="2827" width="11" style="90" customWidth="1"/>
    <col min="2828" max="2828" width="12.140625" style="90" customWidth="1"/>
    <col min="2829" max="3072" width="9.140625" style="90"/>
    <col min="3073" max="3073" width="5.140625" style="90" customWidth="1"/>
    <col min="3074" max="3074" width="7.42578125" style="90" customWidth="1"/>
    <col min="3075" max="3075" width="57" style="90" customWidth="1"/>
    <col min="3076" max="3076" width="5.140625" style="90" customWidth="1"/>
    <col min="3077" max="3077" width="8.42578125" style="90" customWidth="1"/>
    <col min="3078" max="3078" width="6.7109375" style="90" customWidth="1"/>
    <col min="3079" max="3079" width="7.5703125" style="90" customWidth="1"/>
    <col min="3080" max="3080" width="9.28515625" style="90" customWidth="1"/>
    <col min="3081" max="3081" width="6.140625" style="90" customWidth="1"/>
    <col min="3082" max="3083" width="11" style="90" customWidth="1"/>
    <col min="3084" max="3084" width="12.140625" style="90" customWidth="1"/>
    <col min="3085" max="3328" width="9.140625" style="90"/>
    <col min="3329" max="3329" width="5.140625" style="90" customWidth="1"/>
    <col min="3330" max="3330" width="7.42578125" style="90" customWidth="1"/>
    <col min="3331" max="3331" width="57" style="90" customWidth="1"/>
    <col min="3332" max="3332" width="5.140625" style="90" customWidth="1"/>
    <col min="3333" max="3333" width="8.42578125" style="90" customWidth="1"/>
    <col min="3334" max="3334" width="6.7109375" style="90" customWidth="1"/>
    <col min="3335" max="3335" width="7.5703125" style="90" customWidth="1"/>
    <col min="3336" max="3336" width="9.28515625" style="90" customWidth="1"/>
    <col min="3337" max="3337" width="6.140625" style="90" customWidth="1"/>
    <col min="3338" max="3339" width="11" style="90" customWidth="1"/>
    <col min="3340" max="3340" width="12.140625" style="90" customWidth="1"/>
    <col min="3341" max="3584" width="9.140625" style="90"/>
    <col min="3585" max="3585" width="5.140625" style="90" customWidth="1"/>
    <col min="3586" max="3586" width="7.42578125" style="90" customWidth="1"/>
    <col min="3587" max="3587" width="57" style="90" customWidth="1"/>
    <col min="3588" max="3588" width="5.140625" style="90" customWidth="1"/>
    <col min="3589" max="3589" width="8.42578125" style="90" customWidth="1"/>
    <col min="3590" max="3590" width="6.7109375" style="90" customWidth="1"/>
    <col min="3591" max="3591" width="7.5703125" style="90" customWidth="1"/>
    <col min="3592" max="3592" width="9.28515625" style="90" customWidth="1"/>
    <col min="3593" max="3593" width="6.140625" style="90" customWidth="1"/>
    <col min="3594" max="3595" width="11" style="90" customWidth="1"/>
    <col min="3596" max="3596" width="12.140625" style="90" customWidth="1"/>
    <col min="3597" max="3840" width="9.140625" style="90"/>
    <col min="3841" max="3841" width="5.140625" style="90" customWidth="1"/>
    <col min="3842" max="3842" width="7.42578125" style="90" customWidth="1"/>
    <col min="3843" max="3843" width="57" style="90" customWidth="1"/>
    <col min="3844" max="3844" width="5.140625" style="90" customWidth="1"/>
    <col min="3845" max="3845" width="8.42578125" style="90" customWidth="1"/>
    <col min="3846" max="3846" width="6.7109375" style="90" customWidth="1"/>
    <col min="3847" max="3847" width="7.5703125" style="90" customWidth="1"/>
    <col min="3848" max="3848" width="9.28515625" style="90" customWidth="1"/>
    <col min="3849" max="3849" width="6.140625" style="90" customWidth="1"/>
    <col min="3850" max="3851" width="11" style="90" customWidth="1"/>
    <col min="3852" max="3852" width="12.140625" style="90" customWidth="1"/>
    <col min="3853" max="4096" width="9.140625" style="90"/>
    <col min="4097" max="4097" width="5.140625" style="90" customWidth="1"/>
    <col min="4098" max="4098" width="7.42578125" style="90" customWidth="1"/>
    <col min="4099" max="4099" width="57" style="90" customWidth="1"/>
    <col min="4100" max="4100" width="5.140625" style="90" customWidth="1"/>
    <col min="4101" max="4101" width="8.42578125" style="90" customWidth="1"/>
    <col min="4102" max="4102" width="6.7109375" style="90" customWidth="1"/>
    <col min="4103" max="4103" width="7.5703125" style="90" customWidth="1"/>
    <col min="4104" max="4104" width="9.28515625" style="90" customWidth="1"/>
    <col min="4105" max="4105" width="6.140625" style="90" customWidth="1"/>
    <col min="4106" max="4107" width="11" style="90" customWidth="1"/>
    <col min="4108" max="4108" width="12.140625" style="90" customWidth="1"/>
    <col min="4109" max="4352" width="9.140625" style="90"/>
    <col min="4353" max="4353" width="5.140625" style="90" customWidth="1"/>
    <col min="4354" max="4354" width="7.42578125" style="90" customWidth="1"/>
    <col min="4355" max="4355" width="57" style="90" customWidth="1"/>
    <col min="4356" max="4356" width="5.140625" style="90" customWidth="1"/>
    <col min="4357" max="4357" width="8.42578125" style="90" customWidth="1"/>
    <col min="4358" max="4358" width="6.7109375" style="90" customWidth="1"/>
    <col min="4359" max="4359" width="7.5703125" style="90" customWidth="1"/>
    <col min="4360" max="4360" width="9.28515625" style="90" customWidth="1"/>
    <col min="4361" max="4361" width="6.140625" style="90" customWidth="1"/>
    <col min="4362" max="4363" width="11" style="90" customWidth="1"/>
    <col min="4364" max="4364" width="12.140625" style="90" customWidth="1"/>
    <col min="4365" max="4608" width="9.140625" style="90"/>
    <col min="4609" max="4609" width="5.140625" style="90" customWidth="1"/>
    <col min="4610" max="4610" width="7.42578125" style="90" customWidth="1"/>
    <col min="4611" max="4611" width="57" style="90" customWidth="1"/>
    <col min="4612" max="4612" width="5.140625" style="90" customWidth="1"/>
    <col min="4613" max="4613" width="8.42578125" style="90" customWidth="1"/>
    <col min="4614" max="4614" width="6.7109375" style="90" customWidth="1"/>
    <col min="4615" max="4615" width="7.5703125" style="90" customWidth="1"/>
    <col min="4616" max="4616" width="9.28515625" style="90" customWidth="1"/>
    <col min="4617" max="4617" width="6.140625" style="90" customWidth="1"/>
    <col min="4618" max="4619" width="11" style="90" customWidth="1"/>
    <col min="4620" max="4620" width="12.140625" style="90" customWidth="1"/>
    <col min="4621" max="4864" width="9.140625" style="90"/>
    <col min="4865" max="4865" width="5.140625" style="90" customWidth="1"/>
    <col min="4866" max="4866" width="7.42578125" style="90" customWidth="1"/>
    <col min="4867" max="4867" width="57" style="90" customWidth="1"/>
    <col min="4868" max="4868" width="5.140625" style="90" customWidth="1"/>
    <col min="4869" max="4869" width="8.42578125" style="90" customWidth="1"/>
    <col min="4870" max="4870" width="6.7109375" style="90" customWidth="1"/>
    <col min="4871" max="4871" width="7.5703125" style="90" customWidth="1"/>
    <col min="4872" max="4872" width="9.28515625" style="90" customWidth="1"/>
    <col min="4873" max="4873" width="6.140625" style="90" customWidth="1"/>
    <col min="4874" max="4875" width="11" style="90" customWidth="1"/>
    <col min="4876" max="4876" width="12.140625" style="90" customWidth="1"/>
    <col min="4877" max="5120" width="9.140625" style="90"/>
    <col min="5121" max="5121" width="5.140625" style="90" customWidth="1"/>
    <col min="5122" max="5122" width="7.42578125" style="90" customWidth="1"/>
    <col min="5123" max="5123" width="57" style="90" customWidth="1"/>
    <col min="5124" max="5124" width="5.140625" style="90" customWidth="1"/>
    <col min="5125" max="5125" width="8.42578125" style="90" customWidth="1"/>
    <col min="5126" max="5126" width="6.7109375" style="90" customWidth="1"/>
    <col min="5127" max="5127" width="7.5703125" style="90" customWidth="1"/>
    <col min="5128" max="5128" width="9.28515625" style="90" customWidth="1"/>
    <col min="5129" max="5129" width="6.140625" style="90" customWidth="1"/>
    <col min="5130" max="5131" width="11" style="90" customWidth="1"/>
    <col min="5132" max="5132" width="12.140625" style="90" customWidth="1"/>
    <col min="5133" max="5376" width="9.140625" style="90"/>
    <col min="5377" max="5377" width="5.140625" style="90" customWidth="1"/>
    <col min="5378" max="5378" width="7.42578125" style="90" customWidth="1"/>
    <col min="5379" max="5379" width="57" style="90" customWidth="1"/>
    <col min="5380" max="5380" width="5.140625" style="90" customWidth="1"/>
    <col min="5381" max="5381" width="8.42578125" style="90" customWidth="1"/>
    <col min="5382" max="5382" width="6.7109375" style="90" customWidth="1"/>
    <col min="5383" max="5383" width="7.5703125" style="90" customWidth="1"/>
    <col min="5384" max="5384" width="9.28515625" style="90" customWidth="1"/>
    <col min="5385" max="5385" width="6.140625" style="90" customWidth="1"/>
    <col min="5386" max="5387" width="11" style="90" customWidth="1"/>
    <col min="5388" max="5388" width="12.140625" style="90" customWidth="1"/>
    <col min="5389" max="5632" width="9.140625" style="90"/>
    <col min="5633" max="5633" width="5.140625" style="90" customWidth="1"/>
    <col min="5634" max="5634" width="7.42578125" style="90" customWidth="1"/>
    <col min="5635" max="5635" width="57" style="90" customWidth="1"/>
    <col min="5636" max="5636" width="5.140625" style="90" customWidth="1"/>
    <col min="5637" max="5637" width="8.42578125" style="90" customWidth="1"/>
    <col min="5638" max="5638" width="6.7109375" style="90" customWidth="1"/>
    <col min="5639" max="5639" width="7.5703125" style="90" customWidth="1"/>
    <col min="5640" max="5640" width="9.28515625" style="90" customWidth="1"/>
    <col min="5641" max="5641" width="6.140625" style="90" customWidth="1"/>
    <col min="5642" max="5643" width="11" style="90" customWidth="1"/>
    <col min="5644" max="5644" width="12.140625" style="90" customWidth="1"/>
    <col min="5645" max="5888" width="9.140625" style="90"/>
    <col min="5889" max="5889" width="5.140625" style="90" customWidth="1"/>
    <col min="5890" max="5890" width="7.42578125" style="90" customWidth="1"/>
    <col min="5891" max="5891" width="57" style="90" customWidth="1"/>
    <col min="5892" max="5892" width="5.140625" style="90" customWidth="1"/>
    <col min="5893" max="5893" width="8.42578125" style="90" customWidth="1"/>
    <col min="5894" max="5894" width="6.7109375" style="90" customWidth="1"/>
    <col min="5895" max="5895" width="7.5703125" style="90" customWidth="1"/>
    <col min="5896" max="5896" width="9.28515625" style="90" customWidth="1"/>
    <col min="5897" max="5897" width="6.140625" style="90" customWidth="1"/>
    <col min="5898" max="5899" width="11" style="90" customWidth="1"/>
    <col min="5900" max="5900" width="12.140625" style="90" customWidth="1"/>
    <col min="5901" max="6144" width="9.140625" style="90"/>
    <col min="6145" max="6145" width="5.140625" style="90" customWidth="1"/>
    <col min="6146" max="6146" width="7.42578125" style="90" customWidth="1"/>
    <col min="6147" max="6147" width="57" style="90" customWidth="1"/>
    <col min="6148" max="6148" width="5.140625" style="90" customWidth="1"/>
    <col min="6149" max="6149" width="8.42578125" style="90" customWidth="1"/>
    <col min="6150" max="6150" width="6.7109375" style="90" customWidth="1"/>
    <col min="6151" max="6151" width="7.5703125" style="90" customWidth="1"/>
    <col min="6152" max="6152" width="9.28515625" style="90" customWidth="1"/>
    <col min="6153" max="6153" width="6.140625" style="90" customWidth="1"/>
    <col min="6154" max="6155" width="11" style="90" customWidth="1"/>
    <col min="6156" max="6156" width="12.140625" style="90" customWidth="1"/>
    <col min="6157" max="6400" width="9.140625" style="90"/>
    <col min="6401" max="6401" width="5.140625" style="90" customWidth="1"/>
    <col min="6402" max="6402" width="7.42578125" style="90" customWidth="1"/>
    <col min="6403" max="6403" width="57" style="90" customWidth="1"/>
    <col min="6404" max="6404" width="5.140625" style="90" customWidth="1"/>
    <col min="6405" max="6405" width="8.42578125" style="90" customWidth="1"/>
    <col min="6406" max="6406" width="6.7109375" style="90" customWidth="1"/>
    <col min="6407" max="6407" width="7.5703125" style="90" customWidth="1"/>
    <col min="6408" max="6408" width="9.28515625" style="90" customWidth="1"/>
    <col min="6409" max="6409" width="6.140625" style="90" customWidth="1"/>
    <col min="6410" max="6411" width="11" style="90" customWidth="1"/>
    <col min="6412" max="6412" width="12.140625" style="90" customWidth="1"/>
    <col min="6413" max="6656" width="9.140625" style="90"/>
    <col min="6657" max="6657" width="5.140625" style="90" customWidth="1"/>
    <col min="6658" max="6658" width="7.42578125" style="90" customWidth="1"/>
    <col min="6659" max="6659" width="57" style="90" customWidth="1"/>
    <col min="6660" max="6660" width="5.140625" style="90" customWidth="1"/>
    <col min="6661" max="6661" width="8.42578125" style="90" customWidth="1"/>
    <col min="6662" max="6662" width="6.7109375" style="90" customWidth="1"/>
    <col min="6663" max="6663" width="7.5703125" style="90" customWidth="1"/>
    <col min="6664" max="6664" width="9.28515625" style="90" customWidth="1"/>
    <col min="6665" max="6665" width="6.140625" style="90" customWidth="1"/>
    <col min="6666" max="6667" width="11" style="90" customWidth="1"/>
    <col min="6668" max="6668" width="12.140625" style="90" customWidth="1"/>
    <col min="6669" max="6912" width="9.140625" style="90"/>
    <col min="6913" max="6913" width="5.140625" style="90" customWidth="1"/>
    <col min="6914" max="6914" width="7.42578125" style="90" customWidth="1"/>
    <col min="6915" max="6915" width="57" style="90" customWidth="1"/>
    <col min="6916" max="6916" width="5.140625" style="90" customWidth="1"/>
    <col min="6917" max="6917" width="8.42578125" style="90" customWidth="1"/>
    <col min="6918" max="6918" width="6.7109375" style="90" customWidth="1"/>
    <col min="6919" max="6919" width="7.5703125" style="90" customWidth="1"/>
    <col min="6920" max="6920" width="9.28515625" style="90" customWidth="1"/>
    <col min="6921" max="6921" width="6.140625" style="90" customWidth="1"/>
    <col min="6922" max="6923" width="11" style="90" customWidth="1"/>
    <col min="6924" max="6924" width="12.140625" style="90" customWidth="1"/>
    <col min="6925" max="7168" width="9.140625" style="90"/>
    <col min="7169" max="7169" width="5.140625" style="90" customWidth="1"/>
    <col min="7170" max="7170" width="7.42578125" style="90" customWidth="1"/>
    <col min="7171" max="7171" width="57" style="90" customWidth="1"/>
    <col min="7172" max="7172" width="5.140625" style="90" customWidth="1"/>
    <col min="7173" max="7173" width="8.42578125" style="90" customWidth="1"/>
    <col min="7174" max="7174" width="6.7109375" style="90" customWidth="1"/>
    <col min="7175" max="7175" width="7.5703125" style="90" customWidth="1"/>
    <col min="7176" max="7176" width="9.28515625" style="90" customWidth="1"/>
    <col min="7177" max="7177" width="6.140625" style="90" customWidth="1"/>
    <col min="7178" max="7179" width="11" style="90" customWidth="1"/>
    <col min="7180" max="7180" width="12.140625" style="90" customWidth="1"/>
    <col min="7181" max="7424" width="9.140625" style="90"/>
    <col min="7425" max="7425" width="5.140625" style="90" customWidth="1"/>
    <col min="7426" max="7426" width="7.42578125" style="90" customWidth="1"/>
    <col min="7427" max="7427" width="57" style="90" customWidth="1"/>
    <col min="7428" max="7428" width="5.140625" style="90" customWidth="1"/>
    <col min="7429" max="7429" width="8.42578125" style="90" customWidth="1"/>
    <col min="7430" max="7430" width="6.7109375" style="90" customWidth="1"/>
    <col min="7431" max="7431" width="7.5703125" style="90" customWidth="1"/>
    <col min="7432" max="7432" width="9.28515625" style="90" customWidth="1"/>
    <col min="7433" max="7433" width="6.140625" style="90" customWidth="1"/>
    <col min="7434" max="7435" width="11" style="90" customWidth="1"/>
    <col min="7436" max="7436" width="12.140625" style="90" customWidth="1"/>
    <col min="7437" max="7680" width="9.140625" style="90"/>
    <col min="7681" max="7681" width="5.140625" style="90" customWidth="1"/>
    <col min="7682" max="7682" width="7.42578125" style="90" customWidth="1"/>
    <col min="7683" max="7683" width="57" style="90" customWidth="1"/>
    <col min="7684" max="7684" width="5.140625" style="90" customWidth="1"/>
    <col min="7685" max="7685" width="8.42578125" style="90" customWidth="1"/>
    <col min="7686" max="7686" width="6.7109375" style="90" customWidth="1"/>
    <col min="7687" max="7687" width="7.5703125" style="90" customWidth="1"/>
    <col min="7688" max="7688" width="9.28515625" style="90" customWidth="1"/>
    <col min="7689" max="7689" width="6.140625" style="90" customWidth="1"/>
    <col min="7690" max="7691" width="11" style="90" customWidth="1"/>
    <col min="7692" max="7692" width="12.140625" style="90" customWidth="1"/>
    <col min="7693" max="7936" width="9.140625" style="90"/>
    <col min="7937" max="7937" width="5.140625" style="90" customWidth="1"/>
    <col min="7938" max="7938" width="7.42578125" style="90" customWidth="1"/>
    <col min="7939" max="7939" width="57" style="90" customWidth="1"/>
    <col min="7940" max="7940" width="5.140625" style="90" customWidth="1"/>
    <col min="7941" max="7941" width="8.42578125" style="90" customWidth="1"/>
    <col min="7942" max="7942" width="6.7109375" style="90" customWidth="1"/>
    <col min="7943" max="7943" width="7.5703125" style="90" customWidth="1"/>
    <col min="7944" max="7944" width="9.28515625" style="90" customWidth="1"/>
    <col min="7945" max="7945" width="6.140625" style="90" customWidth="1"/>
    <col min="7946" max="7947" width="11" style="90" customWidth="1"/>
    <col min="7948" max="7948" width="12.140625" style="90" customWidth="1"/>
    <col min="7949" max="8192" width="9.140625" style="90"/>
    <col min="8193" max="8193" width="5.140625" style="90" customWidth="1"/>
    <col min="8194" max="8194" width="7.42578125" style="90" customWidth="1"/>
    <col min="8195" max="8195" width="57" style="90" customWidth="1"/>
    <col min="8196" max="8196" width="5.140625" style="90" customWidth="1"/>
    <col min="8197" max="8197" width="8.42578125" style="90" customWidth="1"/>
    <col min="8198" max="8198" width="6.7109375" style="90" customWidth="1"/>
    <col min="8199" max="8199" width="7.5703125" style="90" customWidth="1"/>
    <col min="8200" max="8200" width="9.28515625" style="90" customWidth="1"/>
    <col min="8201" max="8201" width="6.140625" style="90" customWidth="1"/>
    <col min="8202" max="8203" width="11" style="90" customWidth="1"/>
    <col min="8204" max="8204" width="12.140625" style="90" customWidth="1"/>
    <col min="8205" max="8448" width="9.140625" style="90"/>
    <col min="8449" max="8449" width="5.140625" style="90" customWidth="1"/>
    <col min="8450" max="8450" width="7.42578125" style="90" customWidth="1"/>
    <col min="8451" max="8451" width="57" style="90" customWidth="1"/>
    <col min="8452" max="8452" width="5.140625" style="90" customWidth="1"/>
    <col min="8453" max="8453" width="8.42578125" style="90" customWidth="1"/>
    <col min="8454" max="8454" width="6.7109375" style="90" customWidth="1"/>
    <col min="8455" max="8455" width="7.5703125" style="90" customWidth="1"/>
    <col min="8456" max="8456" width="9.28515625" style="90" customWidth="1"/>
    <col min="8457" max="8457" width="6.140625" style="90" customWidth="1"/>
    <col min="8458" max="8459" width="11" style="90" customWidth="1"/>
    <col min="8460" max="8460" width="12.140625" style="90" customWidth="1"/>
    <col min="8461" max="8704" width="9.140625" style="90"/>
    <col min="8705" max="8705" width="5.140625" style="90" customWidth="1"/>
    <col min="8706" max="8706" width="7.42578125" style="90" customWidth="1"/>
    <col min="8707" max="8707" width="57" style="90" customWidth="1"/>
    <col min="8708" max="8708" width="5.140625" style="90" customWidth="1"/>
    <col min="8709" max="8709" width="8.42578125" style="90" customWidth="1"/>
    <col min="8710" max="8710" width="6.7109375" style="90" customWidth="1"/>
    <col min="8711" max="8711" width="7.5703125" style="90" customWidth="1"/>
    <col min="8712" max="8712" width="9.28515625" style="90" customWidth="1"/>
    <col min="8713" max="8713" width="6.140625" style="90" customWidth="1"/>
    <col min="8714" max="8715" width="11" style="90" customWidth="1"/>
    <col min="8716" max="8716" width="12.140625" style="90" customWidth="1"/>
    <col min="8717" max="8960" width="9.140625" style="90"/>
    <col min="8961" max="8961" width="5.140625" style="90" customWidth="1"/>
    <col min="8962" max="8962" width="7.42578125" style="90" customWidth="1"/>
    <col min="8963" max="8963" width="57" style="90" customWidth="1"/>
    <col min="8964" max="8964" width="5.140625" style="90" customWidth="1"/>
    <col min="8965" max="8965" width="8.42578125" style="90" customWidth="1"/>
    <col min="8966" max="8966" width="6.7109375" style="90" customWidth="1"/>
    <col min="8967" max="8967" width="7.5703125" style="90" customWidth="1"/>
    <col min="8968" max="8968" width="9.28515625" style="90" customWidth="1"/>
    <col min="8969" max="8969" width="6.140625" style="90" customWidth="1"/>
    <col min="8970" max="8971" width="11" style="90" customWidth="1"/>
    <col min="8972" max="8972" width="12.140625" style="90" customWidth="1"/>
    <col min="8973" max="9216" width="9.140625" style="90"/>
    <col min="9217" max="9217" width="5.140625" style="90" customWidth="1"/>
    <col min="9218" max="9218" width="7.42578125" style="90" customWidth="1"/>
    <col min="9219" max="9219" width="57" style="90" customWidth="1"/>
    <col min="9220" max="9220" width="5.140625" style="90" customWidth="1"/>
    <col min="9221" max="9221" width="8.42578125" style="90" customWidth="1"/>
    <col min="9222" max="9222" width="6.7109375" style="90" customWidth="1"/>
    <col min="9223" max="9223" width="7.5703125" style="90" customWidth="1"/>
    <col min="9224" max="9224" width="9.28515625" style="90" customWidth="1"/>
    <col min="9225" max="9225" width="6.140625" style="90" customWidth="1"/>
    <col min="9226" max="9227" width="11" style="90" customWidth="1"/>
    <col min="9228" max="9228" width="12.140625" style="90" customWidth="1"/>
    <col min="9229" max="9472" width="9.140625" style="90"/>
    <col min="9473" max="9473" width="5.140625" style="90" customWidth="1"/>
    <col min="9474" max="9474" width="7.42578125" style="90" customWidth="1"/>
    <col min="9475" max="9475" width="57" style="90" customWidth="1"/>
    <col min="9476" max="9476" width="5.140625" style="90" customWidth="1"/>
    <col min="9477" max="9477" width="8.42578125" style="90" customWidth="1"/>
    <col min="9478" max="9478" width="6.7109375" style="90" customWidth="1"/>
    <col min="9479" max="9479" width="7.5703125" style="90" customWidth="1"/>
    <col min="9480" max="9480" width="9.28515625" style="90" customWidth="1"/>
    <col min="9481" max="9481" width="6.140625" style="90" customWidth="1"/>
    <col min="9482" max="9483" width="11" style="90" customWidth="1"/>
    <col min="9484" max="9484" width="12.140625" style="90" customWidth="1"/>
    <col min="9485" max="9728" width="9.140625" style="90"/>
    <col min="9729" max="9729" width="5.140625" style="90" customWidth="1"/>
    <col min="9730" max="9730" width="7.42578125" style="90" customWidth="1"/>
    <col min="9731" max="9731" width="57" style="90" customWidth="1"/>
    <col min="9732" max="9732" width="5.140625" style="90" customWidth="1"/>
    <col min="9733" max="9733" width="8.42578125" style="90" customWidth="1"/>
    <col min="9734" max="9734" width="6.7109375" style="90" customWidth="1"/>
    <col min="9735" max="9735" width="7.5703125" style="90" customWidth="1"/>
    <col min="9736" max="9736" width="9.28515625" style="90" customWidth="1"/>
    <col min="9737" max="9737" width="6.140625" style="90" customWidth="1"/>
    <col min="9738" max="9739" width="11" style="90" customWidth="1"/>
    <col min="9740" max="9740" width="12.140625" style="90" customWidth="1"/>
    <col min="9741" max="9984" width="9.140625" style="90"/>
    <col min="9985" max="9985" width="5.140625" style="90" customWidth="1"/>
    <col min="9986" max="9986" width="7.42578125" style="90" customWidth="1"/>
    <col min="9987" max="9987" width="57" style="90" customWidth="1"/>
    <col min="9988" max="9988" width="5.140625" style="90" customWidth="1"/>
    <col min="9989" max="9989" width="8.42578125" style="90" customWidth="1"/>
    <col min="9990" max="9990" width="6.7109375" style="90" customWidth="1"/>
    <col min="9991" max="9991" width="7.5703125" style="90" customWidth="1"/>
    <col min="9992" max="9992" width="9.28515625" style="90" customWidth="1"/>
    <col min="9993" max="9993" width="6.140625" style="90" customWidth="1"/>
    <col min="9994" max="9995" width="11" style="90" customWidth="1"/>
    <col min="9996" max="9996" width="12.140625" style="90" customWidth="1"/>
    <col min="9997" max="10240" width="9.140625" style="90"/>
    <col min="10241" max="10241" width="5.140625" style="90" customWidth="1"/>
    <col min="10242" max="10242" width="7.42578125" style="90" customWidth="1"/>
    <col min="10243" max="10243" width="57" style="90" customWidth="1"/>
    <col min="10244" max="10244" width="5.140625" style="90" customWidth="1"/>
    <col min="10245" max="10245" width="8.42578125" style="90" customWidth="1"/>
    <col min="10246" max="10246" width="6.7109375" style="90" customWidth="1"/>
    <col min="10247" max="10247" width="7.5703125" style="90" customWidth="1"/>
    <col min="10248" max="10248" width="9.28515625" style="90" customWidth="1"/>
    <col min="10249" max="10249" width="6.140625" style="90" customWidth="1"/>
    <col min="10250" max="10251" width="11" style="90" customWidth="1"/>
    <col min="10252" max="10252" width="12.140625" style="90" customWidth="1"/>
    <col min="10253" max="10496" width="9.140625" style="90"/>
    <col min="10497" max="10497" width="5.140625" style="90" customWidth="1"/>
    <col min="10498" max="10498" width="7.42578125" style="90" customWidth="1"/>
    <col min="10499" max="10499" width="57" style="90" customWidth="1"/>
    <col min="10500" max="10500" width="5.140625" style="90" customWidth="1"/>
    <col min="10501" max="10501" width="8.42578125" style="90" customWidth="1"/>
    <col min="10502" max="10502" width="6.7109375" style="90" customWidth="1"/>
    <col min="10503" max="10503" width="7.5703125" style="90" customWidth="1"/>
    <col min="10504" max="10504" width="9.28515625" style="90" customWidth="1"/>
    <col min="10505" max="10505" width="6.140625" style="90" customWidth="1"/>
    <col min="10506" max="10507" width="11" style="90" customWidth="1"/>
    <col min="10508" max="10508" width="12.140625" style="90" customWidth="1"/>
    <col min="10509" max="10752" width="9.140625" style="90"/>
    <col min="10753" max="10753" width="5.140625" style="90" customWidth="1"/>
    <col min="10754" max="10754" width="7.42578125" style="90" customWidth="1"/>
    <col min="10755" max="10755" width="57" style="90" customWidth="1"/>
    <col min="10756" max="10756" width="5.140625" style="90" customWidth="1"/>
    <col min="10757" max="10757" width="8.42578125" style="90" customWidth="1"/>
    <col min="10758" max="10758" width="6.7109375" style="90" customWidth="1"/>
    <col min="10759" max="10759" width="7.5703125" style="90" customWidth="1"/>
    <col min="10760" max="10760" width="9.28515625" style="90" customWidth="1"/>
    <col min="10761" max="10761" width="6.140625" style="90" customWidth="1"/>
    <col min="10762" max="10763" width="11" style="90" customWidth="1"/>
    <col min="10764" max="10764" width="12.140625" style="90" customWidth="1"/>
    <col min="10765" max="11008" width="9.140625" style="90"/>
    <col min="11009" max="11009" width="5.140625" style="90" customWidth="1"/>
    <col min="11010" max="11010" width="7.42578125" style="90" customWidth="1"/>
    <col min="11011" max="11011" width="57" style="90" customWidth="1"/>
    <col min="11012" max="11012" width="5.140625" style="90" customWidth="1"/>
    <col min="11013" max="11013" width="8.42578125" style="90" customWidth="1"/>
    <col min="11014" max="11014" width="6.7109375" style="90" customWidth="1"/>
    <col min="11015" max="11015" width="7.5703125" style="90" customWidth="1"/>
    <col min="11016" max="11016" width="9.28515625" style="90" customWidth="1"/>
    <col min="11017" max="11017" width="6.140625" style="90" customWidth="1"/>
    <col min="11018" max="11019" width="11" style="90" customWidth="1"/>
    <col min="11020" max="11020" width="12.140625" style="90" customWidth="1"/>
    <col min="11021" max="11264" width="9.140625" style="90"/>
    <col min="11265" max="11265" width="5.140625" style="90" customWidth="1"/>
    <col min="11266" max="11266" width="7.42578125" style="90" customWidth="1"/>
    <col min="11267" max="11267" width="57" style="90" customWidth="1"/>
    <col min="11268" max="11268" width="5.140625" style="90" customWidth="1"/>
    <col min="11269" max="11269" width="8.42578125" style="90" customWidth="1"/>
    <col min="11270" max="11270" width="6.7109375" style="90" customWidth="1"/>
    <col min="11271" max="11271" width="7.5703125" style="90" customWidth="1"/>
    <col min="11272" max="11272" width="9.28515625" style="90" customWidth="1"/>
    <col min="11273" max="11273" width="6.140625" style="90" customWidth="1"/>
    <col min="11274" max="11275" width="11" style="90" customWidth="1"/>
    <col min="11276" max="11276" width="12.140625" style="90" customWidth="1"/>
    <col min="11277" max="11520" width="9.140625" style="90"/>
    <col min="11521" max="11521" width="5.140625" style="90" customWidth="1"/>
    <col min="11522" max="11522" width="7.42578125" style="90" customWidth="1"/>
    <col min="11523" max="11523" width="57" style="90" customWidth="1"/>
    <col min="11524" max="11524" width="5.140625" style="90" customWidth="1"/>
    <col min="11525" max="11525" width="8.42578125" style="90" customWidth="1"/>
    <col min="11526" max="11526" width="6.7109375" style="90" customWidth="1"/>
    <col min="11527" max="11527" width="7.5703125" style="90" customWidth="1"/>
    <col min="11528" max="11528" width="9.28515625" style="90" customWidth="1"/>
    <col min="11529" max="11529" width="6.140625" style="90" customWidth="1"/>
    <col min="11530" max="11531" width="11" style="90" customWidth="1"/>
    <col min="11532" max="11532" width="12.140625" style="90" customWidth="1"/>
    <col min="11533" max="11776" width="9.140625" style="90"/>
    <col min="11777" max="11777" width="5.140625" style="90" customWidth="1"/>
    <col min="11778" max="11778" width="7.42578125" style="90" customWidth="1"/>
    <col min="11779" max="11779" width="57" style="90" customWidth="1"/>
    <col min="11780" max="11780" width="5.140625" style="90" customWidth="1"/>
    <col min="11781" max="11781" width="8.42578125" style="90" customWidth="1"/>
    <col min="11782" max="11782" width="6.7109375" style="90" customWidth="1"/>
    <col min="11783" max="11783" width="7.5703125" style="90" customWidth="1"/>
    <col min="11784" max="11784" width="9.28515625" style="90" customWidth="1"/>
    <col min="11785" max="11785" width="6.140625" style="90" customWidth="1"/>
    <col min="11786" max="11787" width="11" style="90" customWidth="1"/>
    <col min="11788" max="11788" width="12.140625" style="90" customWidth="1"/>
    <col min="11789" max="12032" width="9.140625" style="90"/>
    <col min="12033" max="12033" width="5.140625" style="90" customWidth="1"/>
    <col min="12034" max="12034" width="7.42578125" style="90" customWidth="1"/>
    <col min="12035" max="12035" width="57" style="90" customWidth="1"/>
    <col min="12036" max="12036" width="5.140625" style="90" customWidth="1"/>
    <col min="12037" max="12037" width="8.42578125" style="90" customWidth="1"/>
    <col min="12038" max="12038" width="6.7109375" style="90" customWidth="1"/>
    <col min="12039" max="12039" width="7.5703125" style="90" customWidth="1"/>
    <col min="12040" max="12040" width="9.28515625" style="90" customWidth="1"/>
    <col min="12041" max="12041" width="6.140625" style="90" customWidth="1"/>
    <col min="12042" max="12043" width="11" style="90" customWidth="1"/>
    <col min="12044" max="12044" width="12.140625" style="90" customWidth="1"/>
    <col min="12045" max="12288" width="9.140625" style="90"/>
    <col min="12289" max="12289" width="5.140625" style="90" customWidth="1"/>
    <col min="12290" max="12290" width="7.42578125" style="90" customWidth="1"/>
    <col min="12291" max="12291" width="57" style="90" customWidth="1"/>
    <col min="12292" max="12292" width="5.140625" style="90" customWidth="1"/>
    <col min="12293" max="12293" width="8.42578125" style="90" customWidth="1"/>
    <col min="12294" max="12294" width="6.7109375" style="90" customWidth="1"/>
    <col min="12295" max="12295" width="7.5703125" style="90" customWidth="1"/>
    <col min="12296" max="12296" width="9.28515625" style="90" customWidth="1"/>
    <col min="12297" max="12297" width="6.140625" style="90" customWidth="1"/>
    <col min="12298" max="12299" width="11" style="90" customWidth="1"/>
    <col min="12300" max="12300" width="12.140625" style="90" customWidth="1"/>
    <col min="12301" max="12544" width="9.140625" style="90"/>
    <col min="12545" max="12545" width="5.140625" style="90" customWidth="1"/>
    <col min="12546" max="12546" width="7.42578125" style="90" customWidth="1"/>
    <col min="12547" max="12547" width="57" style="90" customWidth="1"/>
    <col min="12548" max="12548" width="5.140625" style="90" customWidth="1"/>
    <col min="12549" max="12549" width="8.42578125" style="90" customWidth="1"/>
    <col min="12550" max="12550" width="6.7109375" style="90" customWidth="1"/>
    <col min="12551" max="12551" width="7.5703125" style="90" customWidth="1"/>
    <col min="12552" max="12552" width="9.28515625" style="90" customWidth="1"/>
    <col min="12553" max="12553" width="6.140625" style="90" customWidth="1"/>
    <col min="12554" max="12555" width="11" style="90" customWidth="1"/>
    <col min="12556" max="12556" width="12.140625" style="90" customWidth="1"/>
    <col min="12557" max="12800" width="9.140625" style="90"/>
    <col min="12801" max="12801" width="5.140625" style="90" customWidth="1"/>
    <col min="12802" max="12802" width="7.42578125" style="90" customWidth="1"/>
    <col min="12803" max="12803" width="57" style="90" customWidth="1"/>
    <col min="12804" max="12804" width="5.140625" style="90" customWidth="1"/>
    <col min="12805" max="12805" width="8.42578125" style="90" customWidth="1"/>
    <col min="12806" max="12806" width="6.7109375" style="90" customWidth="1"/>
    <col min="12807" max="12807" width="7.5703125" style="90" customWidth="1"/>
    <col min="12808" max="12808" width="9.28515625" style="90" customWidth="1"/>
    <col min="12809" max="12809" width="6.140625" style="90" customWidth="1"/>
    <col min="12810" max="12811" width="11" style="90" customWidth="1"/>
    <col min="12812" max="12812" width="12.140625" style="90" customWidth="1"/>
    <col min="12813" max="13056" width="9.140625" style="90"/>
    <col min="13057" max="13057" width="5.140625" style="90" customWidth="1"/>
    <col min="13058" max="13058" width="7.42578125" style="90" customWidth="1"/>
    <col min="13059" max="13059" width="57" style="90" customWidth="1"/>
    <col min="13060" max="13060" width="5.140625" style="90" customWidth="1"/>
    <col min="13061" max="13061" width="8.42578125" style="90" customWidth="1"/>
    <col min="13062" max="13062" width="6.7109375" style="90" customWidth="1"/>
    <col min="13063" max="13063" width="7.5703125" style="90" customWidth="1"/>
    <col min="13064" max="13064" width="9.28515625" style="90" customWidth="1"/>
    <col min="13065" max="13065" width="6.140625" style="90" customWidth="1"/>
    <col min="13066" max="13067" width="11" style="90" customWidth="1"/>
    <col min="13068" max="13068" width="12.140625" style="90" customWidth="1"/>
    <col min="13069" max="13312" width="9.140625" style="90"/>
    <col min="13313" max="13313" width="5.140625" style="90" customWidth="1"/>
    <col min="13314" max="13314" width="7.42578125" style="90" customWidth="1"/>
    <col min="13315" max="13315" width="57" style="90" customWidth="1"/>
    <col min="13316" max="13316" width="5.140625" style="90" customWidth="1"/>
    <col min="13317" max="13317" width="8.42578125" style="90" customWidth="1"/>
    <col min="13318" max="13318" width="6.7109375" style="90" customWidth="1"/>
    <col min="13319" max="13319" width="7.5703125" style="90" customWidth="1"/>
    <col min="13320" max="13320" width="9.28515625" style="90" customWidth="1"/>
    <col min="13321" max="13321" width="6.140625" style="90" customWidth="1"/>
    <col min="13322" max="13323" width="11" style="90" customWidth="1"/>
    <col min="13324" max="13324" width="12.140625" style="90" customWidth="1"/>
    <col min="13325" max="13568" width="9.140625" style="90"/>
    <col min="13569" max="13569" width="5.140625" style="90" customWidth="1"/>
    <col min="13570" max="13570" width="7.42578125" style="90" customWidth="1"/>
    <col min="13571" max="13571" width="57" style="90" customWidth="1"/>
    <col min="13572" max="13572" width="5.140625" style="90" customWidth="1"/>
    <col min="13573" max="13573" width="8.42578125" style="90" customWidth="1"/>
    <col min="13574" max="13574" width="6.7109375" style="90" customWidth="1"/>
    <col min="13575" max="13575" width="7.5703125" style="90" customWidth="1"/>
    <col min="13576" max="13576" width="9.28515625" style="90" customWidth="1"/>
    <col min="13577" max="13577" width="6.140625" style="90" customWidth="1"/>
    <col min="13578" max="13579" width="11" style="90" customWidth="1"/>
    <col min="13580" max="13580" width="12.140625" style="90" customWidth="1"/>
    <col min="13581" max="13824" width="9.140625" style="90"/>
    <col min="13825" max="13825" width="5.140625" style="90" customWidth="1"/>
    <col min="13826" max="13826" width="7.42578125" style="90" customWidth="1"/>
    <col min="13827" max="13827" width="57" style="90" customWidth="1"/>
    <col min="13828" max="13828" width="5.140625" style="90" customWidth="1"/>
    <col min="13829" max="13829" width="8.42578125" style="90" customWidth="1"/>
    <col min="13830" max="13830" width="6.7109375" style="90" customWidth="1"/>
    <col min="13831" max="13831" width="7.5703125" style="90" customWidth="1"/>
    <col min="13832" max="13832" width="9.28515625" style="90" customWidth="1"/>
    <col min="13833" max="13833" width="6.140625" style="90" customWidth="1"/>
    <col min="13834" max="13835" width="11" style="90" customWidth="1"/>
    <col min="13836" max="13836" width="12.140625" style="90" customWidth="1"/>
    <col min="13837" max="14080" width="9.140625" style="90"/>
    <col min="14081" max="14081" width="5.140625" style="90" customWidth="1"/>
    <col min="14082" max="14082" width="7.42578125" style="90" customWidth="1"/>
    <col min="14083" max="14083" width="57" style="90" customWidth="1"/>
    <col min="14084" max="14084" width="5.140625" style="90" customWidth="1"/>
    <col min="14085" max="14085" width="8.42578125" style="90" customWidth="1"/>
    <col min="14086" max="14086" width="6.7109375" style="90" customWidth="1"/>
    <col min="14087" max="14087" width="7.5703125" style="90" customWidth="1"/>
    <col min="14088" max="14088" width="9.28515625" style="90" customWidth="1"/>
    <col min="14089" max="14089" width="6.140625" style="90" customWidth="1"/>
    <col min="14090" max="14091" width="11" style="90" customWidth="1"/>
    <col min="14092" max="14092" width="12.140625" style="90" customWidth="1"/>
    <col min="14093" max="14336" width="9.140625" style="90"/>
    <col min="14337" max="14337" width="5.140625" style="90" customWidth="1"/>
    <col min="14338" max="14338" width="7.42578125" style="90" customWidth="1"/>
    <col min="14339" max="14339" width="57" style="90" customWidth="1"/>
    <col min="14340" max="14340" width="5.140625" style="90" customWidth="1"/>
    <col min="14341" max="14341" width="8.42578125" style="90" customWidth="1"/>
    <col min="14342" max="14342" width="6.7109375" style="90" customWidth="1"/>
    <col min="14343" max="14343" width="7.5703125" style="90" customWidth="1"/>
    <col min="14344" max="14344" width="9.28515625" style="90" customWidth="1"/>
    <col min="14345" max="14345" width="6.140625" style="90" customWidth="1"/>
    <col min="14346" max="14347" width="11" style="90" customWidth="1"/>
    <col min="14348" max="14348" width="12.140625" style="90" customWidth="1"/>
    <col min="14349" max="14592" width="9.140625" style="90"/>
    <col min="14593" max="14593" width="5.140625" style="90" customWidth="1"/>
    <col min="14594" max="14594" width="7.42578125" style="90" customWidth="1"/>
    <col min="14595" max="14595" width="57" style="90" customWidth="1"/>
    <col min="14596" max="14596" width="5.140625" style="90" customWidth="1"/>
    <col min="14597" max="14597" width="8.42578125" style="90" customWidth="1"/>
    <col min="14598" max="14598" width="6.7109375" style="90" customWidth="1"/>
    <col min="14599" max="14599" width="7.5703125" style="90" customWidth="1"/>
    <col min="14600" max="14600" width="9.28515625" style="90" customWidth="1"/>
    <col min="14601" max="14601" width="6.140625" style="90" customWidth="1"/>
    <col min="14602" max="14603" width="11" style="90" customWidth="1"/>
    <col min="14604" max="14604" width="12.140625" style="90" customWidth="1"/>
    <col min="14605" max="14848" width="9.140625" style="90"/>
    <col min="14849" max="14849" width="5.140625" style="90" customWidth="1"/>
    <col min="14850" max="14850" width="7.42578125" style="90" customWidth="1"/>
    <col min="14851" max="14851" width="57" style="90" customWidth="1"/>
    <col min="14852" max="14852" width="5.140625" style="90" customWidth="1"/>
    <col min="14853" max="14853" width="8.42578125" style="90" customWidth="1"/>
    <col min="14854" max="14854" width="6.7109375" style="90" customWidth="1"/>
    <col min="14855" max="14855" width="7.5703125" style="90" customWidth="1"/>
    <col min="14856" max="14856" width="9.28515625" style="90" customWidth="1"/>
    <col min="14857" max="14857" width="6.140625" style="90" customWidth="1"/>
    <col min="14858" max="14859" width="11" style="90" customWidth="1"/>
    <col min="14860" max="14860" width="12.140625" style="90" customWidth="1"/>
    <col min="14861" max="15104" width="9.140625" style="90"/>
    <col min="15105" max="15105" width="5.140625" style="90" customWidth="1"/>
    <col min="15106" max="15106" width="7.42578125" style="90" customWidth="1"/>
    <col min="15107" max="15107" width="57" style="90" customWidth="1"/>
    <col min="15108" max="15108" width="5.140625" style="90" customWidth="1"/>
    <col min="15109" max="15109" width="8.42578125" style="90" customWidth="1"/>
    <col min="15110" max="15110" width="6.7109375" style="90" customWidth="1"/>
    <col min="15111" max="15111" width="7.5703125" style="90" customWidth="1"/>
    <col min="15112" max="15112" width="9.28515625" style="90" customWidth="1"/>
    <col min="15113" max="15113" width="6.140625" style="90" customWidth="1"/>
    <col min="15114" max="15115" width="11" style="90" customWidth="1"/>
    <col min="15116" max="15116" width="12.140625" style="90" customWidth="1"/>
    <col min="15117" max="15360" width="9.140625" style="90"/>
    <col min="15361" max="15361" width="5.140625" style="90" customWidth="1"/>
    <col min="15362" max="15362" width="7.42578125" style="90" customWidth="1"/>
    <col min="15363" max="15363" width="57" style="90" customWidth="1"/>
    <col min="15364" max="15364" width="5.140625" style="90" customWidth="1"/>
    <col min="15365" max="15365" width="8.42578125" style="90" customWidth="1"/>
    <col min="15366" max="15366" width="6.7109375" style="90" customWidth="1"/>
    <col min="15367" max="15367" width="7.5703125" style="90" customWidth="1"/>
    <col min="15368" max="15368" width="9.28515625" style="90" customWidth="1"/>
    <col min="15369" max="15369" width="6.140625" style="90" customWidth="1"/>
    <col min="15370" max="15371" width="11" style="90" customWidth="1"/>
    <col min="15372" max="15372" width="12.140625" style="90" customWidth="1"/>
    <col min="15373" max="15616" width="9.140625" style="90"/>
    <col min="15617" max="15617" width="5.140625" style="90" customWidth="1"/>
    <col min="15618" max="15618" width="7.42578125" style="90" customWidth="1"/>
    <col min="15619" max="15619" width="57" style="90" customWidth="1"/>
    <col min="15620" max="15620" width="5.140625" style="90" customWidth="1"/>
    <col min="15621" max="15621" width="8.42578125" style="90" customWidth="1"/>
    <col min="15622" max="15622" width="6.7109375" style="90" customWidth="1"/>
    <col min="15623" max="15623" width="7.5703125" style="90" customWidth="1"/>
    <col min="15624" max="15624" width="9.28515625" style="90" customWidth="1"/>
    <col min="15625" max="15625" width="6.140625" style="90" customWidth="1"/>
    <col min="15626" max="15627" width="11" style="90" customWidth="1"/>
    <col min="15628" max="15628" width="12.140625" style="90" customWidth="1"/>
    <col min="15629" max="15872" width="9.140625" style="90"/>
    <col min="15873" max="15873" width="5.140625" style="90" customWidth="1"/>
    <col min="15874" max="15874" width="7.42578125" style="90" customWidth="1"/>
    <col min="15875" max="15875" width="57" style="90" customWidth="1"/>
    <col min="15876" max="15876" width="5.140625" style="90" customWidth="1"/>
    <col min="15877" max="15877" width="8.42578125" style="90" customWidth="1"/>
    <col min="15878" max="15878" width="6.7109375" style="90" customWidth="1"/>
    <col min="15879" max="15879" width="7.5703125" style="90" customWidth="1"/>
    <col min="15880" max="15880" width="9.28515625" style="90" customWidth="1"/>
    <col min="15881" max="15881" width="6.140625" style="90" customWidth="1"/>
    <col min="15882" max="15883" width="11" style="90" customWidth="1"/>
    <col min="15884" max="15884" width="12.140625" style="90" customWidth="1"/>
    <col min="15885" max="16128" width="9.140625" style="90"/>
    <col min="16129" max="16129" width="5.140625" style="90" customWidth="1"/>
    <col min="16130" max="16130" width="7.42578125" style="90" customWidth="1"/>
    <col min="16131" max="16131" width="57" style="90" customWidth="1"/>
    <col min="16132" max="16132" width="5.140625" style="90" customWidth="1"/>
    <col min="16133" max="16133" width="8.42578125" style="90" customWidth="1"/>
    <col min="16134" max="16134" width="6.7109375" style="90" customWidth="1"/>
    <col min="16135" max="16135" width="7.5703125" style="90" customWidth="1"/>
    <col min="16136" max="16136" width="9.28515625" style="90" customWidth="1"/>
    <col min="16137" max="16137" width="6.140625" style="90" customWidth="1"/>
    <col min="16138" max="16139" width="11" style="90" customWidth="1"/>
    <col min="16140" max="16140" width="12.140625" style="90" customWidth="1"/>
    <col min="16141" max="16384" width="9.140625" style="90"/>
  </cols>
  <sheetData>
    <row r="2" spans="1:12" ht="15" x14ac:dyDescent="0.2">
      <c r="C2" s="106" t="s">
        <v>592</v>
      </c>
    </row>
    <row r="3" spans="1:12" ht="15.75" x14ac:dyDescent="0.2">
      <c r="A3" s="949" t="s">
        <v>724</v>
      </c>
      <c r="B3" s="949"/>
      <c r="C3" s="949"/>
      <c r="D3" s="949"/>
      <c r="E3" s="949"/>
      <c r="F3" s="949"/>
      <c r="G3" s="949"/>
      <c r="H3" s="949"/>
      <c r="I3" s="949"/>
    </row>
    <row r="4" spans="1:12" ht="15.75" x14ac:dyDescent="0.2">
      <c r="A4" s="112"/>
      <c r="B4" s="112"/>
      <c r="C4" s="112"/>
      <c r="D4" s="112"/>
      <c r="E4" s="112"/>
      <c r="F4" s="112"/>
      <c r="G4" s="112"/>
      <c r="H4" s="112"/>
      <c r="I4" s="112"/>
    </row>
    <row r="5" spans="1:12" ht="25.5" x14ac:dyDescent="0.2">
      <c r="A5" s="409" t="s">
        <v>99</v>
      </c>
      <c r="B5" s="410" t="s">
        <v>216</v>
      </c>
      <c r="C5" s="191" t="s">
        <v>101</v>
      </c>
      <c r="D5" s="241" t="s">
        <v>102</v>
      </c>
      <c r="E5" s="224" t="s">
        <v>103</v>
      </c>
      <c r="F5" s="224" t="s">
        <v>104</v>
      </c>
      <c r="G5" s="224" t="s">
        <v>105</v>
      </c>
      <c r="H5" s="242" t="s">
        <v>106</v>
      </c>
      <c r="I5" s="411" t="s">
        <v>107</v>
      </c>
      <c r="J5" s="224" t="s">
        <v>108</v>
      </c>
      <c r="K5" s="224" t="s">
        <v>109</v>
      </c>
      <c r="L5" s="214" t="s">
        <v>95</v>
      </c>
    </row>
    <row r="6" spans="1:12" ht="42.75" customHeight="1" x14ac:dyDescent="0.2">
      <c r="A6" s="116">
        <v>1</v>
      </c>
      <c r="B6" s="206" t="s">
        <v>217</v>
      </c>
      <c r="C6" s="207" t="s">
        <v>218</v>
      </c>
      <c r="D6" s="119"/>
      <c r="E6" s="121"/>
      <c r="F6" s="121"/>
      <c r="G6" s="121"/>
      <c r="H6" s="208"/>
      <c r="I6" s="122"/>
      <c r="J6" s="209"/>
      <c r="K6" s="209"/>
      <c r="L6" s="210"/>
    </row>
    <row r="7" spans="1:12" x14ac:dyDescent="0.2">
      <c r="A7" s="124"/>
      <c r="B7" s="211"/>
      <c r="C7" s="132" t="s">
        <v>139</v>
      </c>
      <c r="D7" s="133">
        <v>18</v>
      </c>
      <c r="E7" s="134">
        <v>0.3</v>
      </c>
      <c r="F7" s="134">
        <v>0.6</v>
      </c>
      <c r="G7" s="134">
        <v>2.4</v>
      </c>
      <c r="H7" s="212">
        <f>G7*F7*E7*D7</f>
        <v>7.7759999999999998</v>
      </c>
      <c r="I7" s="136"/>
      <c r="J7" s="213"/>
      <c r="K7" s="213"/>
      <c r="L7" s="214"/>
    </row>
    <row r="8" spans="1:12" x14ac:dyDescent="0.2">
      <c r="A8" s="124"/>
      <c r="B8" s="211"/>
      <c r="C8" s="132" t="s">
        <v>140</v>
      </c>
      <c r="D8" s="133">
        <v>14</v>
      </c>
      <c r="E8" s="134">
        <v>0.3</v>
      </c>
      <c r="F8" s="134">
        <v>0.6</v>
      </c>
      <c r="G8" s="134">
        <v>2.4</v>
      </c>
      <c r="H8" s="212">
        <f>G8*F8*E8*D8</f>
        <v>6.048</v>
      </c>
      <c r="I8" s="136"/>
      <c r="J8" s="213"/>
      <c r="K8" s="213"/>
      <c r="L8" s="214"/>
    </row>
    <row r="9" spans="1:12" x14ac:dyDescent="0.2">
      <c r="A9" s="124"/>
      <c r="B9" s="211"/>
      <c r="C9" s="132" t="s">
        <v>597</v>
      </c>
      <c r="D9" s="133">
        <v>15</v>
      </c>
      <c r="E9" s="134">
        <v>0.3</v>
      </c>
      <c r="F9" s="134">
        <v>0.6</v>
      </c>
      <c r="G9" s="134">
        <v>2.4</v>
      </c>
      <c r="H9" s="212">
        <f>G9*F9*E9*D9</f>
        <v>6.4799999999999995</v>
      </c>
      <c r="I9" s="136"/>
      <c r="J9" s="213"/>
      <c r="K9" s="213"/>
      <c r="L9" s="214"/>
    </row>
    <row r="10" spans="1:12" x14ac:dyDescent="0.2">
      <c r="A10" s="139"/>
      <c r="B10" s="215"/>
      <c r="C10" s="141" t="s">
        <v>117</v>
      </c>
      <c r="D10" s="142">
        <f>SUM(D7:D9)</f>
        <v>47</v>
      </c>
      <c r="E10" s="143"/>
      <c r="F10" s="143"/>
      <c r="G10" s="143"/>
      <c r="H10" s="216">
        <v>20</v>
      </c>
      <c r="I10" s="141" t="s">
        <v>118</v>
      </c>
      <c r="J10" s="217">
        <v>10852.95</v>
      </c>
      <c r="K10" s="217">
        <f>J10*100/118</f>
        <v>9197.4152542372885</v>
      </c>
      <c r="L10" s="218">
        <f>K10*H10</f>
        <v>183948.30508474578</v>
      </c>
    </row>
    <row r="11" spans="1:12" ht="37.5" customHeight="1" x14ac:dyDescent="0.2">
      <c r="A11" s="116" t="s">
        <v>219</v>
      </c>
      <c r="B11" s="206">
        <v>5.3</v>
      </c>
      <c r="C11" s="219" t="s">
        <v>220</v>
      </c>
      <c r="D11" s="119"/>
      <c r="E11" s="121"/>
      <c r="F11" s="121"/>
      <c r="G11" s="121"/>
      <c r="H11" s="208"/>
      <c r="I11" s="122"/>
      <c r="J11" s="209"/>
      <c r="K11" s="217">
        <f t="shared" ref="K11:K74" si="0">J11*100/118</f>
        <v>0</v>
      </c>
      <c r="L11" s="218">
        <f t="shared" ref="L11:L74" si="1">K11*H11</f>
        <v>0</v>
      </c>
    </row>
    <row r="12" spans="1:12" x14ac:dyDescent="0.2">
      <c r="A12" s="124"/>
      <c r="B12" s="211"/>
      <c r="C12" s="187" t="s">
        <v>221</v>
      </c>
      <c r="D12" s="133" t="s">
        <v>91</v>
      </c>
      <c r="E12" s="135" t="s">
        <v>91</v>
      </c>
      <c r="F12" s="135" t="s">
        <v>91</v>
      </c>
      <c r="G12" s="135" t="s">
        <v>91</v>
      </c>
      <c r="H12" s="134" t="s">
        <v>91</v>
      </c>
      <c r="I12" s="136"/>
      <c r="J12" s="213"/>
      <c r="K12" s="217">
        <f t="shared" si="0"/>
        <v>0</v>
      </c>
      <c r="L12" s="218">
        <v>0</v>
      </c>
    </row>
    <row r="13" spans="1:12" x14ac:dyDescent="0.2">
      <c r="A13" s="124"/>
      <c r="B13" s="211"/>
      <c r="C13" s="187" t="s">
        <v>418</v>
      </c>
      <c r="D13" s="133">
        <v>0</v>
      </c>
      <c r="E13" s="135">
        <f>1.05+0.25+0.25</f>
        <v>1.55</v>
      </c>
      <c r="F13" s="135">
        <v>0.125</v>
      </c>
      <c r="G13" s="135">
        <v>0.15</v>
      </c>
      <c r="H13" s="134">
        <f>G13*F13*E13*D13</f>
        <v>0</v>
      </c>
      <c r="I13" s="136"/>
      <c r="J13" s="213"/>
      <c r="K13" s="217">
        <f t="shared" si="0"/>
        <v>0</v>
      </c>
      <c r="L13" s="218">
        <f t="shared" si="1"/>
        <v>0</v>
      </c>
    </row>
    <row r="14" spans="1:12" x14ac:dyDescent="0.2">
      <c r="A14" s="124"/>
      <c r="B14" s="211"/>
      <c r="C14" s="187" t="s">
        <v>293</v>
      </c>
      <c r="D14" s="133">
        <v>9</v>
      </c>
      <c r="E14" s="135">
        <f>1+0.125+0.125</f>
        <v>1.25</v>
      </c>
      <c r="F14" s="135">
        <v>0.25</v>
      </c>
      <c r="G14" s="135">
        <v>0.15</v>
      </c>
      <c r="H14" s="134">
        <f>G14*F14*E14*D14</f>
        <v>0.421875</v>
      </c>
      <c r="I14" s="136"/>
      <c r="J14" s="213"/>
      <c r="K14" s="217">
        <f t="shared" si="0"/>
        <v>0</v>
      </c>
      <c r="L14" s="218">
        <f t="shared" si="1"/>
        <v>0</v>
      </c>
    </row>
    <row r="15" spans="1:12" x14ac:dyDescent="0.2">
      <c r="A15" s="124"/>
      <c r="B15" s="211"/>
      <c r="C15" s="187" t="s">
        <v>222</v>
      </c>
      <c r="D15" s="133">
        <v>4</v>
      </c>
      <c r="E15" s="135">
        <f>0.9+0.125+0.125</f>
        <v>1.1499999999999999</v>
      </c>
      <c r="F15" s="135">
        <v>0.125</v>
      </c>
      <c r="G15" s="135">
        <v>0.15</v>
      </c>
      <c r="H15" s="134">
        <f>G15*F15*E15*D15</f>
        <v>8.6249999999999993E-2</v>
      </c>
      <c r="I15" s="136"/>
      <c r="J15" s="213"/>
      <c r="K15" s="217">
        <f t="shared" si="0"/>
        <v>0</v>
      </c>
      <c r="L15" s="218">
        <f t="shared" si="1"/>
        <v>0</v>
      </c>
    </row>
    <row r="16" spans="1:12" x14ac:dyDescent="0.2">
      <c r="A16" s="124"/>
      <c r="B16" s="211"/>
      <c r="C16" s="220" t="s">
        <v>223</v>
      </c>
      <c r="D16" s="133">
        <v>5</v>
      </c>
      <c r="E16" s="135">
        <f>0.75+0.125+0.125</f>
        <v>1</v>
      </c>
      <c r="F16" s="135">
        <v>0.125</v>
      </c>
      <c r="G16" s="135">
        <v>0.15</v>
      </c>
      <c r="H16" s="134">
        <f>G16*F16*E16*D16</f>
        <v>9.375E-2</v>
      </c>
      <c r="I16" s="136"/>
      <c r="J16" s="213"/>
      <c r="K16" s="217">
        <f t="shared" si="0"/>
        <v>0</v>
      </c>
      <c r="L16" s="218">
        <f t="shared" si="1"/>
        <v>0</v>
      </c>
    </row>
    <row r="17" spans="1:12" x14ac:dyDescent="0.2">
      <c r="A17" s="124"/>
      <c r="B17" s="211"/>
      <c r="C17" s="220" t="s">
        <v>419</v>
      </c>
      <c r="D17" s="133">
        <v>3</v>
      </c>
      <c r="E17" s="135">
        <f>0.9 + 0.25+0.25</f>
        <v>1.4</v>
      </c>
      <c r="F17" s="135">
        <v>0.125</v>
      </c>
      <c r="G17" s="135">
        <v>0.15</v>
      </c>
      <c r="H17" s="134">
        <f>G17*F17*E17*D17</f>
        <v>7.8750000000000001E-2</v>
      </c>
      <c r="I17" s="136"/>
      <c r="J17" s="213"/>
      <c r="K17" s="217">
        <f t="shared" si="0"/>
        <v>0</v>
      </c>
      <c r="L17" s="218">
        <f t="shared" si="1"/>
        <v>0</v>
      </c>
    </row>
    <row r="18" spans="1:12" x14ac:dyDescent="0.2">
      <c r="A18" s="124"/>
      <c r="B18" s="211"/>
      <c r="C18" s="187" t="s">
        <v>224</v>
      </c>
      <c r="D18" s="133"/>
      <c r="E18" s="135"/>
      <c r="F18" s="135"/>
      <c r="G18" s="135"/>
      <c r="H18" s="212"/>
      <c r="I18" s="136"/>
      <c r="J18" s="213"/>
      <c r="K18" s="217">
        <f t="shared" si="0"/>
        <v>0</v>
      </c>
      <c r="L18" s="218">
        <f t="shared" si="1"/>
        <v>0</v>
      </c>
    </row>
    <row r="19" spans="1:12" x14ac:dyDescent="0.2">
      <c r="A19" s="124"/>
      <c r="B19" s="211"/>
      <c r="C19" s="187" t="s">
        <v>225</v>
      </c>
      <c r="D19" s="133"/>
      <c r="E19" s="135"/>
      <c r="F19" s="135"/>
      <c r="G19" s="135"/>
      <c r="H19" s="212"/>
      <c r="I19" s="136"/>
      <c r="J19" s="213"/>
      <c r="K19" s="217">
        <f t="shared" si="0"/>
        <v>0</v>
      </c>
      <c r="L19" s="218">
        <f t="shared" si="1"/>
        <v>0</v>
      </c>
    </row>
    <row r="20" spans="1:12" x14ac:dyDescent="0.2">
      <c r="A20" s="124"/>
      <c r="B20" s="211"/>
      <c r="C20" s="220" t="s">
        <v>661</v>
      </c>
      <c r="D20" s="133">
        <v>2</v>
      </c>
      <c r="E20" s="135">
        <v>9.5</v>
      </c>
      <c r="F20" s="135">
        <v>0.25</v>
      </c>
      <c r="G20" s="135">
        <f t="shared" ref="G20:G45" si="2">0.6-0.13</f>
        <v>0.47</v>
      </c>
      <c r="H20" s="134">
        <f t="shared" ref="H20:H28" si="3">G20*F20*E20*D20</f>
        <v>2.2324999999999999</v>
      </c>
      <c r="I20" s="136"/>
      <c r="J20" s="213"/>
      <c r="K20" s="217">
        <f t="shared" si="0"/>
        <v>0</v>
      </c>
      <c r="L20" s="218">
        <f t="shared" si="1"/>
        <v>0</v>
      </c>
    </row>
    <row r="21" spans="1:12" x14ac:dyDescent="0.2">
      <c r="A21" s="124"/>
      <c r="B21" s="211"/>
      <c r="C21" s="220" t="s">
        <v>662</v>
      </c>
      <c r="D21" s="133">
        <v>1</v>
      </c>
      <c r="E21" s="135">
        <v>21.574999999999999</v>
      </c>
      <c r="F21" s="135">
        <v>0.25</v>
      </c>
      <c r="G21" s="135">
        <f t="shared" si="2"/>
        <v>0.47</v>
      </c>
      <c r="H21" s="134">
        <f t="shared" si="3"/>
        <v>2.5350624999999996</v>
      </c>
      <c r="I21" s="136"/>
      <c r="J21" s="213"/>
      <c r="K21" s="217">
        <f t="shared" si="0"/>
        <v>0</v>
      </c>
      <c r="L21" s="218">
        <f t="shared" si="1"/>
        <v>0</v>
      </c>
    </row>
    <row r="22" spans="1:12" x14ac:dyDescent="0.2">
      <c r="A22" s="124"/>
      <c r="B22" s="211"/>
      <c r="C22" s="220" t="s">
        <v>663</v>
      </c>
      <c r="D22" s="133">
        <v>2</v>
      </c>
      <c r="E22" s="135">
        <v>8.5</v>
      </c>
      <c r="F22" s="135">
        <v>0.25</v>
      </c>
      <c r="G22" s="135">
        <f t="shared" si="2"/>
        <v>0.47</v>
      </c>
      <c r="H22" s="134">
        <f t="shared" si="3"/>
        <v>1.9974999999999998</v>
      </c>
      <c r="I22" s="136"/>
      <c r="J22" s="213"/>
      <c r="K22" s="217">
        <f t="shared" si="0"/>
        <v>0</v>
      </c>
      <c r="L22" s="218">
        <f t="shared" si="1"/>
        <v>0</v>
      </c>
    </row>
    <row r="23" spans="1:12" x14ac:dyDescent="0.2">
      <c r="A23" s="124"/>
      <c r="B23" s="211"/>
      <c r="C23" s="220" t="s">
        <v>664</v>
      </c>
      <c r="D23" s="133">
        <v>1</v>
      </c>
      <c r="E23" s="135">
        <v>6.8</v>
      </c>
      <c r="F23" s="135">
        <v>0.25</v>
      </c>
      <c r="G23" s="135">
        <f t="shared" si="2"/>
        <v>0.47</v>
      </c>
      <c r="H23" s="134">
        <f>G23*F23*E23*D23</f>
        <v>0.79899999999999993</v>
      </c>
      <c r="I23" s="136"/>
      <c r="J23" s="213"/>
      <c r="K23" s="217">
        <f t="shared" si="0"/>
        <v>0</v>
      </c>
      <c r="L23" s="218">
        <f t="shared" si="1"/>
        <v>0</v>
      </c>
    </row>
    <row r="24" spans="1:12" x14ac:dyDescent="0.2">
      <c r="A24" s="124"/>
      <c r="B24" s="211"/>
      <c r="C24" s="220" t="s">
        <v>427</v>
      </c>
      <c r="D24" s="133">
        <v>1</v>
      </c>
      <c r="E24" s="135">
        <v>6.5</v>
      </c>
      <c r="F24" s="135">
        <v>0.25</v>
      </c>
      <c r="G24" s="135">
        <f t="shared" si="2"/>
        <v>0.47</v>
      </c>
      <c r="H24" s="134">
        <f t="shared" si="3"/>
        <v>0.76374999999999993</v>
      </c>
      <c r="I24" s="136"/>
      <c r="J24" s="213"/>
      <c r="K24" s="217">
        <f t="shared" si="0"/>
        <v>0</v>
      </c>
      <c r="L24" s="218">
        <f t="shared" si="1"/>
        <v>0</v>
      </c>
    </row>
    <row r="25" spans="1:12" x14ac:dyDescent="0.2">
      <c r="A25" s="124"/>
      <c r="B25" s="211"/>
      <c r="C25" s="220" t="s">
        <v>665</v>
      </c>
      <c r="D25" s="133">
        <v>1</v>
      </c>
      <c r="E25" s="135">
        <v>16.5</v>
      </c>
      <c r="F25" s="135">
        <v>0.25</v>
      </c>
      <c r="G25" s="135">
        <f t="shared" si="2"/>
        <v>0.47</v>
      </c>
      <c r="H25" s="134">
        <f t="shared" si="3"/>
        <v>1.93875</v>
      </c>
      <c r="I25" s="136"/>
      <c r="J25" s="213"/>
      <c r="K25" s="217">
        <f t="shared" si="0"/>
        <v>0</v>
      </c>
      <c r="L25" s="218">
        <f t="shared" si="1"/>
        <v>0</v>
      </c>
    </row>
    <row r="26" spans="1:12" x14ac:dyDescent="0.2">
      <c r="A26" s="124"/>
      <c r="B26" s="211"/>
      <c r="C26" s="220" t="s">
        <v>666</v>
      </c>
      <c r="D26" s="133">
        <v>1</v>
      </c>
      <c r="E26" s="135">
        <v>27</v>
      </c>
      <c r="F26" s="135">
        <v>0.25</v>
      </c>
      <c r="G26" s="135">
        <f t="shared" si="2"/>
        <v>0.47</v>
      </c>
      <c r="H26" s="134">
        <f t="shared" si="3"/>
        <v>3.1724999999999999</v>
      </c>
      <c r="I26" s="136"/>
      <c r="J26" s="213"/>
      <c r="K26" s="217">
        <f t="shared" si="0"/>
        <v>0</v>
      </c>
      <c r="L26" s="218">
        <f t="shared" si="1"/>
        <v>0</v>
      </c>
    </row>
    <row r="27" spans="1:12" x14ac:dyDescent="0.2">
      <c r="A27" s="124"/>
      <c r="B27" s="211"/>
      <c r="C27" s="220" t="s">
        <v>667</v>
      </c>
      <c r="D27" s="133">
        <v>1</v>
      </c>
      <c r="E27" s="135">
        <v>10.45</v>
      </c>
      <c r="F27" s="135">
        <v>0.25</v>
      </c>
      <c r="G27" s="135">
        <f t="shared" si="2"/>
        <v>0.47</v>
      </c>
      <c r="H27" s="134">
        <f t="shared" si="3"/>
        <v>1.2278749999999998</v>
      </c>
      <c r="I27" s="136"/>
      <c r="J27" s="213"/>
      <c r="K27" s="217">
        <f t="shared" si="0"/>
        <v>0</v>
      </c>
      <c r="L27" s="218">
        <f t="shared" si="1"/>
        <v>0</v>
      </c>
    </row>
    <row r="28" spans="1:12" x14ac:dyDescent="0.2">
      <c r="A28" s="124"/>
      <c r="B28" s="211"/>
      <c r="C28" s="220" t="s">
        <v>668</v>
      </c>
      <c r="D28" s="133">
        <v>1</v>
      </c>
      <c r="E28" s="135">
        <v>3.05</v>
      </c>
      <c r="F28" s="135">
        <v>0.25</v>
      </c>
      <c r="G28" s="135">
        <f t="shared" si="2"/>
        <v>0.47</v>
      </c>
      <c r="H28" s="134">
        <f t="shared" si="3"/>
        <v>0.35837499999999994</v>
      </c>
      <c r="I28" s="136"/>
      <c r="J28" s="213"/>
      <c r="K28" s="217">
        <f t="shared" si="0"/>
        <v>0</v>
      </c>
      <c r="L28" s="218">
        <f t="shared" si="1"/>
        <v>0</v>
      </c>
    </row>
    <row r="29" spans="1:12" x14ac:dyDescent="0.2">
      <c r="A29" s="124"/>
      <c r="B29" s="211"/>
      <c r="C29" s="220" t="s">
        <v>669</v>
      </c>
      <c r="D29" s="133">
        <v>1</v>
      </c>
      <c r="E29" s="135">
        <v>4.5</v>
      </c>
      <c r="F29" s="135">
        <v>0.25</v>
      </c>
      <c r="G29" s="135">
        <f t="shared" si="2"/>
        <v>0.47</v>
      </c>
      <c r="H29" s="134">
        <f>G29*F29*E29*D29</f>
        <v>0.52874999999999994</v>
      </c>
      <c r="I29" s="136"/>
      <c r="J29" s="213"/>
      <c r="K29" s="217">
        <f t="shared" si="0"/>
        <v>0</v>
      </c>
      <c r="L29" s="218">
        <f t="shared" si="1"/>
        <v>0</v>
      </c>
    </row>
    <row r="30" spans="1:12" x14ac:dyDescent="0.2">
      <c r="A30" s="124"/>
      <c r="B30" s="211"/>
      <c r="C30" s="220" t="s">
        <v>670</v>
      </c>
      <c r="D30" s="133">
        <v>2</v>
      </c>
      <c r="E30" s="135">
        <v>9.5</v>
      </c>
      <c r="F30" s="135">
        <v>0.25</v>
      </c>
      <c r="G30" s="135">
        <f t="shared" si="2"/>
        <v>0.47</v>
      </c>
      <c r="H30" s="134">
        <f>G30*F30*E30*D30</f>
        <v>2.2324999999999999</v>
      </c>
      <c r="I30" s="136"/>
      <c r="J30" s="213"/>
      <c r="K30" s="217">
        <f t="shared" si="0"/>
        <v>0</v>
      </c>
      <c r="L30" s="218">
        <f t="shared" si="1"/>
        <v>0</v>
      </c>
    </row>
    <row r="31" spans="1:12" x14ac:dyDescent="0.2">
      <c r="A31" s="124"/>
      <c r="B31" s="211"/>
      <c r="C31" s="220" t="s">
        <v>671</v>
      </c>
      <c r="D31" s="133">
        <v>1</v>
      </c>
      <c r="E31" s="135">
        <v>11.5</v>
      </c>
      <c r="F31" s="135">
        <v>0.25</v>
      </c>
      <c r="G31" s="135">
        <f t="shared" si="2"/>
        <v>0.47</v>
      </c>
      <c r="H31" s="134">
        <f>G31*F31*E31*D31</f>
        <v>1.3512499999999998</v>
      </c>
      <c r="I31" s="136"/>
      <c r="J31" s="213"/>
      <c r="K31" s="217">
        <f t="shared" si="0"/>
        <v>0</v>
      </c>
      <c r="L31" s="218">
        <f t="shared" si="1"/>
        <v>0</v>
      </c>
    </row>
    <row r="32" spans="1:12" x14ac:dyDescent="0.2">
      <c r="A32" s="124"/>
      <c r="B32" s="211"/>
      <c r="C32" s="220" t="s">
        <v>629</v>
      </c>
      <c r="D32" s="133">
        <v>1</v>
      </c>
      <c r="E32" s="135">
        <v>15.06</v>
      </c>
      <c r="F32" s="135">
        <v>0.25</v>
      </c>
      <c r="G32" s="135">
        <f t="shared" si="2"/>
        <v>0.47</v>
      </c>
      <c r="H32" s="134">
        <f>G32*F32*E32*D32</f>
        <v>1.76955</v>
      </c>
      <c r="I32" s="136"/>
      <c r="J32" s="213"/>
      <c r="K32" s="217">
        <f t="shared" si="0"/>
        <v>0</v>
      </c>
      <c r="L32" s="218">
        <f t="shared" si="1"/>
        <v>0</v>
      </c>
    </row>
    <row r="33" spans="1:12" x14ac:dyDescent="0.2">
      <c r="A33" s="124"/>
      <c r="B33" s="211"/>
      <c r="C33" s="220" t="s">
        <v>672</v>
      </c>
      <c r="D33" s="133">
        <v>1</v>
      </c>
      <c r="E33" s="135">
        <v>5.3</v>
      </c>
      <c r="F33" s="135">
        <v>0.25</v>
      </c>
      <c r="G33" s="135">
        <f t="shared" si="2"/>
        <v>0.47</v>
      </c>
      <c r="H33" s="134">
        <f t="shared" ref="H33:H43" si="4">G33*F33*E33*D33</f>
        <v>0.62274999999999991</v>
      </c>
      <c r="I33" s="136"/>
      <c r="J33" s="213"/>
      <c r="K33" s="217">
        <f t="shared" si="0"/>
        <v>0</v>
      </c>
      <c r="L33" s="218">
        <f t="shared" si="1"/>
        <v>0</v>
      </c>
    </row>
    <row r="34" spans="1:12" x14ac:dyDescent="0.2">
      <c r="A34" s="124"/>
      <c r="B34" s="211"/>
      <c r="C34" s="220" t="s">
        <v>673</v>
      </c>
      <c r="D34" s="133">
        <v>1</v>
      </c>
      <c r="E34" s="135">
        <v>7</v>
      </c>
      <c r="F34" s="135">
        <v>0.25</v>
      </c>
      <c r="G34" s="135">
        <f t="shared" si="2"/>
        <v>0.47</v>
      </c>
      <c r="H34" s="134">
        <f t="shared" si="4"/>
        <v>0.82250000000000001</v>
      </c>
      <c r="I34" s="136"/>
      <c r="J34" s="213"/>
      <c r="K34" s="217">
        <f t="shared" si="0"/>
        <v>0</v>
      </c>
      <c r="L34" s="218">
        <f t="shared" si="1"/>
        <v>0</v>
      </c>
    </row>
    <row r="35" spans="1:12" x14ac:dyDescent="0.2">
      <c r="A35" s="124"/>
      <c r="B35" s="211"/>
      <c r="C35" s="220" t="s">
        <v>674</v>
      </c>
      <c r="D35" s="133">
        <v>1</v>
      </c>
      <c r="E35" s="135">
        <v>9.75</v>
      </c>
      <c r="F35" s="135">
        <v>0.25</v>
      </c>
      <c r="G35" s="135">
        <f t="shared" si="2"/>
        <v>0.47</v>
      </c>
      <c r="H35" s="134">
        <f t="shared" si="4"/>
        <v>1.1456249999999999</v>
      </c>
      <c r="I35" s="136"/>
      <c r="J35" s="213"/>
      <c r="K35" s="217">
        <f t="shared" si="0"/>
        <v>0</v>
      </c>
      <c r="L35" s="218">
        <f t="shared" si="1"/>
        <v>0</v>
      </c>
    </row>
    <row r="36" spans="1:12" x14ac:dyDescent="0.2">
      <c r="A36" s="124"/>
      <c r="B36" s="211"/>
      <c r="C36" s="220" t="s">
        <v>675</v>
      </c>
      <c r="D36" s="133">
        <v>1</v>
      </c>
      <c r="E36" s="135">
        <v>11.65</v>
      </c>
      <c r="F36" s="135">
        <v>0.25</v>
      </c>
      <c r="G36" s="135">
        <f t="shared" si="2"/>
        <v>0.47</v>
      </c>
      <c r="H36" s="134">
        <f t="shared" si="4"/>
        <v>1.3688750000000001</v>
      </c>
      <c r="I36" s="136"/>
      <c r="J36" s="213"/>
      <c r="K36" s="217">
        <f t="shared" si="0"/>
        <v>0</v>
      </c>
      <c r="L36" s="218">
        <f t="shared" si="1"/>
        <v>0</v>
      </c>
    </row>
    <row r="37" spans="1:12" x14ac:dyDescent="0.2">
      <c r="A37" s="124"/>
      <c r="B37" s="211"/>
      <c r="C37" s="220" t="s">
        <v>676</v>
      </c>
      <c r="D37" s="133">
        <v>1</v>
      </c>
      <c r="E37" s="135">
        <v>22.65</v>
      </c>
      <c r="F37" s="135">
        <v>0.25</v>
      </c>
      <c r="G37" s="135">
        <f t="shared" si="2"/>
        <v>0.47</v>
      </c>
      <c r="H37" s="134">
        <f t="shared" si="4"/>
        <v>2.6613749999999996</v>
      </c>
      <c r="I37" s="136"/>
      <c r="J37" s="213"/>
      <c r="K37" s="217">
        <f t="shared" si="0"/>
        <v>0</v>
      </c>
      <c r="L37" s="218">
        <f t="shared" si="1"/>
        <v>0</v>
      </c>
    </row>
    <row r="38" spans="1:12" x14ac:dyDescent="0.2">
      <c r="A38" s="124"/>
      <c r="B38" s="211"/>
      <c r="C38" s="220" t="s">
        <v>677</v>
      </c>
      <c r="D38" s="133">
        <v>1</v>
      </c>
      <c r="E38" s="135">
        <v>6.2</v>
      </c>
      <c r="F38" s="135">
        <v>0.25</v>
      </c>
      <c r="G38" s="135">
        <f t="shared" si="2"/>
        <v>0.47</v>
      </c>
      <c r="H38" s="134">
        <f t="shared" si="4"/>
        <v>0.72849999999999993</v>
      </c>
      <c r="I38" s="136"/>
      <c r="J38" s="213"/>
      <c r="K38" s="217">
        <f t="shared" si="0"/>
        <v>0</v>
      </c>
      <c r="L38" s="218">
        <f t="shared" si="1"/>
        <v>0</v>
      </c>
    </row>
    <row r="39" spans="1:12" x14ac:dyDescent="0.2">
      <c r="A39" s="124"/>
      <c r="B39" s="211"/>
      <c r="C39" s="220" t="s">
        <v>678</v>
      </c>
      <c r="D39" s="133">
        <v>1</v>
      </c>
      <c r="E39" s="135">
        <v>9.77</v>
      </c>
      <c r="F39" s="135">
        <v>0.25</v>
      </c>
      <c r="G39" s="135">
        <f t="shared" si="2"/>
        <v>0.47</v>
      </c>
      <c r="H39" s="134">
        <f t="shared" si="4"/>
        <v>1.147975</v>
      </c>
      <c r="I39" s="136"/>
      <c r="J39" s="213"/>
      <c r="K39" s="217">
        <f t="shared" si="0"/>
        <v>0</v>
      </c>
      <c r="L39" s="218">
        <f t="shared" si="1"/>
        <v>0</v>
      </c>
    </row>
    <row r="40" spans="1:12" x14ac:dyDescent="0.2">
      <c r="A40" s="124"/>
      <c r="B40" s="211"/>
      <c r="C40" s="220" t="s">
        <v>679</v>
      </c>
      <c r="D40" s="133">
        <v>2</v>
      </c>
      <c r="E40" s="135">
        <v>13.26</v>
      </c>
      <c r="F40" s="135">
        <v>0.25</v>
      </c>
      <c r="G40" s="135">
        <f t="shared" si="2"/>
        <v>0.47</v>
      </c>
      <c r="H40" s="134">
        <f t="shared" si="4"/>
        <v>3.1160999999999999</v>
      </c>
      <c r="I40" s="136"/>
      <c r="J40" s="213"/>
      <c r="K40" s="217">
        <f t="shared" si="0"/>
        <v>0</v>
      </c>
      <c r="L40" s="218">
        <f t="shared" si="1"/>
        <v>0</v>
      </c>
    </row>
    <row r="41" spans="1:12" x14ac:dyDescent="0.2">
      <c r="A41" s="124"/>
      <c r="B41" s="211"/>
      <c r="C41" s="220" t="s">
        <v>680</v>
      </c>
      <c r="D41" s="133">
        <v>1</v>
      </c>
      <c r="E41" s="135">
        <v>15.7</v>
      </c>
      <c r="F41" s="135">
        <v>0.25</v>
      </c>
      <c r="G41" s="135">
        <f t="shared" si="2"/>
        <v>0.47</v>
      </c>
      <c r="H41" s="134">
        <f t="shared" si="4"/>
        <v>1.8447499999999999</v>
      </c>
      <c r="I41" s="136"/>
      <c r="J41" s="213"/>
      <c r="K41" s="217">
        <f t="shared" si="0"/>
        <v>0</v>
      </c>
      <c r="L41" s="218">
        <f t="shared" si="1"/>
        <v>0</v>
      </c>
    </row>
    <row r="42" spans="1:12" x14ac:dyDescent="0.2">
      <c r="A42" s="124"/>
      <c r="B42" s="211"/>
      <c r="C42" s="220" t="s">
        <v>635</v>
      </c>
      <c r="D42" s="133">
        <v>1</v>
      </c>
      <c r="E42" s="135">
        <v>12.95</v>
      </c>
      <c r="F42" s="135">
        <v>0.25</v>
      </c>
      <c r="G42" s="135">
        <f t="shared" si="2"/>
        <v>0.47</v>
      </c>
      <c r="H42" s="134">
        <f t="shared" si="4"/>
        <v>1.5216249999999998</v>
      </c>
      <c r="I42" s="136"/>
      <c r="J42" s="213"/>
      <c r="K42" s="217">
        <f t="shared" si="0"/>
        <v>0</v>
      </c>
      <c r="L42" s="218">
        <f t="shared" si="1"/>
        <v>0</v>
      </c>
    </row>
    <row r="43" spans="1:12" x14ac:dyDescent="0.2">
      <c r="A43" s="124"/>
      <c r="B43" s="211"/>
      <c r="C43" s="220" t="s">
        <v>681</v>
      </c>
      <c r="D43" s="133">
        <v>9</v>
      </c>
      <c r="E43" s="135">
        <v>3.3</v>
      </c>
      <c r="F43" s="135">
        <v>0.25</v>
      </c>
      <c r="G43" s="135">
        <f t="shared" si="2"/>
        <v>0.47</v>
      </c>
      <c r="H43" s="134">
        <f t="shared" si="4"/>
        <v>3.4897499999999999</v>
      </c>
      <c r="I43" s="136"/>
      <c r="J43" s="213"/>
      <c r="K43" s="217">
        <f t="shared" si="0"/>
        <v>0</v>
      </c>
      <c r="L43" s="218">
        <f t="shared" si="1"/>
        <v>0</v>
      </c>
    </row>
    <row r="44" spans="1:12" x14ac:dyDescent="0.2">
      <c r="A44" s="124"/>
      <c r="B44" s="211"/>
      <c r="C44" s="220" t="s">
        <v>681</v>
      </c>
      <c r="D44" s="133">
        <v>1</v>
      </c>
      <c r="E44" s="135">
        <f>3.3+1.8</f>
        <v>5.0999999999999996</v>
      </c>
      <c r="F44" s="135">
        <v>0.25</v>
      </c>
      <c r="G44" s="135">
        <f t="shared" si="2"/>
        <v>0.47</v>
      </c>
      <c r="H44" s="134">
        <f>G44*F44*E44*D44</f>
        <v>0.59924999999999995</v>
      </c>
      <c r="I44" s="136"/>
      <c r="J44" s="213"/>
      <c r="K44" s="217">
        <f t="shared" si="0"/>
        <v>0</v>
      </c>
      <c r="L44" s="218">
        <f t="shared" si="1"/>
        <v>0</v>
      </c>
    </row>
    <row r="45" spans="1:12" x14ac:dyDescent="0.2">
      <c r="A45" s="124"/>
      <c r="B45" s="211"/>
      <c r="C45" s="220" t="s">
        <v>725</v>
      </c>
      <c r="D45" s="133">
        <v>1</v>
      </c>
      <c r="E45" s="135">
        <v>4.9749999999999996</v>
      </c>
      <c r="F45" s="135">
        <v>1.25</v>
      </c>
      <c r="G45" s="135">
        <f t="shared" si="2"/>
        <v>0.47</v>
      </c>
      <c r="H45" s="134">
        <f>G45*F45*E45*D45</f>
        <v>2.9228124999999991</v>
      </c>
      <c r="I45" s="136"/>
      <c r="J45" s="213"/>
      <c r="K45" s="217">
        <f t="shared" si="0"/>
        <v>0</v>
      </c>
      <c r="L45" s="218">
        <f t="shared" si="1"/>
        <v>0</v>
      </c>
    </row>
    <row r="46" spans="1:12" x14ac:dyDescent="0.2">
      <c r="A46" s="124"/>
      <c r="B46" s="211"/>
      <c r="C46" s="220" t="s">
        <v>636</v>
      </c>
      <c r="D46" s="133">
        <v>16</v>
      </c>
      <c r="E46" s="135">
        <v>0.125</v>
      </c>
      <c r="F46" s="135">
        <v>0.125</v>
      </c>
      <c r="G46" s="135">
        <f>0.6</f>
        <v>0.6</v>
      </c>
      <c r="H46" s="134">
        <f>G46*F46*E46*D46</f>
        <v>0.15</v>
      </c>
      <c r="I46" s="136"/>
      <c r="J46" s="213"/>
      <c r="K46" s="217">
        <f t="shared" si="0"/>
        <v>0</v>
      </c>
      <c r="L46" s="218">
        <f t="shared" si="1"/>
        <v>0</v>
      </c>
    </row>
    <row r="47" spans="1:12" x14ac:dyDescent="0.2">
      <c r="A47" s="124"/>
      <c r="B47" s="211"/>
      <c r="C47" s="187" t="s">
        <v>256</v>
      </c>
      <c r="D47" s="133" t="s">
        <v>91</v>
      </c>
      <c r="E47" s="135" t="s">
        <v>91</v>
      </c>
      <c r="F47" s="135" t="s">
        <v>91</v>
      </c>
      <c r="G47" s="135" t="s">
        <v>91</v>
      </c>
      <c r="H47" s="134" t="s">
        <v>91</v>
      </c>
      <c r="I47" s="136"/>
      <c r="J47" s="213"/>
      <c r="K47" s="217">
        <f t="shared" si="0"/>
        <v>0</v>
      </c>
      <c r="L47" s="218">
        <v>0</v>
      </c>
    </row>
    <row r="48" spans="1:12" x14ac:dyDescent="0.2">
      <c r="A48" s="124"/>
      <c r="B48" s="211"/>
      <c r="C48" s="220" t="s">
        <v>637</v>
      </c>
      <c r="D48" s="133">
        <v>6</v>
      </c>
      <c r="E48" s="135">
        <v>1.6</v>
      </c>
      <c r="F48" s="135">
        <v>0.125</v>
      </c>
      <c r="G48" s="135">
        <f>0.6-0.13</f>
        <v>0.47</v>
      </c>
      <c r="H48" s="134">
        <f>G48*F48*E48*D48</f>
        <v>0.56400000000000006</v>
      </c>
      <c r="I48" s="136"/>
      <c r="J48" s="213"/>
      <c r="K48" s="217">
        <f t="shared" si="0"/>
        <v>0</v>
      </c>
      <c r="L48" s="218">
        <f t="shared" si="1"/>
        <v>0</v>
      </c>
    </row>
    <row r="49" spans="1:12" x14ac:dyDescent="0.2">
      <c r="A49" s="124"/>
      <c r="B49" s="211"/>
      <c r="C49" s="316" t="s">
        <v>726</v>
      </c>
      <c r="D49" s="142">
        <v>1</v>
      </c>
      <c r="E49" s="145">
        <f>1.8+1.275</f>
        <v>3.0750000000000002</v>
      </c>
      <c r="F49" s="135">
        <v>1.125</v>
      </c>
      <c r="G49" s="135">
        <f>0.6-0.13</f>
        <v>0.47</v>
      </c>
      <c r="H49" s="134">
        <f>G49*F49*E49*D49</f>
        <v>1.6259062499999999</v>
      </c>
      <c r="I49" s="141"/>
      <c r="J49" s="217"/>
      <c r="K49" s="217">
        <f t="shared" si="0"/>
        <v>0</v>
      </c>
      <c r="L49" s="218">
        <f t="shared" si="1"/>
        <v>0</v>
      </c>
    </row>
    <row r="50" spans="1:12" x14ac:dyDescent="0.2">
      <c r="A50" s="124"/>
      <c r="B50" s="211"/>
      <c r="C50" s="316"/>
      <c r="D50" s="142"/>
      <c r="E50" s="145"/>
      <c r="F50" s="145"/>
      <c r="G50" s="145"/>
      <c r="H50" s="143"/>
      <c r="I50" s="141"/>
      <c r="J50" s="217"/>
      <c r="K50" s="217">
        <f t="shared" si="0"/>
        <v>0</v>
      </c>
      <c r="L50" s="218">
        <f t="shared" si="1"/>
        <v>0</v>
      </c>
    </row>
    <row r="51" spans="1:12" x14ac:dyDescent="0.2">
      <c r="A51" s="124"/>
      <c r="B51" s="211"/>
      <c r="C51" s="221" t="s">
        <v>117</v>
      </c>
      <c r="D51" s="142"/>
      <c r="E51" s="145"/>
      <c r="F51" s="145"/>
      <c r="G51" s="145"/>
      <c r="H51" s="222">
        <v>46</v>
      </c>
      <c r="I51" s="141" t="s">
        <v>118</v>
      </c>
      <c r="J51" s="217">
        <v>11505.5</v>
      </c>
      <c r="K51" s="217">
        <f t="shared" si="0"/>
        <v>9750.4237288135591</v>
      </c>
      <c r="L51" s="218">
        <f t="shared" si="1"/>
        <v>448519.49152542371</v>
      </c>
    </row>
    <row r="52" spans="1:12" x14ac:dyDescent="0.2">
      <c r="A52" s="124"/>
      <c r="B52" s="211"/>
      <c r="C52" s="223" t="s">
        <v>227</v>
      </c>
      <c r="D52" s="133"/>
      <c r="E52" s="135">
        <f>SUM(E20*D20+E21*D21+E22*D22+E23*D23+E25*D25+E26*D26+E27*D27+E28*D28+E29*D29+E3+D30*E30+D31*E31+D32*E32+D33*E33+D34*E34+D35*E35+D36*E36+D37*E37+D38*E38+D39*E39+D40*E40+D41*E41+D42*E42+D43*E43+D44*E44+D45*E45+D46*E46)</f>
        <v>340.70000000000005</v>
      </c>
      <c r="F52" s="135"/>
      <c r="G52" s="135"/>
      <c r="H52" s="224"/>
      <c r="I52" s="136"/>
      <c r="J52" s="213"/>
      <c r="K52" s="217">
        <f t="shared" si="0"/>
        <v>0</v>
      </c>
      <c r="L52" s="218">
        <f t="shared" si="1"/>
        <v>0</v>
      </c>
    </row>
    <row r="53" spans="1:12" x14ac:dyDescent="0.2">
      <c r="A53" s="124"/>
      <c r="B53" s="211"/>
      <c r="C53" s="223" t="s">
        <v>228</v>
      </c>
      <c r="D53" s="133"/>
      <c r="E53" s="135">
        <f>E48</f>
        <v>1.6</v>
      </c>
      <c r="F53" s="135"/>
      <c r="G53" s="135"/>
      <c r="H53" s="224"/>
      <c r="I53" s="136"/>
      <c r="J53" s="213"/>
      <c r="K53" s="217">
        <f t="shared" si="0"/>
        <v>0</v>
      </c>
      <c r="L53" s="218">
        <f t="shared" si="1"/>
        <v>0</v>
      </c>
    </row>
    <row r="54" spans="1:12" x14ac:dyDescent="0.2">
      <c r="A54" s="139"/>
      <c r="B54" s="215"/>
      <c r="C54" s="223"/>
      <c r="D54" s="133"/>
      <c r="E54" s="135"/>
      <c r="F54" s="135"/>
      <c r="G54" s="135"/>
      <c r="H54" s="224"/>
      <c r="I54" s="136"/>
      <c r="J54" s="213"/>
      <c r="K54" s="217">
        <f t="shared" si="0"/>
        <v>0</v>
      </c>
      <c r="L54" s="218">
        <f t="shared" si="1"/>
        <v>0</v>
      </c>
    </row>
    <row r="55" spans="1:12" ht="33.75" customHeight="1" x14ac:dyDescent="0.2">
      <c r="A55" s="116" t="s">
        <v>229</v>
      </c>
      <c r="B55" s="206">
        <v>5.3</v>
      </c>
      <c r="C55" s="219" t="s">
        <v>230</v>
      </c>
      <c r="D55" s="119"/>
      <c r="E55" s="121"/>
      <c r="F55" s="121"/>
      <c r="G55" s="121"/>
      <c r="H55" s="208"/>
      <c r="I55" s="122"/>
      <c r="J55" s="209"/>
      <c r="K55" s="217">
        <f t="shared" si="0"/>
        <v>0</v>
      </c>
      <c r="L55" s="218">
        <f t="shared" si="1"/>
        <v>0</v>
      </c>
    </row>
    <row r="56" spans="1:12" x14ac:dyDescent="0.2">
      <c r="A56" s="124"/>
      <c r="B56" s="211"/>
      <c r="C56" s="225" t="s">
        <v>231</v>
      </c>
      <c r="D56" s="226">
        <v>1</v>
      </c>
      <c r="E56" s="227">
        <v>4.7</v>
      </c>
      <c r="F56" s="227">
        <v>9.5</v>
      </c>
      <c r="G56" s="227">
        <v>0.13500000000000001</v>
      </c>
      <c r="H56" s="135">
        <f t="shared" ref="H56:H73" si="5">G56*F56*E56*D56</f>
        <v>6.0277500000000011</v>
      </c>
      <c r="I56" s="136"/>
      <c r="J56" s="213"/>
      <c r="K56" s="217">
        <f t="shared" si="0"/>
        <v>0</v>
      </c>
      <c r="L56" s="218">
        <f t="shared" si="1"/>
        <v>0</v>
      </c>
    </row>
    <row r="57" spans="1:12" x14ac:dyDescent="0.2">
      <c r="A57" s="124"/>
      <c r="B57" s="211"/>
      <c r="C57" s="225"/>
      <c r="D57" s="226">
        <v>1</v>
      </c>
      <c r="E57" s="227">
        <v>1.5</v>
      </c>
      <c r="F57" s="227">
        <v>8.85</v>
      </c>
      <c r="G57" s="227">
        <v>0.13500000000000001</v>
      </c>
      <c r="H57" s="135">
        <f t="shared" si="5"/>
        <v>1.792125</v>
      </c>
      <c r="I57" s="136"/>
      <c r="J57" s="213"/>
      <c r="K57" s="217">
        <f t="shared" si="0"/>
        <v>0</v>
      </c>
      <c r="L57" s="218">
        <f t="shared" si="1"/>
        <v>0</v>
      </c>
    </row>
    <row r="58" spans="1:12" x14ac:dyDescent="0.2">
      <c r="A58" s="124"/>
      <c r="B58" s="211"/>
      <c r="C58" s="225" t="s">
        <v>91</v>
      </c>
      <c r="D58" s="226">
        <v>1</v>
      </c>
      <c r="E58" s="950">
        <v>60.96</v>
      </c>
      <c r="F58" s="951"/>
      <c r="G58" s="227">
        <v>0.13500000000000001</v>
      </c>
      <c r="H58" s="135">
        <f>G58*E58*D58</f>
        <v>8.2296000000000014</v>
      </c>
      <c r="I58" s="136"/>
      <c r="J58" s="213"/>
      <c r="K58" s="217">
        <f t="shared" si="0"/>
        <v>0</v>
      </c>
      <c r="L58" s="218">
        <f t="shared" si="1"/>
        <v>0</v>
      </c>
    </row>
    <row r="59" spans="1:12" x14ac:dyDescent="0.2">
      <c r="A59" s="124"/>
      <c r="B59" s="211"/>
      <c r="C59" s="225"/>
      <c r="D59" s="226">
        <v>1</v>
      </c>
      <c r="E59" s="228">
        <v>6.5</v>
      </c>
      <c r="F59" s="229">
        <v>5.15</v>
      </c>
      <c r="G59" s="227">
        <v>0.13500000000000001</v>
      </c>
      <c r="H59" s="135">
        <f t="shared" si="5"/>
        <v>4.5191250000000007</v>
      </c>
      <c r="I59" s="136"/>
      <c r="J59" s="213"/>
      <c r="K59" s="217">
        <f t="shared" si="0"/>
        <v>0</v>
      </c>
      <c r="L59" s="218">
        <f t="shared" si="1"/>
        <v>0</v>
      </c>
    </row>
    <row r="60" spans="1:12" x14ac:dyDescent="0.2">
      <c r="A60" s="124"/>
      <c r="B60" s="211"/>
      <c r="C60" s="225"/>
      <c r="D60" s="226">
        <v>1</v>
      </c>
      <c r="E60" s="228">
        <v>2.37</v>
      </c>
      <c r="F60" s="229">
        <v>4.3</v>
      </c>
      <c r="G60" s="227">
        <v>0.13500000000000001</v>
      </c>
      <c r="H60" s="135">
        <f t="shared" si="5"/>
        <v>1.375785</v>
      </c>
      <c r="I60" s="136"/>
      <c r="J60" s="213"/>
      <c r="K60" s="217">
        <f t="shared" si="0"/>
        <v>0</v>
      </c>
      <c r="L60" s="218">
        <f t="shared" si="1"/>
        <v>0</v>
      </c>
    </row>
    <row r="61" spans="1:12" x14ac:dyDescent="0.2">
      <c r="A61" s="124"/>
      <c r="B61" s="211"/>
      <c r="C61" s="225"/>
      <c r="D61" s="226">
        <v>1</v>
      </c>
      <c r="E61" s="228">
        <v>11.5</v>
      </c>
      <c r="F61" s="229">
        <v>11.92</v>
      </c>
      <c r="G61" s="227">
        <v>0.13500000000000001</v>
      </c>
      <c r="H61" s="135">
        <f t="shared" si="5"/>
        <v>18.505800000000001</v>
      </c>
      <c r="I61" s="136"/>
      <c r="J61" s="213"/>
      <c r="K61" s="217">
        <f t="shared" si="0"/>
        <v>0</v>
      </c>
      <c r="L61" s="218">
        <f t="shared" si="1"/>
        <v>0</v>
      </c>
    </row>
    <row r="62" spans="1:12" x14ac:dyDescent="0.2">
      <c r="A62" s="124"/>
      <c r="B62" s="211"/>
      <c r="C62" s="225"/>
      <c r="D62" s="226">
        <v>1</v>
      </c>
      <c r="E62" s="228">
        <v>4.5</v>
      </c>
      <c r="F62" s="229">
        <v>2.25</v>
      </c>
      <c r="G62" s="227">
        <v>0.13500000000000001</v>
      </c>
      <c r="H62" s="135">
        <f t="shared" si="5"/>
        <v>1.3668750000000001</v>
      </c>
      <c r="I62" s="136"/>
      <c r="J62" s="213"/>
      <c r="K62" s="217">
        <f t="shared" si="0"/>
        <v>0</v>
      </c>
      <c r="L62" s="218">
        <f t="shared" si="1"/>
        <v>0</v>
      </c>
    </row>
    <row r="63" spans="1:12" x14ac:dyDescent="0.2">
      <c r="A63" s="124"/>
      <c r="B63" s="211"/>
      <c r="C63" s="225"/>
      <c r="D63" s="226">
        <v>1</v>
      </c>
      <c r="E63" s="228">
        <v>11.6</v>
      </c>
      <c r="F63" s="229">
        <v>9.3699999999999992</v>
      </c>
      <c r="G63" s="227">
        <v>0.13500000000000001</v>
      </c>
      <c r="H63" s="135">
        <f t="shared" si="5"/>
        <v>14.67342</v>
      </c>
      <c r="I63" s="136"/>
      <c r="J63" s="213"/>
      <c r="K63" s="217">
        <f t="shared" si="0"/>
        <v>0</v>
      </c>
      <c r="L63" s="218">
        <f t="shared" si="1"/>
        <v>0</v>
      </c>
    </row>
    <row r="64" spans="1:12" x14ac:dyDescent="0.2">
      <c r="A64" s="124"/>
      <c r="B64" s="211"/>
      <c r="C64" s="225"/>
      <c r="D64" s="226">
        <v>9</v>
      </c>
      <c r="E64" s="228">
        <v>3.3</v>
      </c>
      <c r="F64" s="229">
        <v>1.8</v>
      </c>
      <c r="G64" s="227">
        <v>0.13500000000000001</v>
      </c>
      <c r="H64" s="135">
        <f t="shared" si="5"/>
        <v>7.2171000000000003</v>
      </c>
      <c r="I64" s="136"/>
      <c r="J64" s="213"/>
      <c r="K64" s="217">
        <f t="shared" si="0"/>
        <v>0</v>
      </c>
      <c r="L64" s="218">
        <f t="shared" si="1"/>
        <v>0</v>
      </c>
    </row>
    <row r="65" spans="1:12" x14ac:dyDescent="0.2">
      <c r="A65" s="124"/>
      <c r="B65" s="211"/>
      <c r="C65" s="225" t="s">
        <v>725</v>
      </c>
      <c r="D65" s="226">
        <v>1</v>
      </c>
      <c r="E65" s="228">
        <v>4.9749999999999996</v>
      </c>
      <c r="F65" s="229">
        <v>2.85</v>
      </c>
      <c r="G65" s="227">
        <v>1.135</v>
      </c>
      <c r="H65" s="135">
        <f>G65*F65*E65*D65</f>
        <v>16.092881249999998</v>
      </c>
      <c r="I65" s="136"/>
      <c r="J65" s="213"/>
      <c r="K65" s="217">
        <f t="shared" si="0"/>
        <v>0</v>
      </c>
      <c r="L65" s="218">
        <f t="shared" si="1"/>
        <v>0</v>
      </c>
    </row>
    <row r="66" spans="1:12" x14ac:dyDescent="0.2">
      <c r="A66" s="124"/>
      <c r="B66" s="211"/>
      <c r="C66" s="225" t="s">
        <v>233</v>
      </c>
      <c r="D66" s="226">
        <v>3</v>
      </c>
      <c r="E66" s="227">
        <v>4.5</v>
      </c>
      <c r="F66" s="227">
        <v>0.6</v>
      </c>
      <c r="G66" s="227">
        <v>0.1</v>
      </c>
      <c r="H66" s="135">
        <f t="shared" si="5"/>
        <v>0.81</v>
      </c>
      <c r="I66" s="136"/>
      <c r="J66" s="213"/>
      <c r="K66" s="217">
        <f t="shared" si="0"/>
        <v>0</v>
      </c>
      <c r="L66" s="218">
        <f t="shared" si="1"/>
        <v>0</v>
      </c>
    </row>
    <row r="67" spans="1:12" x14ac:dyDescent="0.2">
      <c r="A67" s="124"/>
      <c r="B67" s="211"/>
      <c r="C67" s="225" t="s">
        <v>420</v>
      </c>
      <c r="D67" s="226">
        <v>3</v>
      </c>
      <c r="E67" s="227">
        <v>1.8</v>
      </c>
      <c r="F67" s="227">
        <v>0.7</v>
      </c>
      <c r="G67" s="227">
        <v>7.4999999999999997E-2</v>
      </c>
      <c r="H67" s="135">
        <f>G67*F67*E67*D67</f>
        <v>0.28349999999999997</v>
      </c>
      <c r="I67" s="136"/>
      <c r="J67" s="213"/>
      <c r="K67" s="217">
        <f t="shared" si="0"/>
        <v>0</v>
      </c>
      <c r="L67" s="218">
        <f t="shared" si="1"/>
        <v>0</v>
      </c>
    </row>
    <row r="68" spans="1:12" x14ac:dyDescent="0.2">
      <c r="A68" s="124"/>
      <c r="B68" s="211"/>
      <c r="C68" s="225" t="s">
        <v>421</v>
      </c>
      <c r="D68" s="226">
        <v>6</v>
      </c>
      <c r="E68" s="227">
        <f>1.37+0.125+0.125</f>
        <v>1.62</v>
      </c>
      <c r="F68" s="227">
        <v>0.6</v>
      </c>
      <c r="G68" s="227">
        <v>7.4999999999999997E-2</v>
      </c>
      <c r="H68" s="135">
        <f>G68*F68*E68*D68</f>
        <v>0.43740000000000001</v>
      </c>
      <c r="I68" s="136"/>
      <c r="J68" s="213"/>
      <c r="K68" s="217">
        <f t="shared" si="0"/>
        <v>0</v>
      </c>
      <c r="L68" s="218">
        <f t="shared" si="1"/>
        <v>0</v>
      </c>
    </row>
    <row r="69" spans="1:12" x14ac:dyDescent="0.2">
      <c r="A69" s="124"/>
      <c r="B69" s="211"/>
      <c r="C69" s="225" t="s">
        <v>422</v>
      </c>
      <c r="D69" s="226">
        <v>3</v>
      </c>
      <c r="E69" s="227">
        <f>0.9+0.125+0.125</f>
        <v>1.1499999999999999</v>
      </c>
      <c r="F69" s="227">
        <v>0.6</v>
      </c>
      <c r="G69" s="227">
        <v>7.4999999999999997E-2</v>
      </c>
      <c r="H69" s="135">
        <f>G69*F69*E69*D69</f>
        <v>0.15525</v>
      </c>
      <c r="I69" s="136"/>
      <c r="J69" s="213"/>
      <c r="K69" s="217">
        <f t="shared" si="0"/>
        <v>0</v>
      </c>
      <c r="L69" s="218">
        <f t="shared" si="1"/>
        <v>0</v>
      </c>
    </row>
    <row r="70" spans="1:12" x14ac:dyDescent="0.2">
      <c r="A70" s="124"/>
      <c r="B70" s="211"/>
      <c r="C70" s="225" t="s">
        <v>236</v>
      </c>
      <c r="D70" s="226">
        <v>3</v>
      </c>
      <c r="E70" s="227">
        <f>1.2+0.25+0.25</f>
        <v>1.7</v>
      </c>
      <c r="F70" s="227">
        <v>0.6</v>
      </c>
      <c r="G70" s="227">
        <v>7.4999999999999997E-2</v>
      </c>
      <c r="H70" s="135">
        <f>G70*F70*E70*D70</f>
        <v>0.22949999999999998</v>
      </c>
      <c r="I70" s="136"/>
      <c r="J70" s="213"/>
      <c r="K70" s="217">
        <f t="shared" si="0"/>
        <v>0</v>
      </c>
      <c r="L70" s="218">
        <f t="shared" si="1"/>
        <v>0</v>
      </c>
    </row>
    <row r="71" spans="1:12" x14ac:dyDescent="0.2">
      <c r="A71" s="124"/>
      <c r="B71" s="211"/>
      <c r="C71" s="225" t="s">
        <v>282</v>
      </c>
      <c r="D71" s="226">
        <v>8</v>
      </c>
      <c r="E71" s="227">
        <f>0.6+0.125+0.125</f>
        <v>0.85</v>
      </c>
      <c r="F71" s="227">
        <v>0.6</v>
      </c>
      <c r="G71" s="227">
        <v>7.4999999999999997E-2</v>
      </c>
      <c r="H71" s="135">
        <f>G71*F71*E71*D71</f>
        <v>0.30599999999999999</v>
      </c>
      <c r="I71" s="136"/>
      <c r="J71" s="213"/>
      <c r="K71" s="217">
        <f t="shared" si="0"/>
        <v>0</v>
      </c>
      <c r="L71" s="218">
        <f t="shared" si="1"/>
        <v>0</v>
      </c>
    </row>
    <row r="72" spans="1:12" x14ac:dyDescent="0.2">
      <c r="A72" s="124"/>
      <c r="B72" s="211"/>
      <c r="C72" s="225" t="s">
        <v>237</v>
      </c>
      <c r="D72" s="226">
        <v>-1</v>
      </c>
      <c r="E72" s="227">
        <v>3.3250000000000002</v>
      </c>
      <c r="F72" s="227">
        <v>2.7</v>
      </c>
      <c r="G72" s="227">
        <v>0.13500000000000001</v>
      </c>
      <c r="H72" s="135">
        <f t="shared" si="5"/>
        <v>-1.2119625000000003</v>
      </c>
      <c r="I72" s="136"/>
      <c r="J72" s="213"/>
      <c r="K72" s="217">
        <f t="shared" si="0"/>
        <v>0</v>
      </c>
      <c r="L72" s="218">
        <f t="shared" si="1"/>
        <v>0</v>
      </c>
    </row>
    <row r="73" spans="1:12" x14ac:dyDescent="0.2">
      <c r="A73" s="124"/>
      <c r="B73" s="211"/>
      <c r="C73" s="230" t="s">
        <v>238</v>
      </c>
      <c r="D73" s="231">
        <v>-1</v>
      </c>
      <c r="E73" s="232">
        <v>2.0499999999999998</v>
      </c>
      <c r="F73" s="232">
        <v>2.37</v>
      </c>
      <c r="G73" s="232">
        <v>0.13500000000000001</v>
      </c>
      <c r="H73" s="145">
        <f t="shared" si="5"/>
        <v>-0.65589750000000002</v>
      </c>
      <c r="I73" s="141"/>
      <c r="J73" s="217"/>
      <c r="K73" s="217">
        <f t="shared" si="0"/>
        <v>0</v>
      </c>
      <c r="L73" s="218">
        <f t="shared" si="1"/>
        <v>0</v>
      </c>
    </row>
    <row r="74" spans="1:12" x14ac:dyDescent="0.2">
      <c r="A74" s="139"/>
      <c r="B74" s="215"/>
      <c r="C74" s="233" t="s">
        <v>117</v>
      </c>
      <c r="D74" s="142"/>
      <c r="E74" s="143"/>
      <c r="F74" s="143"/>
      <c r="G74" s="143"/>
      <c r="H74" s="216">
        <v>80</v>
      </c>
      <c r="I74" s="141" t="s">
        <v>118</v>
      </c>
      <c r="J74" s="217">
        <f>J51</f>
        <v>11505.5</v>
      </c>
      <c r="K74" s="217">
        <f t="shared" si="0"/>
        <v>9750.4237288135591</v>
      </c>
      <c r="L74" s="218">
        <f t="shared" si="1"/>
        <v>780033.89830508479</v>
      </c>
    </row>
    <row r="75" spans="1:12" ht="25.5" x14ac:dyDescent="0.2">
      <c r="A75" s="116" t="s">
        <v>239</v>
      </c>
      <c r="B75" s="206">
        <v>5.3</v>
      </c>
      <c r="C75" s="219" t="s">
        <v>240</v>
      </c>
      <c r="D75" s="119"/>
      <c r="E75" s="121"/>
      <c r="F75" s="121"/>
      <c r="G75" s="121"/>
      <c r="H75" s="208"/>
      <c r="I75" s="122"/>
      <c r="J75" s="234"/>
      <c r="K75" s="217">
        <f t="shared" ref="K75:K138" si="6">J75*100/118</f>
        <v>0</v>
      </c>
      <c r="L75" s="218">
        <f t="shared" ref="L75:L138" si="7">K75*H75</f>
        <v>0</v>
      </c>
    </row>
    <row r="76" spans="1:12" x14ac:dyDescent="0.2">
      <c r="A76" s="124"/>
      <c r="B76" s="211"/>
      <c r="C76" s="237" t="s">
        <v>241</v>
      </c>
      <c r="D76" s="133">
        <v>2</v>
      </c>
      <c r="E76" s="135">
        <v>3.6</v>
      </c>
      <c r="F76" s="135">
        <v>1.2749999999999999</v>
      </c>
      <c r="G76" s="135">
        <v>0.15</v>
      </c>
      <c r="H76" s="134">
        <f t="shared" ref="H76:H81" si="8">G76*F76*E76*D76</f>
        <v>1.3769999999999998</v>
      </c>
      <c r="I76" s="136"/>
      <c r="J76" s="236"/>
      <c r="K76" s="217">
        <f t="shared" si="6"/>
        <v>0</v>
      </c>
      <c r="L76" s="218">
        <f t="shared" si="7"/>
        <v>0</v>
      </c>
    </row>
    <row r="77" spans="1:12" x14ac:dyDescent="0.2">
      <c r="A77" s="124"/>
      <c r="B77" s="211"/>
      <c r="C77" s="132" t="s">
        <v>242</v>
      </c>
      <c r="D77" s="133">
        <v>1</v>
      </c>
      <c r="E77" s="135">
        <v>1.325</v>
      </c>
      <c r="F77" s="135">
        <v>2.7</v>
      </c>
      <c r="G77" s="135">
        <v>0.15</v>
      </c>
      <c r="H77" s="135">
        <f t="shared" si="8"/>
        <v>0.53662500000000002</v>
      </c>
      <c r="I77" s="136"/>
      <c r="J77" s="236"/>
      <c r="K77" s="217">
        <f t="shared" si="6"/>
        <v>0</v>
      </c>
      <c r="L77" s="218">
        <f t="shared" si="7"/>
        <v>0</v>
      </c>
    </row>
    <row r="78" spans="1:12" x14ac:dyDescent="0.2">
      <c r="A78" s="124"/>
      <c r="B78" s="211"/>
      <c r="C78" s="237" t="s">
        <v>243</v>
      </c>
      <c r="D78" s="133">
        <v>20</v>
      </c>
      <c r="E78" s="135">
        <v>1.2749999999999999</v>
      </c>
      <c r="F78" s="135">
        <v>0.25</v>
      </c>
      <c r="G78" s="135">
        <f>0.15/2</f>
        <v>7.4999999999999997E-2</v>
      </c>
      <c r="H78" s="134">
        <f t="shared" si="8"/>
        <v>0.47812499999999991</v>
      </c>
      <c r="I78" s="136"/>
      <c r="J78" s="236"/>
      <c r="K78" s="217">
        <f t="shared" si="6"/>
        <v>0</v>
      </c>
      <c r="L78" s="218">
        <f t="shared" si="7"/>
        <v>0</v>
      </c>
    </row>
    <row r="79" spans="1:12" x14ac:dyDescent="0.2">
      <c r="A79" s="124"/>
      <c r="B79" s="211"/>
      <c r="C79" s="237" t="s">
        <v>727</v>
      </c>
      <c r="D79" s="133">
        <v>2</v>
      </c>
      <c r="E79" s="135">
        <v>1.8</v>
      </c>
      <c r="F79" s="135">
        <v>0.9</v>
      </c>
      <c r="G79" s="135">
        <v>0.15</v>
      </c>
      <c r="H79" s="134">
        <f t="shared" si="8"/>
        <v>0.48600000000000004</v>
      </c>
      <c r="I79" s="136"/>
      <c r="J79" s="236"/>
      <c r="K79" s="217">
        <f t="shared" si="6"/>
        <v>0</v>
      </c>
      <c r="L79" s="218">
        <f t="shared" si="7"/>
        <v>0</v>
      </c>
    </row>
    <row r="80" spans="1:12" x14ac:dyDescent="0.2">
      <c r="A80" s="124"/>
      <c r="B80" s="211"/>
      <c r="C80" s="132" t="s">
        <v>242</v>
      </c>
      <c r="D80" s="133">
        <v>1</v>
      </c>
      <c r="E80" s="135">
        <v>0.9</v>
      </c>
      <c r="F80" s="135">
        <v>9</v>
      </c>
      <c r="G80" s="135">
        <v>0.15</v>
      </c>
      <c r="H80" s="135">
        <f t="shared" si="8"/>
        <v>1.2149999999999999</v>
      </c>
      <c r="I80" s="136"/>
      <c r="J80" s="236"/>
      <c r="K80" s="217">
        <f t="shared" si="6"/>
        <v>0</v>
      </c>
      <c r="L80" s="218">
        <f t="shared" si="7"/>
        <v>0</v>
      </c>
    </row>
    <row r="81" spans="1:12" x14ac:dyDescent="0.2">
      <c r="A81" s="124"/>
      <c r="B81" s="211"/>
      <c r="C81" s="237" t="s">
        <v>243</v>
      </c>
      <c r="D81" s="133">
        <v>15</v>
      </c>
      <c r="E81" s="135">
        <v>0.9</v>
      </c>
      <c r="F81" s="135">
        <v>0.25</v>
      </c>
      <c r="G81" s="135">
        <f>0.15/2</f>
        <v>7.4999999999999997E-2</v>
      </c>
      <c r="H81" s="134">
        <f t="shared" si="8"/>
        <v>0.25312500000000004</v>
      </c>
      <c r="I81" s="136"/>
      <c r="J81" s="236"/>
      <c r="K81" s="217">
        <f t="shared" si="6"/>
        <v>0</v>
      </c>
      <c r="L81" s="218">
        <f t="shared" si="7"/>
        <v>0</v>
      </c>
    </row>
    <row r="82" spans="1:12" x14ac:dyDescent="0.2">
      <c r="A82" s="139"/>
      <c r="B82" s="215"/>
      <c r="C82" s="221" t="s">
        <v>117</v>
      </c>
      <c r="D82" s="142"/>
      <c r="E82" s="145"/>
      <c r="F82" s="145"/>
      <c r="G82" s="145"/>
      <c r="H82" s="216">
        <v>4.5</v>
      </c>
      <c r="I82" s="141" t="s">
        <v>118</v>
      </c>
      <c r="J82" s="217">
        <f>J74</f>
        <v>11505.5</v>
      </c>
      <c r="K82" s="217">
        <f t="shared" si="6"/>
        <v>9750.4237288135591</v>
      </c>
      <c r="L82" s="218">
        <f t="shared" si="7"/>
        <v>43876.906779661018</v>
      </c>
    </row>
    <row r="83" spans="1:12" ht="39" customHeight="1" x14ac:dyDescent="0.2">
      <c r="A83" s="116">
        <v>3</v>
      </c>
      <c r="B83" s="206">
        <v>5.22</v>
      </c>
      <c r="C83" s="219" t="s">
        <v>244</v>
      </c>
      <c r="D83" s="119"/>
      <c r="E83" s="121"/>
      <c r="F83" s="121"/>
      <c r="G83" s="121"/>
      <c r="H83" s="208"/>
      <c r="I83" s="122"/>
      <c r="J83" s="209"/>
      <c r="K83" s="217">
        <f t="shared" si="6"/>
        <v>0</v>
      </c>
      <c r="L83" s="218">
        <f t="shared" si="7"/>
        <v>0</v>
      </c>
    </row>
    <row r="84" spans="1:12" ht="24.75" customHeight="1" x14ac:dyDescent="0.2">
      <c r="A84" s="124"/>
      <c r="B84" s="211" t="s">
        <v>193</v>
      </c>
      <c r="C84" s="238" t="s">
        <v>245</v>
      </c>
      <c r="D84" s="127"/>
      <c r="E84" s="138"/>
      <c r="F84" s="129"/>
      <c r="G84" s="129"/>
      <c r="H84" s="239"/>
      <c r="I84" s="130"/>
      <c r="J84" s="240"/>
      <c r="K84" s="217">
        <f t="shared" si="6"/>
        <v>0</v>
      </c>
      <c r="L84" s="218">
        <f t="shared" si="7"/>
        <v>0</v>
      </c>
    </row>
    <row r="85" spans="1:12" x14ac:dyDescent="0.2">
      <c r="A85" s="124"/>
      <c r="B85" s="211"/>
      <c r="C85" s="187" t="s">
        <v>191</v>
      </c>
      <c r="D85" s="241"/>
      <c r="E85" s="190">
        <f>H10+H51+H74+H82</f>
        <v>150.5</v>
      </c>
      <c r="F85" s="190"/>
      <c r="G85" s="135"/>
      <c r="H85" s="212"/>
      <c r="I85" s="136"/>
      <c r="J85" s="213"/>
      <c r="K85" s="217">
        <f t="shared" si="6"/>
        <v>0</v>
      </c>
      <c r="L85" s="218">
        <f t="shared" si="7"/>
        <v>0</v>
      </c>
    </row>
    <row r="86" spans="1:12" x14ac:dyDescent="0.2">
      <c r="A86" s="139"/>
      <c r="B86" s="215"/>
      <c r="C86" s="220" t="s">
        <v>246</v>
      </c>
      <c r="D86" s="133">
        <v>120</v>
      </c>
      <c r="E86" s="190"/>
      <c r="F86" s="135"/>
      <c r="G86" s="135"/>
      <c r="H86" s="242">
        <v>18000</v>
      </c>
      <c r="I86" s="136" t="s">
        <v>195</v>
      </c>
      <c r="J86" s="213">
        <v>107.85</v>
      </c>
      <c r="K86" s="217">
        <f t="shared" si="6"/>
        <v>91.398305084745758</v>
      </c>
      <c r="L86" s="218">
        <f t="shared" si="7"/>
        <v>1645169.4915254237</v>
      </c>
    </row>
    <row r="87" spans="1:12" ht="25.5" x14ac:dyDescent="0.2">
      <c r="A87" s="116">
        <v>4</v>
      </c>
      <c r="B87" s="206">
        <v>5.9</v>
      </c>
      <c r="C87" s="182" t="s">
        <v>247</v>
      </c>
      <c r="D87" s="119"/>
      <c r="E87" s="121"/>
      <c r="F87" s="121"/>
      <c r="G87" s="121"/>
      <c r="H87" s="208"/>
      <c r="I87" s="122"/>
      <c r="J87" s="209"/>
      <c r="K87" s="217">
        <f t="shared" si="6"/>
        <v>0</v>
      </c>
      <c r="L87" s="218">
        <f t="shared" si="7"/>
        <v>0</v>
      </c>
    </row>
    <row r="88" spans="1:12" ht="30" customHeight="1" x14ac:dyDescent="0.2">
      <c r="A88" s="124" t="s">
        <v>248</v>
      </c>
      <c r="B88" s="211" t="s">
        <v>249</v>
      </c>
      <c r="C88" s="244" t="s">
        <v>250</v>
      </c>
      <c r="D88" s="127"/>
      <c r="E88" s="129"/>
      <c r="F88" s="129"/>
      <c r="G88" s="129"/>
      <c r="H88" s="239"/>
      <c r="I88" s="130"/>
      <c r="J88" s="240"/>
      <c r="K88" s="217">
        <f t="shared" si="6"/>
        <v>0</v>
      </c>
      <c r="L88" s="218">
        <f t="shared" si="7"/>
        <v>0</v>
      </c>
    </row>
    <row r="89" spans="1:12" x14ac:dyDescent="0.2">
      <c r="A89" s="124"/>
      <c r="B89" s="211"/>
      <c r="C89" s="225" t="s">
        <v>231</v>
      </c>
      <c r="D89" s="226">
        <v>1</v>
      </c>
      <c r="E89" s="227">
        <v>4.7</v>
      </c>
      <c r="F89" s="227">
        <v>9.5</v>
      </c>
      <c r="G89" s="227"/>
      <c r="H89" s="135">
        <f>D89*E89*F89</f>
        <v>44.65</v>
      </c>
      <c r="I89" s="136"/>
      <c r="J89" s="213"/>
      <c r="K89" s="217">
        <f t="shared" si="6"/>
        <v>0</v>
      </c>
      <c r="L89" s="218">
        <f t="shared" si="7"/>
        <v>0</v>
      </c>
    </row>
    <row r="90" spans="1:12" x14ac:dyDescent="0.2">
      <c r="A90" s="124"/>
      <c r="B90" s="211"/>
      <c r="C90" s="225"/>
      <c r="D90" s="226">
        <v>1</v>
      </c>
      <c r="E90" s="227">
        <v>1.5</v>
      </c>
      <c r="F90" s="227">
        <v>8.85</v>
      </c>
      <c r="G90" s="227"/>
      <c r="H90" s="135">
        <f t="shared" ref="H90:H106" si="9">D90*E90*F90</f>
        <v>13.274999999999999</v>
      </c>
      <c r="I90" s="136"/>
      <c r="J90" s="213"/>
      <c r="K90" s="217">
        <f t="shared" si="6"/>
        <v>0</v>
      </c>
      <c r="L90" s="218">
        <f t="shared" si="7"/>
        <v>0</v>
      </c>
    </row>
    <row r="91" spans="1:12" x14ac:dyDescent="0.2">
      <c r="A91" s="124"/>
      <c r="B91" s="211"/>
      <c r="C91" s="225" t="s">
        <v>91</v>
      </c>
      <c r="D91" s="226">
        <v>1</v>
      </c>
      <c r="E91" s="950">
        <v>60.96</v>
      </c>
      <c r="F91" s="951"/>
      <c r="G91" s="227"/>
      <c r="H91" s="135">
        <f>D91*E91</f>
        <v>60.96</v>
      </c>
      <c r="I91" s="136"/>
      <c r="J91" s="213"/>
      <c r="K91" s="217">
        <f t="shared" si="6"/>
        <v>0</v>
      </c>
      <c r="L91" s="218">
        <f t="shared" si="7"/>
        <v>0</v>
      </c>
    </row>
    <row r="92" spans="1:12" x14ac:dyDescent="0.2">
      <c r="A92" s="124"/>
      <c r="B92" s="211"/>
      <c r="C92" s="225"/>
      <c r="D92" s="226">
        <v>1</v>
      </c>
      <c r="E92" s="228">
        <v>6.5</v>
      </c>
      <c r="F92" s="229">
        <v>5.15</v>
      </c>
      <c r="G92" s="227"/>
      <c r="H92" s="135">
        <f t="shared" si="9"/>
        <v>33.475000000000001</v>
      </c>
      <c r="I92" s="136"/>
      <c r="J92" s="213"/>
      <c r="K92" s="217">
        <f t="shared" si="6"/>
        <v>0</v>
      </c>
      <c r="L92" s="218">
        <f t="shared" si="7"/>
        <v>0</v>
      </c>
    </row>
    <row r="93" spans="1:12" x14ac:dyDescent="0.2">
      <c r="A93" s="124"/>
      <c r="B93" s="211"/>
      <c r="C93" s="225"/>
      <c r="D93" s="226">
        <v>1</v>
      </c>
      <c r="E93" s="228">
        <v>2.37</v>
      </c>
      <c r="F93" s="229">
        <v>4.3</v>
      </c>
      <c r="G93" s="227"/>
      <c r="H93" s="135">
        <f t="shared" si="9"/>
        <v>10.191000000000001</v>
      </c>
      <c r="I93" s="136"/>
      <c r="J93" s="213"/>
      <c r="K93" s="217">
        <f t="shared" si="6"/>
        <v>0</v>
      </c>
      <c r="L93" s="218">
        <f t="shared" si="7"/>
        <v>0</v>
      </c>
    </row>
    <row r="94" spans="1:12" x14ac:dyDescent="0.2">
      <c r="A94" s="124"/>
      <c r="B94" s="211"/>
      <c r="C94" s="225"/>
      <c r="D94" s="226">
        <v>1</v>
      </c>
      <c r="E94" s="228">
        <v>11.5</v>
      </c>
      <c r="F94" s="229">
        <v>11.92</v>
      </c>
      <c r="G94" s="227"/>
      <c r="H94" s="135">
        <f t="shared" si="9"/>
        <v>137.08000000000001</v>
      </c>
      <c r="I94" s="136"/>
      <c r="J94" s="213"/>
      <c r="K94" s="217">
        <f t="shared" si="6"/>
        <v>0</v>
      </c>
      <c r="L94" s="218">
        <f t="shared" si="7"/>
        <v>0</v>
      </c>
    </row>
    <row r="95" spans="1:12" x14ac:dyDescent="0.2">
      <c r="A95" s="124"/>
      <c r="B95" s="211"/>
      <c r="C95" s="225"/>
      <c r="D95" s="226">
        <v>1</v>
      </c>
      <c r="E95" s="228">
        <v>4.5</v>
      </c>
      <c r="F95" s="229">
        <v>2.25</v>
      </c>
      <c r="G95" s="227"/>
      <c r="H95" s="135">
        <f t="shared" si="9"/>
        <v>10.125</v>
      </c>
      <c r="I95" s="136"/>
      <c r="J95" s="213"/>
      <c r="K95" s="217">
        <f t="shared" si="6"/>
        <v>0</v>
      </c>
      <c r="L95" s="218">
        <f t="shared" si="7"/>
        <v>0</v>
      </c>
    </row>
    <row r="96" spans="1:12" x14ac:dyDescent="0.2">
      <c r="A96" s="124"/>
      <c r="B96" s="211"/>
      <c r="C96" s="225"/>
      <c r="D96" s="226">
        <v>1</v>
      </c>
      <c r="E96" s="228">
        <v>11.6</v>
      </c>
      <c r="F96" s="229">
        <v>9.3699999999999992</v>
      </c>
      <c r="G96" s="227"/>
      <c r="H96" s="135">
        <f t="shared" si="9"/>
        <v>108.69199999999999</v>
      </c>
      <c r="I96" s="136"/>
      <c r="J96" s="213"/>
      <c r="K96" s="217">
        <f t="shared" si="6"/>
        <v>0</v>
      </c>
      <c r="L96" s="218">
        <f t="shared" si="7"/>
        <v>0</v>
      </c>
    </row>
    <row r="97" spans="1:12" x14ac:dyDescent="0.2">
      <c r="A97" s="124"/>
      <c r="B97" s="211"/>
      <c r="C97" s="225"/>
      <c r="D97" s="226">
        <v>9</v>
      </c>
      <c r="E97" s="228">
        <v>3.3</v>
      </c>
      <c r="F97" s="229">
        <v>1.8</v>
      </c>
      <c r="G97" s="227"/>
      <c r="H97" s="135">
        <f t="shared" si="9"/>
        <v>53.46</v>
      </c>
      <c r="I97" s="136"/>
      <c r="J97" s="213"/>
      <c r="K97" s="217">
        <f t="shared" si="6"/>
        <v>0</v>
      </c>
      <c r="L97" s="218">
        <f t="shared" si="7"/>
        <v>0</v>
      </c>
    </row>
    <row r="98" spans="1:12" x14ac:dyDescent="0.2">
      <c r="A98" s="124"/>
      <c r="B98" s="211"/>
      <c r="C98" s="225" t="s">
        <v>725</v>
      </c>
      <c r="D98" s="226">
        <v>1</v>
      </c>
      <c r="E98" s="228">
        <v>4.9749999999999996</v>
      </c>
      <c r="F98" s="229">
        <v>2.85</v>
      </c>
      <c r="G98" s="227"/>
      <c r="H98" s="135">
        <f t="shared" si="9"/>
        <v>14.178749999999999</v>
      </c>
      <c r="I98" s="136"/>
      <c r="J98" s="213"/>
      <c r="K98" s="217">
        <f t="shared" si="6"/>
        <v>0</v>
      </c>
      <c r="L98" s="218">
        <f t="shared" si="7"/>
        <v>0</v>
      </c>
    </row>
    <row r="99" spans="1:12" x14ac:dyDescent="0.2">
      <c r="A99" s="124"/>
      <c r="B99" s="211"/>
      <c r="C99" s="225" t="s">
        <v>233</v>
      </c>
      <c r="D99" s="226">
        <v>3</v>
      </c>
      <c r="E99" s="227">
        <v>4.5</v>
      </c>
      <c r="F99" s="227">
        <v>0.6</v>
      </c>
      <c r="G99" s="227"/>
      <c r="H99" s="135">
        <f t="shared" si="9"/>
        <v>8.1</v>
      </c>
      <c r="I99" s="136"/>
      <c r="J99" s="213"/>
      <c r="K99" s="217">
        <f t="shared" si="6"/>
        <v>0</v>
      </c>
      <c r="L99" s="218">
        <f t="shared" si="7"/>
        <v>0</v>
      </c>
    </row>
    <row r="100" spans="1:12" x14ac:dyDescent="0.2">
      <c r="A100" s="124"/>
      <c r="B100" s="211"/>
      <c r="C100" s="225" t="s">
        <v>420</v>
      </c>
      <c r="D100" s="226">
        <v>3</v>
      </c>
      <c r="E100" s="227">
        <v>1.8</v>
      </c>
      <c r="F100" s="227">
        <v>0.7</v>
      </c>
      <c r="G100" s="227"/>
      <c r="H100" s="135">
        <f t="shared" si="9"/>
        <v>3.78</v>
      </c>
      <c r="I100" s="136"/>
      <c r="J100" s="213"/>
      <c r="K100" s="217">
        <f t="shared" si="6"/>
        <v>0</v>
      </c>
      <c r="L100" s="218">
        <f t="shared" si="7"/>
        <v>0</v>
      </c>
    </row>
    <row r="101" spans="1:12" x14ac:dyDescent="0.2">
      <c r="A101" s="124"/>
      <c r="B101" s="211"/>
      <c r="C101" s="225" t="s">
        <v>421</v>
      </c>
      <c r="D101" s="226">
        <v>6</v>
      </c>
      <c r="E101" s="227">
        <f>1.37+0.125+0.125</f>
        <v>1.62</v>
      </c>
      <c r="F101" s="227">
        <v>0.6</v>
      </c>
      <c r="G101" s="227"/>
      <c r="H101" s="135">
        <f t="shared" si="9"/>
        <v>5.8319999999999999</v>
      </c>
      <c r="I101" s="136"/>
      <c r="J101" s="213"/>
      <c r="K101" s="217">
        <f t="shared" si="6"/>
        <v>0</v>
      </c>
      <c r="L101" s="218">
        <f t="shared" si="7"/>
        <v>0</v>
      </c>
    </row>
    <row r="102" spans="1:12" x14ac:dyDescent="0.2">
      <c r="A102" s="124"/>
      <c r="B102" s="211"/>
      <c r="C102" s="225" t="s">
        <v>422</v>
      </c>
      <c r="D102" s="226">
        <v>3</v>
      </c>
      <c r="E102" s="227">
        <f>0.9+0.125+0.125</f>
        <v>1.1499999999999999</v>
      </c>
      <c r="F102" s="227">
        <v>0.6</v>
      </c>
      <c r="G102" s="227"/>
      <c r="H102" s="135">
        <f t="shared" si="9"/>
        <v>2.0699999999999998</v>
      </c>
      <c r="I102" s="136"/>
      <c r="J102" s="213"/>
      <c r="K102" s="217">
        <f t="shared" si="6"/>
        <v>0</v>
      </c>
      <c r="L102" s="218">
        <f t="shared" si="7"/>
        <v>0</v>
      </c>
    </row>
    <row r="103" spans="1:12" x14ac:dyDescent="0.2">
      <c r="A103" s="124"/>
      <c r="B103" s="211"/>
      <c r="C103" s="225" t="s">
        <v>236</v>
      </c>
      <c r="D103" s="226">
        <v>3</v>
      </c>
      <c r="E103" s="227">
        <f>1.2+0.25+0.25</f>
        <v>1.7</v>
      </c>
      <c r="F103" s="227">
        <v>0.6</v>
      </c>
      <c r="G103" s="227"/>
      <c r="H103" s="135">
        <f t="shared" si="9"/>
        <v>3.0599999999999996</v>
      </c>
      <c r="I103" s="136"/>
      <c r="J103" s="213"/>
      <c r="K103" s="217">
        <f t="shared" si="6"/>
        <v>0</v>
      </c>
      <c r="L103" s="218">
        <f t="shared" si="7"/>
        <v>0</v>
      </c>
    </row>
    <row r="104" spans="1:12" x14ac:dyDescent="0.2">
      <c r="A104" s="124"/>
      <c r="B104" s="211"/>
      <c r="C104" s="225" t="s">
        <v>282</v>
      </c>
      <c r="D104" s="226">
        <v>8</v>
      </c>
      <c r="E104" s="227">
        <f>0.6+0.125+0.125</f>
        <v>0.85</v>
      </c>
      <c r="F104" s="227">
        <v>0.6</v>
      </c>
      <c r="G104" s="227"/>
      <c r="H104" s="135">
        <f t="shared" si="9"/>
        <v>4.08</v>
      </c>
      <c r="I104" s="136"/>
      <c r="J104" s="213"/>
      <c r="K104" s="217">
        <f t="shared" si="6"/>
        <v>0</v>
      </c>
      <c r="L104" s="218">
        <f t="shared" si="7"/>
        <v>0</v>
      </c>
    </row>
    <row r="105" spans="1:12" x14ac:dyDescent="0.2">
      <c r="A105" s="124"/>
      <c r="B105" s="211"/>
      <c r="C105" s="225" t="s">
        <v>237</v>
      </c>
      <c r="D105" s="226">
        <v>-1</v>
      </c>
      <c r="E105" s="227">
        <v>3.3250000000000002</v>
      </c>
      <c r="F105" s="227">
        <v>2.7</v>
      </c>
      <c r="G105" s="227"/>
      <c r="H105" s="135">
        <f t="shared" si="9"/>
        <v>-8.9775000000000009</v>
      </c>
      <c r="I105" s="136"/>
      <c r="J105" s="213"/>
      <c r="K105" s="217">
        <f t="shared" si="6"/>
        <v>0</v>
      </c>
      <c r="L105" s="218">
        <f t="shared" si="7"/>
        <v>0</v>
      </c>
    </row>
    <row r="106" spans="1:12" x14ac:dyDescent="0.2">
      <c r="A106" s="124"/>
      <c r="B106" s="211"/>
      <c r="C106" s="230" t="s">
        <v>238</v>
      </c>
      <c r="D106" s="231">
        <v>-1</v>
      </c>
      <c r="E106" s="232">
        <v>2.0499999999999998</v>
      </c>
      <c r="F106" s="232">
        <v>2.37</v>
      </c>
      <c r="G106" s="232"/>
      <c r="H106" s="135">
        <f t="shared" si="9"/>
        <v>-4.8584999999999994</v>
      </c>
      <c r="I106" s="141"/>
      <c r="J106" s="217"/>
      <c r="K106" s="217">
        <f t="shared" si="6"/>
        <v>0</v>
      </c>
      <c r="L106" s="218">
        <f t="shared" si="7"/>
        <v>0</v>
      </c>
    </row>
    <row r="107" spans="1:12" x14ac:dyDescent="0.2">
      <c r="A107" s="124"/>
      <c r="B107" s="215"/>
      <c r="C107" s="180" t="s">
        <v>117</v>
      </c>
      <c r="D107" s="133"/>
      <c r="E107" s="135"/>
      <c r="F107" s="135"/>
      <c r="G107" s="135"/>
      <c r="H107" s="242">
        <v>500</v>
      </c>
      <c r="I107" s="136" t="s">
        <v>128</v>
      </c>
      <c r="J107" s="213">
        <v>927.25</v>
      </c>
      <c r="K107" s="217">
        <f t="shared" si="6"/>
        <v>785.80508474576266</v>
      </c>
      <c r="L107" s="218">
        <f t="shared" si="7"/>
        <v>392902.54237288132</v>
      </c>
    </row>
    <row r="108" spans="1:12" x14ac:dyDescent="0.2">
      <c r="A108" s="124" t="s">
        <v>252</v>
      </c>
      <c r="B108" s="211" t="s">
        <v>199</v>
      </c>
      <c r="C108" s="245" t="s">
        <v>253</v>
      </c>
      <c r="D108" s="127"/>
      <c r="E108" s="129"/>
      <c r="F108" s="129"/>
      <c r="G108" s="129"/>
      <c r="H108" s="239"/>
      <c r="I108" s="130"/>
      <c r="J108" s="240"/>
      <c r="K108" s="217">
        <f t="shared" si="6"/>
        <v>0</v>
      </c>
      <c r="L108" s="218">
        <f t="shared" si="7"/>
        <v>0</v>
      </c>
    </row>
    <row r="109" spans="1:12" x14ac:dyDescent="0.2">
      <c r="A109" s="124"/>
      <c r="B109" s="211"/>
      <c r="C109" s="187" t="s">
        <v>418</v>
      </c>
      <c r="D109" s="133">
        <v>0</v>
      </c>
      <c r="E109" s="135">
        <f>1.05+0.125+0.125</f>
        <v>1.3</v>
      </c>
      <c r="F109" s="135">
        <f>2*G13+F13</f>
        <v>0.42499999999999999</v>
      </c>
      <c r="G109" s="135"/>
      <c r="H109" s="134">
        <f>D109*E109*F109</f>
        <v>0</v>
      </c>
      <c r="I109" s="136"/>
      <c r="J109" s="213"/>
      <c r="K109" s="217">
        <f t="shared" si="6"/>
        <v>0</v>
      </c>
      <c r="L109" s="218">
        <f t="shared" si="7"/>
        <v>0</v>
      </c>
    </row>
    <row r="110" spans="1:12" x14ac:dyDescent="0.2">
      <c r="A110" s="124"/>
      <c r="B110" s="211"/>
      <c r="C110" s="187" t="s">
        <v>293</v>
      </c>
      <c r="D110" s="133">
        <v>9</v>
      </c>
      <c r="E110" s="135">
        <f>1+0.125+0.125</f>
        <v>1.25</v>
      </c>
      <c r="F110" s="135">
        <f>2*G14+F14</f>
        <v>0.55000000000000004</v>
      </c>
      <c r="G110" s="135"/>
      <c r="H110" s="134">
        <f>D110*E110*F110</f>
        <v>6.1875000000000009</v>
      </c>
      <c r="I110" s="136"/>
      <c r="J110" s="213"/>
      <c r="K110" s="217">
        <f t="shared" si="6"/>
        <v>0</v>
      </c>
      <c r="L110" s="218">
        <f t="shared" si="7"/>
        <v>0</v>
      </c>
    </row>
    <row r="111" spans="1:12" x14ac:dyDescent="0.2">
      <c r="A111" s="124"/>
      <c r="B111" s="211"/>
      <c r="C111" s="187" t="s">
        <v>222</v>
      </c>
      <c r="D111" s="133">
        <v>3</v>
      </c>
      <c r="E111" s="135">
        <f>0.9+0.125+0.125</f>
        <v>1.1499999999999999</v>
      </c>
      <c r="F111" s="135">
        <f>2*G15+F15</f>
        <v>0.42499999999999999</v>
      </c>
      <c r="G111" s="135"/>
      <c r="H111" s="134">
        <f>D111*E111*F111</f>
        <v>1.4662499999999998</v>
      </c>
      <c r="I111" s="136"/>
      <c r="J111" s="213"/>
      <c r="K111" s="217">
        <f t="shared" si="6"/>
        <v>0</v>
      </c>
      <c r="L111" s="218">
        <f t="shared" si="7"/>
        <v>0</v>
      </c>
    </row>
    <row r="112" spans="1:12" x14ac:dyDescent="0.2">
      <c r="A112" s="124"/>
      <c r="B112" s="211"/>
      <c r="C112" s="220" t="s">
        <v>223</v>
      </c>
      <c r="D112" s="133">
        <v>7</v>
      </c>
      <c r="E112" s="135">
        <f>0.75+0.125+0.125</f>
        <v>1</v>
      </c>
      <c r="F112" s="135">
        <f>2*G16+F16</f>
        <v>0.42499999999999999</v>
      </c>
      <c r="G112" s="135"/>
      <c r="H112" s="134">
        <f>D112*E112*F112</f>
        <v>2.9750000000000001</v>
      </c>
      <c r="I112" s="136"/>
      <c r="J112" s="213"/>
      <c r="K112" s="217">
        <f t="shared" si="6"/>
        <v>0</v>
      </c>
      <c r="L112" s="218">
        <f t="shared" si="7"/>
        <v>0</v>
      </c>
    </row>
    <row r="113" spans="1:19" x14ac:dyDescent="0.2">
      <c r="A113" s="124"/>
      <c r="B113" s="211"/>
      <c r="C113" s="220" t="s">
        <v>419</v>
      </c>
      <c r="D113" s="133">
        <v>3</v>
      </c>
      <c r="E113" s="135">
        <f>0.9+0.25+0.25</f>
        <v>1.4</v>
      </c>
      <c r="F113" s="135">
        <f>2*G17+F17</f>
        <v>0.42499999999999999</v>
      </c>
      <c r="G113" s="135"/>
      <c r="H113" s="134">
        <f>D113*E113*F113</f>
        <v>1.7849999999999997</v>
      </c>
      <c r="I113" s="136"/>
      <c r="J113" s="213"/>
      <c r="K113" s="217">
        <f t="shared" si="6"/>
        <v>0</v>
      </c>
      <c r="L113" s="218">
        <f t="shared" si="7"/>
        <v>0</v>
      </c>
    </row>
    <row r="114" spans="1:19" x14ac:dyDescent="0.2">
      <c r="A114" s="124"/>
      <c r="B114" s="211"/>
      <c r="C114" s="187" t="s">
        <v>254</v>
      </c>
      <c r="D114" s="133"/>
      <c r="E114" s="135"/>
      <c r="F114" s="135"/>
      <c r="G114" s="135"/>
      <c r="H114" s="212"/>
      <c r="I114" s="136"/>
      <c r="J114" s="213"/>
      <c r="K114" s="217">
        <f t="shared" si="6"/>
        <v>0</v>
      </c>
      <c r="L114" s="218">
        <f t="shared" si="7"/>
        <v>0</v>
      </c>
    </row>
    <row r="115" spans="1:19" x14ac:dyDescent="0.2">
      <c r="A115" s="124"/>
      <c r="B115" s="211"/>
      <c r="C115" s="220" t="s">
        <v>255</v>
      </c>
      <c r="D115" s="133">
        <v>1</v>
      </c>
      <c r="E115" s="135">
        <f>E52</f>
        <v>340.70000000000005</v>
      </c>
      <c r="F115" s="135">
        <f>2*G20+F20</f>
        <v>1.19</v>
      </c>
      <c r="G115" s="135"/>
      <c r="H115" s="212">
        <f>D115*E115*F115</f>
        <v>405.43300000000005</v>
      </c>
      <c r="I115" s="136"/>
      <c r="J115" s="213"/>
      <c r="K115" s="217">
        <f t="shared" si="6"/>
        <v>0</v>
      </c>
      <c r="L115" s="218">
        <f t="shared" si="7"/>
        <v>0</v>
      </c>
    </row>
    <row r="116" spans="1:19" x14ac:dyDescent="0.2">
      <c r="A116" s="124"/>
      <c r="B116" s="211"/>
      <c r="C116" s="220" t="s">
        <v>682</v>
      </c>
      <c r="D116" s="133">
        <v>1</v>
      </c>
      <c r="E116" s="135">
        <f>E53</f>
        <v>1.6</v>
      </c>
      <c r="F116" s="135">
        <f>2* G48+F48</f>
        <v>1.0649999999999999</v>
      </c>
      <c r="G116" s="135"/>
      <c r="H116" s="212">
        <f>D116*E116*F116</f>
        <v>1.704</v>
      </c>
      <c r="I116" s="136"/>
      <c r="J116" s="213"/>
      <c r="K116" s="217">
        <f t="shared" si="6"/>
        <v>0</v>
      </c>
      <c r="L116" s="218">
        <f t="shared" si="7"/>
        <v>0</v>
      </c>
    </row>
    <row r="117" spans="1:19" x14ac:dyDescent="0.2">
      <c r="A117" s="124"/>
      <c r="B117" s="215"/>
      <c r="C117" s="223" t="s">
        <v>117</v>
      </c>
      <c r="D117" s="133"/>
      <c r="E117" s="135"/>
      <c r="F117" s="135"/>
      <c r="G117" s="135"/>
      <c r="H117" s="242">
        <v>400</v>
      </c>
      <c r="I117" s="136" t="s">
        <v>128</v>
      </c>
      <c r="J117" s="213">
        <v>736.4</v>
      </c>
      <c r="K117" s="217">
        <f t="shared" si="6"/>
        <v>624.06779661016947</v>
      </c>
      <c r="L117" s="218">
        <f t="shared" si="7"/>
        <v>249627.11864406778</v>
      </c>
    </row>
    <row r="118" spans="1:19" x14ac:dyDescent="0.2">
      <c r="A118" s="124" t="s">
        <v>257</v>
      </c>
      <c r="B118" s="211" t="s">
        <v>258</v>
      </c>
      <c r="C118" s="246" t="s">
        <v>259</v>
      </c>
      <c r="D118" s="247"/>
      <c r="E118" s="248"/>
      <c r="F118" s="248"/>
      <c r="G118" s="129"/>
      <c r="H118" s="239"/>
      <c r="I118" s="130"/>
      <c r="J118" s="240"/>
      <c r="K118" s="217">
        <f t="shared" si="6"/>
        <v>0</v>
      </c>
      <c r="L118" s="218">
        <f t="shared" si="7"/>
        <v>0</v>
      </c>
      <c r="P118" s="108"/>
      <c r="Q118" s="108"/>
      <c r="R118" s="108"/>
      <c r="S118" s="108"/>
    </row>
    <row r="119" spans="1:19" x14ac:dyDescent="0.2">
      <c r="A119" s="124"/>
      <c r="B119" s="211"/>
      <c r="C119" s="225" t="s">
        <v>420</v>
      </c>
      <c r="D119" s="226">
        <f>D67</f>
        <v>3</v>
      </c>
      <c r="E119" s="227">
        <f>E67</f>
        <v>1.8</v>
      </c>
      <c r="F119" s="227">
        <f>F67</f>
        <v>0.7</v>
      </c>
      <c r="G119" s="135"/>
      <c r="H119" s="212">
        <f>F119*E119*D119</f>
        <v>3.7800000000000002</v>
      </c>
      <c r="I119" s="136"/>
      <c r="J119" s="213"/>
      <c r="K119" s="217">
        <f t="shared" si="6"/>
        <v>0</v>
      </c>
      <c r="L119" s="218">
        <f t="shared" si="7"/>
        <v>0</v>
      </c>
    </row>
    <row r="120" spans="1:19" x14ac:dyDescent="0.2">
      <c r="A120" s="124"/>
      <c r="B120" s="211"/>
      <c r="C120" s="225" t="s">
        <v>421</v>
      </c>
      <c r="D120" s="226">
        <f>D68</f>
        <v>6</v>
      </c>
      <c r="E120" s="227">
        <f t="shared" ref="E120:F123" si="10">E68</f>
        <v>1.62</v>
      </c>
      <c r="F120" s="227">
        <f t="shared" si="10"/>
        <v>0.6</v>
      </c>
      <c r="G120" s="227"/>
      <c r="H120" s="212">
        <f>F120*E120*D120</f>
        <v>5.8319999999999999</v>
      </c>
      <c r="I120" s="136"/>
      <c r="J120" s="213"/>
      <c r="K120" s="217">
        <f t="shared" si="6"/>
        <v>0</v>
      </c>
      <c r="L120" s="218">
        <f t="shared" si="7"/>
        <v>0</v>
      </c>
    </row>
    <row r="121" spans="1:19" x14ac:dyDescent="0.2">
      <c r="A121" s="124"/>
      <c r="B121" s="211"/>
      <c r="C121" s="225" t="s">
        <v>422</v>
      </c>
      <c r="D121" s="226">
        <f>D69</f>
        <v>3</v>
      </c>
      <c r="E121" s="227">
        <f t="shared" si="10"/>
        <v>1.1499999999999999</v>
      </c>
      <c r="F121" s="227">
        <f t="shared" si="10"/>
        <v>0.6</v>
      </c>
      <c r="G121" s="227"/>
      <c r="H121" s="212">
        <f>F121*E121*D121</f>
        <v>2.0699999999999998</v>
      </c>
      <c r="I121" s="136"/>
      <c r="J121" s="213"/>
      <c r="K121" s="217">
        <f t="shared" si="6"/>
        <v>0</v>
      </c>
      <c r="L121" s="218">
        <f t="shared" si="7"/>
        <v>0</v>
      </c>
    </row>
    <row r="122" spans="1:19" x14ac:dyDescent="0.2">
      <c r="A122" s="124"/>
      <c r="B122" s="211"/>
      <c r="C122" s="225" t="s">
        <v>236</v>
      </c>
      <c r="D122" s="226">
        <v>3</v>
      </c>
      <c r="E122" s="227">
        <f t="shared" si="10"/>
        <v>1.7</v>
      </c>
      <c r="F122" s="227">
        <f t="shared" si="10"/>
        <v>0.6</v>
      </c>
      <c r="G122" s="227"/>
      <c r="H122" s="212">
        <f>F122*E122*D122</f>
        <v>3.06</v>
      </c>
      <c r="I122" s="136"/>
      <c r="J122" s="213"/>
      <c r="K122" s="217">
        <f t="shared" si="6"/>
        <v>0</v>
      </c>
      <c r="L122" s="218">
        <f t="shared" si="7"/>
        <v>0</v>
      </c>
    </row>
    <row r="123" spans="1:19" x14ac:dyDescent="0.2">
      <c r="A123" s="124"/>
      <c r="B123" s="211"/>
      <c r="C123" s="225" t="s">
        <v>282</v>
      </c>
      <c r="D123" s="226">
        <f>D71</f>
        <v>8</v>
      </c>
      <c r="E123" s="227">
        <f t="shared" si="10"/>
        <v>0.85</v>
      </c>
      <c r="F123" s="227">
        <f t="shared" si="10"/>
        <v>0.6</v>
      </c>
      <c r="G123" s="227"/>
      <c r="H123" s="212">
        <f>F123*E123*D123</f>
        <v>4.08</v>
      </c>
      <c r="I123" s="136"/>
      <c r="J123" s="213"/>
      <c r="K123" s="217">
        <f t="shared" si="6"/>
        <v>0</v>
      </c>
      <c r="L123" s="218">
        <f t="shared" si="7"/>
        <v>0</v>
      </c>
    </row>
    <row r="124" spans="1:19" x14ac:dyDescent="0.2">
      <c r="A124" s="124"/>
      <c r="B124" s="211"/>
      <c r="C124" s="236"/>
      <c r="D124" s="226"/>
      <c r="E124" s="227"/>
      <c r="F124" s="227"/>
      <c r="G124" s="135"/>
      <c r="H124" s="212"/>
      <c r="I124" s="136"/>
      <c r="J124" s="213"/>
      <c r="K124" s="217">
        <f t="shared" si="6"/>
        <v>0</v>
      </c>
      <c r="L124" s="218">
        <f t="shared" si="7"/>
        <v>0</v>
      </c>
      <c r="P124" s="108"/>
      <c r="Q124" s="108"/>
      <c r="R124" s="108"/>
      <c r="S124" s="108"/>
    </row>
    <row r="125" spans="1:19" x14ac:dyDescent="0.2">
      <c r="A125" s="124"/>
      <c r="B125" s="233"/>
      <c r="C125" s="180" t="s">
        <v>117</v>
      </c>
      <c r="D125" s="133"/>
      <c r="E125" s="135"/>
      <c r="F125" s="135"/>
      <c r="G125" s="135"/>
      <c r="H125" s="242">
        <v>17.5</v>
      </c>
      <c r="I125" s="136" t="s">
        <v>128</v>
      </c>
      <c r="J125" s="213">
        <v>951.1</v>
      </c>
      <c r="K125" s="217">
        <f t="shared" si="6"/>
        <v>806.01694915254234</v>
      </c>
      <c r="L125" s="218">
        <f t="shared" si="7"/>
        <v>14105.296610169491</v>
      </c>
    </row>
    <row r="126" spans="1:19" x14ac:dyDescent="0.2">
      <c r="A126" s="124" t="s">
        <v>261</v>
      </c>
      <c r="B126" s="211" t="s">
        <v>203</v>
      </c>
      <c r="C126" s="250" t="s">
        <v>262</v>
      </c>
      <c r="D126" s="127"/>
      <c r="E126" s="129"/>
      <c r="F126" s="129"/>
      <c r="G126" s="129"/>
      <c r="H126" s="239"/>
      <c r="I126" s="130"/>
      <c r="J126" s="240"/>
      <c r="K126" s="217">
        <f t="shared" si="6"/>
        <v>0</v>
      </c>
      <c r="L126" s="218">
        <f t="shared" si="7"/>
        <v>0</v>
      </c>
    </row>
    <row r="127" spans="1:19" x14ac:dyDescent="0.2">
      <c r="A127" s="124"/>
      <c r="B127" s="211"/>
      <c r="C127" s="132" t="s">
        <v>139</v>
      </c>
      <c r="D127" s="133">
        <f>D7</f>
        <v>18</v>
      </c>
      <c r="E127" s="134">
        <f>2*(E7+F7)</f>
        <v>1.7999999999999998</v>
      </c>
      <c r="F127" s="134"/>
      <c r="G127" s="134">
        <f>G7</f>
        <v>2.4</v>
      </c>
      <c r="H127" s="212">
        <f>G127*E127*D127</f>
        <v>77.759999999999991</v>
      </c>
      <c r="I127" s="136"/>
      <c r="J127" s="213"/>
      <c r="K127" s="217">
        <f t="shared" si="6"/>
        <v>0</v>
      </c>
      <c r="L127" s="218">
        <f t="shared" si="7"/>
        <v>0</v>
      </c>
    </row>
    <row r="128" spans="1:19" x14ac:dyDescent="0.2">
      <c r="A128" s="124"/>
      <c r="B128" s="211"/>
      <c r="C128" s="132" t="s">
        <v>140</v>
      </c>
      <c r="D128" s="133">
        <f>D8</f>
        <v>14</v>
      </c>
      <c r="E128" s="134">
        <f>2*(E8+F8)</f>
        <v>1.7999999999999998</v>
      </c>
      <c r="F128" s="134"/>
      <c r="G128" s="134">
        <f>G8</f>
        <v>2.4</v>
      </c>
      <c r="H128" s="212">
        <f>G128*E128*D128</f>
        <v>60.47999999999999</v>
      </c>
      <c r="I128" s="136"/>
      <c r="J128" s="213"/>
      <c r="K128" s="217">
        <f t="shared" si="6"/>
        <v>0</v>
      </c>
      <c r="L128" s="218">
        <f t="shared" si="7"/>
        <v>0</v>
      </c>
    </row>
    <row r="129" spans="1:12" x14ac:dyDescent="0.2">
      <c r="A129" s="124"/>
      <c r="B129" s="211"/>
      <c r="C129" s="132" t="s">
        <v>597</v>
      </c>
      <c r="D129" s="133">
        <f>D9</f>
        <v>15</v>
      </c>
      <c r="E129" s="134">
        <f>2*(E9+F9)</f>
        <v>1.7999999999999998</v>
      </c>
      <c r="F129" s="134"/>
      <c r="G129" s="134">
        <f>G9</f>
        <v>2.4</v>
      </c>
      <c r="H129" s="212">
        <f>G129*E129*D129</f>
        <v>64.8</v>
      </c>
      <c r="I129" s="136"/>
      <c r="J129" s="213"/>
      <c r="K129" s="217">
        <f t="shared" si="6"/>
        <v>0</v>
      </c>
      <c r="L129" s="218">
        <f t="shared" si="7"/>
        <v>0</v>
      </c>
    </row>
    <row r="130" spans="1:12" x14ac:dyDescent="0.2">
      <c r="A130" s="124"/>
      <c r="B130" s="215"/>
      <c r="C130" s="223" t="s">
        <v>117</v>
      </c>
      <c r="D130" s="133"/>
      <c r="E130" s="135"/>
      <c r="F130" s="135"/>
      <c r="G130" s="135"/>
      <c r="H130" s="242">
        <v>205</v>
      </c>
      <c r="I130" s="136" t="s">
        <v>128</v>
      </c>
      <c r="J130" s="213">
        <v>961.3</v>
      </c>
      <c r="K130" s="217">
        <f t="shared" si="6"/>
        <v>814.66101694915255</v>
      </c>
      <c r="L130" s="218">
        <f t="shared" si="7"/>
        <v>167005.50847457629</v>
      </c>
    </row>
    <row r="131" spans="1:12" x14ac:dyDescent="0.2">
      <c r="A131" s="124" t="s">
        <v>263</v>
      </c>
      <c r="B131" s="211" t="s">
        <v>264</v>
      </c>
      <c r="C131" s="245" t="s">
        <v>265</v>
      </c>
      <c r="D131" s="127"/>
      <c r="E131" s="129"/>
      <c r="F131" s="129"/>
      <c r="G131" s="129"/>
      <c r="H131" s="239"/>
      <c r="I131" s="130"/>
      <c r="J131" s="240"/>
      <c r="K131" s="217">
        <f t="shared" si="6"/>
        <v>0</v>
      </c>
      <c r="L131" s="218">
        <f t="shared" si="7"/>
        <v>0</v>
      </c>
    </row>
    <row r="132" spans="1:12" x14ac:dyDescent="0.2">
      <c r="A132" s="124"/>
      <c r="B132" s="211"/>
      <c r="C132" s="220" t="s">
        <v>241</v>
      </c>
      <c r="D132" s="133">
        <v>2</v>
      </c>
      <c r="E132" s="135">
        <f>E76</f>
        <v>3.6</v>
      </c>
      <c r="F132" s="135">
        <f>F76</f>
        <v>1.2749999999999999</v>
      </c>
      <c r="G132" s="135"/>
      <c r="H132" s="212">
        <f t="shared" ref="H132:H137" si="11">F132*E132*D132</f>
        <v>9.18</v>
      </c>
      <c r="I132" s="136"/>
      <c r="J132" s="213"/>
      <c r="K132" s="217">
        <f t="shared" si="6"/>
        <v>0</v>
      </c>
      <c r="L132" s="218">
        <f t="shared" si="7"/>
        <v>0</v>
      </c>
    </row>
    <row r="133" spans="1:12" x14ac:dyDescent="0.2">
      <c r="A133" s="124"/>
      <c r="B133" s="211"/>
      <c r="C133" s="220" t="s">
        <v>641</v>
      </c>
      <c r="D133" s="133">
        <v>1</v>
      </c>
      <c r="E133" s="135">
        <f>E77</f>
        <v>1.325</v>
      </c>
      <c r="F133" s="135">
        <f>F77</f>
        <v>2.7</v>
      </c>
      <c r="G133" s="134"/>
      <c r="H133" s="212">
        <f t="shared" si="11"/>
        <v>3.5775000000000001</v>
      </c>
      <c r="I133" s="136"/>
      <c r="J133" s="213"/>
      <c r="K133" s="217">
        <f t="shared" si="6"/>
        <v>0</v>
      </c>
      <c r="L133" s="218">
        <f t="shared" si="7"/>
        <v>0</v>
      </c>
    </row>
    <row r="134" spans="1:12" x14ac:dyDescent="0.2">
      <c r="A134" s="124"/>
      <c r="B134" s="211"/>
      <c r="C134" s="220" t="s">
        <v>642</v>
      </c>
      <c r="D134" s="133">
        <v>20</v>
      </c>
      <c r="E134" s="135">
        <f>E78</f>
        <v>1.2749999999999999</v>
      </c>
      <c r="F134" s="135">
        <v>0.25</v>
      </c>
      <c r="G134" s="134"/>
      <c r="H134" s="212">
        <f t="shared" si="11"/>
        <v>6.375</v>
      </c>
      <c r="I134" s="136"/>
      <c r="J134" s="213"/>
      <c r="K134" s="217">
        <f t="shared" si="6"/>
        <v>0</v>
      </c>
      <c r="L134" s="218">
        <f t="shared" si="7"/>
        <v>0</v>
      </c>
    </row>
    <row r="135" spans="1:12" x14ac:dyDescent="0.2">
      <c r="A135" s="124"/>
      <c r="B135" s="211"/>
      <c r="C135" s="237" t="s">
        <v>727</v>
      </c>
      <c r="D135" s="133">
        <v>2</v>
      </c>
      <c r="E135" s="135">
        <f>E79</f>
        <v>1.8</v>
      </c>
      <c r="F135" s="135">
        <f>F79</f>
        <v>0.9</v>
      </c>
      <c r="G135" s="135"/>
      <c r="H135" s="212">
        <f t="shared" si="11"/>
        <v>3.24</v>
      </c>
      <c r="I135" s="136"/>
      <c r="J135" s="236"/>
      <c r="K135" s="217">
        <f t="shared" si="6"/>
        <v>0</v>
      </c>
      <c r="L135" s="218">
        <f t="shared" si="7"/>
        <v>0</v>
      </c>
    </row>
    <row r="136" spans="1:12" x14ac:dyDescent="0.2">
      <c r="A136" s="124"/>
      <c r="B136" s="211"/>
      <c r="C136" s="132" t="s">
        <v>242</v>
      </c>
      <c r="D136" s="133">
        <v>1</v>
      </c>
      <c r="E136" s="135">
        <f>E80</f>
        <v>0.9</v>
      </c>
      <c r="F136" s="135">
        <f>F80</f>
        <v>9</v>
      </c>
      <c r="G136" s="135"/>
      <c r="H136" s="212">
        <f t="shared" si="11"/>
        <v>8.1</v>
      </c>
      <c r="I136" s="136"/>
      <c r="J136" s="236"/>
      <c r="K136" s="217">
        <f t="shared" si="6"/>
        <v>0</v>
      </c>
      <c r="L136" s="218">
        <f t="shared" si="7"/>
        <v>0</v>
      </c>
    </row>
    <row r="137" spans="1:12" x14ac:dyDescent="0.2">
      <c r="A137" s="124"/>
      <c r="B137" s="211"/>
      <c r="C137" s="237" t="s">
        <v>243</v>
      </c>
      <c r="D137" s="133">
        <v>15</v>
      </c>
      <c r="E137" s="135">
        <f>E81</f>
        <v>0.9</v>
      </c>
      <c r="F137" s="135">
        <f>F81</f>
        <v>0.25</v>
      </c>
      <c r="G137" s="135"/>
      <c r="H137" s="212">
        <f t="shared" si="11"/>
        <v>3.375</v>
      </c>
      <c r="I137" s="136"/>
      <c r="J137" s="236"/>
      <c r="K137" s="217">
        <f t="shared" si="6"/>
        <v>0</v>
      </c>
      <c r="L137" s="218">
        <f t="shared" si="7"/>
        <v>0</v>
      </c>
    </row>
    <row r="138" spans="1:12" x14ac:dyDescent="0.2">
      <c r="A138" s="139"/>
      <c r="B138" s="215"/>
      <c r="C138" s="221" t="s">
        <v>117</v>
      </c>
      <c r="D138" s="142"/>
      <c r="E138" s="145"/>
      <c r="F138" s="145"/>
      <c r="G138" s="145"/>
      <c r="H138" s="216">
        <v>35</v>
      </c>
      <c r="I138" s="141" t="s">
        <v>128</v>
      </c>
      <c r="J138" s="217">
        <v>764.95</v>
      </c>
      <c r="K138" s="217">
        <f t="shared" si="6"/>
        <v>648.26271186440681</v>
      </c>
      <c r="L138" s="218">
        <f t="shared" si="7"/>
        <v>22689.194915254237</v>
      </c>
    </row>
    <row r="139" spans="1:12" s="256" customFormat="1" ht="38.25" x14ac:dyDescent="0.2">
      <c r="A139" s="116">
        <v>5</v>
      </c>
      <c r="B139" s="117">
        <v>6.4</v>
      </c>
      <c r="C139" s="251" t="s">
        <v>267</v>
      </c>
      <c r="D139" s="116"/>
      <c r="E139" s="252"/>
      <c r="F139" s="252"/>
      <c r="G139" s="252"/>
      <c r="H139" s="253"/>
      <c r="I139" s="254"/>
      <c r="J139" s="255"/>
      <c r="K139" s="217">
        <f t="shared" ref="K139:K202" si="12">J139*100/118</f>
        <v>0</v>
      </c>
      <c r="L139" s="218">
        <f t="shared" ref="L139:L202" si="13">K139*H139</f>
        <v>0</v>
      </c>
    </row>
    <row r="140" spans="1:12" s="256" customFormat="1" ht="30" customHeight="1" x14ac:dyDescent="0.2">
      <c r="A140" s="124"/>
      <c r="B140" s="125" t="s">
        <v>268</v>
      </c>
      <c r="C140" s="257" t="s">
        <v>269</v>
      </c>
      <c r="D140" s="124"/>
      <c r="E140" s="258"/>
      <c r="F140" s="258"/>
      <c r="G140" s="258"/>
      <c r="H140" s="259"/>
      <c r="I140" s="260"/>
      <c r="J140" s="261"/>
      <c r="K140" s="217">
        <f t="shared" si="12"/>
        <v>0</v>
      </c>
      <c r="L140" s="218">
        <f t="shared" si="13"/>
        <v>0</v>
      </c>
    </row>
    <row r="141" spans="1:12" x14ac:dyDescent="0.2">
      <c r="A141" s="124"/>
      <c r="B141" s="125"/>
      <c r="C141" s="262" t="s">
        <v>424</v>
      </c>
      <c r="D141" s="133"/>
      <c r="E141" s="135"/>
      <c r="F141" s="135"/>
      <c r="G141" s="135"/>
      <c r="H141" s="212"/>
      <c r="I141" s="136"/>
      <c r="J141" s="213"/>
      <c r="K141" s="217">
        <f t="shared" si="12"/>
        <v>0</v>
      </c>
      <c r="L141" s="218">
        <f t="shared" si="13"/>
        <v>0</v>
      </c>
    </row>
    <row r="142" spans="1:12" x14ac:dyDescent="0.2">
      <c r="A142" s="124"/>
      <c r="B142" s="211"/>
      <c r="C142" s="225" t="s">
        <v>683</v>
      </c>
      <c r="D142" s="133">
        <v>1</v>
      </c>
      <c r="E142" s="135">
        <v>11.475</v>
      </c>
      <c r="F142" s="135">
        <v>0.25</v>
      </c>
      <c r="G142" s="135">
        <f t="shared" ref="G142:G151" si="14">3-0.6</f>
        <v>2.4</v>
      </c>
      <c r="H142" s="212">
        <f t="shared" ref="H142:H148" si="15">G142*F142*E142*D142</f>
        <v>6.8849999999999998</v>
      </c>
      <c r="I142" s="136"/>
      <c r="J142" s="213"/>
      <c r="K142" s="217">
        <f t="shared" si="12"/>
        <v>0</v>
      </c>
      <c r="L142" s="218">
        <f t="shared" si="13"/>
        <v>0</v>
      </c>
    </row>
    <row r="143" spans="1:12" x14ac:dyDescent="0.2">
      <c r="A143" s="124"/>
      <c r="B143" s="211"/>
      <c r="C143" s="325" t="s">
        <v>684</v>
      </c>
      <c r="D143" s="133">
        <v>1</v>
      </c>
      <c r="E143" s="134">
        <f>20.75-0.3*2+0.6*3</f>
        <v>21.95</v>
      </c>
      <c r="F143" s="135">
        <v>0.25</v>
      </c>
      <c r="G143" s="135">
        <f t="shared" si="14"/>
        <v>2.4</v>
      </c>
      <c r="H143" s="212">
        <f t="shared" si="15"/>
        <v>13.17</v>
      </c>
      <c r="I143" s="136"/>
      <c r="J143" s="213"/>
      <c r="K143" s="217">
        <f t="shared" si="12"/>
        <v>0</v>
      </c>
      <c r="L143" s="218">
        <f t="shared" si="13"/>
        <v>0</v>
      </c>
    </row>
    <row r="144" spans="1:12" x14ac:dyDescent="0.2">
      <c r="A144" s="124"/>
      <c r="B144" s="211"/>
      <c r="C144" s="325" t="s">
        <v>685</v>
      </c>
      <c r="D144" s="133">
        <v>2</v>
      </c>
      <c r="E144" s="134">
        <v>8.5</v>
      </c>
      <c r="F144" s="135">
        <v>0.25</v>
      </c>
      <c r="G144" s="135">
        <f t="shared" si="14"/>
        <v>2.4</v>
      </c>
      <c r="H144" s="212">
        <f t="shared" si="15"/>
        <v>10.199999999999999</v>
      </c>
      <c r="I144" s="136"/>
      <c r="J144" s="213"/>
      <c r="K144" s="217">
        <f t="shared" si="12"/>
        <v>0</v>
      </c>
      <c r="L144" s="218">
        <f t="shared" si="13"/>
        <v>0</v>
      </c>
    </row>
    <row r="145" spans="1:12" x14ac:dyDescent="0.2">
      <c r="A145" s="124"/>
      <c r="B145" s="211"/>
      <c r="C145" s="325" t="s">
        <v>666</v>
      </c>
      <c r="D145" s="133">
        <v>1</v>
      </c>
      <c r="E145" s="134">
        <v>4.95</v>
      </c>
      <c r="F145" s="135">
        <v>0.25</v>
      </c>
      <c r="G145" s="135">
        <f t="shared" si="14"/>
        <v>2.4</v>
      </c>
      <c r="H145" s="212">
        <f t="shared" si="15"/>
        <v>2.97</v>
      </c>
      <c r="I145" s="136"/>
      <c r="J145" s="213"/>
      <c r="K145" s="217">
        <f t="shared" si="12"/>
        <v>0</v>
      </c>
      <c r="L145" s="218">
        <f t="shared" si="13"/>
        <v>0</v>
      </c>
    </row>
    <row r="146" spans="1:12" x14ac:dyDescent="0.2">
      <c r="A146" s="124"/>
      <c r="B146" s="211"/>
      <c r="C146" s="325" t="s">
        <v>686</v>
      </c>
      <c r="D146" s="133">
        <v>1</v>
      </c>
      <c r="E146" s="134">
        <v>4.9749999999999996</v>
      </c>
      <c r="F146" s="135">
        <v>0.25</v>
      </c>
      <c r="G146" s="135">
        <f t="shared" si="14"/>
        <v>2.4</v>
      </c>
      <c r="H146" s="212">
        <f>G146*F146*E146*D146</f>
        <v>2.9849999999999999</v>
      </c>
      <c r="I146" s="136"/>
      <c r="J146" s="213"/>
      <c r="K146" s="217">
        <f t="shared" si="12"/>
        <v>0</v>
      </c>
      <c r="L146" s="218">
        <f t="shared" si="13"/>
        <v>0</v>
      </c>
    </row>
    <row r="147" spans="1:12" x14ac:dyDescent="0.2">
      <c r="A147" s="124"/>
      <c r="B147" s="211"/>
      <c r="C147" s="325" t="s">
        <v>687</v>
      </c>
      <c r="D147" s="133">
        <v>1</v>
      </c>
      <c r="E147" s="134">
        <v>11.92</v>
      </c>
      <c r="F147" s="135">
        <v>0.25</v>
      </c>
      <c r="G147" s="135">
        <f t="shared" si="14"/>
        <v>2.4</v>
      </c>
      <c r="H147" s="212">
        <f t="shared" si="15"/>
        <v>7.1520000000000001</v>
      </c>
      <c r="I147" s="136"/>
      <c r="J147" s="213"/>
      <c r="K147" s="217">
        <f t="shared" si="12"/>
        <v>0</v>
      </c>
      <c r="L147" s="218">
        <f t="shared" si="13"/>
        <v>0</v>
      </c>
    </row>
    <row r="148" spans="1:12" x14ac:dyDescent="0.2">
      <c r="A148" s="124"/>
      <c r="B148" s="211"/>
      <c r="C148" s="325" t="s">
        <v>688</v>
      </c>
      <c r="D148" s="133">
        <v>1</v>
      </c>
      <c r="E148" s="134">
        <v>7.02</v>
      </c>
      <c r="F148" s="135">
        <v>0.25</v>
      </c>
      <c r="G148" s="135">
        <f t="shared" si="14"/>
        <v>2.4</v>
      </c>
      <c r="H148" s="212">
        <f t="shared" si="15"/>
        <v>4.2119999999999997</v>
      </c>
      <c r="I148" s="136"/>
      <c r="J148" s="213"/>
      <c r="K148" s="217">
        <f t="shared" si="12"/>
        <v>0</v>
      </c>
      <c r="L148" s="218">
        <f t="shared" si="13"/>
        <v>0</v>
      </c>
    </row>
    <row r="149" spans="1:12" x14ac:dyDescent="0.2">
      <c r="A149" s="124"/>
      <c r="B149" s="211"/>
      <c r="C149" s="325" t="s">
        <v>689</v>
      </c>
      <c r="D149" s="133">
        <v>1</v>
      </c>
      <c r="E149" s="134">
        <v>15.75</v>
      </c>
      <c r="F149" s="135">
        <v>0.25</v>
      </c>
      <c r="G149" s="135">
        <f t="shared" si="14"/>
        <v>2.4</v>
      </c>
      <c r="H149" s="212">
        <f>G149*F149*E149*D149</f>
        <v>9.4499999999999993</v>
      </c>
      <c r="I149" s="136"/>
      <c r="J149" s="213"/>
      <c r="K149" s="217">
        <f t="shared" si="12"/>
        <v>0</v>
      </c>
      <c r="L149" s="218">
        <f t="shared" si="13"/>
        <v>0</v>
      </c>
    </row>
    <row r="150" spans="1:12" x14ac:dyDescent="0.2">
      <c r="A150" s="124"/>
      <c r="B150" s="211"/>
      <c r="C150" s="325" t="s">
        <v>690</v>
      </c>
      <c r="D150" s="133">
        <v>1</v>
      </c>
      <c r="E150" s="134">
        <f>2.475+1.5+3.48+4.7</f>
        <v>12.155000000000001</v>
      </c>
      <c r="F150" s="135">
        <v>0.25</v>
      </c>
      <c r="G150" s="135">
        <f t="shared" si="14"/>
        <v>2.4</v>
      </c>
      <c r="H150" s="212">
        <f>G150*F150*E150*D150</f>
        <v>7.2930000000000001</v>
      </c>
      <c r="I150" s="136"/>
      <c r="J150" s="213"/>
      <c r="K150" s="217">
        <f t="shared" si="12"/>
        <v>0</v>
      </c>
      <c r="L150" s="218">
        <f t="shared" si="13"/>
        <v>0</v>
      </c>
    </row>
    <row r="151" spans="1:12" x14ac:dyDescent="0.2">
      <c r="A151" s="124"/>
      <c r="B151" s="211"/>
      <c r="C151" s="325" t="s">
        <v>691</v>
      </c>
      <c r="D151" s="133">
        <v>1</v>
      </c>
      <c r="E151" s="134">
        <v>12.95</v>
      </c>
      <c r="F151" s="135">
        <v>0.25</v>
      </c>
      <c r="G151" s="135">
        <f t="shared" si="14"/>
        <v>2.4</v>
      </c>
      <c r="H151" s="212">
        <f>G151*F151*E151*D151</f>
        <v>7.77</v>
      </c>
      <c r="I151" s="136"/>
      <c r="J151" s="213"/>
      <c r="K151" s="217">
        <f t="shared" si="12"/>
        <v>0</v>
      </c>
      <c r="L151" s="218">
        <f t="shared" si="13"/>
        <v>0</v>
      </c>
    </row>
    <row r="152" spans="1:12" x14ac:dyDescent="0.2">
      <c r="A152" s="124"/>
      <c r="B152" s="211"/>
      <c r="C152" s="325" t="s">
        <v>448</v>
      </c>
      <c r="D152" s="133"/>
      <c r="E152" s="134">
        <f>SUM(E142*D142+E143*D143+E144*D144+E145*D145+ E146* D146+E147*D147+E148*D148+E149*D149+E150*D150 + E151* D151)</f>
        <v>120.145</v>
      </c>
      <c r="F152" s="135"/>
      <c r="G152" s="135"/>
      <c r="H152" s="212"/>
      <c r="I152" s="136"/>
      <c r="J152" s="213"/>
      <c r="K152" s="217">
        <f t="shared" si="12"/>
        <v>0</v>
      </c>
      <c r="L152" s="218">
        <f t="shared" si="13"/>
        <v>0</v>
      </c>
    </row>
    <row r="153" spans="1:12" x14ac:dyDescent="0.2">
      <c r="A153" s="124"/>
      <c r="B153" s="125"/>
      <c r="C153" s="262" t="s">
        <v>449</v>
      </c>
      <c r="D153" s="133"/>
      <c r="E153" s="135"/>
      <c r="F153" s="135"/>
      <c r="G153" s="135"/>
      <c r="H153" s="212"/>
      <c r="I153" s="136"/>
      <c r="J153" s="213"/>
      <c r="K153" s="217">
        <f t="shared" si="12"/>
        <v>0</v>
      </c>
      <c r="L153" s="218">
        <f t="shared" si="13"/>
        <v>0</v>
      </c>
    </row>
    <row r="154" spans="1:12" x14ac:dyDescent="0.2">
      <c r="A154" s="124"/>
      <c r="B154" s="125"/>
      <c r="C154" s="225" t="s">
        <v>662</v>
      </c>
      <c r="D154" s="133">
        <v>1</v>
      </c>
      <c r="E154" s="135">
        <v>2.15</v>
      </c>
      <c r="F154" s="135">
        <v>0.25</v>
      </c>
      <c r="G154" s="135">
        <f t="shared" ref="G154:G159" si="16">3-0.6</f>
        <v>2.4</v>
      </c>
      <c r="H154" s="212">
        <f t="shared" ref="H154:H159" si="17">G154*F154*E154*D154</f>
        <v>1.2899999999999998</v>
      </c>
      <c r="I154" s="136"/>
      <c r="J154" s="213"/>
      <c r="K154" s="217">
        <f t="shared" si="12"/>
        <v>0</v>
      </c>
      <c r="L154" s="218">
        <f t="shared" si="13"/>
        <v>0</v>
      </c>
    </row>
    <row r="155" spans="1:12" x14ac:dyDescent="0.2">
      <c r="A155" s="124"/>
      <c r="B155" s="125"/>
      <c r="C155" s="225" t="s">
        <v>692</v>
      </c>
      <c r="D155" s="133">
        <v>1</v>
      </c>
      <c r="E155" s="135">
        <v>7.17</v>
      </c>
      <c r="F155" s="135">
        <v>0.25</v>
      </c>
      <c r="G155" s="135">
        <f t="shared" si="16"/>
        <v>2.4</v>
      </c>
      <c r="H155" s="212">
        <f t="shared" si="17"/>
        <v>4.3019999999999996</v>
      </c>
      <c r="I155" s="136"/>
      <c r="J155" s="213"/>
      <c r="K155" s="217">
        <f t="shared" si="12"/>
        <v>0</v>
      </c>
      <c r="L155" s="218">
        <f t="shared" si="13"/>
        <v>0</v>
      </c>
    </row>
    <row r="156" spans="1:12" x14ac:dyDescent="0.2">
      <c r="A156" s="124"/>
      <c r="B156" s="125"/>
      <c r="C156" s="225" t="s">
        <v>693</v>
      </c>
      <c r="D156" s="133">
        <v>1</v>
      </c>
      <c r="E156" s="135">
        <v>2.25</v>
      </c>
      <c r="F156" s="135">
        <v>0.25</v>
      </c>
      <c r="G156" s="135">
        <f t="shared" si="16"/>
        <v>2.4</v>
      </c>
      <c r="H156" s="212">
        <f t="shared" si="17"/>
        <v>1.3499999999999999</v>
      </c>
      <c r="I156" s="136"/>
      <c r="J156" s="213"/>
      <c r="K156" s="217">
        <f t="shared" si="12"/>
        <v>0</v>
      </c>
      <c r="L156" s="218">
        <f t="shared" si="13"/>
        <v>0</v>
      </c>
    </row>
    <row r="157" spans="1:12" x14ac:dyDescent="0.2">
      <c r="A157" s="124"/>
      <c r="B157" s="125"/>
      <c r="C157" s="225" t="s">
        <v>694</v>
      </c>
      <c r="D157" s="133">
        <v>1</v>
      </c>
      <c r="E157" s="135">
        <v>3.05</v>
      </c>
      <c r="F157" s="135">
        <v>0.25</v>
      </c>
      <c r="G157" s="135">
        <f t="shared" si="16"/>
        <v>2.4</v>
      </c>
      <c r="H157" s="212">
        <f t="shared" si="17"/>
        <v>1.8299999999999998</v>
      </c>
      <c r="I157" s="136"/>
      <c r="J157" s="213"/>
      <c r="K157" s="217">
        <f t="shared" si="12"/>
        <v>0</v>
      </c>
      <c r="L157" s="218">
        <f t="shared" si="13"/>
        <v>0</v>
      </c>
    </row>
    <row r="158" spans="1:12" x14ac:dyDescent="0.2">
      <c r="A158" s="124"/>
      <c r="B158" s="211"/>
      <c r="C158" s="225" t="s">
        <v>666</v>
      </c>
      <c r="D158" s="133">
        <v>1</v>
      </c>
      <c r="E158" s="135">
        <v>6.0750000000000002</v>
      </c>
      <c r="F158" s="135">
        <v>0.25</v>
      </c>
      <c r="G158" s="135">
        <f t="shared" si="16"/>
        <v>2.4</v>
      </c>
      <c r="H158" s="212">
        <f t="shared" si="17"/>
        <v>3.645</v>
      </c>
      <c r="I158" s="136"/>
      <c r="J158" s="213"/>
      <c r="K158" s="217">
        <f t="shared" si="12"/>
        <v>0</v>
      </c>
      <c r="L158" s="218">
        <f t="shared" si="13"/>
        <v>0</v>
      </c>
    </row>
    <row r="159" spans="1:12" x14ac:dyDescent="0.2">
      <c r="A159" s="124"/>
      <c r="B159" s="211"/>
      <c r="C159" s="225" t="s">
        <v>695</v>
      </c>
      <c r="D159" s="133">
        <v>1</v>
      </c>
      <c r="E159" s="135">
        <v>7.7919999999999998</v>
      </c>
      <c r="F159" s="135">
        <v>0.25</v>
      </c>
      <c r="G159" s="135">
        <f t="shared" si="16"/>
        <v>2.4</v>
      </c>
      <c r="H159" s="212">
        <f t="shared" si="17"/>
        <v>4.6751999999999994</v>
      </c>
      <c r="I159" s="136"/>
      <c r="J159" s="213"/>
      <c r="K159" s="217">
        <f t="shared" si="12"/>
        <v>0</v>
      </c>
      <c r="L159" s="218">
        <f t="shared" si="13"/>
        <v>0</v>
      </c>
    </row>
    <row r="160" spans="1:12" x14ac:dyDescent="0.2">
      <c r="A160" s="124"/>
      <c r="B160" s="211"/>
      <c r="C160" s="326" t="s">
        <v>455</v>
      </c>
      <c r="D160" s="133"/>
      <c r="E160" s="134">
        <f>SUM(E154:E159)</f>
        <v>28.487000000000002</v>
      </c>
      <c r="F160" s="135"/>
      <c r="G160" s="135"/>
      <c r="H160" s="212"/>
      <c r="I160" s="136"/>
      <c r="J160" s="213"/>
      <c r="K160" s="217">
        <f t="shared" si="12"/>
        <v>0</v>
      </c>
      <c r="L160" s="218">
        <f t="shared" si="13"/>
        <v>0</v>
      </c>
    </row>
    <row r="161" spans="1:12" x14ac:dyDescent="0.2">
      <c r="A161" s="124"/>
      <c r="B161" s="211"/>
      <c r="C161" s="191" t="s">
        <v>271</v>
      </c>
      <c r="D161" s="133"/>
      <c r="E161" s="134"/>
      <c r="F161" s="134"/>
      <c r="G161" s="134"/>
      <c r="H161" s="212"/>
      <c r="I161" s="136"/>
      <c r="J161" s="236"/>
      <c r="K161" s="217">
        <f t="shared" si="12"/>
        <v>0</v>
      </c>
      <c r="L161" s="218">
        <f t="shared" si="13"/>
        <v>0</v>
      </c>
    </row>
    <row r="162" spans="1:12" x14ac:dyDescent="0.2">
      <c r="A162" s="124"/>
      <c r="B162" s="211"/>
      <c r="C162" s="183" t="s">
        <v>418</v>
      </c>
      <c r="D162" s="133">
        <v>-2</v>
      </c>
      <c r="E162" s="135">
        <v>1.05</v>
      </c>
      <c r="F162" s="135">
        <v>0.25</v>
      </c>
      <c r="G162" s="135">
        <v>2.4</v>
      </c>
      <c r="H162" s="212">
        <f t="shared" ref="H162:H169" si="18">G162*F162*E162*D162</f>
        <v>-1.26</v>
      </c>
      <c r="I162" s="136"/>
      <c r="J162" s="236"/>
      <c r="K162" s="217">
        <f t="shared" si="12"/>
        <v>0</v>
      </c>
      <c r="L162" s="218">
        <f t="shared" si="13"/>
        <v>0</v>
      </c>
    </row>
    <row r="163" spans="1:12" x14ac:dyDescent="0.2">
      <c r="A163" s="124"/>
      <c r="B163" s="211"/>
      <c r="C163" s="183" t="s">
        <v>419</v>
      </c>
      <c r="D163" s="133">
        <v>-3</v>
      </c>
      <c r="E163" s="135">
        <v>0.9</v>
      </c>
      <c r="F163" s="135">
        <v>0.25</v>
      </c>
      <c r="G163" s="135">
        <v>2.4</v>
      </c>
      <c r="H163" s="212">
        <f t="shared" si="18"/>
        <v>-1.62</v>
      </c>
      <c r="I163" s="136"/>
      <c r="J163" s="236"/>
      <c r="K163" s="217">
        <f t="shared" si="12"/>
        <v>0</v>
      </c>
      <c r="L163" s="218">
        <f t="shared" si="13"/>
        <v>0</v>
      </c>
    </row>
    <row r="164" spans="1:12" x14ac:dyDescent="0.2">
      <c r="A164" s="124"/>
      <c r="B164" s="211"/>
      <c r="C164" s="183" t="s">
        <v>696</v>
      </c>
      <c r="D164" s="133">
        <v>-3</v>
      </c>
      <c r="E164" s="135">
        <v>1.8</v>
      </c>
      <c r="F164" s="135">
        <v>0.25</v>
      </c>
      <c r="G164" s="135">
        <v>1.5</v>
      </c>
      <c r="H164" s="212">
        <f t="shared" si="18"/>
        <v>-2.0250000000000004</v>
      </c>
      <c r="I164" s="136"/>
      <c r="J164" s="236"/>
      <c r="K164" s="217">
        <f t="shared" si="12"/>
        <v>0</v>
      </c>
      <c r="L164" s="218">
        <f t="shared" si="13"/>
        <v>0</v>
      </c>
    </row>
    <row r="165" spans="1:12" x14ac:dyDescent="0.2">
      <c r="A165" s="124"/>
      <c r="B165" s="211"/>
      <c r="C165" s="220" t="s">
        <v>457</v>
      </c>
      <c r="D165" s="133">
        <v>-2</v>
      </c>
      <c r="E165" s="135">
        <v>1.37</v>
      </c>
      <c r="F165" s="135">
        <v>0.25</v>
      </c>
      <c r="G165" s="135">
        <v>1.5</v>
      </c>
      <c r="H165" s="212">
        <f t="shared" si="18"/>
        <v>-1.0275000000000001</v>
      </c>
      <c r="I165" s="136"/>
      <c r="J165" s="236"/>
      <c r="K165" s="217">
        <f t="shared" si="12"/>
        <v>0</v>
      </c>
      <c r="L165" s="218">
        <f t="shared" si="13"/>
        <v>0</v>
      </c>
    </row>
    <row r="166" spans="1:12" x14ac:dyDescent="0.2">
      <c r="A166" s="124"/>
      <c r="B166" s="211"/>
      <c r="C166" s="220" t="s">
        <v>458</v>
      </c>
      <c r="D166" s="133">
        <v>-3</v>
      </c>
      <c r="E166" s="135">
        <v>1</v>
      </c>
      <c r="F166" s="135">
        <v>0.25</v>
      </c>
      <c r="G166" s="135">
        <v>1.35</v>
      </c>
      <c r="H166" s="212">
        <f t="shared" si="18"/>
        <v>-1.0125000000000002</v>
      </c>
      <c r="I166" s="136"/>
      <c r="J166" s="236"/>
      <c r="K166" s="217">
        <f t="shared" si="12"/>
        <v>0</v>
      </c>
      <c r="L166" s="218">
        <f t="shared" si="13"/>
        <v>0</v>
      </c>
    </row>
    <row r="167" spans="1:12" x14ac:dyDescent="0.2">
      <c r="A167" s="124"/>
      <c r="B167" s="211"/>
      <c r="C167" s="220" t="s">
        <v>260</v>
      </c>
      <c r="D167" s="133">
        <v>-3</v>
      </c>
      <c r="E167" s="135">
        <v>1.2</v>
      </c>
      <c r="F167" s="135">
        <v>0.25</v>
      </c>
      <c r="G167" s="135">
        <v>1.2</v>
      </c>
      <c r="H167" s="212">
        <f t="shared" si="18"/>
        <v>-1.08</v>
      </c>
      <c r="I167" s="136"/>
      <c r="J167" s="236"/>
      <c r="K167" s="217">
        <f t="shared" si="12"/>
        <v>0</v>
      </c>
      <c r="L167" s="218">
        <f t="shared" si="13"/>
        <v>0</v>
      </c>
    </row>
    <row r="168" spans="1:12" x14ac:dyDescent="0.2">
      <c r="A168" s="124"/>
      <c r="B168" s="211"/>
      <c r="C168" s="220" t="s">
        <v>273</v>
      </c>
      <c r="D168" s="133">
        <v>-8</v>
      </c>
      <c r="E168" s="135">
        <v>0.6</v>
      </c>
      <c r="F168" s="135">
        <v>0.25</v>
      </c>
      <c r="G168" s="135">
        <v>0.9</v>
      </c>
      <c r="H168" s="212">
        <f t="shared" si="18"/>
        <v>-1.08</v>
      </c>
      <c r="I168" s="136"/>
      <c r="J168" s="236"/>
      <c r="K168" s="217">
        <f t="shared" si="12"/>
        <v>0</v>
      </c>
      <c r="L168" s="218">
        <f t="shared" si="13"/>
        <v>0</v>
      </c>
    </row>
    <row r="169" spans="1:12" x14ac:dyDescent="0.2">
      <c r="A169" s="124"/>
      <c r="B169" s="211"/>
      <c r="C169" s="316" t="s">
        <v>456</v>
      </c>
      <c r="D169" s="142">
        <v>-8</v>
      </c>
      <c r="E169" s="145">
        <v>1.8</v>
      </c>
      <c r="F169" s="145">
        <v>0.25</v>
      </c>
      <c r="G169" s="145">
        <v>2.4</v>
      </c>
      <c r="H169" s="400">
        <f t="shared" si="18"/>
        <v>-8.64</v>
      </c>
      <c r="I169" s="141"/>
      <c r="J169" s="314"/>
      <c r="K169" s="217">
        <f t="shared" si="12"/>
        <v>0</v>
      </c>
      <c r="L169" s="218">
        <f t="shared" si="13"/>
        <v>0</v>
      </c>
    </row>
    <row r="170" spans="1:12" x14ac:dyDescent="0.2">
      <c r="A170" s="139"/>
      <c r="B170" s="215"/>
      <c r="C170" s="221" t="s">
        <v>117</v>
      </c>
      <c r="D170" s="142"/>
      <c r="E170" s="145"/>
      <c r="F170" s="145"/>
      <c r="G170" s="145"/>
      <c r="H170" s="216">
        <v>72</v>
      </c>
      <c r="I170" s="141" t="s">
        <v>118</v>
      </c>
      <c r="J170" s="217">
        <v>9105.9500000000007</v>
      </c>
      <c r="K170" s="217">
        <f t="shared" si="12"/>
        <v>7716.9067796610179</v>
      </c>
      <c r="L170" s="218">
        <f t="shared" si="13"/>
        <v>555617.28813559329</v>
      </c>
    </row>
    <row r="171" spans="1:12" ht="38.25" x14ac:dyDescent="0.2">
      <c r="A171" s="116">
        <v>6</v>
      </c>
      <c r="B171" s="117">
        <v>6.13</v>
      </c>
      <c r="C171" s="251" t="s">
        <v>274</v>
      </c>
      <c r="D171" s="119"/>
      <c r="E171" s="121"/>
      <c r="F171" s="121"/>
      <c r="G171" s="121"/>
      <c r="H171" s="263"/>
      <c r="I171" s="122"/>
      <c r="J171" s="209"/>
      <c r="K171" s="217">
        <f t="shared" si="12"/>
        <v>0</v>
      </c>
      <c r="L171" s="218">
        <f t="shared" si="13"/>
        <v>0</v>
      </c>
    </row>
    <row r="172" spans="1:12" ht="27" customHeight="1" x14ac:dyDescent="0.2">
      <c r="A172" s="124"/>
      <c r="B172" s="125" t="s">
        <v>275</v>
      </c>
      <c r="C172" s="257" t="s">
        <v>276</v>
      </c>
      <c r="D172" s="127"/>
      <c r="E172" s="129"/>
      <c r="F172" s="129"/>
      <c r="G172" s="129"/>
      <c r="H172" s="264"/>
      <c r="I172" s="130"/>
      <c r="J172" s="240"/>
      <c r="K172" s="217">
        <f t="shared" si="12"/>
        <v>0</v>
      </c>
      <c r="L172" s="218">
        <f t="shared" si="13"/>
        <v>0</v>
      </c>
    </row>
    <row r="173" spans="1:12" x14ac:dyDescent="0.2">
      <c r="A173" s="124"/>
      <c r="B173" s="211"/>
      <c r="C173" s="187" t="s">
        <v>277</v>
      </c>
      <c r="D173" s="180"/>
      <c r="E173" s="135"/>
      <c r="F173" s="135"/>
      <c r="G173" s="135"/>
      <c r="H173" s="212"/>
      <c r="I173" s="136"/>
      <c r="J173" s="213"/>
      <c r="K173" s="217">
        <f t="shared" si="12"/>
        <v>0</v>
      </c>
      <c r="L173" s="218">
        <f t="shared" si="13"/>
        <v>0</v>
      </c>
    </row>
    <row r="174" spans="1:12" x14ac:dyDescent="0.2">
      <c r="A174" s="124"/>
      <c r="B174" s="211"/>
      <c r="C174" s="225" t="s">
        <v>692</v>
      </c>
      <c r="D174" s="133">
        <v>1</v>
      </c>
      <c r="E174" s="135">
        <v>3.67</v>
      </c>
      <c r="F174" s="135"/>
      <c r="G174" s="135">
        <f>3-0.6</f>
        <v>2.4</v>
      </c>
      <c r="H174" s="212">
        <f>D174*E174*G174</f>
        <v>8.8079999999999998</v>
      </c>
      <c r="I174" s="136"/>
      <c r="J174" s="213"/>
      <c r="K174" s="217">
        <f t="shared" si="12"/>
        <v>0</v>
      </c>
      <c r="L174" s="218">
        <f t="shared" si="13"/>
        <v>0</v>
      </c>
    </row>
    <row r="175" spans="1:12" x14ac:dyDescent="0.2">
      <c r="A175" s="124"/>
      <c r="B175" s="211"/>
      <c r="C175" s="225" t="s">
        <v>697</v>
      </c>
      <c r="D175" s="133">
        <v>2</v>
      </c>
      <c r="E175" s="135">
        <v>3.2</v>
      </c>
      <c r="F175" s="135"/>
      <c r="G175" s="135">
        <f>3-0.6</f>
        <v>2.4</v>
      </c>
      <c r="H175" s="212">
        <f t="shared" ref="H175:H196" si="19">D175*E175*G175</f>
        <v>15.36</v>
      </c>
      <c r="I175" s="136"/>
      <c r="J175" s="213"/>
      <c r="K175" s="217">
        <f t="shared" si="12"/>
        <v>0</v>
      </c>
      <c r="L175" s="218">
        <f t="shared" si="13"/>
        <v>0</v>
      </c>
    </row>
    <row r="176" spans="1:12" x14ac:dyDescent="0.2">
      <c r="A176" s="124"/>
      <c r="B176" s="211"/>
      <c r="C176" s="225" t="s">
        <v>698</v>
      </c>
      <c r="D176" s="133">
        <v>1</v>
      </c>
      <c r="E176" s="135">
        <v>2.8</v>
      </c>
      <c r="F176" s="135"/>
      <c r="G176" s="135">
        <f>3-0.6</f>
        <v>2.4</v>
      </c>
      <c r="H176" s="212">
        <f t="shared" si="19"/>
        <v>6.72</v>
      </c>
      <c r="I176" s="136"/>
      <c r="J176" s="213"/>
      <c r="K176" s="217">
        <f t="shared" si="12"/>
        <v>0</v>
      </c>
      <c r="L176" s="218">
        <f t="shared" si="13"/>
        <v>0</v>
      </c>
    </row>
    <row r="177" spans="1:12" x14ac:dyDescent="0.2">
      <c r="A177" s="124"/>
      <c r="B177" s="211"/>
      <c r="C177" s="225" t="s">
        <v>427</v>
      </c>
      <c r="D177" s="133">
        <v>1</v>
      </c>
      <c r="E177" s="135">
        <v>4.7</v>
      </c>
      <c r="F177" s="135"/>
      <c r="G177" s="135">
        <f t="shared" ref="G177:G189" si="20">3-0.6</f>
        <v>2.4</v>
      </c>
      <c r="H177" s="212">
        <f t="shared" si="19"/>
        <v>11.28</v>
      </c>
      <c r="I177" s="136"/>
      <c r="J177" s="213"/>
      <c r="K177" s="217">
        <f t="shared" si="12"/>
        <v>0</v>
      </c>
      <c r="L177" s="218">
        <f t="shared" si="13"/>
        <v>0</v>
      </c>
    </row>
    <row r="178" spans="1:12" x14ac:dyDescent="0.2">
      <c r="A178" s="124"/>
      <c r="B178" s="211"/>
      <c r="C178" s="225" t="s">
        <v>699</v>
      </c>
      <c r="D178" s="133">
        <v>1</v>
      </c>
      <c r="E178" s="135">
        <v>3.2</v>
      </c>
      <c r="F178" s="135"/>
      <c r="G178" s="135">
        <f t="shared" si="20"/>
        <v>2.4</v>
      </c>
      <c r="H178" s="212">
        <f>D178*E178*G178</f>
        <v>7.68</v>
      </c>
      <c r="I178" s="136"/>
      <c r="J178" s="213"/>
      <c r="K178" s="217">
        <f t="shared" si="12"/>
        <v>0</v>
      </c>
      <c r="L178" s="218">
        <f t="shared" si="13"/>
        <v>0</v>
      </c>
    </row>
    <row r="179" spans="1:12" x14ac:dyDescent="0.2">
      <c r="A179" s="124"/>
      <c r="B179" s="211"/>
      <c r="C179" s="225"/>
      <c r="D179" s="133">
        <v>1</v>
      </c>
      <c r="E179" s="135">
        <f>1.6+2.2</f>
        <v>3.8000000000000003</v>
      </c>
      <c r="F179" s="135"/>
      <c r="G179" s="135">
        <f t="shared" si="20"/>
        <v>2.4</v>
      </c>
      <c r="H179" s="212">
        <f>D179*E179*G179</f>
        <v>9.120000000000001</v>
      </c>
      <c r="I179" s="136"/>
      <c r="J179" s="213"/>
      <c r="K179" s="217">
        <f t="shared" si="12"/>
        <v>0</v>
      </c>
      <c r="L179" s="218">
        <f t="shared" si="13"/>
        <v>0</v>
      </c>
    </row>
    <row r="180" spans="1:12" x14ac:dyDescent="0.2">
      <c r="A180" s="124"/>
      <c r="B180" s="211"/>
      <c r="C180" s="225" t="s">
        <v>666</v>
      </c>
      <c r="D180" s="133">
        <v>1</v>
      </c>
      <c r="E180" s="135">
        <v>8.52</v>
      </c>
      <c r="F180" s="135"/>
      <c r="G180" s="135">
        <f t="shared" si="20"/>
        <v>2.4</v>
      </c>
      <c r="H180" s="212">
        <f>D180*E180*G180</f>
        <v>20.447999999999997</v>
      </c>
      <c r="I180" s="136"/>
      <c r="J180" s="213"/>
      <c r="K180" s="217">
        <f t="shared" si="12"/>
        <v>0</v>
      </c>
      <c r="L180" s="218">
        <f t="shared" si="13"/>
        <v>0</v>
      </c>
    </row>
    <row r="181" spans="1:12" x14ac:dyDescent="0.2">
      <c r="A181" s="124"/>
      <c r="B181" s="211"/>
      <c r="C181" s="225" t="s">
        <v>700</v>
      </c>
      <c r="D181" s="133">
        <v>1</v>
      </c>
      <c r="E181" s="135">
        <v>4.3</v>
      </c>
      <c r="F181" s="135"/>
      <c r="G181" s="135">
        <f t="shared" si="20"/>
        <v>2.4</v>
      </c>
      <c r="H181" s="212">
        <f>D181*E181*G181</f>
        <v>10.319999999999999</v>
      </c>
      <c r="I181" s="136"/>
      <c r="J181" s="213"/>
      <c r="K181" s="217">
        <f t="shared" si="12"/>
        <v>0</v>
      </c>
      <c r="L181" s="218">
        <f t="shared" si="13"/>
        <v>0</v>
      </c>
    </row>
    <row r="182" spans="1:12" x14ac:dyDescent="0.2">
      <c r="A182" s="124"/>
      <c r="B182" s="211"/>
      <c r="C182" s="225" t="s">
        <v>701</v>
      </c>
      <c r="D182" s="133">
        <v>1</v>
      </c>
      <c r="E182" s="135">
        <v>3.2</v>
      </c>
      <c r="F182" s="135"/>
      <c r="G182" s="135">
        <f t="shared" si="20"/>
        <v>2.4</v>
      </c>
      <c r="H182" s="212">
        <f t="shared" si="19"/>
        <v>7.68</v>
      </c>
      <c r="I182" s="136"/>
      <c r="J182" s="213"/>
      <c r="K182" s="217">
        <f t="shared" si="12"/>
        <v>0</v>
      </c>
      <c r="L182" s="218">
        <f t="shared" si="13"/>
        <v>0</v>
      </c>
    </row>
    <row r="183" spans="1:12" x14ac:dyDescent="0.2">
      <c r="A183" s="124"/>
      <c r="B183" s="211"/>
      <c r="C183" s="225" t="s">
        <v>702</v>
      </c>
      <c r="D183" s="133">
        <v>2</v>
      </c>
      <c r="E183" s="135">
        <v>2.2000000000000002</v>
      </c>
      <c r="F183" s="135"/>
      <c r="G183" s="135">
        <f t="shared" si="20"/>
        <v>2.4</v>
      </c>
      <c r="H183" s="212">
        <f t="shared" si="19"/>
        <v>10.56</v>
      </c>
      <c r="I183" s="136"/>
      <c r="J183" s="213"/>
      <c r="K183" s="217">
        <f t="shared" si="12"/>
        <v>0</v>
      </c>
      <c r="L183" s="218">
        <f t="shared" si="13"/>
        <v>0</v>
      </c>
    </row>
    <row r="184" spans="1:12" x14ac:dyDescent="0.2">
      <c r="A184" s="124"/>
      <c r="B184" s="211"/>
      <c r="C184" s="225" t="s">
        <v>703</v>
      </c>
      <c r="D184" s="133">
        <v>1</v>
      </c>
      <c r="E184" s="135">
        <v>4.0999999999999996</v>
      </c>
      <c r="F184" s="135"/>
      <c r="G184" s="135">
        <f t="shared" si="20"/>
        <v>2.4</v>
      </c>
      <c r="H184" s="212">
        <f t="shared" si="19"/>
        <v>9.8399999999999981</v>
      </c>
      <c r="I184" s="136"/>
      <c r="J184" s="213"/>
      <c r="K184" s="217">
        <f t="shared" si="12"/>
        <v>0</v>
      </c>
      <c r="L184" s="218">
        <f t="shared" si="13"/>
        <v>0</v>
      </c>
    </row>
    <row r="185" spans="1:12" x14ac:dyDescent="0.2">
      <c r="A185" s="124"/>
      <c r="B185" s="211"/>
      <c r="C185" s="225" t="s">
        <v>704</v>
      </c>
      <c r="D185" s="133">
        <v>1</v>
      </c>
      <c r="E185" s="135">
        <v>3.2</v>
      </c>
      <c r="F185" s="135"/>
      <c r="G185" s="135">
        <f t="shared" si="20"/>
        <v>2.4</v>
      </c>
      <c r="H185" s="212">
        <f t="shared" si="19"/>
        <v>7.68</v>
      </c>
      <c r="I185" s="136"/>
      <c r="J185" s="213"/>
      <c r="K185" s="217">
        <f t="shared" si="12"/>
        <v>0</v>
      </c>
      <c r="L185" s="218">
        <f t="shared" si="13"/>
        <v>0</v>
      </c>
    </row>
    <row r="186" spans="1:12" x14ac:dyDescent="0.2">
      <c r="A186" s="124"/>
      <c r="B186" s="211"/>
      <c r="C186" s="225" t="s">
        <v>705</v>
      </c>
      <c r="D186" s="133">
        <v>2</v>
      </c>
      <c r="E186" s="135">
        <v>4.45</v>
      </c>
      <c r="F186" s="135"/>
      <c r="G186" s="135">
        <f t="shared" si="20"/>
        <v>2.4</v>
      </c>
      <c r="H186" s="212">
        <f t="shared" si="19"/>
        <v>21.36</v>
      </c>
      <c r="I186" s="136"/>
      <c r="J186" s="213"/>
      <c r="K186" s="217">
        <f t="shared" si="12"/>
        <v>0</v>
      </c>
      <c r="L186" s="218">
        <f t="shared" si="13"/>
        <v>0</v>
      </c>
    </row>
    <row r="187" spans="1:12" x14ac:dyDescent="0.2">
      <c r="A187" s="124"/>
      <c r="B187" s="211"/>
      <c r="C187" s="225" t="s">
        <v>706</v>
      </c>
      <c r="D187" s="133">
        <v>1</v>
      </c>
      <c r="E187" s="135">
        <f>1.625*3</f>
        <v>4.875</v>
      </c>
      <c r="F187" s="135"/>
      <c r="G187" s="135">
        <f t="shared" si="20"/>
        <v>2.4</v>
      </c>
      <c r="H187" s="212">
        <f>D187*E187*G187</f>
        <v>11.7</v>
      </c>
      <c r="I187" s="136"/>
      <c r="J187" s="213"/>
      <c r="K187" s="217">
        <f t="shared" si="12"/>
        <v>0</v>
      </c>
      <c r="L187" s="218">
        <f t="shared" si="13"/>
        <v>0</v>
      </c>
    </row>
    <row r="188" spans="1:12" x14ac:dyDescent="0.2">
      <c r="A188" s="124"/>
      <c r="B188" s="211"/>
      <c r="C188" s="225" t="s">
        <v>707</v>
      </c>
      <c r="D188" s="133">
        <v>1</v>
      </c>
      <c r="E188" s="135">
        <v>4.2</v>
      </c>
      <c r="F188" s="135"/>
      <c r="G188" s="135">
        <f t="shared" si="20"/>
        <v>2.4</v>
      </c>
      <c r="H188" s="212">
        <f>D188*E188*G188</f>
        <v>10.08</v>
      </c>
      <c r="I188" s="136"/>
      <c r="J188" s="213"/>
      <c r="K188" s="217">
        <f t="shared" si="12"/>
        <v>0</v>
      </c>
      <c r="L188" s="218">
        <f t="shared" si="13"/>
        <v>0</v>
      </c>
    </row>
    <row r="189" spans="1:12" x14ac:dyDescent="0.2">
      <c r="A189" s="124"/>
      <c r="B189" s="211"/>
      <c r="C189" s="225" t="s">
        <v>708</v>
      </c>
      <c r="D189" s="133">
        <v>2</v>
      </c>
      <c r="E189" s="135">
        <v>4.45</v>
      </c>
      <c r="F189" s="135"/>
      <c r="G189" s="135">
        <f t="shared" si="20"/>
        <v>2.4</v>
      </c>
      <c r="H189" s="212">
        <f>D189*E189*G189</f>
        <v>21.36</v>
      </c>
      <c r="I189" s="136"/>
      <c r="J189" s="213"/>
      <c r="K189" s="217">
        <f t="shared" si="12"/>
        <v>0</v>
      </c>
      <c r="L189" s="218">
        <f t="shared" si="13"/>
        <v>0</v>
      </c>
    </row>
    <row r="190" spans="1:12" x14ac:dyDescent="0.2">
      <c r="A190" s="124"/>
      <c r="B190" s="211"/>
      <c r="C190" s="225" t="s">
        <v>709</v>
      </c>
      <c r="D190" s="133">
        <v>9</v>
      </c>
      <c r="E190" s="135">
        <f>3.3+1.8+1.8</f>
        <v>6.8999999999999995</v>
      </c>
      <c r="F190" s="135"/>
      <c r="G190" s="135">
        <v>0.45</v>
      </c>
      <c r="H190" s="212">
        <f>D190*E190*G190</f>
        <v>27.944999999999997</v>
      </c>
      <c r="I190" s="136"/>
      <c r="J190" s="213"/>
      <c r="K190" s="217">
        <f t="shared" si="12"/>
        <v>0</v>
      </c>
      <c r="L190" s="218">
        <f t="shared" si="13"/>
        <v>0</v>
      </c>
    </row>
    <row r="191" spans="1:12" x14ac:dyDescent="0.2">
      <c r="A191" s="124"/>
      <c r="B191" s="211"/>
      <c r="C191" s="225" t="s">
        <v>476</v>
      </c>
      <c r="D191" s="133"/>
      <c r="E191" s="135">
        <f>SUM(E174:E190)</f>
        <v>71.765000000000015</v>
      </c>
      <c r="F191" s="135"/>
      <c r="G191" s="135"/>
      <c r="H191" s="212"/>
      <c r="I191" s="136"/>
      <c r="J191" s="213"/>
      <c r="K191" s="217">
        <f t="shared" si="12"/>
        <v>0</v>
      </c>
      <c r="L191" s="218">
        <f t="shared" si="13"/>
        <v>0</v>
      </c>
    </row>
    <row r="192" spans="1:12" x14ac:dyDescent="0.2">
      <c r="A192" s="124"/>
      <c r="B192" s="211"/>
      <c r="C192" s="225"/>
      <c r="D192" s="133"/>
      <c r="E192" s="135"/>
      <c r="F192" s="135"/>
      <c r="G192" s="135"/>
      <c r="H192" s="212"/>
      <c r="I192" s="136"/>
      <c r="J192" s="213"/>
      <c r="K192" s="217">
        <f t="shared" si="12"/>
        <v>0</v>
      </c>
      <c r="L192" s="218">
        <f t="shared" si="13"/>
        <v>0</v>
      </c>
    </row>
    <row r="193" spans="1:12" x14ac:dyDescent="0.2">
      <c r="A193" s="124"/>
      <c r="B193" s="211"/>
      <c r="C193" s="191" t="s">
        <v>271</v>
      </c>
      <c r="D193" s="133"/>
      <c r="E193" s="135"/>
      <c r="F193" s="135"/>
      <c r="G193" s="135"/>
      <c r="H193" s="212"/>
      <c r="I193" s="136"/>
      <c r="J193" s="213"/>
      <c r="K193" s="217">
        <f t="shared" si="12"/>
        <v>0</v>
      </c>
      <c r="L193" s="218">
        <f t="shared" si="13"/>
        <v>0</v>
      </c>
    </row>
    <row r="194" spans="1:12" x14ac:dyDescent="0.2">
      <c r="A194" s="124"/>
      <c r="B194" s="211"/>
      <c r="C194" s="183" t="s">
        <v>293</v>
      </c>
      <c r="D194" s="133">
        <v>-8</v>
      </c>
      <c r="E194" s="135">
        <v>1</v>
      </c>
      <c r="F194" s="135"/>
      <c r="G194" s="135">
        <v>2.13</v>
      </c>
      <c r="H194" s="212">
        <f t="shared" si="19"/>
        <v>-17.04</v>
      </c>
      <c r="I194" s="136"/>
      <c r="J194" s="213"/>
      <c r="K194" s="217">
        <f t="shared" si="12"/>
        <v>0</v>
      </c>
      <c r="L194" s="218">
        <f t="shared" si="13"/>
        <v>0</v>
      </c>
    </row>
    <row r="195" spans="1:12" x14ac:dyDescent="0.2">
      <c r="A195" s="124"/>
      <c r="B195" s="211"/>
      <c r="C195" s="183" t="s">
        <v>222</v>
      </c>
      <c r="D195" s="133">
        <v>-3</v>
      </c>
      <c r="E195" s="135">
        <v>0.9</v>
      </c>
      <c r="F195" s="135"/>
      <c r="G195" s="135">
        <v>2.13</v>
      </c>
      <c r="H195" s="212">
        <f t="shared" si="19"/>
        <v>-5.7510000000000003</v>
      </c>
      <c r="I195" s="136"/>
      <c r="J195" s="213"/>
      <c r="K195" s="217">
        <f t="shared" si="12"/>
        <v>0</v>
      </c>
      <c r="L195" s="218">
        <f t="shared" si="13"/>
        <v>0</v>
      </c>
    </row>
    <row r="196" spans="1:12" x14ac:dyDescent="0.2">
      <c r="A196" s="124"/>
      <c r="B196" s="211"/>
      <c r="C196" s="183" t="s">
        <v>223</v>
      </c>
      <c r="D196" s="133">
        <v>-8</v>
      </c>
      <c r="E196" s="135">
        <v>0.75</v>
      </c>
      <c r="F196" s="135"/>
      <c r="G196" s="135">
        <v>2.13</v>
      </c>
      <c r="H196" s="212">
        <f t="shared" si="19"/>
        <v>-12.78</v>
      </c>
      <c r="I196" s="136"/>
      <c r="J196" s="213"/>
      <c r="K196" s="217">
        <f t="shared" si="12"/>
        <v>0</v>
      </c>
      <c r="L196" s="218">
        <f t="shared" si="13"/>
        <v>0</v>
      </c>
    </row>
    <row r="197" spans="1:12" x14ac:dyDescent="0.2">
      <c r="A197" s="124"/>
      <c r="B197" s="211"/>
      <c r="C197" s="183" t="s">
        <v>457</v>
      </c>
      <c r="D197" s="133">
        <v>-3</v>
      </c>
      <c r="E197" s="135">
        <v>1.37</v>
      </c>
      <c r="F197" s="135"/>
      <c r="G197" s="135">
        <v>1.5</v>
      </c>
      <c r="H197" s="212">
        <f>D197*E197*G197</f>
        <v>-6.1650000000000009</v>
      </c>
      <c r="I197" s="136"/>
      <c r="J197" s="213"/>
      <c r="K197" s="217">
        <f t="shared" si="12"/>
        <v>0</v>
      </c>
      <c r="L197" s="218">
        <f t="shared" si="13"/>
        <v>0</v>
      </c>
    </row>
    <row r="198" spans="1:12" x14ac:dyDescent="0.2">
      <c r="A198" s="124"/>
      <c r="B198" s="211"/>
      <c r="C198" s="183"/>
      <c r="D198" s="133"/>
      <c r="E198" s="135"/>
      <c r="F198" s="135"/>
      <c r="G198" s="135"/>
      <c r="H198" s="212"/>
      <c r="I198" s="136"/>
      <c r="J198" s="213"/>
      <c r="K198" s="217">
        <f t="shared" si="12"/>
        <v>0</v>
      </c>
      <c r="L198" s="218">
        <f t="shared" si="13"/>
        <v>0</v>
      </c>
    </row>
    <row r="199" spans="1:12" x14ac:dyDescent="0.2">
      <c r="A199" s="139"/>
      <c r="B199" s="215"/>
      <c r="C199" s="221" t="s">
        <v>117</v>
      </c>
      <c r="D199" s="142"/>
      <c r="E199" s="145"/>
      <c r="F199" s="145"/>
      <c r="G199" s="145"/>
      <c r="H199" s="216">
        <v>174</v>
      </c>
      <c r="I199" s="141" t="s">
        <v>278</v>
      </c>
      <c r="J199" s="217">
        <v>1123.8</v>
      </c>
      <c r="K199" s="217">
        <f t="shared" si="12"/>
        <v>952.37288135593224</v>
      </c>
      <c r="L199" s="218">
        <f t="shared" si="13"/>
        <v>165712.88135593222</v>
      </c>
    </row>
    <row r="200" spans="1:12" x14ac:dyDescent="0.2">
      <c r="A200" s="116">
        <v>7</v>
      </c>
      <c r="B200" s="206">
        <v>13.16</v>
      </c>
      <c r="C200" s="265" t="s">
        <v>279</v>
      </c>
      <c r="D200" s="119"/>
      <c r="E200" s="121"/>
      <c r="F200" s="121"/>
      <c r="G200" s="121"/>
      <c r="H200" s="263"/>
      <c r="I200" s="122"/>
      <c r="J200" s="209"/>
      <c r="K200" s="217">
        <f t="shared" si="12"/>
        <v>0</v>
      </c>
      <c r="L200" s="218">
        <f t="shared" si="13"/>
        <v>0</v>
      </c>
    </row>
    <row r="201" spans="1:12" x14ac:dyDescent="0.2">
      <c r="A201" s="124"/>
      <c r="B201" s="211" t="s">
        <v>280</v>
      </c>
      <c r="C201" s="266" t="s">
        <v>281</v>
      </c>
      <c r="D201" s="127"/>
      <c r="E201" s="129"/>
      <c r="F201" s="129"/>
      <c r="G201" s="129"/>
      <c r="H201" s="239"/>
      <c r="I201" s="130"/>
      <c r="J201" s="240"/>
      <c r="K201" s="217">
        <f t="shared" si="12"/>
        <v>0</v>
      </c>
      <c r="L201" s="218">
        <f t="shared" si="13"/>
        <v>0</v>
      </c>
    </row>
    <row r="202" spans="1:12" x14ac:dyDescent="0.2">
      <c r="A202" s="124"/>
      <c r="B202" s="211"/>
      <c r="C202" s="225" t="s">
        <v>231</v>
      </c>
      <c r="D202" s="226">
        <v>1</v>
      </c>
      <c r="E202" s="227">
        <v>4.7</v>
      </c>
      <c r="F202" s="227">
        <v>9.5</v>
      </c>
      <c r="G202" s="227"/>
      <c r="H202" s="135">
        <f>D202*E202*F202</f>
        <v>44.65</v>
      </c>
      <c r="I202" s="136"/>
      <c r="J202" s="213"/>
      <c r="K202" s="217">
        <f t="shared" si="12"/>
        <v>0</v>
      </c>
      <c r="L202" s="218">
        <f t="shared" si="13"/>
        <v>0</v>
      </c>
    </row>
    <row r="203" spans="1:12" x14ac:dyDescent="0.2">
      <c r="A203" s="124"/>
      <c r="B203" s="211"/>
      <c r="C203" s="225"/>
      <c r="D203" s="226">
        <v>1</v>
      </c>
      <c r="E203" s="227">
        <v>1.5</v>
      </c>
      <c r="F203" s="227">
        <v>8.85</v>
      </c>
      <c r="G203" s="227"/>
      <c r="H203" s="135">
        <f>D203*E203*F203</f>
        <v>13.274999999999999</v>
      </c>
      <c r="I203" s="136"/>
      <c r="J203" s="213"/>
      <c r="K203" s="217">
        <f t="shared" ref="K203:K266" si="21">J203*100/118</f>
        <v>0</v>
      </c>
      <c r="L203" s="218">
        <f t="shared" ref="L203:L266" si="22">K203*H203</f>
        <v>0</v>
      </c>
    </row>
    <row r="204" spans="1:12" x14ac:dyDescent="0.2">
      <c r="A204" s="124"/>
      <c r="B204" s="211"/>
      <c r="C204" s="225" t="s">
        <v>91</v>
      </c>
      <c r="D204" s="226">
        <v>1</v>
      </c>
      <c r="E204" s="950">
        <v>60.96</v>
      </c>
      <c r="F204" s="951"/>
      <c r="G204" s="227"/>
      <c r="H204" s="135">
        <f>D204*E204</f>
        <v>60.96</v>
      </c>
      <c r="I204" s="136"/>
      <c r="J204" s="213"/>
      <c r="K204" s="217">
        <f t="shared" si="21"/>
        <v>0</v>
      </c>
      <c r="L204" s="218">
        <f t="shared" si="22"/>
        <v>0</v>
      </c>
    </row>
    <row r="205" spans="1:12" x14ac:dyDescent="0.2">
      <c r="A205" s="124"/>
      <c r="B205" s="211"/>
      <c r="C205" s="225"/>
      <c r="D205" s="226">
        <v>1</v>
      </c>
      <c r="E205" s="228">
        <v>6.5</v>
      </c>
      <c r="F205" s="229">
        <v>5.15</v>
      </c>
      <c r="G205" s="227"/>
      <c r="H205" s="135">
        <f t="shared" ref="H205:H219" si="23">D205*E205*F205</f>
        <v>33.475000000000001</v>
      </c>
      <c r="I205" s="136"/>
      <c r="J205" s="213"/>
      <c r="K205" s="217">
        <f t="shared" si="21"/>
        <v>0</v>
      </c>
      <c r="L205" s="218">
        <f t="shared" si="22"/>
        <v>0</v>
      </c>
    </row>
    <row r="206" spans="1:12" x14ac:dyDescent="0.2">
      <c r="A206" s="124"/>
      <c r="B206" s="211"/>
      <c r="C206" s="225"/>
      <c r="D206" s="226">
        <v>1</v>
      </c>
      <c r="E206" s="228">
        <v>2.37</v>
      </c>
      <c r="F206" s="229">
        <v>4.3</v>
      </c>
      <c r="G206" s="227"/>
      <c r="H206" s="135">
        <f t="shared" si="23"/>
        <v>10.191000000000001</v>
      </c>
      <c r="I206" s="136"/>
      <c r="J206" s="213"/>
      <c r="K206" s="217">
        <f t="shared" si="21"/>
        <v>0</v>
      </c>
      <c r="L206" s="218">
        <f t="shared" si="22"/>
        <v>0</v>
      </c>
    </row>
    <row r="207" spans="1:12" x14ac:dyDescent="0.2">
      <c r="A207" s="124"/>
      <c r="B207" s="211"/>
      <c r="C207" s="225"/>
      <c r="D207" s="226">
        <v>1</v>
      </c>
      <c r="E207" s="228">
        <v>11.5</v>
      </c>
      <c r="F207" s="229">
        <v>11.92</v>
      </c>
      <c r="G207" s="227"/>
      <c r="H207" s="135">
        <f t="shared" si="23"/>
        <v>137.08000000000001</v>
      </c>
      <c r="I207" s="136"/>
      <c r="J207" s="213"/>
      <c r="K207" s="217">
        <f t="shared" si="21"/>
        <v>0</v>
      </c>
      <c r="L207" s="218">
        <f t="shared" si="22"/>
        <v>0</v>
      </c>
    </row>
    <row r="208" spans="1:12" x14ac:dyDescent="0.2">
      <c r="A208" s="124"/>
      <c r="B208" s="211"/>
      <c r="C208" s="225"/>
      <c r="D208" s="226">
        <v>1</v>
      </c>
      <c r="E208" s="228">
        <v>4.5</v>
      </c>
      <c r="F208" s="229">
        <v>2.25</v>
      </c>
      <c r="G208" s="227"/>
      <c r="H208" s="135">
        <f t="shared" si="23"/>
        <v>10.125</v>
      </c>
      <c r="I208" s="136"/>
      <c r="J208" s="213"/>
      <c r="K208" s="217">
        <f t="shared" si="21"/>
        <v>0</v>
      </c>
      <c r="L208" s="218">
        <f t="shared" si="22"/>
        <v>0</v>
      </c>
    </row>
    <row r="209" spans="1:12" x14ac:dyDescent="0.2">
      <c r="A209" s="124"/>
      <c r="B209" s="211"/>
      <c r="C209" s="225"/>
      <c r="D209" s="226">
        <v>1</v>
      </c>
      <c r="E209" s="228">
        <v>11.6</v>
      </c>
      <c r="F209" s="229">
        <v>9.3699999999999992</v>
      </c>
      <c r="G209" s="227"/>
      <c r="H209" s="135">
        <f t="shared" si="23"/>
        <v>108.69199999999999</v>
      </c>
      <c r="I209" s="136"/>
      <c r="J209" s="213"/>
      <c r="K209" s="217">
        <f t="shared" si="21"/>
        <v>0</v>
      </c>
      <c r="L209" s="218">
        <f t="shared" si="22"/>
        <v>0</v>
      </c>
    </row>
    <row r="210" spans="1:12" x14ac:dyDescent="0.2">
      <c r="A210" s="124"/>
      <c r="B210" s="211"/>
      <c r="C210" s="225"/>
      <c r="D210" s="226">
        <v>9</v>
      </c>
      <c r="E210" s="228">
        <v>3.3</v>
      </c>
      <c r="F210" s="229">
        <v>1.8</v>
      </c>
      <c r="G210" s="227"/>
      <c r="H210" s="135">
        <f t="shared" si="23"/>
        <v>53.46</v>
      </c>
      <c r="I210" s="136"/>
      <c r="J210" s="213"/>
      <c r="K210" s="217">
        <f t="shared" si="21"/>
        <v>0</v>
      </c>
      <c r="L210" s="218">
        <f t="shared" si="22"/>
        <v>0</v>
      </c>
    </row>
    <row r="211" spans="1:12" x14ac:dyDescent="0.2">
      <c r="A211" s="124"/>
      <c r="B211" s="211"/>
      <c r="C211" s="225" t="s">
        <v>728</v>
      </c>
      <c r="D211" s="226">
        <v>1</v>
      </c>
      <c r="E211" s="228">
        <v>4.9749999999999996</v>
      </c>
      <c r="F211" s="229">
        <v>2.85</v>
      </c>
      <c r="G211" s="227"/>
      <c r="H211" s="135">
        <f t="shared" si="23"/>
        <v>14.178749999999999</v>
      </c>
      <c r="I211" s="136"/>
      <c r="J211" s="213"/>
      <c r="K211" s="217">
        <f t="shared" si="21"/>
        <v>0</v>
      </c>
      <c r="L211" s="218">
        <f t="shared" si="22"/>
        <v>0</v>
      </c>
    </row>
    <row r="212" spans="1:12" x14ac:dyDescent="0.2">
      <c r="A212" s="124"/>
      <c r="B212" s="211"/>
      <c r="C212" s="225" t="s">
        <v>233</v>
      </c>
      <c r="D212" s="226">
        <v>3</v>
      </c>
      <c r="E212" s="227">
        <v>4.5</v>
      </c>
      <c r="F212" s="227">
        <v>0.6</v>
      </c>
      <c r="G212" s="227"/>
      <c r="H212" s="135">
        <f t="shared" si="23"/>
        <v>8.1</v>
      </c>
      <c r="I212" s="136"/>
      <c r="J212" s="213"/>
      <c r="K212" s="217">
        <f t="shared" si="21"/>
        <v>0</v>
      </c>
      <c r="L212" s="218">
        <f t="shared" si="22"/>
        <v>0</v>
      </c>
    </row>
    <row r="213" spans="1:12" x14ac:dyDescent="0.2">
      <c r="A213" s="124"/>
      <c r="B213" s="211"/>
      <c r="C213" s="225" t="s">
        <v>420</v>
      </c>
      <c r="D213" s="226">
        <v>3</v>
      </c>
      <c r="E213" s="227">
        <v>1.8</v>
      </c>
      <c r="F213" s="227">
        <v>0.7</v>
      </c>
      <c r="G213" s="227"/>
      <c r="H213" s="135">
        <f t="shared" si="23"/>
        <v>3.78</v>
      </c>
      <c r="I213" s="136"/>
      <c r="J213" s="213"/>
      <c r="K213" s="217">
        <f t="shared" si="21"/>
        <v>0</v>
      </c>
      <c r="L213" s="218">
        <f t="shared" si="22"/>
        <v>0</v>
      </c>
    </row>
    <row r="214" spans="1:12" x14ac:dyDescent="0.2">
      <c r="A214" s="124"/>
      <c r="B214" s="211"/>
      <c r="C214" s="225" t="s">
        <v>421</v>
      </c>
      <c r="D214" s="226">
        <v>6</v>
      </c>
      <c r="E214" s="227">
        <f>1.37+0.125+0.125</f>
        <v>1.62</v>
      </c>
      <c r="F214" s="227">
        <v>0.6</v>
      </c>
      <c r="G214" s="227"/>
      <c r="H214" s="135">
        <f t="shared" si="23"/>
        <v>5.8319999999999999</v>
      </c>
      <c r="I214" s="136"/>
      <c r="J214" s="213"/>
      <c r="K214" s="217">
        <f t="shared" si="21"/>
        <v>0</v>
      </c>
      <c r="L214" s="218">
        <f t="shared" si="22"/>
        <v>0</v>
      </c>
    </row>
    <row r="215" spans="1:12" x14ac:dyDescent="0.2">
      <c r="A215" s="124"/>
      <c r="B215" s="211"/>
      <c r="C215" s="225" t="s">
        <v>422</v>
      </c>
      <c r="D215" s="226">
        <v>3</v>
      </c>
      <c r="E215" s="227">
        <f>0.9+0.125+0.125</f>
        <v>1.1499999999999999</v>
      </c>
      <c r="F215" s="227">
        <v>0.6</v>
      </c>
      <c r="G215" s="227"/>
      <c r="H215" s="135">
        <f t="shared" si="23"/>
        <v>2.0699999999999998</v>
      </c>
      <c r="I215" s="136"/>
      <c r="J215" s="213"/>
      <c r="K215" s="217">
        <f t="shared" si="21"/>
        <v>0</v>
      </c>
      <c r="L215" s="218">
        <f t="shared" si="22"/>
        <v>0</v>
      </c>
    </row>
    <row r="216" spans="1:12" x14ac:dyDescent="0.2">
      <c r="A216" s="124"/>
      <c r="B216" s="211"/>
      <c r="C216" s="225" t="s">
        <v>236</v>
      </c>
      <c r="D216" s="226">
        <v>3</v>
      </c>
      <c r="E216" s="227">
        <f>1.2+0.25+0.25</f>
        <v>1.7</v>
      </c>
      <c r="F216" s="227">
        <v>0.6</v>
      </c>
      <c r="G216" s="227"/>
      <c r="H216" s="135">
        <f t="shared" si="23"/>
        <v>3.0599999999999996</v>
      </c>
      <c r="I216" s="136"/>
      <c r="J216" s="213"/>
      <c r="K216" s="217">
        <f t="shared" si="21"/>
        <v>0</v>
      </c>
      <c r="L216" s="218">
        <f t="shared" si="22"/>
        <v>0</v>
      </c>
    </row>
    <row r="217" spans="1:12" x14ac:dyDescent="0.2">
      <c r="A217" s="124"/>
      <c r="B217" s="211"/>
      <c r="C217" s="225" t="s">
        <v>282</v>
      </c>
      <c r="D217" s="226">
        <v>8</v>
      </c>
      <c r="E217" s="227">
        <f>0.6+0.125+0.125</f>
        <v>0.85</v>
      </c>
      <c r="F217" s="227">
        <v>0.6</v>
      </c>
      <c r="G217" s="227"/>
      <c r="H217" s="135">
        <f t="shared" si="23"/>
        <v>4.08</v>
      </c>
      <c r="I217" s="136"/>
      <c r="J217" s="213"/>
      <c r="K217" s="217">
        <f t="shared" si="21"/>
        <v>0</v>
      </c>
      <c r="L217" s="218">
        <f t="shared" si="22"/>
        <v>0</v>
      </c>
    </row>
    <row r="218" spans="1:12" x14ac:dyDescent="0.2">
      <c r="A218" s="124"/>
      <c r="B218" s="211"/>
      <c r="C218" s="225" t="s">
        <v>237</v>
      </c>
      <c r="D218" s="226">
        <v>-1</v>
      </c>
      <c r="E218" s="227">
        <v>3.3250000000000002</v>
      </c>
      <c r="F218" s="227">
        <v>2.7</v>
      </c>
      <c r="G218" s="227"/>
      <c r="H218" s="135">
        <f t="shared" si="23"/>
        <v>-8.9775000000000009</v>
      </c>
      <c r="I218" s="136"/>
      <c r="J218" s="213"/>
      <c r="K218" s="217">
        <f t="shared" si="21"/>
        <v>0</v>
      </c>
      <c r="L218" s="218">
        <f t="shared" si="22"/>
        <v>0</v>
      </c>
    </row>
    <row r="219" spans="1:12" x14ac:dyDescent="0.2">
      <c r="A219" s="124"/>
      <c r="B219" s="211"/>
      <c r="C219" s="230" t="s">
        <v>238</v>
      </c>
      <c r="D219" s="231">
        <v>-1</v>
      </c>
      <c r="E219" s="232">
        <v>2.0499999999999998</v>
      </c>
      <c r="F219" s="232">
        <v>2.37</v>
      </c>
      <c r="G219" s="232"/>
      <c r="H219" s="135">
        <f t="shared" si="23"/>
        <v>-4.8584999999999994</v>
      </c>
      <c r="I219" s="141"/>
      <c r="J219" s="217"/>
      <c r="K219" s="217">
        <f t="shared" si="21"/>
        <v>0</v>
      </c>
      <c r="L219" s="218">
        <f t="shared" si="22"/>
        <v>0</v>
      </c>
    </row>
    <row r="220" spans="1:12" x14ac:dyDescent="0.2">
      <c r="A220" s="139"/>
      <c r="B220" s="215"/>
      <c r="C220" s="221" t="s">
        <v>117</v>
      </c>
      <c r="D220" s="142"/>
      <c r="E220" s="233"/>
      <c r="F220" s="145"/>
      <c r="G220" s="145"/>
      <c r="H220" s="282">
        <v>500</v>
      </c>
      <c r="I220" s="268" t="s">
        <v>128</v>
      </c>
      <c r="J220" s="269">
        <v>300.45</v>
      </c>
      <c r="K220" s="217">
        <f t="shared" si="21"/>
        <v>254.61864406779662</v>
      </c>
      <c r="L220" s="218">
        <f t="shared" si="22"/>
        <v>127309.32203389831</v>
      </c>
    </row>
    <row r="221" spans="1:12" x14ac:dyDescent="0.2">
      <c r="A221" s="116">
        <v>8</v>
      </c>
      <c r="B221" s="206" t="s">
        <v>283</v>
      </c>
      <c r="C221" s="219" t="s">
        <v>284</v>
      </c>
      <c r="D221" s="119"/>
      <c r="E221" s="121"/>
      <c r="F221" s="121"/>
      <c r="G221" s="121"/>
      <c r="H221" s="208"/>
      <c r="I221" s="122"/>
      <c r="J221" s="209"/>
      <c r="K221" s="217">
        <f t="shared" si="21"/>
        <v>0</v>
      </c>
      <c r="L221" s="218">
        <f t="shared" si="22"/>
        <v>0</v>
      </c>
    </row>
    <row r="222" spans="1:12" ht="25.5" x14ac:dyDescent="0.2">
      <c r="A222" s="124"/>
      <c r="B222" s="211"/>
      <c r="C222" s="220" t="s">
        <v>485</v>
      </c>
      <c r="D222" s="133">
        <v>1</v>
      </c>
      <c r="E222" s="135">
        <f>E152</f>
        <v>120.145</v>
      </c>
      <c r="F222" s="135"/>
      <c r="G222" s="135">
        <f>3-0.13</f>
        <v>2.87</v>
      </c>
      <c r="H222" s="212">
        <f>SUM(G222*E222*D222)</f>
        <v>344.81614999999999</v>
      </c>
      <c r="I222" s="136"/>
      <c r="J222" s="213"/>
      <c r="K222" s="217">
        <f t="shared" si="21"/>
        <v>0</v>
      </c>
      <c r="L222" s="218">
        <f t="shared" si="22"/>
        <v>0</v>
      </c>
    </row>
    <row r="223" spans="1:12" x14ac:dyDescent="0.2">
      <c r="A223" s="124"/>
      <c r="B223" s="211"/>
      <c r="C223" s="225" t="s">
        <v>486</v>
      </c>
      <c r="D223" s="133">
        <v>2</v>
      </c>
      <c r="E223" s="135">
        <f>E160</f>
        <v>28.487000000000002</v>
      </c>
      <c r="F223" s="135"/>
      <c r="G223" s="135">
        <f>3-0.13</f>
        <v>2.87</v>
      </c>
      <c r="H223" s="212">
        <f>SUM(G223*E223*D223)</f>
        <v>163.51538000000002</v>
      </c>
      <c r="I223" s="136"/>
      <c r="J223" s="213"/>
      <c r="K223" s="217">
        <f t="shared" si="21"/>
        <v>0</v>
      </c>
      <c r="L223" s="218">
        <f t="shared" si="22"/>
        <v>0</v>
      </c>
    </row>
    <row r="224" spans="1:12" x14ac:dyDescent="0.2">
      <c r="A224" s="124"/>
      <c r="B224" s="211"/>
      <c r="C224" s="191" t="s">
        <v>271</v>
      </c>
      <c r="D224" s="133"/>
      <c r="E224" s="135"/>
      <c r="F224" s="135"/>
      <c r="G224" s="135"/>
      <c r="H224" s="180"/>
      <c r="I224" s="136"/>
      <c r="J224" s="213"/>
      <c r="K224" s="217">
        <f t="shared" si="21"/>
        <v>0</v>
      </c>
      <c r="L224" s="218">
        <f t="shared" si="22"/>
        <v>0</v>
      </c>
    </row>
    <row r="225" spans="1:12" x14ac:dyDescent="0.2">
      <c r="A225" s="124"/>
      <c r="B225" s="211"/>
      <c r="C225" s="183" t="s">
        <v>418</v>
      </c>
      <c r="D225" s="133">
        <v>-3</v>
      </c>
      <c r="E225" s="135">
        <v>1.05</v>
      </c>
      <c r="F225" s="135"/>
      <c r="G225" s="135">
        <v>2.4</v>
      </c>
      <c r="H225" s="212">
        <f>G225*E225*D225</f>
        <v>-7.5600000000000005</v>
      </c>
      <c r="I225" s="136"/>
      <c r="J225" s="236"/>
      <c r="K225" s="217">
        <f t="shared" si="21"/>
        <v>0</v>
      </c>
      <c r="L225" s="218">
        <f t="shared" si="22"/>
        <v>0</v>
      </c>
    </row>
    <row r="226" spans="1:12" x14ac:dyDescent="0.2">
      <c r="A226" s="124"/>
      <c r="B226" s="211"/>
      <c r="C226" s="183" t="s">
        <v>419</v>
      </c>
      <c r="D226" s="133">
        <v>-3</v>
      </c>
      <c r="E226" s="135">
        <v>0.9</v>
      </c>
      <c r="F226" s="135"/>
      <c r="G226" s="135">
        <v>2.4</v>
      </c>
      <c r="H226" s="212">
        <f t="shared" ref="H226:H232" si="24">G226*E226*D226</f>
        <v>-6.48</v>
      </c>
      <c r="I226" s="136"/>
      <c r="J226" s="236"/>
      <c r="K226" s="217">
        <f t="shared" si="21"/>
        <v>0</v>
      </c>
      <c r="L226" s="218">
        <f t="shared" si="22"/>
        <v>0</v>
      </c>
    </row>
    <row r="227" spans="1:12" x14ac:dyDescent="0.2">
      <c r="A227" s="124"/>
      <c r="B227" s="211"/>
      <c r="C227" s="183" t="s">
        <v>696</v>
      </c>
      <c r="D227" s="133">
        <v>-3</v>
      </c>
      <c r="E227" s="135">
        <v>1.8</v>
      </c>
      <c r="F227" s="135"/>
      <c r="G227" s="135">
        <v>1.5</v>
      </c>
      <c r="H227" s="212">
        <f t="shared" si="24"/>
        <v>-8.1000000000000014</v>
      </c>
      <c r="I227" s="136"/>
      <c r="J227" s="236"/>
      <c r="K227" s="217">
        <f t="shared" si="21"/>
        <v>0</v>
      </c>
      <c r="L227" s="218">
        <f t="shared" si="22"/>
        <v>0</v>
      </c>
    </row>
    <row r="228" spans="1:12" x14ac:dyDescent="0.2">
      <c r="A228" s="124"/>
      <c r="B228" s="211"/>
      <c r="C228" s="220" t="s">
        <v>457</v>
      </c>
      <c r="D228" s="133">
        <v>-3</v>
      </c>
      <c r="E228" s="135">
        <v>1.37</v>
      </c>
      <c r="F228" s="135"/>
      <c r="G228" s="135">
        <v>1.5</v>
      </c>
      <c r="H228" s="212">
        <f t="shared" si="24"/>
        <v>-6.1650000000000009</v>
      </c>
      <c r="I228" s="136"/>
      <c r="J228" s="236"/>
      <c r="K228" s="217">
        <f t="shared" si="21"/>
        <v>0</v>
      </c>
      <c r="L228" s="218">
        <f t="shared" si="22"/>
        <v>0</v>
      </c>
    </row>
    <row r="229" spans="1:12" x14ac:dyDescent="0.2">
      <c r="A229" s="124"/>
      <c r="B229" s="211"/>
      <c r="C229" s="220" t="s">
        <v>458</v>
      </c>
      <c r="D229" s="133">
        <v>-3</v>
      </c>
      <c r="E229" s="135">
        <v>1</v>
      </c>
      <c r="F229" s="135"/>
      <c r="G229" s="135">
        <v>1.35</v>
      </c>
      <c r="H229" s="212">
        <f t="shared" si="24"/>
        <v>-4.0500000000000007</v>
      </c>
      <c r="I229" s="136"/>
      <c r="J229" s="236"/>
      <c r="K229" s="217">
        <f t="shared" si="21"/>
        <v>0</v>
      </c>
      <c r="L229" s="218">
        <f t="shared" si="22"/>
        <v>0</v>
      </c>
    </row>
    <row r="230" spans="1:12" x14ac:dyDescent="0.2">
      <c r="A230" s="124"/>
      <c r="B230" s="211"/>
      <c r="C230" s="220" t="s">
        <v>260</v>
      </c>
      <c r="D230" s="133">
        <v>-3</v>
      </c>
      <c r="E230" s="135">
        <v>1.2</v>
      </c>
      <c r="F230" s="135"/>
      <c r="G230" s="135">
        <v>1.2</v>
      </c>
      <c r="H230" s="212">
        <f t="shared" si="24"/>
        <v>-4.32</v>
      </c>
      <c r="I230" s="136"/>
      <c r="J230" s="236"/>
      <c r="K230" s="217">
        <f t="shared" si="21"/>
        <v>0</v>
      </c>
      <c r="L230" s="218">
        <f t="shared" si="22"/>
        <v>0</v>
      </c>
    </row>
    <row r="231" spans="1:12" x14ac:dyDescent="0.2">
      <c r="A231" s="124"/>
      <c r="B231" s="211"/>
      <c r="C231" s="220" t="s">
        <v>273</v>
      </c>
      <c r="D231" s="133">
        <v>-8</v>
      </c>
      <c r="E231" s="135">
        <v>0.6</v>
      </c>
      <c r="F231" s="135"/>
      <c r="G231" s="135">
        <v>0.9</v>
      </c>
      <c r="H231" s="212">
        <f t="shared" si="24"/>
        <v>-4.32</v>
      </c>
      <c r="I231" s="136"/>
      <c r="J231" s="236"/>
      <c r="K231" s="217">
        <f t="shared" si="21"/>
        <v>0</v>
      </c>
      <c r="L231" s="218">
        <f t="shared" si="22"/>
        <v>0</v>
      </c>
    </row>
    <row r="232" spans="1:12" x14ac:dyDescent="0.2">
      <c r="A232" s="124"/>
      <c r="B232" s="211"/>
      <c r="C232" s="316" t="s">
        <v>456</v>
      </c>
      <c r="D232" s="142">
        <v>-7</v>
      </c>
      <c r="E232" s="145">
        <v>2.4</v>
      </c>
      <c r="F232" s="145"/>
      <c r="G232" s="145">
        <v>2.4</v>
      </c>
      <c r="H232" s="212">
        <f t="shared" si="24"/>
        <v>-40.32</v>
      </c>
      <c r="I232" s="141"/>
      <c r="J232" s="314"/>
      <c r="K232" s="217">
        <f t="shared" si="21"/>
        <v>0</v>
      </c>
      <c r="L232" s="218">
        <f t="shared" si="22"/>
        <v>0</v>
      </c>
    </row>
    <row r="233" spans="1:12" x14ac:dyDescent="0.2">
      <c r="A233" s="124"/>
      <c r="B233" s="211"/>
      <c r="C233" s="223" t="s">
        <v>207</v>
      </c>
      <c r="D233" s="133"/>
      <c r="E233" s="135"/>
      <c r="F233" s="135"/>
      <c r="G233" s="135"/>
      <c r="H233" s="212">
        <f>SUM(H222:H232)</f>
        <v>427.01652999999999</v>
      </c>
      <c r="I233" s="136"/>
      <c r="J233" s="213"/>
      <c r="K233" s="217">
        <f t="shared" si="21"/>
        <v>0</v>
      </c>
      <c r="L233" s="218">
        <f t="shared" si="22"/>
        <v>0</v>
      </c>
    </row>
    <row r="234" spans="1:12" x14ac:dyDescent="0.2">
      <c r="A234" s="124"/>
      <c r="B234" s="211"/>
      <c r="C234" s="223"/>
      <c r="D234" s="133"/>
      <c r="E234" s="135"/>
      <c r="F234" s="135"/>
      <c r="G234" s="135"/>
      <c r="H234" s="212"/>
      <c r="I234" s="136"/>
      <c r="J234" s="213"/>
      <c r="K234" s="217">
        <f t="shared" si="21"/>
        <v>0</v>
      </c>
      <c r="L234" s="218">
        <f t="shared" si="22"/>
        <v>0</v>
      </c>
    </row>
    <row r="235" spans="1:12" ht="25.5" x14ac:dyDescent="0.2">
      <c r="A235" s="124"/>
      <c r="B235" s="211"/>
      <c r="C235" s="220" t="s">
        <v>487</v>
      </c>
      <c r="D235" s="133">
        <v>1</v>
      </c>
      <c r="E235" s="135">
        <f>E191</f>
        <v>71.765000000000015</v>
      </c>
      <c r="F235" s="135"/>
      <c r="G235" s="135">
        <f>3-0.13</f>
        <v>2.87</v>
      </c>
      <c r="H235" s="212">
        <f>SUM(G235*E235*D235)</f>
        <v>205.96555000000004</v>
      </c>
      <c r="I235" s="136"/>
      <c r="J235" s="213"/>
      <c r="K235" s="217">
        <f t="shared" si="21"/>
        <v>0</v>
      </c>
      <c r="L235" s="218">
        <f t="shared" si="22"/>
        <v>0</v>
      </c>
    </row>
    <row r="236" spans="1:12" x14ac:dyDescent="0.2">
      <c r="A236" s="124"/>
      <c r="B236" s="211"/>
      <c r="C236" s="183" t="s">
        <v>710</v>
      </c>
      <c r="D236" s="133">
        <v>0</v>
      </c>
      <c r="E236" s="135">
        <v>1.05</v>
      </c>
      <c r="F236" s="135"/>
      <c r="G236" s="135">
        <v>2.4</v>
      </c>
      <c r="H236" s="212">
        <f>D236*E236*G236</f>
        <v>0</v>
      </c>
      <c r="I236" s="136"/>
      <c r="J236" s="213"/>
      <c r="K236" s="217">
        <f t="shared" si="21"/>
        <v>0</v>
      </c>
      <c r="L236" s="218">
        <f t="shared" si="22"/>
        <v>0</v>
      </c>
    </row>
    <row r="237" spans="1:12" x14ac:dyDescent="0.2">
      <c r="A237" s="124"/>
      <c r="B237" s="211"/>
      <c r="C237" s="183" t="s">
        <v>293</v>
      </c>
      <c r="D237" s="133">
        <v>-7</v>
      </c>
      <c r="E237" s="135">
        <v>1</v>
      </c>
      <c r="F237" s="135"/>
      <c r="G237" s="135">
        <v>2.1</v>
      </c>
      <c r="H237" s="212">
        <f>D237*E237*G237</f>
        <v>-14.700000000000001</v>
      </c>
      <c r="I237" s="136"/>
      <c r="J237" s="213"/>
      <c r="K237" s="217">
        <f t="shared" si="21"/>
        <v>0</v>
      </c>
      <c r="L237" s="218">
        <f t="shared" si="22"/>
        <v>0</v>
      </c>
    </row>
    <row r="238" spans="1:12" x14ac:dyDescent="0.2">
      <c r="A238" s="124"/>
      <c r="B238" s="211"/>
      <c r="C238" s="183" t="s">
        <v>222</v>
      </c>
      <c r="D238" s="133">
        <v>-3</v>
      </c>
      <c r="E238" s="135">
        <v>0.9</v>
      </c>
      <c r="F238" s="135"/>
      <c r="G238" s="135">
        <v>2.13</v>
      </c>
      <c r="H238" s="212">
        <f>D238*E238*G238</f>
        <v>-5.7510000000000003</v>
      </c>
      <c r="I238" s="136"/>
      <c r="J238" s="213"/>
      <c r="K238" s="217">
        <f t="shared" si="21"/>
        <v>0</v>
      </c>
      <c r="L238" s="218">
        <f t="shared" si="22"/>
        <v>0</v>
      </c>
    </row>
    <row r="239" spans="1:12" x14ac:dyDescent="0.2">
      <c r="A239" s="124"/>
      <c r="B239" s="211"/>
      <c r="C239" s="183" t="s">
        <v>223</v>
      </c>
      <c r="D239" s="133">
        <v>-7</v>
      </c>
      <c r="E239" s="135">
        <v>0.75</v>
      </c>
      <c r="F239" s="135"/>
      <c r="G239" s="135">
        <v>2.13</v>
      </c>
      <c r="H239" s="212">
        <f>D239*E239*G239</f>
        <v>-11.182499999999999</v>
      </c>
      <c r="I239" s="136"/>
      <c r="J239" s="213"/>
      <c r="K239" s="217">
        <f t="shared" si="21"/>
        <v>0</v>
      </c>
      <c r="L239" s="218">
        <f t="shared" si="22"/>
        <v>0</v>
      </c>
    </row>
    <row r="240" spans="1:12" x14ac:dyDescent="0.2">
      <c r="A240" s="124"/>
      <c r="B240" s="211"/>
      <c r="C240" s="183" t="s">
        <v>457</v>
      </c>
      <c r="D240" s="133">
        <v>-3</v>
      </c>
      <c r="E240" s="135">
        <v>1.37</v>
      </c>
      <c r="F240" s="135"/>
      <c r="G240" s="135">
        <v>1.5</v>
      </c>
      <c r="H240" s="212">
        <f>D240*E240*G240</f>
        <v>-6.1650000000000009</v>
      </c>
      <c r="I240" s="136"/>
      <c r="J240" s="213"/>
      <c r="K240" s="217">
        <f t="shared" si="21"/>
        <v>0</v>
      </c>
      <c r="L240" s="218">
        <f t="shared" si="22"/>
        <v>0</v>
      </c>
    </row>
    <row r="241" spans="1:16" x14ac:dyDescent="0.2">
      <c r="A241" s="124"/>
      <c r="B241" s="211"/>
      <c r="C241" s="183"/>
      <c r="D241" s="133"/>
      <c r="E241" s="135"/>
      <c r="F241" s="135"/>
      <c r="G241" s="135"/>
      <c r="H241" s="212"/>
      <c r="I241" s="136"/>
      <c r="J241" s="213"/>
      <c r="K241" s="217">
        <f t="shared" si="21"/>
        <v>0</v>
      </c>
      <c r="L241" s="218">
        <f t="shared" si="22"/>
        <v>0</v>
      </c>
    </row>
    <row r="242" spans="1:16" x14ac:dyDescent="0.2">
      <c r="A242" s="124"/>
      <c r="B242" s="211"/>
      <c r="C242" s="223" t="s">
        <v>207</v>
      </c>
      <c r="D242" s="133"/>
      <c r="E242" s="135"/>
      <c r="F242" s="135"/>
      <c r="G242" s="135"/>
      <c r="H242" s="212">
        <f>SUM(H235:H241)</f>
        <v>168.16705000000005</v>
      </c>
      <c r="I242" s="136"/>
      <c r="J242" s="213"/>
      <c r="K242" s="217">
        <f t="shared" si="21"/>
        <v>0</v>
      </c>
      <c r="L242" s="218">
        <f t="shared" si="22"/>
        <v>0</v>
      </c>
    </row>
    <row r="243" spans="1:16" x14ac:dyDescent="0.2">
      <c r="A243" s="139"/>
      <c r="B243" s="215"/>
      <c r="C243" s="221" t="s">
        <v>295</v>
      </c>
      <c r="D243" s="142"/>
      <c r="E243" s="233"/>
      <c r="F243" s="145"/>
      <c r="G243" s="145"/>
      <c r="H243" s="282">
        <v>590</v>
      </c>
      <c r="I243" s="268" t="s">
        <v>128</v>
      </c>
      <c r="J243" s="269">
        <v>343.65</v>
      </c>
      <c r="K243" s="217">
        <f t="shared" si="21"/>
        <v>291.22881355932202</v>
      </c>
      <c r="L243" s="218">
        <f t="shared" si="22"/>
        <v>171825</v>
      </c>
    </row>
    <row r="244" spans="1:16" ht="25.5" x14ac:dyDescent="0.2">
      <c r="A244" s="116">
        <v>9</v>
      </c>
      <c r="B244" s="206" t="s">
        <v>296</v>
      </c>
      <c r="C244" s="270" t="s">
        <v>297</v>
      </c>
      <c r="D244" s="119"/>
      <c r="E244" s="271"/>
      <c r="F244" s="121"/>
      <c r="G244" s="121"/>
      <c r="H244" s="272"/>
      <c r="I244" s="254"/>
      <c r="J244" s="255"/>
      <c r="K244" s="217">
        <f t="shared" si="21"/>
        <v>0</v>
      </c>
      <c r="L244" s="218">
        <f t="shared" si="22"/>
        <v>0</v>
      </c>
    </row>
    <row r="245" spans="1:16" x14ac:dyDescent="0.2">
      <c r="A245" s="124"/>
      <c r="B245" s="211"/>
      <c r="C245" s="223" t="s">
        <v>488</v>
      </c>
      <c r="D245" s="133">
        <v>1</v>
      </c>
      <c r="E245" s="135">
        <f>E235</f>
        <v>71.765000000000015</v>
      </c>
      <c r="F245" s="135"/>
      <c r="G245" s="135">
        <f>G235</f>
        <v>2.87</v>
      </c>
      <c r="H245" s="212">
        <f>SUM(G245*E245*D245)</f>
        <v>205.96555000000004</v>
      </c>
      <c r="I245" s="273"/>
      <c r="J245" s="274"/>
      <c r="K245" s="217">
        <f t="shared" si="21"/>
        <v>0</v>
      </c>
      <c r="L245" s="218">
        <f t="shared" si="22"/>
        <v>0</v>
      </c>
    </row>
    <row r="246" spans="1:16" x14ac:dyDescent="0.2">
      <c r="A246" s="139"/>
      <c r="B246" s="215"/>
      <c r="C246" s="223" t="s">
        <v>207</v>
      </c>
      <c r="D246" s="133"/>
      <c r="E246" s="135"/>
      <c r="F246" s="135"/>
      <c r="G246" s="135"/>
      <c r="H246" s="242">
        <v>200</v>
      </c>
      <c r="I246" s="136" t="s">
        <v>278</v>
      </c>
      <c r="J246" s="213">
        <v>395.35</v>
      </c>
      <c r="K246" s="217">
        <f t="shared" si="21"/>
        <v>335.04237288135596</v>
      </c>
      <c r="L246" s="218">
        <f t="shared" si="22"/>
        <v>67008.474576271197</v>
      </c>
    </row>
    <row r="247" spans="1:16" ht="27.75" customHeight="1" x14ac:dyDescent="0.2">
      <c r="A247" s="124">
        <v>10</v>
      </c>
      <c r="B247" s="211" t="s">
        <v>299</v>
      </c>
      <c r="C247" s="276" t="s">
        <v>300</v>
      </c>
      <c r="D247" s="127"/>
      <c r="E247" s="129"/>
      <c r="F247" s="129"/>
      <c r="G247" s="129"/>
      <c r="H247" s="264"/>
      <c r="I247" s="130"/>
      <c r="J247" s="240"/>
      <c r="K247" s="217">
        <f t="shared" si="21"/>
        <v>0</v>
      </c>
      <c r="L247" s="218">
        <f t="shared" si="22"/>
        <v>0</v>
      </c>
    </row>
    <row r="248" spans="1:16" x14ac:dyDescent="0.2">
      <c r="A248" s="124"/>
      <c r="B248" s="211"/>
      <c r="C248" s="225" t="s">
        <v>489</v>
      </c>
      <c r="D248" s="133">
        <v>1</v>
      </c>
      <c r="E248" s="135">
        <f>E152</f>
        <v>120.145</v>
      </c>
      <c r="F248" s="135"/>
      <c r="G248" s="135">
        <f>3</f>
        <v>3</v>
      </c>
      <c r="H248" s="212">
        <f>G248*E248*D248</f>
        <v>360.435</v>
      </c>
      <c r="I248" s="180"/>
      <c r="J248" s="213"/>
      <c r="K248" s="217">
        <f t="shared" si="21"/>
        <v>0</v>
      </c>
      <c r="L248" s="218">
        <f t="shared" si="22"/>
        <v>0</v>
      </c>
    </row>
    <row r="249" spans="1:16" x14ac:dyDescent="0.2">
      <c r="A249" s="139"/>
      <c r="B249" s="215"/>
      <c r="C249" s="221" t="s">
        <v>117</v>
      </c>
      <c r="D249" s="142"/>
      <c r="E249" s="143"/>
      <c r="F249" s="143"/>
      <c r="G249" s="143"/>
      <c r="H249" s="216">
        <v>360.4</v>
      </c>
      <c r="I249" s="233" t="s">
        <v>128</v>
      </c>
      <c r="J249" s="217">
        <v>466.05</v>
      </c>
      <c r="K249" s="217">
        <f t="shared" si="21"/>
        <v>394.95762711864404</v>
      </c>
      <c r="L249" s="218">
        <f t="shared" si="22"/>
        <v>142342.72881355931</v>
      </c>
    </row>
    <row r="250" spans="1:16" ht="85.5" x14ac:dyDescent="0.2">
      <c r="A250" s="124">
        <v>11</v>
      </c>
      <c r="B250" s="211">
        <v>13.73</v>
      </c>
      <c r="C250" s="118" t="s">
        <v>304</v>
      </c>
      <c r="D250" s="127"/>
      <c r="E250" s="128"/>
      <c r="F250" s="128"/>
      <c r="G250" s="128"/>
      <c r="H250" s="264"/>
      <c r="I250" s="249"/>
      <c r="J250" s="240"/>
      <c r="K250" s="217">
        <f t="shared" si="21"/>
        <v>0</v>
      </c>
      <c r="L250" s="218">
        <f t="shared" si="22"/>
        <v>0</v>
      </c>
    </row>
    <row r="251" spans="1:16" ht="14.25" x14ac:dyDescent="0.2">
      <c r="A251" s="124"/>
      <c r="B251" s="211" t="s">
        <v>305</v>
      </c>
      <c r="C251" s="118" t="s">
        <v>306</v>
      </c>
      <c r="D251" s="127"/>
      <c r="E251" s="128">
        <v>160</v>
      </c>
      <c r="F251" s="128"/>
      <c r="G251" s="128"/>
      <c r="H251" s="264">
        <v>20</v>
      </c>
      <c r="I251" s="249" t="s">
        <v>307</v>
      </c>
      <c r="J251" s="240">
        <v>75.8</v>
      </c>
      <c r="K251" s="217">
        <f t="shared" si="21"/>
        <v>64.237288135593218</v>
      </c>
      <c r="L251" s="218">
        <f t="shared" si="22"/>
        <v>1284.7457627118642</v>
      </c>
    </row>
    <row r="252" spans="1:16" ht="91.5" customHeight="1" x14ac:dyDescent="0.2">
      <c r="A252" s="116">
        <v>12</v>
      </c>
      <c r="B252" s="175" t="s">
        <v>308</v>
      </c>
      <c r="C252" s="118" t="s">
        <v>309</v>
      </c>
      <c r="D252" s="119"/>
      <c r="E252" s="271"/>
      <c r="F252" s="121"/>
      <c r="G252" s="121"/>
      <c r="H252" s="272"/>
      <c r="I252" s="254"/>
      <c r="J252" s="255"/>
      <c r="K252" s="217">
        <f t="shared" si="21"/>
        <v>0</v>
      </c>
      <c r="L252" s="218">
        <f t="shared" si="22"/>
        <v>0</v>
      </c>
    </row>
    <row r="253" spans="1:16" ht="14.25" x14ac:dyDescent="0.2">
      <c r="A253" s="124"/>
      <c r="B253" s="176"/>
      <c r="C253" s="236" t="s">
        <v>310</v>
      </c>
      <c r="D253" s="133">
        <v>18</v>
      </c>
      <c r="E253" s="135">
        <v>1.2749999999999999</v>
      </c>
      <c r="F253" s="135">
        <v>0.25</v>
      </c>
      <c r="G253" s="135"/>
      <c r="H253" s="242">
        <f>D253*E253*F253</f>
        <v>5.7374999999999998</v>
      </c>
      <c r="I253" s="273"/>
      <c r="J253" s="274"/>
      <c r="K253" s="217">
        <f t="shared" si="21"/>
        <v>0</v>
      </c>
      <c r="L253" s="218">
        <f t="shared" si="22"/>
        <v>0</v>
      </c>
    </row>
    <row r="254" spans="1:16" ht="14.25" x14ac:dyDescent="0.2">
      <c r="A254" s="124"/>
      <c r="B254" s="176"/>
      <c r="C254" s="278" t="s">
        <v>311</v>
      </c>
      <c r="D254" s="133">
        <v>1</v>
      </c>
      <c r="E254" s="135">
        <v>2.7</v>
      </c>
      <c r="F254" s="135">
        <v>1.33</v>
      </c>
      <c r="G254" s="135"/>
      <c r="H254" s="242">
        <f>D254*E254*F254</f>
        <v>3.5910000000000006</v>
      </c>
      <c r="I254" s="273"/>
      <c r="J254" s="274"/>
      <c r="K254" s="217">
        <f t="shared" si="21"/>
        <v>0</v>
      </c>
      <c r="L254" s="218">
        <f t="shared" si="22"/>
        <v>0</v>
      </c>
    </row>
    <row r="255" spans="1:16" ht="14.25" x14ac:dyDescent="0.2">
      <c r="A255" s="139"/>
      <c r="B255" s="280"/>
      <c r="C255" s="281" t="s">
        <v>207</v>
      </c>
      <c r="D255" s="142"/>
      <c r="E255" s="233"/>
      <c r="F255" s="145"/>
      <c r="G255" s="145"/>
      <c r="H255" s="282">
        <v>9.3000000000000007</v>
      </c>
      <c r="I255" s="268" t="s">
        <v>278</v>
      </c>
      <c r="J255" s="269">
        <v>1948.25</v>
      </c>
      <c r="K255" s="217">
        <f t="shared" si="21"/>
        <v>1651.0593220338983</v>
      </c>
      <c r="L255" s="218">
        <f t="shared" si="22"/>
        <v>15354.851694915254</v>
      </c>
      <c r="P255" s="90">
        <f>K255/799</f>
        <v>2.0664071614942405</v>
      </c>
    </row>
    <row r="256" spans="1:16" ht="100.5" x14ac:dyDescent="0.2">
      <c r="A256" s="116">
        <v>13</v>
      </c>
      <c r="B256" s="206">
        <v>11.41</v>
      </c>
      <c r="C256" s="288" t="s">
        <v>317</v>
      </c>
      <c r="D256" s="119"/>
      <c r="E256" s="121"/>
      <c r="F256" s="121"/>
      <c r="G256" s="121"/>
      <c r="H256" s="208"/>
      <c r="I256" s="122"/>
      <c r="J256" s="209"/>
      <c r="K256" s="217">
        <f t="shared" si="21"/>
        <v>0</v>
      </c>
      <c r="L256" s="218">
        <f t="shared" si="22"/>
        <v>0</v>
      </c>
    </row>
    <row r="257" spans="1:12" ht="25.5" x14ac:dyDescent="0.2">
      <c r="A257" s="124"/>
      <c r="B257" s="211" t="s">
        <v>318</v>
      </c>
      <c r="C257" s="289" t="s">
        <v>319</v>
      </c>
      <c r="D257" s="127"/>
      <c r="E257" s="129"/>
      <c r="F257" s="129"/>
      <c r="G257" s="129"/>
      <c r="H257" s="239"/>
      <c r="I257" s="130"/>
      <c r="J257" s="240"/>
      <c r="K257" s="217">
        <f t="shared" si="21"/>
        <v>0</v>
      </c>
      <c r="L257" s="218">
        <f t="shared" si="22"/>
        <v>0</v>
      </c>
    </row>
    <row r="258" spans="1:12" x14ac:dyDescent="0.2">
      <c r="A258" s="124"/>
      <c r="B258" s="211"/>
      <c r="C258" s="401" t="s">
        <v>729</v>
      </c>
      <c r="D258" s="127"/>
      <c r="E258" s="129"/>
      <c r="F258" s="129"/>
      <c r="G258" s="129"/>
      <c r="H258" s="239"/>
      <c r="I258" s="130"/>
      <c r="J258" s="240"/>
      <c r="K258" s="217">
        <f t="shared" si="21"/>
        <v>0</v>
      </c>
      <c r="L258" s="218">
        <f t="shared" si="22"/>
        <v>0</v>
      </c>
    </row>
    <row r="259" spans="1:12" x14ac:dyDescent="0.2">
      <c r="A259" s="124"/>
      <c r="B259" s="211"/>
      <c r="C259" s="225" t="s">
        <v>712</v>
      </c>
      <c r="D259" s="226">
        <v>1</v>
      </c>
      <c r="E259" s="227">
        <v>3.6</v>
      </c>
      <c r="F259" s="227">
        <v>7.7</v>
      </c>
      <c r="G259" s="227"/>
      <c r="H259" s="227">
        <f t="shared" ref="H259:H267" si="25">D259*E259*F259</f>
        <v>27.720000000000002</v>
      </c>
      <c r="I259" s="136"/>
      <c r="J259" s="213"/>
      <c r="K259" s="217">
        <f t="shared" si="21"/>
        <v>0</v>
      </c>
      <c r="L259" s="218">
        <f t="shared" si="22"/>
        <v>0</v>
      </c>
    </row>
    <row r="260" spans="1:12" x14ac:dyDescent="0.2">
      <c r="A260" s="124"/>
      <c r="B260" s="211"/>
      <c r="C260" s="225" t="s">
        <v>492</v>
      </c>
      <c r="D260" s="226">
        <v>1</v>
      </c>
      <c r="E260" s="227">
        <v>2.9249999999999998</v>
      </c>
      <c r="F260" s="227">
        <v>4.2</v>
      </c>
      <c r="G260" s="227"/>
      <c r="H260" s="227">
        <f t="shared" si="25"/>
        <v>12.285</v>
      </c>
      <c r="I260" s="136"/>
      <c r="J260" s="213"/>
      <c r="K260" s="217">
        <f t="shared" si="21"/>
        <v>0</v>
      </c>
      <c r="L260" s="218">
        <f t="shared" si="22"/>
        <v>0</v>
      </c>
    </row>
    <row r="261" spans="1:12" x14ac:dyDescent="0.2">
      <c r="A261" s="124"/>
      <c r="B261" s="211"/>
      <c r="C261" s="225" t="s">
        <v>493</v>
      </c>
      <c r="D261" s="226">
        <v>1</v>
      </c>
      <c r="E261" s="227">
        <v>3.7250000000000001</v>
      </c>
      <c r="F261" s="227">
        <v>4.0999999999999996</v>
      </c>
      <c r="G261" s="227"/>
      <c r="H261" s="227">
        <f t="shared" si="25"/>
        <v>15.272499999999999</v>
      </c>
      <c r="I261" s="136"/>
      <c r="J261" s="213"/>
      <c r="K261" s="217">
        <f t="shared" si="21"/>
        <v>0</v>
      </c>
      <c r="L261" s="218">
        <f t="shared" si="22"/>
        <v>0</v>
      </c>
    </row>
    <row r="262" spans="1:12" x14ac:dyDescent="0.2">
      <c r="A262" s="124"/>
      <c r="B262" s="211"/>
      <c r="C262" s="225" t="s">
        <v>713</v>
      </c>
      <c r="D262" s="226">
        <v>1</v>
      </c>
      <c r="E262" s="227">
        <v>4.2</v>
      </c>
      <c r="F262" s="227">
        <v>3.3</v>
      </c>
      <c r="G262" s="227"/>
      <c r="H262" s="227">
        <f t="shared" si="25"/>
        <v>13.86</v>
      </c>
      <c r="I262" s="136"/>
      <c r="J262" s="213"/>
      <c r="K262" s="217">
        <f t="shared" si="21"/>
        <v>0</v>
      </c>
      <c r="L262" s="218">
        <f t="shared" si="22"/>
        <v>0</v>
      </c>
    </row>
    <row r="263" spans="1:12" x14ac:dyDescent="0.2">
      <c r="A263" s="124"/>
      <c r="B263" s="211"/>
      <c r="C263" s="225" t="s">
        <v>713</v>
      </c>
      <c r="D263" s="226">
        <v>1</v>
      </c>
      <c r="E263" s="227">
        <v>4.2</v>
      </c>
      <c r="F263" s="227">
        <v>3.6</v>
      </c>
      <c r="G263" s="227"/>
      <c r="H263" s="227">
        <f t="shared" si="25"/>
        <v>15.120000000000001</v>
      </c>
      <c r="I263" s="136"/>
      <c r="J263" s="213"/>
      <c r="K263" s="217">
        <f t="shared" si="21"/>
        <v>0</v>
      </c>
      <c r="L263" s="218">
        <f t="shared" si="22"/>
        <v>0</v>
      </c>
    </row>
    <row r="264" spans="1:12" x14ac:dyDescent="0.2">
      <c r="A264" s="124"/>
      <c r="B264" s="211"/>
      <c r="C264" s="225" t="s">
        <v>714</v>
      </c>
      <c r="D264" s="226">
        <v>3</v>
      </c>
      <c r="E264" s="227">
        <v>4.0999999999999996</v>
      </c>
      <c r="F264" s="227">
        <v>0.6</v>
      </c>
      <c r="G264" s="227"/>
      <c r="H264" s="227">
        <f t="shared" si="25"/>
        <v>7.379999999999999</v>
      </c>
      <c r="I264" s="136"/>
      <c r="J264" s="213"/>
      <c r="K264" s="217">
        <f t="shared" si="21"/>
        <v>0</v>
      </c>
      <c r="L264" s="218">
        <f t="shared" si="22"/>
        <v>0</v>
      </c>
    </row>
    <row r="265" spans="1:12" x14ac:dyDescent="0.2">
      <c r="A265" s="124"/>
      <c r="B265" s="211"/>
      <c r="C265" s="225" t="s">
        <v>715</v>
      </c>
      <c r="D265" s="226">
        <v>1</v>
      </c>
      <c r="E265" s="227">
        <v>1.7</v>
      </c>
      <c r="F265" s="227">
        <v>3.3</v>
      </c>
      <c r="G265" s="227"/>
      <c r="H265" s="227">
        <f t="shared" si="25"/>
        <v>5.6099999999999994</v>
      </c>
      <c r="I265" s="136"/>
      <c r="J265" s="213"/>
      <c r="K265" s="217">
        <f t="shared" si="21"/>
        <v>0</v>
      </c>
      <c r="L265" s="218">
        <f t="shared" si="22"/>
        <v>0</v>
      </c>
    </row>
    <row r="266" spans="1:12" x14ac:dyDescent="0.2">
      <c r="A266" s="124"/>
      <c r="B266" s="211"/>
      <c r="C266" s="225"/>
      <c r="D266" s="226">
        <v>1</v>
      </c>
      <c r="E266" s="227">
        <v>2.2749999999999999</v>
      </c>
      <c r="F266" s="227">
        <v>0.85</v>
      </c>
      <c r="G266" s="227"/>
      <c r="H266" s="227">
        <f t="shared" si="25"/>
        <v>1.9337499999999999</v>
      </c>
      <c r="I266" s="136"/>
      <c r="J266" s="213"/>
      <c r="K266" s="217">
        <f t="shared" si="21"/>
        <v>0</v>
      </c>
      <c r="L266" s="218">
        <f t="shared" si="22"/>
        <v>0</v>
      </c>
    </row>
    <row r="267" spans="1:12" x14ac:dyDescent="0.2">
      <c r="A267" s="124"/>
      <c r="B267" s="211"/>
      <c r="C267" s="412" t="s">
        <v>730</v>
      </c>
      <c r="D267" s="247">
        <v>1</v>
      </c>
      <c r="E267" s="248">
        <v>3.05</v>
      </c>
      <c r="F267" s="248">
        <v>2.6</v>
      </c>
      <c r="G267" s="248"/>
      <c r="H267" s="248">
        <f t="shared" si="25"/>
        <v>7.93</v>
      </c>
      <c r="I267" s="130"/>
      <c r="J267" s="240"/>
      <c r="K267" s="217">
        <f t="shared" ref="K267:K330" si="26">J267*100/118</f>
        <v>0</v>
      </c>
      <c r="L267" s="218">
        <f t="shared" ref="L267:L330" si="27">K267*H267</f>
        <v>0</v>
      </c>
    </row>
    <row r="268" spans="1:12" x14ac:dyDescent="0.2">
      <c r="A268" s="124"/>
      <c r="B268" s="211"/>
      <c r="C268" s="412" t="s">
        <v>715</v>
      </c>
      <c r="D268" s="247">
        <v>1</v>
      </c>
      <c r="E268" s="248">
        <v>1.925</v>
      </c>
      <c r="F268" s="248">
        <v>1.2</v>
      </c>
      <c r="G268" s="248"/>
      <c r="H268" s="248">
        <f>D268*E268*F268</f>
        <v>2.31</v>
      </c>
      <c r="I268" s="130"/>
      <c r="J268" s="240"/>
      <c r="K268" s="217">
        <f t="shared" si="26"/>
        <v>0</v>
      </c>
      <c r="L268" s="218">
        <f t="shared" si="27"/>
        <v>0</v>
      </c>
    </row>
    <row r="269" spans="1:12" x14ac:dyDescent="0.2">
      <c r="A269" s="124"/>
      <c r="B269" s="211"/>
      <c r="C269" s="401" t="s">
        <v>716</v>
      </c>
      <c r="D269" s="127"/>
      <c r="E269" s="129"/>
      <c r="F269" s="129"/>
      <c r="G269" s="129"/>
      <c r="H269" s="239"/>
      <c r="I269" s="130"/>
      <c r="J269" s="240"/>
      <c r="K269" s="217">
        <f t="shared" si="26"/>
        <v>0</v>
      </c>
      <c r="L269" s="218">
        <f t="shared" si="27"/>
        <v>0</v>
      </c>
    </row>
    <row r="270" spans="1:12" x14ac:dyDescent="0.2">
      <c r="A270" s="124"/>
      <c r="B270" s="211"/>
      <c r="C270" s="225" t="s">
        <v>712</v>
      </c>
      <c r="D270" s="226">
        <v>2</v>
      </c>
      <c r="E270" s="227">
        <v>6.0750000000000002</v>
      </c>
      <c r="F270" s="227">
        <v>3.3</v>
      </c>
      <c r="G270" s="227"/>
      <c r="H270" s="227">
        <f t="shared" ref="H270:H276" si="28">D270*E270*F270</f>
        <v>40.094999999999999</v>
      </c>
      <c r="I270" s="136"/>
      <c r="J270" s="213"/>
      <c r="K270" s="217">
        <f t="shared" si="26"/>
        <v>0</v>
      </c>
      <c r="L270" s="218">
        <f t="shared" si="27"/>
        <v>0</v>
      </c>
    </row>
    <row r="271" spans="1:12" x14ac:dyDescent="0.2">
      <c r="A271" s="124"/>
      <c r="B271" s="211"/>
      <c r="C271" s="225" t="s">
        <v>492</v>
      </c>
      <c r="D271" s="226">
        <v>2</v>
      </c>
      <c r="E271" s="227">
        <v>2.75</v>
      </c>
      <c r="F271" s="227">
        <v>3.4750000000000001</v>
      </c>
      <c r="G271" s="227"/>
      <c r="H271" s="227">
        <f t="shared" si="28"/>
        <v>19.112500000000001</v>
      </c>
      <c r="I271" s="136"/>
      <c r="J271" s="213"/>
      <c r="K271" s="217">
        <f t="shared" si="26"/>
        <v>0</v>
      </c>
      <c r="L271" s="218">
        <f t="shared" si="27"/>
        <v>0</v>
      </c>
    </row>
    <row r="272" spans="1:12" x14ac:dyDescent="0.2">
      <c r="A272" s="124"/>
      <c r="B272" s="211"/>
      <c r="C272" s="225" t="s">
        <v>493</v>
      </c>
      <c r="D272" s="226">
        <v>2</v>
      </c>
      <c r="E272" s="227">
        <v>3.2</v>
      </c>
      <c r="F272" s="227">
        <v>4.2</v>
      </c>
      <c r="G272" s="227"/>
      <c r="H272" s="227">
        <f t="shared" si="28"/>
        <v>26.880000000000003</v>
      </c>
      <c r="I272" s="136"/>
      <c r="J272" s="213"/>
      <c r="K272" s="217">
        <f t="shared" si="26"/>
        <v>0</v>
      </c>
      <c r="L272" s="218">
        <f t="shared" si="27"/>
        <v>0</v>
      </c>
    </row>
    <row r="273" spans="1:12" x14ac:dyDescent="0.2">
      <c r="A273" s="124"/>
      <c r="B273" s="211"/>
      <c r="C273" s="225" t="s">
        <v>713</v>
      </c>
      <c r="D273" s="226">
        <v>2</v>
      </c>
      <c r="E273" s="227">
        <v>3.3</v>
      </c>
      <c r="F273" s="227">
        <v>4.2</v>
      </c>
      <c r="G273" s="227"/>
      <c r="H273" s="227">
        <f t="shared" si="28"/>
        <v>27.72</v>
      </c>
      <c r="I273" s="136"/>
      <c r="J273" s="213"/>
      <c r="K273" s="217">
        <f t="shared" si="26"/>
        <v>0</v>
      </c>
      <c r="L273" s="218">
        <f t="shared" si="27"/>
        <v>0</v>
      </c>
    </row>
    <row r="274" spans="1:12" x14ac:dyDescent="0.2">
      <c r="A274" s="124"/>
      <c r="B274" s="211"/>
      <c r="C274" s="225" t="s">
        <v>714</v>
      </c>
      <c r="D274" s="226">
        <v>4</v>
      </c>
      <c r="E274" s="227">
        <v>4.0999999999999996</v>
      </c>
      <c r="F274" s="227">
        <v>0.6</v>
      </c>
      <c r="G274" s="227"/>
      <c r="H274" s="227">
        <f t="shared" si="28"/>
        <v>9.8399999999999981</v>
      </c>
      <c r="I274" s="136"/>
      <c r="J274" s="213"/>
      <c r="K274" s="217">
        <f t="shared" si="26"/>
        <v>0</v>
      </c>
      <c r="L274" s="218">
        <f t="shared" si="27"/>
        <v>0</v>
      </c>
    </row>
    <row r="275" spans="1:12" x14ac:dyDescent="0.2">
      <c r="A275" s="124"/>
      <c r="B275" s="211"/>
      <c r="C275" s="225" t="s">
        <v>715</v>
      </c>
      <c r="D275" s="226">
        <v>2</v>
      </c>
      <c r="E275" s="227">
        <v>1.6</v>
      </c>
      <c r="F275" s="227">
        <v>1.2250000000000001</v>
      </c>
      <c r="G275" s="227"/>
      <c r="H275" s="227">
        <f t="shared" si="28"/>
        <v>3.9200000000000004</v>
      </c>
      <c r="I275" s="136"/>
      <c r="J275" s="213"/>
      <c r="K275" s="217">
        <f t="shared" si="26"/>
        <v>0</v>
      </c>
      <c r="L275" s="218">
        <f t="shared" si="27"/>
        <v>0</v>
      </c>
    </row>
    <row r="276" spans="1:12" x14ac:dyDescent="0.2">
      <c r="A276" s="124"/>
      <c r="B276" s="211"/>
      <c r="C276" s="230" t="s">
        <v>717</v>
      </c>
      <c r="D276" s="231">
        <v>2</v>
      </c>
      <c r="E276" s="232">
        <v>6.05</v>
      </c>
      <c r="F276" s="232">
        <v>5.05</v>
      </c>
      <c r="G276" s="232"/>
      <c r="H276" s="232">
        <f t="shared" si="28"/>
        <v>61.104999999999997</v>
      </c>
      <c r="I276" s="141"/>
      <c r="J276" s="217"/>
      <c r="K276" s="217">
        <f t="shared" si="26"/>
        <v>0</v>
      </c>
      <c r="L276" s="218">
        <f t="shared" si="27"/>
        <v>0</v>
      </c>
    </row>
    <row r="277" spans="1:12" x14ac:dyDescent="0.2">
      <c r="A277" s="139"/>
      <c r="B277" s="215"/>
      <c r="C277" s="221" t="s">
        <v>117</v>
      </c>
      <c r="D277" s="142"/>
      <c r="E277" s="144"/>
      <c r="F277" s="144"/>
      <c r="G277" s="145"/>
      <c r="H277" s="216">
        <v>290</v>
      </c>
      <c r="I277" s="141" t="s">
        <v>128</v>
      </c>
      <c r="J277" s="217">
        <v>1553.45</v>
      </c>
      <c r="K277" s="217">
        <f t="shared" si="26"/>
        <v>1316.4830508474577</v>
      </c>
      <c r="L277" s="218">
        <f t="shared" si="27"/>
        <v>381780.0847457627</v>
      </c>
    </row>
    <row r="278" spans="1:12" ht="39" customHeight="1" x14ac:dyDescent="0.2">
      <c r="A278" s="116">
        <v>14</v>
      </c>
      <c r="B278" s="206">
        <v>11.37</v>
      </c>
      <c r="C278" s="207" t="s">
        <v>321</v>
      </c>
      <c r="D278" s="119"/>
      <c r="E278" s="121"/>
      <c r="F278" s="121"/>
      <c r="G278" s="121"/>
      <c r="H278" s="263"/>
      <c r="I278" s="122"/>
      <c r="J278" s="209"/>
      <c r="K278" s="217">
        <f t="shared" si="26"/>
        <v>0</v>
      </c>
      <c r="L278" s="218">
        <f t="shared" si="27"/>
        <v>0</v>
      </c>
    </row>
    <row r="279" spans="1:12" ht="15.75" customHeight="1" x14ac:dyDescent="0.2">
      <c r="A279" s="124"/>
      <c r="B279" s="211"/>
      <c r="C279" s="401" t="s">
        <v>729</v>
      </c>
      <c r="D279" s="119"/>
      <c r="E279" s="121"/>
      <c r="F279" s="121"/>
      <c r="G279" s="121"/>
      <c r="H279" s="263"/>
      <c r="I279" s="122"/>
      <c r="J279" s="209"/>
      <c r="K279" s="217">
        <f t="shared" si="26"/>
        <v>0</v>
      </c>
      <c r="L279" s="218">
        <f t="shared" si="27"/>
        <v>0</v>
      </c>
    </row>
    <row r="280" spans="1:12" x14ac:dyDescent="0.2">
      <c r="A280" s="124"/>
      <c r="B280" s="211"/>
      <c r="C280" s="220" t="s">
        <v>322</v>
      </c>
      <c r="D280" s="133">
        <v>1</v>
      </c>
      <c r="E280" s="135">
        <v>2.375</v>
      </c>
      <c r="F280" s="135">
        <v>1.575</v>
      </c>
      <c r="G280" s="135"/>
      <c r="H280" s="212">
        <f t="shared" ref="H280:H286" si="29">F280*E280*D280</f>
        <v>3.7406250000000001</v>
      </c>
      <c r="I280" s="136"/>
      <c r="J280" s="213"/>
      <c r="K280" s="217">
        <f t="shared" si="26"/>
        <v>0</v>
      </c>
      <c r="L280" s="218">
        <f t="shared" si="27"/>
        <v>0</v>
      </c>
    </row>
    <row r="281" spans="1:12" ht="12" customHeight="1" x14ac:dyDescent="0.2">
      <c r="A281" s="124"/>
      <c r="B281" s="211"/>
      <c r="C281" s="220" t="s">
        <v>322</v>
      </c>
      <c r="D281" s="133">
        <v>1</v>
      </c>
      <c r="E281" s="135">
        <v>2.375</v>
      </c>
      <c r="F281" s="135">
        <v>1.6</v>
      </c>
      <c r="G281" s="135"/>
      <c r="H281" s="212">
        <f t="shared" si="29"/>
        <v>3.8000000000000003</v>
      </c>
      <c r="I281" s="136"/>
      <c r="J281" s="213"/>
      <c r="K281" s="217">
        <f t="shared" si="26"/>
        <v>0</v>
      </c>
      <c r="L281" s="218">
        <f t="shared" si="27"/>
        <v>0</v>
      </c>
    </row>
    <row r="282" spans="1:12" ht="12" customHeight="1" x14ac:dyDescent="0.2">
      <c r="A282" s="124"/>
      <c r="B282" s="211"/>
      <c r="C282" s="220" t="s">
        <v>322</v>
      </c>
      <c r="D282" s="133">
        <v>1</v>
      </c>
      <c r="E282" s="135">
        <v>1.6</v>
      </c>
      <c r="F282" s="135">
        <v>2.2000000000000002</v>
      </c>
      <c r="G282" s="135"/>
      <c r="H282" s="212">
        <f t="shared" si="29"/>
        <v>3.5200000000000005</v>
      </c>
      <c r="I282" s="136"/>
      <c r="J282" s="213"/>
      <c r="K282" s="217">
        <f t="shared" si="26"/>
        <v>0</v>
      </c>
      <c r="L282" s="218">
        <f t="shared" si="27"/>
        <v>0</v>
      </c>
    </row>
    <row r="283" spans="1:12" ht="12" customHeight="1" x14ac:dyDescent="0.2">
      <c r="A283" s="124"/>
      <c r="B283" s="211"/>
      <c r="C283" s="220" t="s">
        <v>322</v>
      </c>
      <c r="D283" s="133">
        <v>1</v>
      </c>
      <c r="E283" s="135">
        <v>1.8</v>
      </c>
      <c r="F283" s="135">
        <v>1.2749999999999999</v>
      </c>
      <c r="G283" s="135"/>
      <c r="H283" s="212">
        <f>F283*E283*D283</f>
        <v>2.2949999999999999</v>
      </c>
      <c r="I283" s="136"/>
      <c r="J283" s="213"/>
      <c r="K283" s="217">
        <f t="shared" si="26"/>
        <v>0</v>
      </c>
      <c r="L283" s="218">
        <f t="shared" si="27"/>
        <v>0</v>
      </c>
    </row>
    <row r="284" spans="1:12" ht="12" customHeight="1" x14ac:dyDescent="0.2">
      <c r="A284" s="124"/>
      <c r="B284" s="211"/>
      <c r="C284" s="220" t="s">
        <v>718</v>
      </c>
      <c r="D284" s="133">
        <v>1</v>
      </c>
      <c r="E284" s="135">
        <v>3.3</v>
      </c>
      <c r="F284" s="135">
        <v>1.8</v>
      </c>
      <c r="G284" s="135"/>
      <c r="H284" s="212">
        <f t="shared" si="29"/>
        <v>5.9399999999999995</v>
      </c>
      <c r="I284" s="136"/>
      <c r="J284" s="213"/>
      <c r="K284" s="217">
        <f t="shared" si="26"/>
        <v>0</v>
      </c>
      <c r="L284" s="218">
        <f t="shared" si="27"/>
        <v>0</v>
      </c>
    </row>
    <row r="285" spans="1:12" ht="12" customHeight="1" x14ac:dyDescent="0.2">
      <c r="A285" s="124"/>
      <c r="B285" s="211"/>
      <c r="C285" s="220" t="s">
        <v>718</v>
      </c>
      <c r="D285" s="133">
        <v>2</v>
      </c>
      <c r="E285" s="135">
        <v>3.3</v>
      </c>
      <c r="F285" s="135">
        <v>1.5</v>
      </c>
      <c r="G285" s="135"/>
      <c r="H285" s="212">
        <f t="shared" si="29"/>
        <v>9.8999999999999986</v>
      </c>
      <c r="I285" s="136"/>
      <c r="J285" s="213"/>
      <c r="K285" s="217">
        <f t="shared" si="26"/>
        <v>0</v>
      </c>
      <c r="L285" s="218">
        <f t="shared" si="27"/>
        <v>0</v>
      </c>
    </row>
    <row r="286" spans="1:12" ht="12" customHeight="1" x14ac:dyDescent="0.2">
      <c r="A286" s="124"/>
      <c r="B286" s="211"/>
      <c r="C286" s="220" t="s">
        <v>718</v>
      </c>
      <c r="D286" s="133">
        <v>1</v>
      </c>
      <c r="E286" s="135">
        <v>2.2570000000000001</v>
      </c>
      <c r="F286" s="135">
        <v>1.575</v>
      </c>
      <c r="G286" s="135"/>
      <c r="H286" s="212">
        <f t="shared" si="29"/>
        <v>3.5547750000000002</v>
      </c>
      <c r="I286" s="136"/>
      <c r="J286" s="213"/>
      <c r="K286" s="217">
        <f t="shared" si="26"/>
        <v>0</v>
      </c>
      <c r="L286" s="218">
        <f t="shared" si="27"/>
        <v>0</v>
      </c>
    </row>
    <row r="287" spans="1:12" ht="12" customHeight="1" x14ac:dyDescent="0.2">
      <c r="A287" s="124"/>
      <c r="B287" s="211"/>
      <c r="C287" s="220"/>
      <c r="D287" s="133"/>
      <c r="E287" s="135"/>
      <c r="F287" s="135"/>
      <c r="G287" s="135"/>
      <c r="H287" s="212"/>
      <c r="I287" s="136"/>
      <c r="J287" s="213"/>
      <c r="K287" s="217">
        <f t="shared" si="26"/>
        <v>0</v>
      </c>
      <c r="L287" s="218">
        <f t="shared" si="27"/>
        <v>0</v>
      </c>
    </row>
    <row r="288" spans="1:12" x14ac:dyDescent="0.2">
      <c r="A288" s="124"/>
      <c r="B288" s="211"/>
      <c r="C288" s="402" t="s">
        <v>716</v>
      </c>
      <c r="D288" s="133"/>
      <c r="E288" s="135"/>
      <c r="F288" s="135"/>
      <c r="G288" s="135"/>
      <c r="H288" s="212"/>
      <c r="I288" s="136"/>
      <c r="J288" s="213"/>
      <c r="K288" s="217">
        <f t="shared" si="26"/>
        <v>0</v>
      </c>
      <c r="L288" s="218">
        <f t="shared" si="27"/>
        <v>0</v>
      </c>
    </row>
    <row r="289" spans="1:12" x14ac:dyDescent="0.2">
      <c r="A289" s="124"/>
      <c r="B289" s="211"/>
      <c r="C289" s="220" t="s">
        <v>322</v>
      </c>
      <c r="D289" s="133">
        <v>2</v>
      </c>
      <c r="E289" s="135">
        <v>2.15</v>
      </c>
      <c r="F289" s="135">
        <v>1.625</v>
      </c>
      <c r="G289" s="135"/>
      <c r="H289" s="212">
        <f>F289*E289*D289</f>
        <v>6.9874999999999998</v>
      </c>
      <c r="I289" s="136"/>
      <c r="J289" s="213"/>
      <c r="K289" s="217">
        <f t="shared" si="26"/>
        <v>0</v>
      </c>
      <c r="L289" s="218">
        <f t="shared" si="27"/>
        <v>0</v>
      </c>
    </row>
    <row r="290" spans="1:12" ht="12" customHeight="1" x14ac:dyDescent="0.2">
      <c r="A290" s="124"/>
      <c r="B290" s="211"/>
      <c r="C290" s="220" t="s">
        <v>322</v>
      </c>
      <c r="D290" s="133">
        <v>2</v>
      </c>
      <c r="E290" s="135">
        <v>1.6</v>
      </c>
      <c r="F290" s="135">
        <v>2.25</v>
      </c>
      <c r="G290" s="135"/>
      <c r="H290" s="212">
        <f>F290*E290*D290</f>
        <v>7.2</v>
      </c>
      <c r="I290" s="136"/>
      <c r="J290" s="213"/>
      <c r="K290" s="217">
        <f t="shared" si="26"/>
        <v>0</v>
      </c>
      <c r="L290" s="218">
        <f t="shared" si="27"/>
        <v>0</v>
      </c>
    </row>
    <row r="291" spans="1:12" ht="12" customHeight="1" x14ac:dyDescent="0.2">
      <c r="A291" s="124"/>
      <c r="B291" s="211"/>
      <c r="C291" s="220" t="s">
        <v>718</v>
      </c>
      <c r="D291" s="133">
        <v>4</v>
      </c>
      <c r="E291" s="135">
        <v>3.3</v>
      </c>
      <c r="F291" s="135">
        <v>1.5</v>
      </c>
      <c r="G291" s="135"/>
      <c r="H291" s="212">
        <f>F291*E291*D291</f>
        <v>19.799999999999997</v>
      </c>
      <c r="I291" s="136"/>
      <c r="J291" s="213"/>
      <c r="K291" s="217">
        <f t="shared" si="26"/>
        <v>0</v>
      </c>
      <c r="L291" s="218">
        <f t="shared" si="27"/>
        <v>0</v>
      </c>
    </row>
    <row r="292" spans="1:12" ht="12" customHeight="1" x14ac:dyDescent="0.2">
      <c r="A292" s="124"/>
      <c r="B292" s="211"/>
      <c r="C292" s="220" t="s">
        <v>718</v>
      </c>
      <c r="D292" s="133">
        <v>2</v>
      </c>
      <c r="E292" s="135">
        <v>3.3</v>
      </c>
      <c r="F292" s="135">
        <v>1.8</v>
      </c>
      <c r="G292" s="135"/>
      <c r="H292" s="212">
        <f>F292*E292*D292</f>
        <v>11.879999999999999</v>
      </c>
      <c r="I292" s="136"/>
      <c r="J292" s="213"/>
      <c r="K292" s="217">
        <f t="shared" si="26"/>
        <v>0</v>
      </c>
      <c r="L292" s="218">
        <f t="shared" si="27"/>
        <v>0</v>
      </c>
    </row>
    <row r="293" spans="1:12" ht="12" customHeight="1" x14ac:dyDescent="0.2">
      <c r="A293" s="124"/>
      <c r="B293" s="211"/>
      <c r="C293" s="220" t="s">
        <v>719</v>
      </c>
      <c r="D293" s="133">
        <v>2</v>
      </c>
      <c r="E293" s="135">
        <v>6.05</v>
      </c>
      <c r="F293" s="135">
        <v>2.2250000000000001</v>
      </c>
      <c r="G293" s="135"/>
      <c r="H293" s="212">
        <f>F293*E293*D293</f>
        <v>26.922499999999999</v>
      </c>
      <c r="I293" s="136"/>
      <c r="J293" s="213"/>
      <c r="K293" s="217">
        <f t="shared" si="26"/>
        <v>0</v>
      </c>
      <c r="L293" s="218">
        <f t="shared" si="27"/>
        <v>0</v>
      </c>
    </row>
    <row r="294" spans="1:12" x14ac:dyDescent="0.2">
      <c r="A294" s="139"/>
      <c r="B294" s="215"/>
      <c r="C294" s="221" t="s">
        <v>117</v>
      </c>
      <c r="D294" s="142"/>
      <c r="E294" s="145"/>
      <c r="F294" s="145"/>
      <c r="G294" s="145"/>
      <c r="H294" s="216">
        <v>105.5</v>
      </c>
      <c r="I294" s="141" t="s">
        <v>128</v>
      </c>
      <c r="J294" s="217">
        <v>1096.55</v>
      </c>
      <c r="K294" s="217">
        <f t="shared" si="26"/>
        <v>929.27966101694915</v>
      </c>
      <c r="L294" s="218">
        <f t="shared" si="27"/>
        <v>98039.004237288129</v>
      </c>
    </row>
    <row r="295" spans="1:12" ht="66" customHeight="1" x14ac:dyDescent="0.2">
      <c r="A295" s="124">
        <v>15</v>
      </c>
      <c r="B295" s="211">
        <v>11.23</v>
      </c>
      <c r="C295" s="207" t="s">
        <v>645</v>
      </c>
      <c r="D295" s="133"/>
      <c r="E295" s="135"/>
      <c r="F295" s="135"/>
      <c r="G295" s="135"/>
      <c r="H295" s="242"/>
      <c r="I295" s="136"/>
      <c r="J295" s="213"/>
      <c r="K295" s="217">
        <f t="shared" si="26"/>
        <v>0</v>
      </c>
      <c r="L295" s="218">
        <f t="shared" si="27"/>
        <v>0</v>
      </c>
    </row>
    <row r="296" spans="1:12" x14ac:dyDescent="0.2">
      <c r="A296" s="124"/>
      <c r="B296" s="211" t="s">
        <v>498</v>
      </c>
      <c r="C296" s="237" t="s">
        <v>499</v>
      </c>
      <c r="D296" s="133"/>
      <c r="E296" s="135"/>
      <c r="F296" s="135"/>
      <c r="G296" s="135"/>
      <c r="H296" s="242"/>
      <c r="I296" s="136"/>
      <c r="J296" s="213"/>
      <c r="K296" s="217">
        <f t="shared" si="26"/>
        <v>0</v>
      </c>
      <c r="L296" s="218">
        <f t="shared" si="27"/>
        <v>0</v>
      </c>
    </row>
    <row r="297" spans="1:12" x14ac:dyDescent="0.2">
      <c r="A297" s="124"/>
      <c r="B297" s="211"/>
      <c r="C297" s="237" t="s">
        <v>731</v>
      </c>
      <c r="D297" s="133">
        <v>1</v>
      </c>
      <c r="E297" s="135">
        <v>2.8</v>
      </c>
      <c r="F297" s="135">
        <v>3.2</v>
      </c>
      <c r="G297" s="135"/>
      <c r="H297" s="212">
        <f>F297*E297*D297</f>
        <v>8.9599999999999991</v>
      </c>
      <c r="I297" s="136"/>
      <c r="J297" s="213"/>
      <c r="K297" s="217">
        <f t="shared" si="26"/>
        <v>0</v>
      </c>
      <c r="L297" s="218">
        <f t="shared" si="27"/>
        <v>0</v>
      </c>
    </row>
    <row r="298" spans="1:12" x14ac:dyDescent="0.2">
      <c r="A298" s="124"/>
      <c r="B298" s="211"/>
      <c r="C298" s="237" t="s">
        <v>721</v>
      </c>
      <c r="D298" s="133">
        <v>2</v>
      </c>
      <c r="E298" s="135">
        <v>3.2</v>
      </c>
      <c r="F298" s="135">
        <v>2.7</v>
      </c>
      <c r="G298" s="135"/>
      <c r="H298" s="212">
        <f>F298*E298*D298</f>
        <v>17.28</v>
      </c>
      <c r="I298" s="136"/>
      <c r="J298" s="213"/>
      <c r="K298" s="217">
        <f t="shared" si="26"/>
        <v>0</v>
      </c>
      <c r="L298" s="218">
        <f t="shared" si="27"/>
        <v>0</v>
      </c>
    </row>
    <row r="299" spans="1:12" x14ac:dyDescent="0.2">
      <c r="A299" s="124"/>
      <c r="B299" s="211"/>
      <c r="C299" s="132" t="s">
        <v>732</v>
      </c>
      <c r="D299" s="133">
        <v>1</v>
      </c>
      <c r="E299" s="135">
        <v>0.9</v>
      </c>
      <c r="F299" s="135">
        <v>0.9</v>
      </c>
      <c r="G299" s="135"/>
      <c r="H299" s="212">
        <f>F299*E299*D299</f>
        <v>0.81</v>
      </c>
      <c r="I299" s="136"/>
      <c r="J299" s="236"/>
      <c r="K299" s="217">
        <f t="shared" si="26"/>
        <v>0</v>
      </c>
      <c r="L299" s="218">
        <f t="shared" si="27"/>
        <v>0</v>
      </c>
    </row>
    <row r="300" spans="1:12" x14ac:dyDescent="0.2">
      <c r="A300" s="124"/>
      <c r="B300" s="211"/>
      <c r="C300" s="237" t="s">
        <v>733</v>
      </c>
      <c r="D300" s="133">
        <v>13</v>
      </c>
      <c r="E300" s="135">
        <v>0.9</v>
      </c>
      <c r="F300" s="135">
        <v>0.25</v>
      </c>
      <c r="G300" s="135"/>
      <c r="H300" s="212">
        <f>F300*E300*D300</f>
        <v>2.9250000000000003</v>
      </c>
      <c r="I300" s="136"/>
      <c r="J300" s="236"/>
      <c r="K300" s="217">
        <f t="shared" si="26"/>
        <v>0</v>
      </c>
      <c r="L300" s="218">
        <f t="shared" si="27"/>
        <v>0</v>
      </c>
    </row>
    <row r="301" spans="1:12" x14ac:dyDescent="0.2">
      <c r="A301" s="124"/>
      <c r="B301" s="211"/>
      <c r="C301" s="223"/>
      <c r="D301" s="133"/>
      <c r="E301" s="135"/>
      <c r="F301" s="135"/>
      <c r="G301" s="135"/>
      <c r="H301" s="212"/>
      <c r="I301" s="136"/>
      <c r="J301" s="213"/>
      <c r="K301" s="217">
        <f t="shared" si="26"/>
        <v>0</v>
      </c>
      <c r="L301" s="218">
        <f t="shared" si="27"/>
        <v>0</v>
      </c>
    </row>
    <row r="302" spans="1:12" x14ac:dyDescent="0.2">
      <c r="A302" s="139"/>
      <c r="B302" s="211"/>
      <c r="C302" s="223" t="s">
        <v>117</v>
      </c>
      <c r="D302" s="133"/>
      <c r="E302" s="135"/>
      <c r="F302" s="135"/>
      <c r="G302" s="135"/>
      <c r="H302" s="216">
        <f>SUM(H297:H301)</f>
        <v>29.975000000000001</v>
      </c>
      <c r="I302" s="141" t="s">
        <v>128</v>
      </c>
      <c r="J302" s="217">
        <v>2346.8000000000002</v>
      </c>
      <c r="K302" s="217">
        <f t="shared" si="26"/>
        <v>1988.8135593220341</v>
      </c>
      <c r="L302" s="218">
        <f t="shared" si="27"/>
        <v>59614.686440677971</v>
      </c>
    </row>
    <row r="303" spans="1:12" x14ac:dyDescent="0.2">
      <c r="A303" s="139"/>
      <c r="B303" s="211"/>
      <c r="C303" s="223"/>
      <c r="D303" s="133"/>
      <c r="E303" s="135"/>
      <c r="F303" s="135"/>
      <c r="G303" s="135"/>
      <c r="H303" s="216"/>
      <c r="I303" s="141"/>
      <c r="J303" s="217"/>
      <c r="K303" s="217">
        <f t="shared" si="26"/>
        <v>0</v>
      </c>
      <c r="L303" s="218">
        <f t="shared" si="27"/>
        <v>0</v>
      </c>
    </row>
    <row r="304" spans="1:12" ht="20.25" customHeight="1" x14ac:dyDescent="0.2">
      <c r="A304" s="243"/>
      <c r="B304" s="188" t="s">
        <v>734</v>
      </c>
      <c r="C304" s="405" t="s">
        <v>735</v>
      </c>
      <c r="D304" s="243"/>
      <c r="E304" s="301">
        <v>15</v>
      </c>
      <c r="F304" s="301"/>
      <c r="G304" s="301"/>
      <c r="H304" s="302">
        <f>SUM(D304:G304)</f>
        <v>15</v>
      </c>
      <c r="I304" s="273"/>
      <c r="J304" s="274"/>
      <c r="K304" s="217">
        <f t="shared" si="26"/>
        <v>0</v>
      </c>
      <c r="L304" s="218">
        <f t="shared" si="27"/>
        <v>0</v>
      </c>
    </row>
    <row r="305" spans="1:12" ht="20.25" customHeight="1" x14ac:dyDescent="0.2">
      <c r="A305" s="124"/>
      <c r="B305" s="211"/>
      <c r="C305" s="413" t="s">
        <v>117</v>
      </c>
      <c r="D305" s="119"/>
      <c r="E305" s="121"/>
      <c r="F305" s="121"/>
      <c r="G305" s="121"/>
      <c r="H305" s="272">
        <f>SUM(H304)</f>
        <v>15</v>
      </c>
      <c r="I305" s="273" t="s">
        <v>307</v>
      </c>
      <c r="J305" s="255">
        <v>719.9</v>
      </c>
      <c r="K305" s="217">
        <f t="shared" si="26"/>
        <v>610.08474576271192</v>
      </c>
      <c r="L305" s="218">
        <f t="shared" si="27"/>
        <v>9151.2711864406792</v>
      </c>
    </row>
    <row r="306" spans="1:12" ht="20.25" customHeight="1" x14ac:dyDescent="0.2">
      <c r="A306" s="124"/>
      <c r="B306" s="211"/>
      <c r="C306" s="413"/>
      <c r="D306" s="119"/>
      <c r="E306" s="121"/>
      <c r="F306" s="121"/>
      <c r="G306" s="121"/>
      <c r="H306" s="272"/>
      <c r="I306" s="254"/>
      <c r="J306" s="255"/>
      <c r="K306" s="217">
        <f t="shared" si="26"/>
        <v>0</v>
      </c>
      <c r="L306" s="218">
        <f t="shared" si="27"/>
        <v>0</v>
      </c>
    </row>
    <row r="307" spans="1:12" ht="57" x14ac:dyDescent="0.2">
      <c r="A307" s="124">
        <v>16</v>
      </c>
      <c r="B307" s="291">
        <v>8.9</v>
      </c>
      <c r="C307" s="292" t="s">
        <v>325</v>
      </c>
      <c r="D307" s="119"/>
      <c r="E307" s="121"/>
      <c r="F307" s="121"/>
      <c r="G307" s="121"/>
      <c r="H307" s="263"/>
      <c r="I307" s="122"/>
      <c r="J307" s="209"/>
      <c r="K307" s="217">
        <f t="shared" si="26"/>
        <v>0</v>
      </c>
      <c r="L307" s="218">
        <f t="shared" si="27"/>
        <v>0</v>
      </c>
    </row>
    <row r="308" spans="1:12" ht="14.25" x14ac:dyDescent="0.2">
      <c r="A308" s="124"/>
      <c r="B308" s="293" t="s">
        <v>326</v>
      </c>
      <c r="C308" s="294" t="s">
        <v>327</v>
      </c>
      <c r="D308" s="127"/>
      <c r="E308" s="129"/>
      <c r="F308" s="129"/>
      <c r="G308" s="129"/>
      <c r="H308" s="264"/>
      <c r="I308" s="130"/>
      <c r="J308" s="240"/>
      <c r="K308" s="217">
        <f t="shared" si="26"/>
        <v>0</v>
      </c>
      <c r="L308" s="218">
        <f t="shared" si="27"/>
        <v>0</v>
      </c>
    </row>
    <row r="309" spans="1:12" ht="14.25" x14ac:dyDescent="0.2">
      <c r="A309" s="124"/>
      <c r="B309" s="293" t="s">
        <v>328</v>
      </c>
      <c r="C309" s="294" t="s">
        <v>329</v>
      </c>
      <c r="D309" s="127" t="s">
        <v>91</v>
      </c>
      <c r="E309" s="129" t="s">
        <v>91</v>
      </c>
      <c r="F309" s="129"/>
      <c r="G309" s="129" t="s">
        <v>91</v>
      </c>
      <c r="H309" s="264" t="s">
        <v>91</v>
      </c>
      <c r="I309" s="130"/>
      <c r="J309" s="240"/>
      <c r="K309" s="217">
        <f t="shared" si="26"/>
        <v>0</v>
      </c>
      <c r="L309" s="218">
        <v>0</v>
      </c>
    </row>
    <row r="310" spans="1:12" ht="14.25" x14ac:dyDescent="0.2">
      <c r="A310" s="124"/>
      <c r="B310" s="293"/>
      <c r="C310" s="237" t="s">
        <v>731</v>
      </c>
      <c r="D310" s="133">
        <v>1</v>
      </c>
      <c r="E310" s="135">
        <f>(2.8+3.2)*2-0.9</f>
        <v>11.1</v>
      </c>
      <c r="F310" s="135"/>
      <c r="G310" s="135">
        <v>0.1</v>
      </c>
      <c r="H310" s="242">
        <f>D310*E310*G310</f>
        <v>1.1100000000000001</v>
      </c>
      <c r="I310" s="136"/>
      <c r="J310" s="213"/>
      <c r="K310" s="217">
        <f t="shared" si="26"/>
        <v>0</v>
      </c>
      <c r="L310" s="218">
        <f t="shared" si="27"/>
        <v>0</v>
      </c>
    </row>
    <row r="311" spans="1:12" ht="14.25" x14ac:dyDescent="0.2">
      <c r="A311" s="124"/>
      <c r="B311" s="293"/>
      <c r="C311" s="237" t="s">
        <v>721</v>
      </c>
      <c r="D311" s="133">
        <v>2</v>
      </c>
      <c r="E311" s="135">
        <f>(3.2+2.7)*2-0.9</f>
        <v>10.9</v>
      </c>
      <c r="F311" s="135"/>
      <c r="G311" s="135">
        <v>0.1</v>
      </c>
      <c r="H311" s="242">
        <f>D311*E311*G311</f>
        <v>2.1800000000000002</v>
      </c>
      <c r="I311" s="136"/>
      <c r="J311" s="213"/>
      <c r="K311" s="217">
        <f t="shared" si="26"/>
        <v>0</v>
      </c>
      <c r="L311" s="218">
        <f t="shared" si="27"/>
        <v>0</v>
      </c>
    </row>
    <row r="312" spans="1:12" ht="15" x14ac:dyDescent="0.2">
      <c r="A312" s="124"/>
      <c r="B312" s="211"/>
      <c r="C312" s="414" t="s">
        <v>341</v>
      </c>
      <c r="D312" s="133">
        <v>4</v>
      </c>
      <c r="E312" s="135">
        <v>2.4</v>
      </c>
      <c r="F312" s="135"/>
      <c r="G312" s="135">
        <v>0.1</v>
      </c>
      <c r="H312" s="242">
        <f>D312*E312*G312</f>
        <v>0.96</v>
      </c>
      <c r="I312" s="136"/>
      <c r="J312" s="236"/>
      <c r="K312" s="217">
        <f t="shared" si="26"/>
        <v>0</v>
      </c>
      <c r="L312" s="218">
        <f t="shared" si="27"/>
        <v>0</v>
      </c>
    </row>
    <row r="313" spans="1:12" ht="15" x14ac:dyDescent="0.2">
      <c r="A313" s="124"/>
      <c r="B313" s="211"/>
      <c r="C313" s="415" t="s">
        <v>641</v>
      </c>
      <c r="D313" s="133">
        <v>15</v>
      </c>
      <c r="E313" s="135">
        <v>0.9</v>
      </c>
      <c r="F313" s="135"/>
      <c r="G313" s="135">
        <v>0.1</v>
      </c>
      <c r="H313" s="242">
        <f>D313*E313*G313</f>
        <v>1.35</v>
      </c>
      <c r="I313" s="136"/>
      <c r="J313" s="236"/>
      <c r="K313" s="217">
        <f t="shared" si="26"/>
        <v>0</v>
      </c>
      <c r="L313" s="218">
        <f t="shared" si="27"/>
        <v>0</v>
      </c>
    </row>
    <row r="314" spans="1:12" ht="14.25" x14ac:dyDescent="0.2">
      <c r="A314" s="124"/>
      <c r="B314" s="295"/>
      <c r="C314" s="296" t="s">
        <v>117</v>
      </c>
      <c r="D314" s="142"/>
      <c r="E314" s="145"/>
      <c r="F314" s="145"/>
      <c r="G314" s="145"/>
      <c r="H314" s="216">
        <v>5.6</v>
      </c>
      <c r="I314" s="141" t="s">
        <v>334</v>
      </c>
      <c r="J314" s="217">
        <v>3190.3</v>
      </c>
      <c r="K314" s="217">
        <f t="shared" si="26"/>
        <v>2703.6440677966102</v>
      </c>
      <c r="L314" s="218">
        <f t="shared" si="27"/>
        <v>15140.406779661016</v>
      </c>
    </row>
    <row r="315" spans="1:12" ht="58.5" customHeight="1" x14ac:dyDescent="0.2">
      <c r="A315" s="116">
        <v>17</v>
      </c>
      <c r="B315" s="291">
        <v>8.9</v>
      </c>
      <c r="C315" s="292" t="s">
        <v>325</v>
      </c>
      <c r="D315" s="119"/>
      <c r="E315" s="121"/>
      <c r="F315" s="121"/>
      <c r="G315" s="121"/>
      <c r="H315" s="263"/>
      <c r="I315" s="122"/>
      <c r="J315" s="209"/>
      <c r="K315" s="217">
        <f t="shared" si="26"/>
        <v>0</v>
      </c>
      <c r="L315" s="218">
        <f t="shared" si="27"/>
        <v>0</v>
      </c>
    </row>
    <row r="316" spans="1:12" ht="14.25" x14ac:dyDescent="0.2">
      <c r="A316" s="124"/>
      <c r="B316" s="293" t="s">
        <v>326</v>
      </c>
      <c r="C316" s="294" t="s">
        <v>327</v>
      </c>
      <c r="D316" s="127"/>
      <c r="E316" s="129"/>
      <c r="F316" s="129"/>
      <c r="G316" s="129"/>
      <c r="H316" s="264"/>
      <c r="I316" s="130"/>
      <c r="J316" s="240"/>
      <c r="K316" s="217">
        <f t="shared" si="26"/>
        <v>0</v>
      </c>
      <c r="L316" s="218">
        <f t="shared" si="27"/>
        <v>0</v>
      </c>
    </row>
    <row r="317" spans="1:12" ht="14.25" x14ac:dyDescent="0.2">
      <c r="A317" s="124"/>
      <c r="B317" s="293" t="s">
        <v>335</v>
      </c>
      <c r="C317" s="294" t="s">
        <v>336</v>
      </c>
      <c r="D317" s="127" t="s">
        <v>91</v>
      </c>
      <c r="E317" s="129" t="s">
        <v>91</v>
      </c>
      <c r="F317" s="129"/>
      <c r="G317" s="129" t="s">
        <v>91</v>
      </c>
      <c r="H317" s="264" t="s">
        <v>91</v>
      </c>
      <c r="I317" s="130"/>
      <c r="J317" s="240"/>
      <c r="K317" s="217">
        <f t="shared" si="26"/>
        <v>0</v>
      </c>
      <c r="L317" s="218">
        <v>0</v>
      </c>
    </row>
    <row r="318" spans="1:12" ht="14.25" x14ac:dyDescent="0.2">
      <c r="A318" s="124"/>
      <c r="B318" s="293"/>
      <c r="C318" s="278" t="s">
        <v>337</v>
      </c>
      <c r="D318" s="133">
        <v>1</v>
      </c>
      <c r="E318" s="135">
        <f>0.575*2</f>
        <v>1.1499999999999999</v>
      </c>
      <c r="F318" s="135"/>
      <c r="G318" s="135">
        <v>2.1</v>
      </c>
      <c r="H318" s="242">
        <f>D318*E318*G318</f>
        <v>2.415</v>
      </c>
      <c r="I318" s="136"/>
      <c r="J318" s="213"/>
      <c r="K318" s="217">
        <f t="shared" si="26"/>
        <v>0</v>
      </c>
      <c r="L318" s="218">
        <f t="shared" si="27"/>
        <v>0</v>
      </c>
    </row>
    <row r="319" spans="1:12" ht="14.25" x14ac:dyDescent="0.2">
      <c r="A319" s="139"/>
      <c r="B319" s="295"/>
      <c r="C319" s="296" t="s">
        <v>117</v>
      </c>
      <c r="D319" s="142"/>
      <c r="E319" s="145"/>
      <c r="F319" s="145"/>
      <c r="G319" s="145"/>
      <c r="H319" s="216">
        <v>2.4</v>
      </c>
      <c r="I319" s="141" t="s">
        <v>334</v>
      </c>
      <c r="J319" s="217">
        <v>3617.55</v>
      </c>
      <c r="K319" s="217">
        <f t="shared" si="26"/>
        <v>3065.7203389830506</v>
      </c>
      <c r="L319" s="218">
        <f t="shared" si="27"/>
        <v>7357.7288135593217</v>
      </c>
    </row>
    <row r="320" spans="1:12" ht="87.75" customHeight="1" x14ac:dyDescent="0.2">
      <c r="A320" s="116">
        <v>18</v>
      </c>
      <c r="B320" s="175">
        <v>11.27</v>
      </c>
      <c r="C320" s="118" t="s">
        <v>338</v>
      </c>
      <c r="D320" s="119"/>
      <c r="E320" s="271"/>
      <c r="F320" s="121"/>
      <c r="G320" s="121"/>
      <c r="H320" s="272"/>
      <c r="I320" s="254"/>
      <c r="J320" s="255"/>
      <c r="K320" s="217">
        <f t="shared" si="26"/>
        <v>0</v>
      </c>
      <c r="L320" s="218">
        <f t="shared" si="27"/>
        <v>0</v>
      </c>
    </row>
    <row r="321" spans="1:12" ht="14.25" x14ac:dyDescent="0.2">
      <c r="A321" s="124"/>
      <c r="B321" s="176"/>
      <c r="C321" s="287" t="s">
        <v>503</v>
      </c>
      <c r="D321" s="133">
        <v>20</v>
      </c>
      <c r="E321" s="135">
        <v>1.2</v>
      </c>
      <c r="F321" s="135"/>
      <c r="G321" s="135">
        <v>0.15</v>
      </c>
      <c r="H321" s="242">
        <f>D321*E321*G321</f>
        <v>3.5999999999999996</v>
      </c>
      <c r="I321" s="273"/>
      <c r="J321" s="274"/>
      <c r="K321" s="217">
        <f t="shared" si="26"/>
        <v>0</v>
      </c>
      <c r="L321" s="218">
        <f t="shared" si="27"/>
        <v>0</v>
      </c>
    </row>
    <row r="322" spans="1:12" ht="14.25" x14ac:dyDescent="0.2">
      <c r="A322" s="124"/>
      <c r="B322" s="176"/>
      <c r="C322" s="177" t="s">
        <v>340</v>
      </c>
      <c r="D322" s="133">
        <v>1</v>
      </c>
      <c r="E322" s="135">
        <v>2.5499999999999998</v>
      </c>
      <c r="F322" s="135"/>
      <c r="G322" s="135">
        <v>0.15</v>
      </c>
      <c r="H322" s="242">
        <f>D322*E322*G322</f>
        <v>0.38249999999999995</v>
      </c>
      <c r="I322" s="273"/>
      <c r="J322" s="274"/>
      <c r="K322" s="217">
        <f t="shared" si="26"/>
        <v>0</v>
      </c>
      <c r="L322" s="218">
        <f t="shared" si="27"/>
        <v>0</v>
      </c>
    </row>
    <row r="323" spans="1:12" ht="14.25" x14ac:dyDescent="0.2">
      <c r="A323" s="124"/>
      <c r="B323" s="176"/>
      <c r="C323" s="177" t="s">
        <v>340</v>
      </c>
      <c r="D323" s="133">
        <v>2</v>
      </c>
      <c r="E323" s="135">
        <v>1.2</v>
      </c>
      <c r="F323" s="135"/>
      <c r="G323" s="135">
        <v>0.15</v>
      </c>
      <c r="H323" s="242">
        <f>D323*E323*G323</f>
        <v>0.36</v>
      </c>
      <c r="I323" s="273"/>
      <c r="J323" s="274"/>
      <c r="K323" s="217">
        <f t="shared" si="26"/>
        <v>0</v>
      </c>
      <c r="L323" s="218">
        <f t="shared" si="27"/>
        <v>0</v>
      </c>
    </row>
    <row r="324" spans="1:12" ht="14.25" x14ac:dyDescent="0.2">
      <c r="A324" s="124"/>
      <c r="B324" s="176"/>
      <c r="C324" s="177" t="s">
        <v>341</v>
      </c>
      <c r="D324" s="133">
        <v>2</v>
      </c>
      <c r="E324" s="135">
        <v>4</v>
      </c>
      <c r="F324" s="135"/>
      <c r="G324" s="135">
        <v>0.15</v>
      </c>
      <c r="H324" s="242">
        <f>D324*E324*G324</f>
        <v>1.2</v>
      </c>
      <c r="I324" s="273"/>
      <c r="J324" s="274"/>
      <c r="K324" s="217">
        <f t="shared" si="26"/>
        <v>0</v>
      </c>
      <c r="L324" s="218">
        <f t="shared" si="27"/>
        <v>0</v>
      </c>
    </row>
    <row r="325" spans="1:12" ht="14.25" x14ac:dyDescent="0.2">
      <c r="A325" s="139"/>
      <c r="B325" s="280"/>
      <c r="C325" s="281" t="s">
        <v>207</v>
      </c>
      <c r="D325" s="142"/>
      <c r="E325" s="233"/>
      <c r="F325" s="145"/>
      <c r="G325" s="145"/>
      <c r="H325" s="282">
        <v>5.5</v>
      </c>
      <c r="I325" s="268" t="s">
        <v>278</v>
      </c>
      <c r="J325" s="269">
        <v>2354.6999999999998</v>
      </c>
      <c r="K325" s="217">
        <f t="shared" si="26"/>
        <v>1995.5084745762708</v>
      </c>
      <c r="L325" s="218">
        <f t="shared" si="27"/>
        <v>10975.296610169489</v>
      </c>
    </row>
    <row r="326" spans="1:12" ht="25.5" x14ac:dyDescent="0.2">
      <c r="A326" s="116">
        <v>19</v>
      </c>
      <c r="B326" s="206" t="s">
        <v>343</v>
      </c>
      <c r="C326" s="207" t="s">
        <v>344</v>
      </c>
      <c r="D326" s="117"/>
      <c r="E326" s="328"/>
      <c r="F326" s="117"/>
      <c r="G326" s="329"/>
      <c r="H326" s="253"/>
      <c r="I326" s="254"/>
      <c r="J326" s="255"/>
      <c r="K326" s="217">
        <f t="shared" si="26"/>
        <v>0</v>
      </c>
      <c r="L326" s="218">
        <f t="shared" si="27"/>
        <v>0</v>
      </c>
    </row>
    <row r="327" spans="1:12" x14ac:dyDescent="0.2">
      <c r="A327" s="124"/>
      <c r="B327" s="211"/>
      <c r="C327" s="401" t="s">
        <v>729</v>
      </c>
      <c r="D327" s="127"/>
      <c r="E327" s="129"/>
      <c r="F327" s="403"/>
      <c r="G327" s="145"/>
      <c r="H327" s="404"/>
      <c r="I327" s="130"/>
      <c r="J327" s="240"/>
      <c r="K327" s="217">
        <f t="shared" si="26"/>
        <v>0</v>
      </c>
      <c r="L327" s="218">
        <f t="shared" si="27"/>
        <v>0</v>
      </c>
    </row>
    <row r="328" spans="1:12" x14ac:dyDescent="0.2">
      <c r="A328" s="124"/>
      <c r="B328" s="211"/>
      <c r="C328" s="225" t="s">
        <v>712</v>
      </c>
      <c r="D328" s="226">
        <v>1</v>
      </c>
      <c r="E328" s="227">
        <f>(E259+F259)*2-1.05+0.9+1+4.2</f>
        <v>27.65</v>
      </c>
      <c r="F328" s="227"/>
      <c r="G328" s="145">
        <v>0.1</v>
      </c>
      <c r="H328" s="212">
        <f>G328*E328*D328</f>
        <v>2.7650000000000001</v>
      </c>
      <c r="I328" s="136"/>
      <c r="J328" s="213"/>
      <c r="K328" s="217">
        <f t="shared" si="26"/>
        <v>0</v>
      </c>
      <c r="L328" s="218">
        <f t="shared" si="27"/>
        <v>0</v>
      </c>
    </row>
    <row r="329" spans="1:12" x14ac:dyDescent="0.2">
      <c r="A329" s="124"/>
      <c r="B329" s="211"/>
      <c r="C329" s="225" t="s">
        <v>492</v>
      </c>
      <c r="D329" s="226">
        <v>1</v>
      </c>
      <c r="E329" s="227">
        <f>(E260+F260)*2-4.2+1.57+0.9</f>
        <v>12.520000000000001</v>
      </c>
      <c r="F329" s="227"/>
      <c r="G329" s="135">
        <v>0.1</v>
      </c>
      <c r="H329" s="212">
        <f t="shared" ref="H329:H345" si="30">G329*E329*D329</f>
        <v>1.2520000000000002</v>
      </c>
      <c r="I329" s="136"/>
      <c r="J329" s="213"/>
      <c r="K329" s="217">
        <f t="shared" si="26"/>
        <v>0</v>
      </c>
      <c r="L329" s="218">
        <f t="shared" si="27"/>
        <v>0</v>
      </c>
    </row>
    <row r="330" spans="1:12" x14ac:dyDescent="0.2">
      <c r="A330" s="124"/>
      <c r="B330" s="211"/>
      <c r="C330" s="225" t="s">
        <v>493</v>
      </c>
      <c r="D330" s="226">
        <v>1</v>
      </c>
      <c r="E330" s="227">
        <f>(E261+F261)*2-1+2.4</f>
        <v>17.049999999999997</v>
      </c>
      <c r="F330" s="227"/>
      <c r="G330" s="135">
        <v>0.1</v>
      </c>
      <c r="H330" s="212">
        <f t="shared" si="30"/>
        <v>1.7049999999999998</v>
      </c>
      <c r="I330" s="136"/>
      <c r="J330" s="213"/>
      <c r="K330" s="217">
        <f t="shared" si="26"/>
        <v>0</v>
      </c>
      <c r="L330" s="218">
        <f t="shared" si="27"/>
        <v>0</v>
      </c>
    </row>
    <row r="331" spans="1:12" x14ac:dyDescent="0.2">
      <c r="A331" s="124"/>
      <c r="B331" s="211"/>
      <c r="C331" s="225" t="s">
        <v>713</v>
      </c>
      <c r="D331" s="226">
        <v>1</v>
      </c>
      <c r="E331" s="227">
        <f>(E262+F262)*2-1+2.4</f>
        <v>16.399999999999999</v>
      </c>
      <c r="F331" s="227"/>
      <c r="G331" s="135">
        <v>0.1</v>
      </c>
      <c r="H331" s="212">
        <f t="shared" si="30"/>
        <v>1.64</v>
      </c>
      <c r="I331" s="136"/>
      <c r="J331" s="213"/>
      <c r="K331" s="217">
        <f t="shared" ref="K331:K394" si="31">J331*100/118</f>
        <v>0</v>
      </c>
      <c r="L331" s="218">
        <f t="shared" ref="L331:L394" si="32">K331*H331</f>
        <v>0</v>
      </c>
    </row>
    <row r="332" spans="1:12" x14ac:dyDescent="0.2">
      <c r="A332" s="124"/>
      <c r="B332" s="211"/>
      <c r="C332" s="225" t="s">
        <v>713</v>
      </c>
      <c r="D332" s="226">
        <v>1</v>
      </c>
      <c r="E332" s="227">
        <f>(E263+F263)*2-1</f>
        <v>14.600000000000001</v>
      </c>
      <c r="F332" s="227"/>
      <c r="G332" s="135">
        <v>0.1</v>
      </c>
      <c r="H332" s="212">
        <f t="shared" si="30"/>
        <v>1.4600000000000002</v>
      </c>
      <c r="I332" s="136"/>
      <c r="J332" s="213"/>
      <c r="K332" s="217">
        <f t="shared" si="31"/>
        <v>0</v>
      </c>
      <c r="L332" s="218">
        <f t="shared" si="32"/>
        <v>0</v>
      </c>
    </row>
    <row r="333" spans="1:12" x14ac:dyDescent="0.2">
      <c r="A333" s="124"/>
      <c r="B333" s="211"/>
      <c r="C333" s="225" t="s">
        <v>714</v>
      </c>
      <c r="D333" s="226">
        <v>3</v>
      </c>
      <c r="E333" s="227">
        <f>(E264+F264)</f>
        <v>4.6999999999999993</v>
      </c>
      <c r="F333" s="227"/>
      <c r="G333" s="135">
        <v>0.1</v>
      </c>
      <c r="H333" s="212">
        <f t="shared" si="30"/>
        <v>1.41</v>
      </c>
      <c r="I333" s="136"/>
      <c r="J333" s="213"/>
      <c r="K333" s="217">
        <f t="shared" si="31"/>
        <v>0</v>
      </c>
      <c r="L333" s="218">
        <f t="shared" si="32"/>
        <v>0</v>
      </c>
    </row>
    <row r="334" spans="1:12" x14ac:dyDescent="0.2">
      <c r="A334" s="124"/>
      <c r="B334" s="211"/>
      <c r="C334" s="225" t="s">
        <v>715</v>
      </c>
      <c r="D334" s="226">
        <v>1</v>
      </c>
      <c r="E334" s="227">
        <f>(E265+F265)*2-1+0.75*2+1+1.5</f>
        <v>13</v>
      </c>
      <c r="F334" s="227"/>
      <c r="G334" s="135">
        <v>0.1</v>
      </c>
      <c r="H334" s="212">
        <f t="shared" si="30"/>
        <v>1.3</v>
      </c>
      <c r="I334" s="136"/>
      <c r="J334" s="213"/>
      <c r="K334" s="217">
        <f t="shared" si="31"/>
        <v>0</v>
      </c>
      <c r="L334" s="218">
        <f t="shared" si="32"/>
        <v>0</v>
      </c>
    </row>
    <row r="335" spans="1:12" x14ac:dyDescent="0.2">
      <c r="A335" s="124"/>
      <c r="B335" s="211"/>
      <c r="C335" s="225"/>
      <c r="D335" s="226">
        <v>1</v>
      </c>
      <c r="E335" s="227">
        <f>(E266+F266)*2-2.52+0.75+0.9</f>
        <v>5.3800000000000008</v>
      </c>
      <c r="F335" s="227"/>
      <c r="G335" s="135">
        <v>0.1</v>
      </c>
      <c r="H335" s="212">
        <f t="shared" si="30"/>
        <v>0.53800000000000014</v>
      </c>
      <c r="I335" s="136"/>
      <c r="J335" s="213"/>
      <c r="K335" s="217">
        <f t="shared" si="31"/>
        <v>0</v>
      </c>
      <c r="L335" s="218">
        <f t="shared" si="32"/>
        <v>0</v>
      </c>
    </row>
    <row r="336" spans="1:12" x14ac:dyDescent="0.2">
      <c r="A336" s="124"/>
      <c r="B336" s="211"/>
      <c r="C336" s="225" t="s">
        <v>730</v>
      </c>
      <c r="D336" s="226">
        <v>1</v>
      </c>
      <c r="E336" s="227">
        <f>(E267+F267)*2-1.05*2+0.75</f>
        <v>9.9500000000000011</v>
      </c>
      <c r="F336" s="227"/>
      <c r="G336" s="135">
        <v>0.1</v>
      </c>
      <c r="H336" s="227">
        <f>D336*E336*F336</f>
        <v>0</v>
      </c>
      <c r="I336" s="136"/>
      <c r="J336" s="213"/>
      <c r="K336" s="217">
        <f t="shared" si="31"/>
        <v>0</v>
      </c>
      <c r="L336" s="218">
        <f t="shared" si="32"/>
        <v>0</v>
      </c>
    </row>
    <row r="337" spans="1:12" x14ac:dyDescent="0.2">
      <c r="A337" s="124"/>
      <c r="B337" s="211"/>
      <c r="C337" s="225" t="s">
        <v>715</v>
      </c>
      <c r="D337" s="226">
        <v>1</v>
      </c>
      <c r="E337" s="227">
        <f>(E268+F268)*2-1.2+1.05</f>
        <v>6.1</v>
      </c>
      <c r="F337" s="227"/>
      <c r="G337" s="135">
        <v>0.1</v>
      </c>
      <c r="H337" s="227">
        <f>D337*E337*F337</f>
        <v>0</v>
      </c>
      <c r="I337" s="136"/>
      <c r="J337" s="213"/>
      <c r="K337" s="217">
        <f t="shared" si="31"/>
        <v>0</v>
      </c>
      <c r="L337" s="218">
        <f t="shared" si="32"/>
        <v>0</v>
      </c>
    </row>
    <row r="338" spans="1:12" x14ac:dyDescent="0.2">
      <c r="A338" s="124"/>
      <c r="B338" s="211"/>
      <c r="C338" s="401" t="s">
        <v>716</v>
      </c>
      <c r="D338" s="127"/>
      <c r="E338" s="232"/>
      <c r="F338" s="129"/>
      <c r="G338" s="145"/>
      <c r="H338" s="400"/>
      <c r="I338" s="130"/>
      <c r="J338" s="240"/>
      <c r="K338" s="217">
        <f t="shared" si="31"/>
        <v>0</v>
      </c>
      <c r="L338" s="218">
        <f t="shared" si="32"/>
        <v>0</v>
      </c>
    </row>
    <row r="339" spans="1:12" x14ac:dyDescent="0.2">
      <c r="A339" s="124"/>
      <c r="B339" s="211"/>
      <c r="C339" s="225" t="s">
        <v>712</v>
      </c>
      <c r="D339" s="226">
        <v>2</v>
      </c>
      <c r="E339" s="227">
        <f>(E270+F270)*2-2.75+1.05+0.9</f>
        <v>17.95</v>
      </c>
      <c r="F339" s="227"/>
      <c r="G339" s="135">
        <v>0.1</v>
      </c>
      <c r="H339" s="212">
        <f t="shared" si="30"/>
        <v>3.59</v>
      </c>
      <c r="I339" s="136"/>
      <c r="J339" s="213"/>
      <c r="K339" s="217">
        <f t="shared" si="31"/>
        <v>0</v>
      </c>
      <c r="L339" s="218">
        <f t="shared" si="32"/>
        <v>0</v>
      </c>
    </row>
    <row r="340" spans="1:12" x14ac:dyDescent="0.2">
      <c r="A340" s="124"/>
      <c r="B340" s="211"/>
      <c r="C340" s="225" t="s">
        <v>492</v>
      </c>
      <c r="D340" s="226">
        <v>2</v>
      </c>
      <c r="E340" s="227">
        <f>(E271+F271)*2-2.75+0.9+1.6</f>
        <v>12.2</v>
      </c>
      <c r="F340" s="227"/>
      <c r="G340" s="135">
        <v>0.1</v>
      </c>
      <c r="H340" s="212">
        <f t="shared" si="30"/>
        <v>2.44</v>
      </c>
      <c r="I340" s="136"/>
      <c r="J340" s="213"/>
      <c r="K340" s="217">
        <f t="shared" si="31"/>
        <v>0</v>
      </c>
      <c r="L340" s="218">
        <f t="shared" si="32"/>
        <v>0</v>
      </c>
    </row>
    <row r="341" spans="1:12" x14ac:dyDescent="0.2">
      <c r="A341" s="124"/>
      <c r="B341" s="211"/>
      <c r="C341" s="225" t="s">
        <v>493</v>
      </c>
      <c r="D341" s="226">
        <v>2</v>
      </c>
      <c r="E341" s="227">
        <f>(E272+F272)*2-0.75+1+2.4</f>
        <v>17.45</v>
      </c>
      <c r="F341" s="227"/>
      <c r="G341" s="135">
        <v>0.1</v>
      </c>
      <c r="H341" s="212">
        <f t="shared" si="30"/>
        <v>3.49</v>
      </c>
      <c r="I341" s="136"/>
      <c r="J341" s="213"/>
      <c r="K341" s="217">
        <f t="shared" si="31"/>
        <v>0</v>
      </c>
      <c r="L341" s="218">
        <f t="shared" si="32"/>
        <v>0</v>
      </c>
    </row>
    <row r="342" spans="1:12" x14ac:dyDescent="0.2">
      <c r="A342" s="124"/>
      <c r="B342" s="211"/>
      <c r="C342" s="225" t="s">
        <v>713</v>
      </c>
      <c r="D342" s="226">
        <v>2</v>
      </c>
      <c r="E342" s="227">
        <f>(E273+F273)*2-1+2.4</f>
        <v>16.399999999999999</v>
      </c>
      <c r="F342" s="227"/>
      <c r="G342" s="135">
        <v>0.1</v>
      </c>
      <c r="H342" s="212">
        <f t="shared" si="30"/>
        <v>3.28</v>
      </c>
      <c r="I342" s="136"/>
      <c r="J342" s="213"/>
      <c r="K342" s="217">
        <f t="shared" si="31"/>
        <v>0</v>
      </c>
      <c r="L342" s="218">
        <f t="shared" si="32"/>
        <v>0</v>
      </c>
    </row>
    <row r="343" spans="1:12" x14ac:dyDescent="0.2">
      <c r="A343" s="124"/>
      <c r="B343" s="211"/>
      <c r="C343" s="225" t="s">
        <v>714</v>
      </c>
      <c r="D343" s="226">
        <v>4</v>
      </c>
      <c r="E343" s="227">
        <f>(E274+F274)</f>
        <v>4.6999999999999993</v>
      </c>
      <c r="F343" s="227"/>
      <c r="G343" s="135">
        <v>0.1</v>
      </c>
      <c r="H343" s="212">
        <f t="shared" si="30"/>
        <v>1.88</v>
      </c>
      <c r="I343" s="136"/>
      <c r="J343" s="213"/>
      <c r="K343" s="217">
        <f t="shared" si="31"/>
        <v>0</v>
      </c>
      <c r="L343" s="218">
        <f t="shared" si="32"/>
        <v>0</v>
      </c>
    </row>
    <row r="344" spans="1:12" x14ac:dyDescent="0.2">
      <c r="A344" s="124"/>
      <c r="B344" s="211"/>
      <c r="C344" s="225" t="s">
        <v>715</v>
      </c>
      <c r="D344" s="226">
        <v>2</v>
      </c>
      <c r="E344" s="227">
        <f>(E275+F275)*2-1*2+0.75+1.6</f>
        <v>6</v>
      </c>
      <c r="F344" s="227"/>
      <c r="G344" s="135">
        <v>0.1</v>
      </c>
      <c r="H344" s="212">
        <f t="shared" si="30"/>
        <v>1.2000000000000002</v>
      </c>
      <c r="I344" s="136"/>
      <c r="J344" s="213"/>
      <c r="K344" s="217">
        <f t="shared" si="31"/>
        <v>0</v>
      </c>
      <c r="L344" s="218">
        <f t="shared" si="32"/>
        <v>0</v>
      </c>
    </row>
    <row r="345" spans="1:12" x14ac:dyDescent="0.2">
      <c r="A345" s="124"/>
      <c r="B345" s="211"/>
      <c r="C345" s="230" t="s">
        <v>717</v>
      </c>
      <c r="D345" s="231">
        <v>2</v>
      </c>
      <c r="E345" s="227">
        <f>(E276+F276)*2-1.05*2+0.9+2.55+0.9</f>
        <v>24.449999999999996</v>
      </c>
      <c r="F345" s="232"/>
      <c r="G345" s="135">
        <v>0.1</v>
      </c>
      <c r="H345" s="212">
        <f t="shared" si="30"/>
        <v>4.8899999999999997</v>
      </c>
      <c r="I345" s="141"/>
      <c r="J345" s="217"/>
      <c r="K345" s="217">
        <f t="shared" si="31"/>
        <v>0</v>
      </c>
      <c r="L345" s="218">
        <f t="shared" si="32"/>
        <v>0</v>
      </c>
    </row>
    <row r="346" spans="1:12" x14ac:dyDescent="0.2">
      <c r="A346" s="139"/>
      <c r="B346" s="215"/>
      <c r="C346" s="299" t="s">
        <v>207</v>
      </c>
      <c r="D346" s="142"/>
      <c r="E346" s="145"/>
      <c r="F346" s="145"/>
      <c r="G346" s="145"/>
      <c r="H346" s="216">
        <v>30</v>
      </c>
      <c r="I346" s="268" t="s">
        <v>334</v>
      </c>
      <c r="J346" s="269">
        <v>1623.05</v>
      </c>
      <c r="K346" s="217">
        <f t="shared" si="31"/>
        <v>1375.4661016949153</v>
      </c>
      <c r="L346" s="218">
        <f t="shared" si="32"/>
        <v>41263.983050847462</v>
      </c>
    </row>
    <row r="347" spans="1:12" ht="25.5" customHeight="1" x14ac:dyDescent="0.2">
      <c r="A347" s="116">
        <v>20</v>
      </c>
      <c r="B347" s="206">
        <v>8.31</v>
      </c>
      <c r="C347" s="219" t="s">
        <v>345</v>
      </c>
      <c r="D347" s="119"/>
      <c r="E347" s="121"/>
      <c r="F347" s="121"/>
      <c r="G347" s="121"/>
      <c r="H347" s="208"/>
      <c r="I347" s="122"/>
      <c r="J347" s="209"/>
      <c r="K347" s="217">
        <f t="shared" si="31"/>
        <v>0</v>
      </c>
      <c r="L347" s="218">
        <f t="shared" si="32"/>
        <v>0</v>
      </c>
    </row>
    <row r="348" spans="1:12" ht="15.75" customHeight="1" x14ac:dyDescent="0.2">
      <c r="A348" s="124"/>
      <c r="B348" s="211"/>
      <c r="C348" s="401" t="s">
        <v>729</v>
      </c>
      <c r="D348" s="119"/>
      <c r="E348" s="121"/>
      <c r="F348" s="121"/>
      <c r="G348" s="301"/>
      <c r="H348" s="302"/>
      <c r="I348" s="122"/>
      <c r="J348" s="209"/>
      <c r="K348" s="217">
        <f t="shared" si="31"/>
        <v>0</v>
      </c>
      <c r="L348" s="218">
        <f t="shared" si="32"/>
        <v>0</v>
      </c>
    </row>
    <row r="349" spans="1:12" ht="14.25" customHeight="1" x14ac:dyDescent="0.2">
      <c r="A349" s="124"/>
      <c r="B349" s="211"/>
      <c r="C349" s="220" t="s">
        <v>322</v>
      </c>
      <c r="D349" s="133">
        <v>1</v>
      </c>
      <c r="E349" s="301">
        <f t="shared" ref="E349:E355" si="33">(E280+F280)*2-0.75</f>
        <v>7.15</v>
      </c>
      <c r="F349" s="135"/>
      <c r="G349" s="301">
        <v>2.1</v>
      </c>
      <c r="H349" s="302">
        <f t="shared" ref="H349:H361" si="34">D349*E349*G349</f>
        <v>15.015000000000001</v>
      </c>
      <c r="I349" s="136"/>
      <c r="J349" s="213"/>
      <c r="K349" s="217">
        <f t="shared" si="31"/>
        <v>0</v>
      </c>
      <c r="L349" s="218">
        <f t="shared" si="32"/>
        <v>0</v>
      </c>
    </row>
    <row r="350" spans="1:12" ht="14.25" customHeight="1" x14ac:dyDescent="0.2">
      <c r="A350" s="124"/>
      <c r="B350" s="211"/>
      <c r="C350" s="220" t="s">
        <v>322</v>
      </c>
      <c r="D350" s="133">
        <v>1</v>
      </c>
      <c r="E350" s="301">
        <f t="shared" si="33"/>
        <v>7.2</v>
      </c>
      <c r="F350" s="135"/>
      <c r="G350" s="301">
        <v>2.1</v>
      </c>
      <c r="H350" s="302">
        <f t="shared" si="34"/>
        <v>15.120000000000001</v>
      </c>
      <c r="I350" s="136"/>
      <c r="J350" s="213"/>
      <c r="K350" s="217">
        <f t="shared" si="31"/>
        <v>0</v>
      </c>
      <c r="L350" s="218">
        <f t="shared" si="32"/>
        <v>0</v>
      </c>
    </row>
    <row r="351" spans="1:12" ht="14.25" customHeight="1" x14ac:dyDescent="0.2">
      <c r="A351" s="124"/>
      <c r="B351" s="211"/>
      <c r="C351" s="220" t="s">
        <v>322</v>
      </c>
      <c r="D351" s="133">
        <v>1</v>
      </c>
      <c r="E351" s="301">
        <f t="shared" si="33"/>
        <v>6.8500000000000005</v>
      </c>
      <c r="F351" s="135"/>
      <c r="G351" s="301">
        <v>2.1</v>
      </c>
      <c r="H351" s="302">
        <f t="shared" si="34"/>
        <v>14.385000000000002</v>
      </c>
      <c r="I351" s="136"/>
      <c r="J351" s="213"/>
      <c r="K351" s="217">
        <f t="shared" si="31"/>
        <v>0</v>
      </c>
      <c r="L351" s="218">
        <f t="shared" si="32"/>
        <v>0</v>
      </c>
    </row>
    <row r="352" spans="1:12" ht="14.25" customHeight="1" x14ac:dyDescent="0.2">
      <c r="A352" s="124"/>
      <c r="B352" s="211"/>
      <c r="C352" s="220" t="s">
        <v>322</v>
      </c>
      <c r="D352" s="133">
        <v>1</v>
      </c>
      <c r="E352" s="301">
        <f t="shared" si="33"/>
        <v>5.4</v>
      </c>
      <c r="F352" s="135"/>
      <c r="G352" s="301">
        <v>3.1</v>
      </c>
      <c r="H352" s="302">
        <f>D352*E352*G352</f>
        <v>16.740000000000002</v>
      </c>
      <c r="I352" s="136"/>
      <c r="J352" s="213"/>
      <c r="K352" s="217">
        <f t="shared" si="31"/>
        <v>0</v>
      </c>
      <c r="L352" s="218">
        <f t="shared" si="32"/>
        <v>0</v>
      </c>
    </row>
    <row r="353" spans="1:12" ht="14.25" customHeight="1" x14ac:dyDescent="0.2">
      <c r="A353" s="124"/>
      <c r="B353" s="211"/>
      <c r="C353" s="220" t="s">
        <v>718</v>
      </c>
      <c r="D353" s="133">
        <v>1</v>
      </c>
      <c r="E353" s="301">
        <f t="shared" si="33"/>
        <v>9.4499999999999993</v>
      </c>
      <c r="F353" s="135"/>
      <c r="G353" s="301">
        <f>0.1+0.15</f>
        <v>0.25</v>
      </c>
      <c r="H353" s="302">
        <f t="shared" si="34"/>
        <v>2.3624999999999998</v>
      </c>
      <c r="I353" s="136"/>
      <c r="J353" s="213"/>
      <c r="K353" s="217">
        <f t="shared" si="31"/>
        <v>0</v>
      </c>
      <c r="L353" s="218">
        <f t="shared" si="32"/>
        <v>0</v>
      </c>
    </row>
    <row r="354" spans="1:12" ht="14.25" customHeight="1" x14ac:dyDescent="0.2">
      <c r="A354" s="124"/>
      <c r="B354" s="211"/>
      <c r="C354" s="220" t="s">
        <v>718</v>
      </c>
      <c r="D354" s="133">
        <v>2</v>
      </c>
      <c r="E354" s="301">
        <f t="shared" si="33"/>
        <v>8.85</v>
      </c>
      <c r="F354" s="135"/>
      <c r="G354" s="301">
        <f>0.1+0.15</f>
        <v>0.25</v>
      </c>
      <c r="H354" s="302">
        <f t="shared" si="34"/>
        <v>4.4249999999999998</v>
      </c>
      <c r="I354" s="136"/>
      <c r="J354" s="213"/>
      <c r="K354" s="217">
        <f t="shared" si="31"/>
        <v>0</v>
      </c>
      <c r="L354" s="218">
        <f t="shared" si="32"/>
        <v>0</v>
      </c>
    </row>
    <row r="355" spans="1:12" ht="14.25" customHeight="1" x14ac:dyDescent="0.2">
      <c r="A355" s="124"/>
      <c r="B355" s="211"/>
      <c r="C355" s="220" t="s">
        <v>718</v>
      </c>
      <c r="D355" s="133">
        <v>1</v>
      </c>
      <c r="E355" s="301">
        <f t="shared" si="33"/>
        <v>6.9139999999999997</v>
      </c>
      <c r="F355" s="135"/>
      <c r="G355" s="301">
        <f>0.1+0.15</f>
        <v>0.25</v>
      </c>
      <c r="H355" s="302">
        <f t="shared" si="34"/>
        <v>1.7284999999999999</v>
      </c>
      <c r="I355" s="136"/>
      <c r="J355" s="213"/>
      <c r="K355" s="217">
        <f t="shared" si="31"/>
        <v>0</v>
      </c>
      <c r="L355" s="218">
        <f t="shared" si="32"/>
        <v>0</v>
      </c>
    </row>
    <row r="356" spans="1:12" ht="14.25" customHeight="1" x14ac:dyDescent="0.2">
      <c r="A356" s="124"/>
      <c r="B356" s="211"/>
      <c r="C356" s="402" t="s">
        <v>716</v>
      </c>
      <c r="D356" s="133"/>
      <c r="E356" s="301"/>
      <c r="F356" s="135"/>
      <c r="G356" s="301"/>
      <c r="H356" s="302"/>
      <c r="I356" s="136"/>
      <c r="J356" s="213"/>
      <c r="K356" s="217">
        <f t="shared" si="31"/>
        <v>0</v>
      </c>
      <c r="L356" s="218">
        <f t="shared" si="32"/>
        <v>0</v>
      </c>
    </row>
    <row r="357" spans="1:12" ht="14.25" customHeight="1" x14ac:dyDescent="0.2">
      <c r="A357" s="124"/>
      <c r="B357" s="211"/>
      <c r="C357" s="220" t="s">
        <v>322</v>
      </c>
      <c r="D357" s="133">
        <v>2</v>
      </c>
      <c r="E357" s="301">
        <f>(E289+F289)*2-0.75</f>
        <v>6.8</v>
      </c>
      <c r="F357" s="135"/>
      <c r="G357" s="301">
        <v>2.1</v>
      </c>
      <c r="H357" s="302">
        <f t="shared" si="34"/>
        <v>28.56</v>
      </c>
      <c r="I357" s="136"/>
      <c r="J357" s="213"/>
      <c r="K357" s="217">
        <f t="shared" si="31"/>
        <v>0</v>
      </c>
      <c r="L357" s="218">
        <f t="shared" si="32"/>
        <v>0</v>
      </c>
    </row>
    <row r="358" spans="1:12" ht="14.25" customHeight="1" x14ac:dyDescent="0.2">
      <c r="A358" s="124"/>
      <c r="B358" s="211"/>
      <c r="C358" s="220" t="s">
        <v>322</v>
      </c>
      <c r="D358" s="133">
        <v>2</v>
      </c>
      <c r="E358" s="301">
        <f>(E290+F290)*2-0.75</f>
        <v>6.95</v>
      </c>
      <c r="F358" s="135"/>
      <c r="G358" s="301">
        <v>2.1</v>
      </c>
      <c r="H358" s="302">
        <f t="shared" si="34"/>
        <v>29.19</v>
      </c>
      <c r="I358" s="136"/>
      <c r="J358" s="213"/>
      <c r="K358" s="217">
        <f t="shared" si="31"/>
        <v>0</v>
      </c>
      <c r="L358" s="218">
        <f t="shared" si="32"/>
        <v>0</v>
      </c>
    </row>
    <row r="359" spans="1:12" ht="14.25" customHeight="1" x14ac:dyDescent="0.2">
      <c r="A359" s="124"/>
      <c r="B359" s="211"/>
      <c r="C359" s="220" t="s">
        <v>718</v>
      </c>
      <c r="D359" s="133">
        <v>4</v>
      </c>
      <c r="E359" s="301">
        <f>(E291+F291)*2-0.75</f>
        <v>8.85</v>
      </c>
      <c r="F359" s="135"/>
      <c r="G359" s="301">
        <f>0.1+0.15</f>
        <v>0.25</v>
      </c>
      <c r="H359" s="302">
        <f t="shared" si="34"/>
        <v>8.85</v>
      </c>
      <c r="I359" s="136"/>
      <c r="J359" s="213"/>
      <c r="K359" s="217">
        <f t="shared" si="31"/>
        <v>0</v>
      </c>
      <c r="L359" s="218">
        <f t="shared" si="32"/>
        <v>0</v>
      </c>
    </row>
    <row r="360" spans="1:12" ht="14.25" customHeight="1" x14ac:dyDescent="0.2">
      <c r="A360" s="124"/>
      <c r="B360" s="211"/>
      <c r="C360" s="220" t="s">
        <v>718</v>
      </c>
      <c r="D360" s="133">
        <v>2</v>
      </c>
      <c r="E360" s="301">
        <f>(E292+F292)*2-0.75</f>
        <v>9.4499999999999993</v>
      </c>
      <c r="F360" s="135"/>
      <c r="G360" s="301">
        <f>0.1+0.15</f>
        <v>0.25</v>
      </c>
      <c r="H360" s="302">
        <f t="shared" si="34"/>
        <v>4.7249999999999996</v>
      </c>
      <c r="I360" s="136"/>
      <c r="J360" s="213"/>
      <c r="K360" s="217">
        <f t="shared" si="31"/>
        <v>0</v>
      </c>
      <c r="L360" s="218">
        <f t="shared" si="32"/>
        <v>0</v>
      </c>
    </row>
    <row r="361" spans="1:12" ht="14.25" customHeight="1" x14ac:dyDescent="0.2">
      <c r="A361" s="124"/>
      <c r="B361" s="211"/>
      <c r="C361" s="220" t="s">
        <v>719</v>
      </c>
      <c r="D361" s="133">
        <v>2</v>
      </c>
      <c r="E361" s="301">
        <f>(E293+F293)*2-0.9+0.9+2.55+1.05*2</f>
        <v>21.200000000000003</v>
      </c>
      <c r="F361" s="135"/>
      <c r="G361" s="301">
        <f>0.1+0.15</f>
        <v>0.25</v>
      </c>
      <c r="H361" s="302">
        <f t="shared" si="34"/>
        <v>10.600000000000001</v>
      </c>
      <c r="I361" s="136"/>
      <c r="J361" s="213"/>
      <c r="K361" s="217">
        <f t="shared" si="31"/>
        <v>0</v>
      </c>
      <c r="L361" s="218">
        <f t="shared" si="32"/>
        <v>0</v>
      </c>
    </row>
    <row r="362" spans="1:12" ht="14.25" customHeight="1" x14ac:dyDescent="0.2">
      <c r="A362" s="139"/>
      <c r="B362" s="215"/>
      <c r="C362" s="141" t="s">
        <v>117</v>
      </c>
      <c r="D362" s="142"/>
      <c r="E362" s="145"/>
      <c r="F362" s="145"/>
      <c r="G362" s="145"/>
      <c r="H362" s="216">
        <v>151.69999999999999</v>
      </c>
      <c r="I362" s="141" t="s">
        <v>128</v>
      </c>
      <c r="J362" s="217">
        <v>1267.95</v>
      </c>
      <c r="K362" s="217">
        <f t="shared" si="31"/>
        <v>1074.5338983050847</v>
      </c>
      <c r="L362" s="218">
        <f t="shared" si="32"/>
        <v>163006.79237288135</v>
      </c>
    </row>
    <row r="363" spans="1:12" ht="51" x14ac:dyDescent="0.2">
      <c r="A363" s="116">
        <v>21</v>
      </c>
      <c r="B363" s="206">
        <v>9.1</v>
      </c>
      <c r="C363" s="219" t="s">
        <v>346</v>
      </c>
      <c r="D363" s="119"/>
      <c r="E363" s="121"/>
      <c r="F363" s="121"/>
      <c r="G363" s="121"/>
      <c r="H363" s="208"/>
      <c r="I363" s="122"/>
      <c r="J363" s="209"/>
      <c r="K363" s="217">
        <f t="shared" si="31"/>
        <v>0</v>
      </c>
      <c r="L363" s="218">
        <f t="shared" si="32"/>
        <v>0</v>
      </c>
    </row>
    <row r="364" spans="1:12" x14ac:dyDescent="0.2">
      <c r="A364" s="124"/>
      <c r="B364" s="211"/>
      <c r="C364" s="266" t="s">
        <v>347</v>
      </c>
      <c r="D364" s="127"/>
      <c r="E364" s="129"/>
      <c r="F364" s="129"/>
      <c r="G364" s="129"/>
      <c r="H364" s="239"/>
      <c r="I364" s="130"/>
      <c r="J364" s="240"/>
      <c r="K364" s="217">
        <f t="shared" si="31"/>
        <v>0</v>
      </c>
      <c r="L364" s="218">
        <f t="shared" si="32"/>
        <v>0</v>
      </c>
    </row>
    <row r="365" spans="1:12" ht="31.5" customHeight="1" x14ac:dyDescent="0.2">
      <c r="A365" s="124"/>
      <c r="B365" s="211" t="s">
        <v>348</v>
      </c>
      <c r="C365" s="289" t="s">
        <v>349</v>
      </c>
      <c r="D365" s="127"/>
      <c r="E365" s="129"/>
      <c r="F365" s="129"/>
      <c r="G365" s="129"/>
      <c r="H365" s="239"/>
      <c r="I365" s="130"/>
      <c r="J365" s="240"/>
      <c r="K365" s="217">
        <f t="shared" si="31"/>
        <v>0</v>
      </c>
      <c r="L365" s="218">
        <f t="shared" si="32"/>
        <v>0</v>
      </c>
    </row>
    <row r="366" spans="1:12" ht="14.25" customHeight="1" x14ac:dyDescent="0.2">
      <c r="A366" s="124"/>
      <c r="B366" s="211"/>
      <c r="C366" s="187" t="s">
        <v>418</v>
      </c>
      <c r="D366" s="133">
        <v>4</v>
      </c>
      <c r="E366" s="135">
        <f>2.4*2+1.05</f>
        <v>5.85</v>
      </c>
      <c r="F366" s="135">
        <v>0.125</v>
      </c>
      <c r="G366" s="135">
        <v>6.25E-2</v>
      </c>
      <c r="H366" s="303">
        <f>G366*F366*E366*D366</f>
        <v>0.18281249999999999</v>
      </c>
      <c r="I366" s="130"/>
      <c r="J366" s="240"/>
      <c r="K366" s="217">
        <f t="shared" si="31"/>
        <v>0</v>
      </c>
      <c r="L366" s="218">
        <f t="shared" si="32"/>
        <v>0</v>
      </c>
    </row>
    <row r="367" spans="1:12" ht="14.25" customHeight="1" x14ac:dyDescent="0.2">
      <c r="A367" s="124"/>
      <c r="B367" s="211"/>
      <c r="C367" s="187" t="s">
        <v>293</v>
      </c>
      <c r="D367" s="133">
        <v>8</v>
      </c>
      <c r="E367" s="135">
        <f>2.13*2+1</f>
        <v>5.26</v>
      </c>
      <c r="F367" s="135">
        <v>0.125</v>
      </c>
      <c r="G367" s="135">
        <v>6.25E-2</v>
      </c>
      <c r="H367" s="303">
        <f>G367*F367*E367*D367</f>
        <v>0.32874999999999999</v>
      </c>
      <c r="I367" s="130"/>
      <c r="J367" s="240"/>
      <c r="K367" s="217">
        <f t="shared" si="31"/>
        <v>0</v>
      </c>
      <c r="L367" s="218">
        <f t="shared" si="32"/>
        <v>0</v>
      </c>
    </row>
    <row r="368" spans="1:12" ht="14.25" customHeight="1" x14ac:dyDescent="0.2">
      <c r="A368" s="124"/>
      <c r="B368" s="211"/>
      <c r="C368" s="187" t="s">
        <v>222</v>
      </c>
      <c r="D368" s="133">
        <v>4</v>
      </c>
      <c r="E368" s="135">
        <f>2.13*2+0.9</f>
        <v>5.16</v>
      </c>
      <c r="F368" s="135">
        <v>0.125</v>
      </c>
      <c r="G368" s="135">
        <v>6.25E-2</v>
      </c>
      <c r="H368" s="303">
        <f>G368*F368*E368*D368</f>
        <v>0.16125</v>
      </c>
      <c r="I368" s="130"/>
      <c r="J368" s="240"/>
      <c r="K368" s="217">
        <f t="shared" si="31"/>
        <v>0</v>
      </c>
      <c r="L368" s="218">
        <f t="shared" si="32"/>
        <v>0</v>
      </c>
    </row>
    <row r="369" spans="1:12" ht="14.25" customHeight="1" x14ac:dyDescent="0.2">
      <c r="A369" s="124"/>
      <c r="B369" s="211"/>
      <c r="C369" s="220" t="s">
        <v>223</v>
      </c>
      <c r="D369" s="133">
        <v>8</v>
      </c>
      <c r="E369" s="135">
        <f>2.13*2+0.75</f>
        <v>5.01</v>
      </c>
      <c r="F369" s="135">
        <v>0.125</v>
      </c>
      <c r="G369" s="135">
        <v>6.25E-2</v>
      </c>
      <c r="H369" s="303">
        <f>G369*F369*E369*D369</f>
        <v>0.31312499999999999</v>
      </c>
      <c r="I369" s="136"/>
      <c r="J369" s="213"/>
      <c r="K369" s="217">
        <f t="shared" si="31"/>
        <v>0</v>
      </c>
      <c r="L369" s="218">
        <f t="shared" si="32"/>
        <v>0</v>
      </c>
    </row>
    <row r="370" spans="1:12" ht="14.25" customHeight="1" x14ac:dyDescent="0.2">
      <c r="A370" s="124"/>
      <c r="B370" s="211"/>
      <c r="C370" s="220" t="s">
        <v>419</v>
      </c>
      <c r="D370" s="133">
        <v>4</v>
      </c>
      <c r="E370" s="135">
        <f>2.4*2+0.9</f>
        <v>5.7</v>
      </c>
      <c r="F370" s="135">
        <v>0.125</v>
      </c>
      <c r="G370" s="135">
        <v>6.25E-2</v>
      </c>
      <c r="H370" s="303">
        <f>G370*F370*E370*D370</f>
        <v>0.17812500000000001</v>
      </c>
      <c r="I370" s="136"/>
      <c r="J370" s="213"/>
      <c r="K370" s="217">
        <f t="shared" si="31"/>
        <v>0</v>
      </c>
      <c r="L370" s="218">
        <f t="shared" si="32"/>
        <v>0</v>
      </c>
    </row>
    <row r="371" spans="1:12" ht="14.25" customHeight="1" x14ac:dyDescent="0.2">
      <c r="A371" s="139"/>
      <c r="B371" s="215"/>
      <c r="C371" s="141" t="s">
        <v>117</v>
      </c>
      <c r="D371" s="142"/>
      <c r="E371" s="145"/>
      <c r="F371" s="145"/>
      <c r="G371" s="145"/>
      <c r="H371" s="216">
        <v>1</v>
      </c>
      <c r="I371" s="141" t="s">
        <v>118</v>
      </c>
      <c r="J371" s="217">
        <v>116520.3</v>
      </c>
      <c r="K371" s="217">
        <f t="shared" si="31"/>
        <v>98746.016949152545</v>
      </c>
      <c r="L371" s="218">
        <f t="shared" si="32"/>
        <v>98746.016949152545</v>
      </c>
    </row>
    <row r="372" spans="1:12" ht="146.25" customHeight="1" x14ac:dyDescent="0.2">
      <c r="A372" s="116">
        <v>22</v>
      </c>
      <c r="B372" s="206">
        <v>9.1310000000000002</v>
      </c>
      <c r="C372" s="288" t="s">
        <v>351</v>
      </c>
      <c r="D372" s="119"/>
      <c r="E372" s="121"/>
      <c r="F372" s="121"/>
      <c r="G372" s="121"/>
      <c r="H372" s="208"/>
      <c r="I372" s="122"/>
      <c r="J372" s="209"/>
      <c r="K372" s="217">
        <f t="shared" si="31"/>
        <v>0</v>
      </c>
      <c r="L372" s="218">
        <f t="shared" si="32"/>
        <v>0</v>
      </c>
    </row>
    <row r="373" spans="1:12" x14ac:dyDescent="0.2">
      <c r="A373" s="124"/>
      <c r="B373" s="211" t="s">
        <v>352</v>
      </c>
      <c r="C373" s="289" t="s">
        <v>353</v>
      </c>
      <c r="D373" s="127"/>
      <c r="E373" s="129"/>
      <c r="F373" s="129"/>
      <c r="G373" s="129"/>
      <c r="H373" s="239"/>
      <c r="I373" s="130"/>
      <c r="J373" s="240"/>
      <c r="K373" s="217">
        <f t="shared" si="31"/>
        <v>0</v>
      </c>
      <c r="L373" s="218">
        <f t="shared" si="32"/>
        <v>0</v>
      </c>
    </row>
    <row r="374" spans="1:12" ht="14.25" customHeight="1" x14ac:dyDescent="0.2">
      <c r="A374" s="124"/>
      <c r="B374" s="211"/>
      <c r="C374" s="220" t="s">
        <v>223</v>
      </c>
      <c r="D374" s="133">
        <v>8</v>
      </c>
      <c r="E374" s="135">
        <v>0.75</v>
      </c>
      <c r="F374" s="135"/>
      <c r="G374" s="135">
        <v>2.1</v>
      </c>
      <c r="H374" s="303">
        <f>D374*E374*G374</f>
        <v>12.600000000000001</v>
      </c>
      <c r="I374" s="136"/>
      <c r="J374" s="213"/>
      <c r="K374" s="217">
        <f t="shared" si="31"/>
        <v>0</v>
      </c>
      <c r="L374" s="218">
        <f t="shared" si="32"/>
        <v>0</v>
      </c>
    </row>
    <row r="375" spans="1:12" ht="14.25" customHeight="1" x14ac:dyDescent="0.2">
      <c r="A375" s="124"/>
      <c r="B375" s="211"/>
      <c r="C375" s="220" t="s">
        <v>505</v>
      </c>
      <c r="D375" s="133">
        <v>4</v>
      </c>
      <c r="E375" s="135">
        <v>0.9</v>
      </c>
      <c r="F375" s="135"/>
      <c r="G375" s="135">
        <v>2.1</v>
      </c>
      <c r="H375" s="303">
        <f>D375*E375*G375</f>
        <v>7.5600000000000005</v>
      </c>
      <c r="I375" s="136"/>
      <c r="J375" s="213"/>
      <c r="K375" s="217">
        <f t="shared" si="31"/>
        <v>0</v>
      </c>
      <c r="L375" s="218">
        <f t="shared" si="32"/>
        <v>0</v>
      </c>
    </row>
    <row r="376" spans="1:12" x14ac:dyDescent="0.2">
      <c r="A376" s="139"/>
      <c r="B376" s="215"/>
      <c r="C376" s="141" t="s">
        <v>117</v>
      </c>
      <c r="D376" s="142"/>
      <c r="E376" s="145"/>
      <c r="F376" s="145"/>
      <c r="G376" s="145"/>
      <c r="H376" s="216">
        <v>20</v>
      </c>
      <c r="I376" s="141" t="s">
        <v>334</v>
      </c>
      <c r="J376" s="217">
        <v>1801.6</v>
      </c>
      <c r="K376" s="217">
        <f t="shared" si="31"/>
        <v>1526.7796610169491</v>
      </c>
      <c r="L376" s="218">
        <f t="shared" si="32"/>
        <v>30535.593220338982</v>
      </c>
    </row>
    <row r="377" spans="1:12" ht="39" customHeight="1" x14ac:dyDescent="0.2">
      <c r="A377" s="116">
        <v>23</v>
      </c>
      <c r="B377" s="206">
        <v>9.1319999999999997</v>
      </c>
      <c r="C377" s="304" t="s">
        <v>354</v>
      </c>
      <c r="D377" s="119"/>
      <c r="E377" s="121"/>
      <c r="F377" s="121"/>
      <c r="G377" s="121"/>
      <c r="H377" s="263"/>
      <c r="I377" s="122"/>
      <c r="J377" s="209"/>
      <c r="K377" s="217">
        <f t="shared" si="31"/>
        <v>0</v>
      </c>
      <c r="L377" s="218">
        <f t="shared" si="32"/>
        <v>0</v>
      </c>
    </row>
    <row r="378" spans="1:12" x14ac:dyDescent="0.2">
      <c r="A378" s="124"/>
      <c r="B378" s="211"/>
      <c r="C378" s="220" t="s">
        <v>223</v>
      </c>
      <c r="D378" s="133">
        <v>8</v>
      </c>
      <c r="E378" s="135">
        <f>2.13*2+0.75</f>
        <v>5.01</v>
      </c>
      <c r="F378" s="135"/>
      <c r="G378" s="135"/>
      <c r="H378" s="134">
        <f>D378*E378</f>
        <v>40.08</v>
      </c>
      <c r="I378" s="136"/>
      <c r="J378" s="213"/>
      <c r="K378" s="217">
        <f t="shared" si="31"/>
        <v>0</v>
      </c>
      <c r="L378" s="218">
        <f t="shared" si="32"/>
        <v>0</v>
      </c>
    </row>
    <row r="379" spans="1:12" x14ac:dyDescent="0.2">
      <c r="A379" s="124"/>
      <c r="B379" s="211"/>
      <c r="C379" s="220" t="s">
        <v>505</v>
      </c>
      <c r="D379" s="133">
        <v>4</v>
      </c>
      <c r="E379" s="135">
        <f>2.13*2+0.9</f>
        <v>5.16</v>
      </c>
      <c r="F379" s="135"/>
      <c r="G379" s="135"/>
      <c r="H379" s="134">
        <f>D379*E379</f>
        <v>20.64</v>
      </c>
      <c r="I379" s="136"/>
      <c r="J379" s="213"/>
      <c r="K379" s="217">
        <f t="shared" si="31"/>
        <v>0</v>
      </c>
      <c r="L379" s="218">
        <f t="shared" si="32"/>
        <v>0</v>
      </c>
    </row>
    <row r="380" spans="1:12" x14ac:dyDescent="0.2">
      <c r="A380" s="139"/>
      <c r="B380" s="215"/>
      <c r="C380" s="141" t="s">
        <v>117</v>
      </c>
      <c r="D380" s="142">
        <f>SUM(D378:D379)</f>
        <v>12</v>
      </c>
      <c r="E380" s="145"/>
      <c r="F380" s="145"/>
      <c r="G380" s="145"/>
      <c r="H380" s="216">
        <v>30</v>
      </c>
      <c r="I380" s="141" t="s">
        <v>355</v>
      </c>
      <c r="J380" s="217">
        <v>596.15</v>
      </c>
      <c r="K380" s="217">
        <f t="shared" si="31"/>
        <v>505.21186440677968</v>
      </c>
      <c r="L380" s="218">
        <f t="shared" si="32"/>
        <v>15156.355932203391</v>
      </c>
    </row>
    <row r="381" spans="1:12" ht="85.5" x14ac:dyDescent="0.2">
      <c r="A381" s="124">
        <v>24</v>
      </c>
      <c r="B381" s="211">
        <v>9.2100000000000009</v>
      </c>
      <c r="C381" s="290" t="s">
        <v>506</v>
      </c>
      <c r="D381" s="133"/>
      <c r="E381" s="135"/>
      <c r="F381" s="135"/>
      <c r="G381" s="135"/>
      <c r="H381" s="242"/>
      <c r="I381" s="136"/>
      <c r="J381" s="213"/>
      <c r="K381" s="217">
        <f t="shared" si="31"/>
        <v>0</v>
      </c>
      <c r="L381" s="218">
        <f t="shared" si="32"/>
        <v>0</v>
      </c>
    </row>
    <row r="382" spans="1:12" ht="25.5" x14ac:dyDescent="0.2">
      <c r="A382" s="124"/>
      <c r="B382" s="211" t="s">
        <v>358</v>
      </c>
      <c r="C382" s="305" t="s">
        <v>359</v>
      </c>
      <c r="D382" s="133"/>
      <c r="E382" s="135"/>
      <c r="F382" s="135"/>
      <c r="G382" s="135"/>
      <c r="H382" s="242"/>
      <c r="I382" s="136"/>
      <c r="J382" s="213"/>
      <c r="K382" s="217">
        <f t="shared" si="31"/>
        <v>0</v>
      </c>
      <c r="L382" s="218">
        <f t="shared" si="32"/>
        <v>0</v>
      </c>
    </row>
    <row r="383" spans="1:12" x14ac:dyDescent="0.2">
      <c r="A383" s="124"/>
      <c r="B383" s="211"/>
      <c r="C383" s="305" t="s">
        <v>722</v>
      </c>
      <c r="D383" s="133">
        <v>4</v>
      </c>
      <c r="E383" s="135">
        <v>1.05</v>
      </c>
      <c r="F383" s="135"/>
      <c r="G383" s="135">
        <v>2.1</v>
      </c>
      <c r="H383" s="303">
        <f>D383*E383*G383</f>
        <v>8.82</v>
      </c>
      <c r="I383" s="136"/>
      <c r="J383" s="213"/>
      <c r="K383" s="217">
        <f t="shared" si="31"/>
        <v>0</v>
      </c>
      <c r="L383" s="218">
        <f t="shared" si="32"/>
        <v>0</v>
      </c>
    </row>
    <row r="384" spans="1:12" x14ac:dyDescent="0.2">
      <c r="A384" s="124"/>
      <c r="B384" s="211"/>
      <c r="C384" s="305" t="s">
        <v>293</v>
      </c>
      <c r="D384" s="133">
        <v>8</v>
      </c>
      <c r="E384" s="135">
        <v>1</v>
      </c>
      <c r="F384" s="135"/>
      <c r="G384" s="135">
        <v>2.1</v>
      </c>
      <c r="H384" s="303">
        <f>D384*E384*G384</f>
        <v>16.8</v>
      </c>
      <c r="I384" s="136"/>
      <c r="J384" s="213"/>
      <c r="K384" s="217">
        <f t="shared" si="31"/>
        <v>0</v>
      </c>
      <c r="L384" s="218">
        <f t="shared" si="32"/>
        <v>0</v>
      </c>
    </row>
    <row r="385" spans="1:12" x14ac:dyDescent="0.2">
      <c r="A385" s="124"/>
      <c r="B385" s="211"/>
      <c r="C385" s="305" t="s">
        <v>222</v>
      </c>
      <c r="D385" s="133">
        <v>4</v>
      </c>
      <c r="E385" s="135">
        <v>0.9</v>
      </c>
      <c r="F385" s="135"/>
      <c r="G385" s="135">
        <v>2.1</v>
      </c>
      <c r="H385" s="303">
        <f>D385*E385*G385</f>
        <v>7.5600000000000005</v>
      </c>
      <c r="I385" s="141"/>
      <c r="J385" s="217"/>
      <c r="K385" s="217">
        <f t="shared" si="31"/>
        <v>0</v>
      </c>
      <c r="L385" s="218">
        <f t="shared" si="32"/>
        <v>0</v>
      </c>
    </row>
    <row r="386" spans="1:12" x14ac:dyDescent="0.2">
      <c r="A386" s="124"/>
      <c r="B386" s="211"/>
      <c r="C386" s="192"/>
      <c r="D386" s="127"/>
      <c r="E386" s="129"/>
      <c r="F386" s="129"/>
      <c r="G386" s="129"/>
      <c r="H386" s="264">
        <v>30</v>
      </c>
      <c r="I386" s="130" t="s">
        <v>334</v>
      </c>
      <c r="J386" s="240">
        <v>2392.65</v>
      </c>
      <c r="K386" s="217">
        <f t="shared" si="31"/>
        <v>2027.6694915254238</v>
      </c>
      <c r="L386" s="218">
        <f t="shared" si="32"/>
        <v>60830.084745762717</v>
      </c>
    </row>
    <row r="387" spans="1:12" ht="315.75" customHeight="1" x14ac:dyDescent="0.2">
      <c r="A387" s="116">
        <v>25</v>
      </c>
      <c r="B387" s="206" t="s">
        <v>360</v>
      </c>
      <c r="C387" s="290" t="s">
        <v>361</v>
      </c>
      <c r="D387" s="116"/>
      <c r="E387" s="252"/>
      <c r="F387" s="252"/>
      <c r="G387" s="252"/>
      <c r="H387" s="272"/>
      <c r="I387" s="254"/>
      <c r="J387" s="255"/>
      <c r="K387" s="217">
        <f t="shared" si="31"/>
        <v>0</v>
      </c>
      <c r="L387" s="218">
        <f t="shared" si="32"/>
        <v>0</v>
      </c>
    </row>
    <row r="388" spans="1:12" ht="173.25" customHeight="1" x14ac:dyDescent="0.2">
      <c r="A388" s="306"/>
      <c r="B388" s="211"/>
      <c r="C388" s="307" t="s">
        <v>362</v>
      </c>
      <c r="D388" s="127"/>
      <c r="E388" s="129"/>
      <c r="F388" s="129"/>
      <c r="G388" s="129"/>
      <c r="H388" s="239"/>
      <c r="I388" s="260"/>
      <c r="J388" s="261"/>
      <c r="K388" s="217">
        <f t="shared" si="31"/>
        <v>0</v>
      </c>
      <c r="L388" s="218">
        <f t="shared" si="32"/>
        <v>0</v>
      </c>
    </row>
    <row r="389" spans="1:12" ht="76.5" customHeight="1" x14ac:dyDescent="0.2">
      <c r="A389" s="116">
        <v>26</v>
      </c>
      <c r="B389" s="117" t="s">
        <v>363</v>
      </c>
      <c r="C389" s="288" t="s">
        <v>364</v>
      </c>
      <c r="D389" s="119"/>
      <c r="E389" s="121"/>
      <c r="F389" s="121"/>
      <c r="G389" s="121"/>
      <c r="H389" s="263"/>
      <c r="I389" s="122"/>
      <c r="J389" s="209"/>
      <c r="K389" s="217">
        <f t="shared" si="31"/>
        <v>0</v>
      </c>
      <c r="L389" s="218">
        <f t="shared" si="32"/>
        <v>0</v>
      </c>
    </row>
    <row r="390" spans="1:12" ht="14.25" x14ac:dyDescent="0.2">
      <c r="A390" s="124"/>
      <c r="B390" s="211"/>
      <c r="C390" s="340" t="s">
        <v>484</v>
      </c>
      <c r="D390" s="341">
        <v>8</v>
      </c>
      <c r="E390" s="342">
        <v>1.8</v>
      </c>
      <c r="F390" s="342"/>
      <c r="G390" s="342">
        <v>1.5</v>
      </c>
      <c r="H390" s="343">
        <f>G390*E390*D390</f>
        <v>21.6</v>
      </c>
      <c r="I390" s="344"/>
      <c r="J390" s="345"/>
      <c r="K390" s="217">
        <f t="shared" si="31"/>
        <v>0</v>
      </c>
      <c r="L390" s="218">
        <f t="shared" si="32"/>
        <v>0</v>
      </c>
    </row>
    <row r="391" spans="1:12" ht="14.25" x14ac:dyDescent="0.2">
      <c r="A391" s="124"/>
      <c r="B391" s="211"/>
      <c r="C391" s="346" t="s">
        <v>457</v>
      </c>
      <c r="D391" s="133">
        <v>8</v>
      </c>
      <c r="E391" s="135">
        <v>1.37</v>
      </c>
      <c r="F391" s="135"/>
      <c r="G391" s="135">
        <v>1.5</v>
      </c>
      <c r="H391" s="212">
        <f>G391*E391*D391</f>
        <v>16.440000000000001</v>
      </c>
      <c r="I391" s="136"/>
      <c r="J391" s="213"/>
      <c r="K391" s="217">
        <f t="shared" si="31"/>
        <v>0</v>
      </c>
      <c r="L391" s="218">
        <f t="shared" si="32"/>
        <v>0</v>
      </c>
    </row>
    <row r="392" spans="1:12" x14ac:dyDescent="0.2">
      <c r="A392" s="124"/>
      <c r="B392" s="211"/>
      <c r="C392" s="220" t="s">
        <v>458</v>
      </c>
      <c r="D392" s="133">
        <v>4</v>
      </c>
      <c r="E392" s="135">
        <v>1.05</v>
      </c>
      <c r="F392" s="135"/>
      <c r="G392" s="135">
        <v>1.35</v>
      </c>
      <c r="H392" s="212">
        <f>G392*E392*D392</f>
        <v>5.6700000000000008</v>
      </c>
      <c r="I392" s="136"/>
      <c r="J392" s="213"/>
      <c r="K392" s="217">
        <f t="shared" si="31"/>
        <v>0</v>
      </c>
      <c r="L392" s="218">
        <f t="shared" si="32"/>
        <v>0</v>
      </c>
    </row>
    <row r="393" spans="1:12" x14ac:dyDescent="0.2">
      <c r="A393" s="124"/>
      <c r="B393" s="211"/>
      <c r="C393" s="220" t="s">
        <v>260</v>
      </c>
      <c r="D393" s="133">
        <v>2</v>
      </c>
      <c r="E393" s="135">
        <v>1.2</v>
      </c>
      <c r="F393" s="135"/>
      <c r="G393" s="135">
        <v>1.2</v>
      </c>
      <c r="H393" s="212">
        <f>D393*E393*G393</f>
        <v>2.88</v>
      </c>
      <c r="I393" s="136"/>
      <c r="J393" s="213"/>
      <c r="K393" s="217">
        <f t="shared" si="31"/>
        <v>0</v>
      </c>
      <c r="L393" s="218">
        <f t="shared" si="32"/>
        <v>0</v>
      </c>
    </row>
    <row r="394" spans="1:12" x14ac:dyDescent="0.2">
      <c r="A394" s="124"/>
      <c r="B394" s="211"/>
      <c r="C394" s="220" t="s">
        <v>273</v>
      </c>
      <c r="D394" s="133">
        <v>8</v>
      </c>
      <c r="E394" s="135">
        <v>0.6</v>
      </c>
      <c r="F394" s="135"/>
      <c r="G394" s="135">
        <v>0.9</v>
      </c>
      <c r="H394" s="212">
        <f>D394*E394*G394</f>
        <v>4.32</v>
      </c>
      <c r="I394" s="136"/>
      <c r="J394" s="213"/>
      <c r="K394" s="217">
        <f t="shared" si="31"/>
        <v>0</v>
      </c>
      <c r="L394" s="218">
        <f t="shared" si="32"/>
        <v>0</v>
      </c>
    </row>
    <row r="395" spans="1:12" x14ac:dyDescent="0.2">
      <c r="A395" s="139"/>
      <c r="B395" s="215"/>
      <c r="C395" s="141" t="s">
        <v>117</v>
      </c>
      <c r="D395" s="142"/>
      <c r="E395" s="145"/>
      <c r="F395" s="145"/>
      <c r="G395" s="145"/>
      <c r="H395" s="216">
        <v>49</v>
      </c>
      <c r="I395" s="141" t="s">
        <v>128</v>
      </c>
      <c r="J395" s="217">
        <v>9628.6</v>
      </c>
      <c r="K395" s="217">
        <f t="shared" ref="K395:K455" si="35">J395*100/118</f>
        <v>8159.8305084745762</v>
      </c>
      <c r="L395" s="218">
        <f t="shared" ref="L395:L455" si="36">K395*H395</f>
        <v>399831.69491525425</v>
      </c>
    </row>
    <row r="396" spans="1:12" x14ac:dyDescent="0.2">
      <c r="A396" s="124"/>
      <c r="B396" s="211"/>
      <c r="C396" s="130"/>
      <c r="D396" s="127"/>
      <c r="E396" s="129"/>
      <c r="F396" s="129"/>
      <c r="G396" s="129"/>
      <c r="H396" s="264"/>
      <c r="I396" s="130"/>
      <c r="J396" s="240"/>
      <c r="K396" s="217">
        <f t="shared" si="35"/>
        <v>0</v>
      </c>
      <c r="L396" s="218">
        <f t="shared" si="36"/>
        <v>0</v>
      </c>
    </row>
    <row r="397" spans="1:12" ht="75.75" customHeight="1" x14ac:dyDescent="0.2">
      <c r="A397" s="116">
        <v>27</v>
      </c>
      <c r="B397" s="117" t="s">
        <v>507</v>
      </c>
      <c r="C397" s="288" t="s">
        <v>508</v>
      </c>
      <c r="D397" s="119"/>
      <c r="E397" s="121"/>
      <c r="F397" s="121"/>
      <c r="G397" s="121"/>
      <c r="H397" s="263"/>
      <c r="I397" s="122"/>
      <c r="J397" s="209"/>
      <c r="K397" s="217">
        <f t="shared" si="35"/>
        <v>0</v>
      </c>
      <c r="L397" s="218">
        <f t="shared" si="36"/>
        <v>0</v>
      </c>
    </row>
    <row r="398" spans="1:12" ht="51.75" customHeight="1" x14ac:dyDescent="0.2">
      <c r="A398" s="243"/>
      <c r="B398" s="186" t="s">
        <v>509</v>
      </c>
      <c r="C398" s="288" t="s">
        <v>510</v>
      </c>
      <c r="D398" s="119"/>
      <c r="E398" s="121"/>
      <c r="F398" s="121"/>
      <c r="G398" s="121"/>
      <c r="H398" s="263"/>
      <c r="I398" s="122"/>
      <c r="J398" s="209"/>
      <c r="K398" s="217">
        <f t="shared" si="35"/>
        <v>0</v>
      </c>
      <c r="L398" s="218">
        <f t="shared" si="36"/>
        <v>0</v>
      </c>
    </row>
    <row r="399" spans="1:12" ht="14.25" x14ac:dyDescent="0.2">
      <c r="A399" s="124"/>
      <c r="B399" s="211"/>
      <c r="C399" s="340" t="s">
        <v>511</v>
      </c>
      <c r="D399" s="341">
        <v>8</v>
      </c>
      <c r="E399" s="342">
        <v>2.4</v>
      </c>
      <c r="F399" s="342"/>
      <c r="G399" s="342">
        <v>2.4</v>
      </c>
      <c r="H399" s="343">
        <f>G399*E399*D399</f>
        <v>46.08</v>
      </c>
      <c r="I399" s="344"/>
      <c r="J399" s="345"/>
      <c r="K399" s="217">
        <f t="shared" si="35"/>
        <v>0</v>
      </c>
      <c r="L399" s="218">
        <f t="shared" si="36"/>
        <v>0</v>
      </c>
    </row>
    <row r="400" spans="1:12" x14ac:dyDescent="0.2">
      <c r="A400" s="139"/>
      <c r="B400" s="215"/>
      <c r="C400" s="141" t="s">
        <v>117</v>
      </c>
      <c r="D400" s="142"/>
      <c r="E400" s="145"/>
      <c r="F400" s="145"/>
      <c r="G400" s="145"/>
      <c r="H400" s="216">
        <v>44</v>
      </c>
      <c r="I400" s="141" t="s">
        <v>128</v>
      </c>
      <c r="J400" s="217">
        <v>8287.0499999999993</v>
      </c>
      <c r="K400" s="217">
        <f t="shared" si="35"/>
        <v>7022.9237288135582</v>
      </c>
      <c r="L400" s="218">
        <f t="shared" si="36"/>
        <v>309008.64406779659</v>
      </c>
    </row>
    <row r="401" spans="1:16" ht="57.75" customHeight="1" x14ac:dyDescent="0.2">
      <c r="A401" s="116">
        <v>30</v>
      </c>
      <c r="B401" s="206">
        <v>9.9600000000000009</v>
      </c>
      <c r="C401" s="308" t="s">
        <v>366</v>
      </c>
      <c r="D401" s="119"/>
      <c r="E401" s="121"/>
      <c r="F401" s="121"/>
      <c r="G401" s="121"/>
      <c r="H401" s="263"/>
      <c r="I401" s="122"/>
      <c r="J401" s="209"/>
      <c r="K401" s="217">
        <f t="shared" si="35"/>
        <v>0</v>
      </c>
      <c r="L401" s="218">
        <f t="shared" si="36"/>
        <v>0</v>
      </c>
      <c r="O401" s="90">
        <f>7022.92/3436</f>
        <v>2.0439231664726427</v>
      </c>
      <c r="P401" s="416">
        <f>H400-O401</f>
        <v>41.956076833527355</v>
      </c>
    </row>
    <row r="402" spans="1:16" ht="21" customHeight="1" x14ac:dyDescent="0.2">
      <c r="A402" s="124"/>
      <c r="B402" s="188" t="s">
        <v>367</v>
      </c>
      <c r="C402" s="405" t="s">
        <v>368</v>
      </c>
      <c r="D402" s="243">
        <v>12</v>
      </c>
      <c r="E402" s="301"/>
      <c r="F402" s="301"/>
      <c r="G402" s="301"/>
      <c r="H402" s="285">
        <f>D402</f>
        <v>12</v>
      </c>
      <c r="I402" s="273" t="s">
        <v>369</v>
      </c>
      <c r="J402" s="274">
        <v>303.25</v>
      </c>
      <c r="K402" s="217">
        <f t="shared" si="35"/>
        <v>256.99152542372883</v>
      </c>
      <c r="L402" s="218">
        <f t="shared" si="36"/>
        <v>3083.898305084746</v>
      </c>
    </row>
    <row r="403" spans="1:16" ht="20.25" customHeight="1" x14ac:dyDescent="0.2">
      <c r="A403" s="139"/>
      <c r="B403" s="215" t="s">
        <v>370</v>
      </c>
      <c r="C403" s="311" t="s">
        <v>371</v>
      </c>
      <c r="D403" s="139">
        <v>8</v>
      </c>
      <c r="E403" s="310"/>
      <c r="F403" s="310"/>
      <c r="G403" s="310"/>
      <c r="H403" s="282">
        <f>D403</f>
        <v>8</v>
      </c>
      <c r="I403" s="268" t="s">
        <v>369</v>
      </c>
      <c r="J403" s="269">
        <v>260.60000000000002</v>
      </c>
      <c r="K403" s="217">
        <f t="shared" si="35"/>
        <v>220.84745762711867</v>
      </c>
      <c r="L403" s="218">
        <f t="shared" si="36"/>
        <v>1766.7796610169494</v>
      </c>
    </row>
    <row r="404" spans="1:16" ht="58.5" customHeight="1" x14ac:dyDescent="0.2">
      <c r="A404" s="116">
        <v>31</v>
      </c>
      <c r="B404" s="206">
        <v>9.9700000000000006</v>
      </c>
      <c r="C404" s="308" t="s">
        <v>372</v>
      </c>
      <c r="D404" s="119"/>
      <c r="E404" s="121"/>
      <c r="F404" s="121"/>
      <c r="G404" s="121"/>
      <c r="H404" s="263"/>
      <c r="I404" s="122"/>
      <c r="J404" s="209"/>
      <c r="K404" s="217">
        <f t="shared" si="35"/>
        <v>0</v>
      </c>
      <c r="L404" s="218">
        <f t="shared" si="36"/>
        <v>0</v>
      </c>
    </row>
    <row r="405" spans="1:16" ht="21.75" customHeight="1" x14ac:dyDescent="0.2">
      <c r="A405" s="124"/>
      <c r="B405" s="211" t="s">
        <v>373</v>
      </c>
      <c r="C405" s="294" t="s">
        <v>374</v>
      </c>
      <c r="D405" s="139">
        <v>12</v>
      </c>
      <c r="E405" s="310"/>
      <c r="F405" s="310"/>
      <c r="G405" s="310"/>
      <c r="H405" s="282">
        <f>D405</f>
        <v>12</v>
      </c>
      <c r="I405" s="268" t="s">
        <v>369</v>
      </c>
      <c r="J405" s="269">
        <v>130.1</v>
      </c>
      <c r="K405" s="217">
        <f t="shared" si="35"/>
        <v>110.2542372881356</v>
      </c>
      <c r="L405" s="218">
        <f t="shared" si="36"/>
        <v>1323.0508474576272</v>
      </c>
    </row>
    <row r="406" spans="1:16" x14ac:dyDescent="0.2">
      <c r="A406" s="139"/>
      <c r="B406" s="188" t="s">
        <v>375</v>
      </c>
      <c r="C406" s="183" t="s">
        <v>376</v>
      </c>
      <c r="D406" s="139">
        <v>8</v>
      </c>
      <c r="E406" s="310"/>
      <c r="F406" s="310"/>
      <c r="G406" s="310"/>
      <c r="H406" s="282">
        <f>D406</f>
        <v>8</v>
      </c>
      <c r="I406" s="268" t="s">
        <v>369</v>
      </c>
      <c r="J406" s="269">
        <v>115.15</v>
      </c>
      <c r="K406" s="217">
        <f t="shared" si="35"/>
        <v>97.584745762711862</v>
      </c>
      <c r="L406" s="218">
        <f t="shared" si="36"/>
        <v>780.67796610169489</v>
      </c>
    </row>
    <row r="407" spans="1:16" ht="51" x14ac:dyDescent="0.2">
      <c r="A407" s="124">
        <v>32</v>
      </c>
      <c r="B407" s="211">
        <v>9.98</v>
      </c>
      <c r="C407" s="312" t="s">
        <v>377</v>
      </c>
      <c r="D407" s="139">
        <v>8</v>
      </c>
      <c r="E407" s="310"/>
      <c r="F407" s="310"/>
      <c r="G407" s="310"/>
      <c r="H407" s="282">
        <f>D407</f>
        <v>8</v>
      </c>
      <c r="I407" s="268" t="s">
        <v>378</v>
      </c>
      <c r="J407" s="269">
        <v>100.8</v>
      </c>
      <c r="K407" s="217">
        <f t="shared" si="35"/>
        <v>85.423728813559322</v>
      </c>
      <c r="L407" s="218">
        <f t="shared" si="36"/>
        <v>683.38983050847457</v>
      </c>
    </row>
    <row r="408" spans="1:16" ht="61.5" customHeight="1" x14ac:dyDescent="0.2">
      <c r="A408" s="116">
        <v>33</v>
      </c>
      <c r="B408" s="313">
        <v>9.1</v>
      </c>
      <c r="C408" s="118" t="s">
        <v>379</v>
      </c>
      <c r="D408" s="119"/>
      <c r="E408" s="121"/>
      <c r="F408" s="121"/>
      <c r="G408" s="121"/>
      <c r="H408" s="263"/>
      <c r="I408" s="122"/>
      <c r="J408" s="209"/>
      <c r="K408" s="217">
        <f t="shared" si="35"/>
        <v>0</v>
      </c>
      <c r="L408" s="218">
        <f t="shared" si="36"/>
        <v>0</v>
      </c>
    </row>
    <row r="409" spans="1:16" ht="14.25" x14ac:dyDescent="0.2">
      <c r="A409" s="124"/>
      <c r="B409" s="286" t="s">
        <v>380</v>
      </c>
      <c r="C409" s="177" t="s">
        <v>381</v>
      </c>
      <c r="D409" s="133">
        <v>26</v>
      </c>
      <c r="E409" s="135"/>
      <c r="F409" s="135"/>
      <c r="G409" s="135"/>
      <c r="H409" s="242">
        <v>22</v>
      </c>
      <c r="I409" s="136" t="s">
        <v>382</v>
      </c>
      <c r="J409" s="213">
        <v>66.25</v>
      </c>
      <c r="K409" s="217">
        <f t="shared" si="35"/>
        <v>56.144067796610166</v>
      </c>
      <c r="L409" s="218">
        <f t="shared" si="36"/>
        <v>1235.1694915254236</v>
      </c>
    </row>
    <row r="410" spans="1:16" ht="14.25" x14ac:dyDescent="0.2">
      <c r="A410" s="139"/>
      <c r="B410" s="286" t="s">
        <v>383</v>
      </c>
      <c r="C410" s="177" t="s">
        <v>384</v>
      </c>
      <c r="D410" s="133">
        <v>14</v>
      </c>
      <c r="E410" s="135"/>
      <c r="F410" s="135"/>
      <c r="G410" s="135"/>
      <c r="H410" s="242">
        <v>20</v>
      </c>
      <c r="I410" s="136" t="s">
        <v>382</v>
      </c>
      <c r="J410" s="213">
        <v>59.55</v>
      </c>
      <c r="K410" s="217">
        <f t="shared" si="35"/>
        <v>50.466101694915253</v>
      </c>
      <c r="L410" s="218">
        <f t="shared" si="36"/>
        <v>1009.3220338983051</v>
      </c>
    </row>
    <row r="411" spans="1:16" ht="54.75" customHeight="1" x14ac:dyDescent="0.2">
      <c r="A411" s="116">
        <v>34</v>
      </c>
      <c r="B411" s="175">
        <v>9.1010000000000009</v>
      </c>
      <c r="C411" s="118" t="s">
        <v>385</v>
      </c>
      <c r="D411" s="119"/>
      <c r="E411" s="121"/>
      <c r="F411" s="121"/>
      <c r="G411" s="121"/>
      <c r="H411" s="263"/>
      <c r="I411" s="122"/>
      <c r="J411" s="209"/>
      <c r="K411" s="217">
        <f t="shared" si="35"/>
        <v>0</v>
      </c>
      <c r="L411" s="218">
        <f t="shared" si="36"/>
        <v>0</v>
      </c>
    </row>
    <row r="412" spans="1:16" ht="14.25" x14ac:dyDescent="0.2">
      <c r="A412" s="139"/>
      <c r="B412" s="280" t="s">
        <v>386</v>
      </c>
      <c r="C412" s="297" t="s">
        <v>387</v>
      </c>
      <c r="D412" s="142">
        <v>13</v>
      </c>
      <c r="E412" s="145"/>
      <c r="F412" s="145"/>
      <c r="G412" s="145"/>
      <c r="H412" s="216">
        <v>13</v>
      </c>
      <c r="I412" s="314" t="s">
        <v>382</v>
      </c>
      <c r="J412" s="215">
        <v>72.349999999999994</v>
      </c>
      <c r="K412" s="217">
        <f t="shared" si="35"/>
        <v>61.313559322033889</v>
      </c>
      <c r="L412" s="218">
        <f t="shared" si="36"/>
        <v>797.07627118644052</v>
      </c>
    </row>
    <row r="413" spans="1:16" ht="34.5" customHeight="1" x14ac:dyDescent="0.2">
      <c r="A413" s="116">
        <v>35</v>
      </c>
      <c r="B413" s="206">
        <v>10.28</v>
      </c>
      <c r="C413" s="207" t="s">
        <v>388</v>
      </c>
      <c r="D413" s="119"/>
      <c r="E413" s="120"/>
      <c r="F413" s="120"/>
      <c r="G413" s="120"/>
      <c r="H413" s="208"/>
      <c r="I413" s="122"/>
      <c r="J413" s="209"/>
      <c r="K413" s="217">
        <f t="shared" si="35"/>
        <v>0</v>
      </c>
      <c r="L413" s="218">
        <f t="shared" si="36"/>
        <v>0</v>
      </c>
    </row>
    <row r="414" spans="1:16" x14ac:dyDescent="0.2">
      <c r="A414" s="124"/>
      <c r="B414" s="211"/>
      <c r="C414" s="183" t="s">
        <v>389</v>
      </c>
      <c r="D414" s="133">
        <v>2</v>
      </c>
      <c r="E414" s="135">
        <v>3.76</v>
      </c>
      <c r="F414" s="135"/>
      <c r="G414" s="135"/>
      <c r="H414" s="212">
        <f>E414*D414</f>
        <v>7.52</v>
      </c>
      <c r="I414" s="136"/>
      <c r="J414" s="213"/>
      <c r="K414" s="217">
        <f t="shared" si="35"/>
        <v>0</v>
      </c>
      <c r="L414" s="218">
        <f t="shared" si="36"/>
        <v>0</v>
      </c>
    </row>
    <row r="415" spans="1:16" x14ac:dyDescent="0.2">
      <c r="A415" s="124" t="s">
        <v>91</v>
      </c>
      <c r="B415" s="211"/>
      <c r="C415" s="183" t="s">
        <v>512</v>
      </c>
      <c r="D415" s="133">
        <v>8</v>
      </c>
      <c r="E415" s="135">
        <f>1.5*2+3.3</f>
        <v>6.3</v>
      </c>
      <c r="F415" s="135"/>
      <c r="G415" s="135"/>
      <c r="H415" s="212">
        <f>E415*D415</f>
        <v>50.4</v>
      </c>
      <c r="I415" s="136"/>
      <c r="J415" s="213"/>
      <c r="K415" s="217">
        <f t="shared" si="35"/>
        <v>0</v>
      </c>
      <c r="L415" s="218">
        <f t="shared" si="36"/>
        <v>0</v>
      </c>
    </row>
    <row r="416" spans="1:16" x14ac:dyDescent="0.2">
      <c r="A416" s="124"/>
      <c r="B416" s="211"/>
      <c r="C416" s="183"/>
      <c r="D416" s="133">
        <v>4</v>
      </c>
      <c r="E416" s="135">
        <v>3.3</v>
      </c>
      <c r="F416" s="135"/>
      <c r="G416" s="135"/>
      <c r="H416" s="212">
        <f>E416*D416</f>
        <v>13.2</v>
      </c>
      <c r="I416" s="136"/>
      <c r="J416" s="213"/>
      <c r="K416" s="217">
        <f t="shared" si="35"/>
        <v>0</v>
      </c>
      <c r="L416" s="218">
        <f t="shared" si="36"/>
        <v>0</v>
      </c>
    </row>
    <row r="417" spans="1:12" x14ac:dyDescent="0.2">
      <c r="A417" s="139"/>
      <c r="B417" s="215"/>
      <c r="C417" s="180" t="s">
        <v>117</v>
      </c>
      <c r="D417" s="133"/>
      <c r="E417" s="135"/>
      <c r="F417" s="135"/>
      <c r="G417" s="135"/>
      <c r="H417" s="242">
        <v>350</v>
      </c>
      <c r="I417" s="136" t="s">
        <v>195</v>
      </c>
      <c r="J417" s="213">
        <v>772.4</v>
      </c>
      <c r="K417" s="217">
        <f t="shared" si="35"/>
        <v>654.57627118644064</v>
      </c>
      <c r="L417" s="218">
        <f t="shared" si="36"/>
        <v>229101.69491525422</v>
      </c>
    </row>
    <row r="418" spans="1:12" ht="25.5" x14ac:dyDescent="0.2">
      <c r="A418" s="116">
        <v>36</v>
      </c>
      <c r="B418" s="117">
        <v>13.26</v>
      </c>
      <c r="C418" s="219" t="s">
        <v>390</v>
      </c>
      <c r="D418" s="119"/>
      <c r="E418" s="120"/>
      <c r="F418" s="120"/>
      <c r="G418" s="120"/>
      <c r="H418" s="208"/>
      <c r="I418" s="122"/>
      <c r="J418" s="209"/>
      <c r="K418" s="217">
        <f t="shared" si="35"/>
        <v>0</v>
      </c>
      <c r="L418" s="218">
        <f t="shared" si="36"/>
        <v>0</v>
      </c>
    </row>
    <row r="419" spans="1:12" x14ac:dyDescent="0.2">
      <c r="A419" s="124"/>
      <c r="B419" s="125"/>
      <c r="C419" s="220" t="s">
        <v>391</v>
      </c>
      <c r="D419" s="133"/>
      <c r="E419" s="134"/>
      <c r="F419" s="134"/>
      <c r="G419" s="134"/>
      <c r="H419" s="242">
        <f>H243</f>
        <v>590</v>
      </c>
      <c r="I419" s="136" t="s">
        <v>91</v>
      </c>
      <c r="J419" s="213" t="s">
        <v>91</v>
      </c>
      <c r="K419" s="217" t="e">
        <f t="shared" si="35"/>
        <v>#VALUE!</v>
      </c>
      <c r="L419" s="218">
        <v>0</v>
      </c>
    </row>
    <row r="420" spans="1:12" x14ac:dyDescent="0.2">
      <c r="A420" s="124"/>
      <c r="B420" s="125"/>
      <c r="C420" s="220" t="s">
        <v>392</v>
      </c>
      <c r="D420" s="133"/>
      <c r="E420" s="134"/>
      <c r="F420" s="134"/>
      <c r="G420" s="134"/>
      <c r="H420" s="242">
        <f>H246</f>
        <v>200</v>
      </c>
      <c r="I420" s="136"/>
      <c r="J420" s="213"/>
      <c r="K420" s="217">
        <f t="shared" si="35"/>
        <v>0</v>
      </c>
      <c r="L420" s="218">
        <f t="shared" si="36"/>
        <v>0</v>
      </c>
    </row>
    <row r="421" spans="1:12" x14ac:dyDescent="0.2">
      <c r="A421" s="124"/>
      <c r="B421" s="125"/>
      <c r="C421" s="220" t="s">
        <v>393</v>
      </c>
      <c r="D421" s="133"/>
      <c r="E421" s="134"/>
      <c r="F421" s="134"/>
      <c r="G421" s="134"/>
      <c r="H421" s="242">
        <f>H220</f>
        <v>500</v>
      </c>
      <c r="I421" s="136"/>
      <c r="J421" s="213"/>
      <c r="K421" s="217">
        <f t="shared" si="35"/>
        <v>0</v>
      </c>
      <c r="L421" s="218">
        <f t="shared" si="36"/>
        <v>0</v>
      </c>
    </row>
    <row r="422" spans="1:12" x14ac:dyDescent="0.2">
      <c r="A422" s="124"/>
      <c r="B422" s="125"/>
      <c r="C422" s="220" t="s">
        <v>394</v>
      </c>
      <c r="D422" s="133" t="s">
        <v>91</v>
      </c>
      <c r="E422" s="134"/>
      <c r="F422" s="134"/>
      <c r="G422" s="134"/>
      <c r="H422" s="242">
        <f>-H362</f>
        <v>-151.69999999999999</v>
      </c>
      <c r="I422" s="136"/>
      <c r="J422" s="213"/>
      <c r="K422" s="217">
        <f t="shared" si="35"/>
        <v>0</v>
      </c>
      <c r="L422" s="218">
        <f t="shared" si="36"/>
        <v>0</v>
      </c>
    </row>
    <row r="423" spans="1:12" x14ac:dyDescent="0.2">
      <c r="A423" s="139"/>
      <c r="B423" s="140"/>
      <c r="C423" s="221" t="s">
        <v>207</v>
      </c>
      <c r="D423" s="142"/>
      <c r="E423" s="143"/>
      <c r="F423" s="143"/>
      <c r="G423" s="143"/>
      <c r="H423" s="216">
        <f>SUM(H419:H422)</f>
        <v>1138.3</v>
      </c>
      <c r="I423" s="141" t="s">
        <v>128</v>
      </c>
      <c r="J423" s="217">
        <v>262.7</v>
      </c>
      <c r="K423" s="217">
        <f t="shared" si="35"/>
        <v>222.62711864406779</v>
      </c>
      <c r="L423" s="218">
        <f t="shared" si="36"/>
        <v>253416.44915254237</v>
      </c>
    </row>
    <row r="424" spans="1:12" x14ac:dyDescent="0.2">
      <c r="A424" s="116">
        <v>37</v>
      </c>
      <c r="B424" s="206" t="s">
        <v>395</v>
      </c>
      <c r="C424" s="207" t="s">
        <v>396</v>
      </c>
      <c r="D424" s="119"/>
      <c r="E424" s="120"/>
      <c r="F424" s="120"/>
      <c r="G424" s="120"/>
      <c r="H424" s="208"/>
      <c r="I424" s="122"/>
      <c r="J424" s="209"/>
      <c r="K424" s="217">
        <f t="shared" si="35"/>
        <v>0</v>
      </c>
      <c r="L424" s="218">
        <f t="shared" si="36"/>
        <v>0</v>
      </c>
    </row>
    <row r="425" spans="1:12" x14ac:dyDescent="0.2">
      <c r="A425" s="139"/>
      <c r="B425" s="140"/>
      <c r="C425" s="316" t="s">
        <v>397</v>
      </c>
      <c r="D425" s="142"/>
      <c r="E425" s="143"/>
      <c r="F425" s="143"/>
      <c r="G425" s="143"/>
      <c r="H425" s="216">
        <v>1124</v>
      </c>
      <c r="I425" s="141" t="s">
        <v>128</v>
      </c>
      <c r="J425" s="217">
        <v>142.80000000000001</v>
      </c>
      <c r="K425" s="217">
        <f t="shared" si="35"/>
        <v>121.0169491525424</v>
      </c>
      <c r="L425" s="218">
        <f t="shared" si="36"/>
        <v>136023.05084745766</v>
      </c>
    </row>
    <row r="426" spans="1:12" ht="25.5" x14ac:dyDescent="0.2">
      <c r="A426" s="116">
        <v>38</v>
      </c>
      <c r="B426" s="117">
        <v>13.47</v>
      </c>
      <c r="C426" s="219" t="s">
        <v>398</v>
      </c>
      <c r="D426" s="119"/>
      <c r="E426" s="120"/>
      <c r="F426" s="120"/>
      <c r="G426" s="120"/>
      <c r="H426" s="208"/>
      <c r="I426" s="122"/>
      <c r="J426" s="209"/>
      <c r="K426" s="217">
        <f t="shared" si="35"/>
        <v>0</v>
      </c>
      <c r="L426" s="218">
        <f t="shared" si="36"/>
        <v>0</v>
      </c>
    </row>
    <row r="427" spans="1:12" ht="38.25" x14ac:dyDescent="0.2">
      <c r="A427" s="124"/>
      <c r="B427" s="125" t="s">
        <v>399</v>
      </c>
      <c r="C427" s="238" t="s">
        <v>400</v>
      </c>
      <c r="D427" s="127"/>
      <c r="E427" s="128"/>
      <c r="F427" s="128"/>
      <c r="G427" s="128"/>
      <c r="H427" s="239"/>
      <c r="I427" s="130"/>
      <c r="J427" s="240"/>
      <c r="K427" s="217">
        <f t="shared" si="35"/>
        <v>0</v>
      </c>
      <c r="L427" s="218">
        <f t="shared" si="36"/>
        <v>0</v>
      </c>
    </row>
    <row r="428" spans="1:12" x14ac:dyDescent="0.2">
      <c r="A428" s="139"/>
      <c r="B428" s="140"/>
      <c r="C428" s="316" t="s">
        <v>513</v>
      </c>
      <c r="D428" s="142"/>
      <c r="E428" s="143"/>
      <c r="F428" s="143"/>
      <c r="G428" s="143"/>
      <c r="H428" s="216">
        <f>H249</f>
        <v>360.4</v>
      </c>
      <c r="I428" s="141" t="s">
        <v>128</v>
      </c>
      <c r="J428" s="217">
        <v>171.1</v>
      </c>
      <c r="K428" s="217">
        <f t="shared" si="35"/>
        <v>145</v>
      </c>
      <c r="L428" s="218">
        <f t="shared" si="36"/>
        <v>52258</v>
      </c>
    </row>
    <row r="429" spans="1:12" ht="25.5" x14ac:dyDescent="0.2">
      <c r="A429" s="116">
        <v>39</v>
      </c>
      <c r="B429" s="117">
        <v>13.61</v>
      </c>
      <c r="C429" s="219" t="s">
        <v>402</v>
      </c>
      <c r="D429" s="119"/>
      <c r="E429" s="120"/>
      <c r="F429" s="120"/>
      <c r="G429" s="120"/>
      <c r="H429" s="263"/>
      <c r="I429" s="122"/>
      <c r="J429" s="209"/>
      <c r="K429" s="217">
        <f t="shared" si="35"/>
        <v>0</v>
      </c>
      <c r="L429" s="218">
        <f t="shared" si="36"/>
        <v>0</v>
      </c>
    </row>
    <row r="430" spans="1:12" ht="18.75" customHeight="1" x14ac:dyDescent="0.2">
      <c r="A430" s="124" t="s">
        <v>91</v>
      </c>
      <c r="B430" s="125" t="s">
        <v>403</v>
      </c>
      <c r="C430" s="238" t="s">
        <v>404</v>
      </c>
      <c r="D430" s="127"/>
      <c r="E430" s="128"/>
      <c r="F430" s="128"/>
      <c r="G430" s="128"/>
      <c r="H430" s="264"/>
      <c r="I430" s="130"/>
      <c r="J430" s="240"/>
      <c r="K430" s="217">
        <f t="shared" si="35"/>
        <v>0</v>
      </c>
      <c r="L430" s="218">
        <f t="shared" si="36"/>
        <v>0</v>
      </c>
    </row>
    <row r="431" spans="1:12" ht="15.75" customHeight="1" x14ac:dyDescent="0.2">
      <c r="A431" s="139"/>
      <c r="B431" s="215"/>
      <c r="C431" s="347" t="s">
        <v>91</v>
      </c>
      <c r="D431" s="139">
        <v>1</v>
      </c>
      <c r="E431" s="310">
        <f>H386+E436</f>
        <v>79</v>
      </c>
      <c r="F431" s="310">
        <v>2.5</v>
      </c>
      <c r="G431" s="310"/>
      <c r="H431" s="282">
        <v>196</v>
      </c>
      <c r="I431" s="268" t="s">
        <v>128</v>
      </c>
      <c r="J431" s="269">
        <v>155.9</v>
      </c>
      <c r="K431" s="217">
        <f t="shared" si="35"/>
        <v>132.11864406779662</v>
      </c>
      <c r="L431" s="218">
        <f t="shared" si="36"/>
        <v>25895.25423728814</v>
      </c>
    </row>
    <row r="432" spans="1:12" ht="30.75" customHeight="1" x14ac:dyDescent="0.2">
      <c r="A432" s="116">
        <v>40</v>
      </c>
      <c r="B432" s="206">
        <v>10.18</v>
      </c>
      <c r="C432" s="219" t="s">
        <v>405</v>
      </c>
      <c r="D432" s="139">
        <v>22</v>
      </c>
      <c r="E432" s="310"/>
      <c r="F432" s="310"/>
      <c r="G432" s="310"/>
      <c r="H432" s="218">
        <f>D432</f>
        <v>22</v>
      </c>
      <c r="I432" s="268" t="s">
        <v>406</v>
      </c>
      <c r="J432" s="269">
        <v>220.65</v>
      </c>
      <c r="K432" s="217">
        <f t="shared" si="35"/>
        <v>186.9915254237288</v>
      </c>
      <c r="L432" s="218">
        <f t="shared" si="36"/>
        <v>4113.8135593220341</v>
      </c>
    </row>
    <row r="433" spans="1:12" ht="32.25" customHeight="1" x14ac:dyDescent="0.2">
      <c r="A433" s="406">
        <v>41</v>
      </c>
      <c r="B433" s="206">
        <v>9.4700000000000006</v>
      </c>
      <c r="C433" s="318" t="s">
        <v>407</v>
      </c>
      <c r="D433" s="243"/>
      <c r="E433" s="301" t="s">
        <v>91</v>
      </c>
      <c r="F433" s="301"/>
      <c r="G433" s="301"/>
      <c r="H433" s="302" t="s">
        <v>91</v>
      </c>
      <c r="I433" s="273"/>
      <c r="J433" s="274"/>
      <c r="K433" s="217">
        <f t="shared" si="35"/>
        <v>0</v>
      </c>
      <c r="L433" s="218">
        <v>0</v>
      </c>
    </row>
    <row r="434" spans="1:12" ht="20.25" customHeight="1" x14ac:dyDescent="0.2">
      <c r="A434" s="315"/>
      <c r="B434" s="188" t="s">
        <v>408</v>
      </c>
      <c r="C434" s="220" t="s">
        <v>409</v>
      </c>
      <c r="D434" s="243"/>
      <c r="E434" s="252">
        <f>2.4*8+1.05*4+1*8+0.9*4+1.8*4</f>
        <v>42.2</v>
      </c>
      <c r="F434" s="252"/>
      <c r="G434" s="252"/>
      <c r="H434" s="302">
        <v>42</v>
      </c>
      <c r="I434" s="273" t="s">
        <v>307</v>
      </c>
      <c r="J434" s="274">
        <v>175</v>
      </c>
      <c r="K434" s="217">
        <f t="shared" si="35"/>
        <v>148.30508474576271</v>
      </c>
      <c r="L434" s="218">
        <f t="shared" si="36"/>
        <v>6228.8135593220341</v>
      </c>
    </row>
    <row r="435" spans="1:12" ht="42" customHeight="1" x14ac:dyDescent="0.2">
      <c r="A435" s="406">
        <v>42</v>
      </c>
      <c r="B435" s="188">
        <v>9.48</v>
      </c>
      <c r="C435" s="220" t="s">
        <v>410</v>
      </c>
      <c r="D435" s="133"/>
      <c r="E435" s="135"/>
      <c r="F435" s="135"/>
      <c r="G435" s="135"/>
      <c r="H435" s="212"/>
      <c r="I435" s="136"/>
      <c r="J435" s="213"/>
      <c r="K435" s="217">
        <f t="shared" si="35"/>
        <v>0</v>
      </c>
      <c r="L435" s="218">
        <f t="shared" si="36"/>
        <v>0</v>
      </c>
    </row>
    <row r="436" spans="1:12" ht="25.5" x14ac:dyDescent="0.2">
      <c r="A436" s="315"/>
      <c r="B436" s="188" t="s">
        <v>411</v>
      </c>
      <c r="C436" s="220" t="s">
        <v>412</v>
      </c>
      <c r="D436" s="243"/>
      <c r="E436" s="301">
        <f>H395</f>
        <v>49</v>
      </c>
      <c r="F436" s="301"/>
      <c r="G436" s="301"/>
      <c r="H436" s="302">
        <v>1175.7</v>
      </c>
      <c r="I436" s="273" t="s">
        <v>413</v>
      </c>
      <c r="J436" s="274">
        <v>283.35000000000002</v>
      </c>
      <c r="K436" s="217">
        <f t="shared" si="35"/>
        <v>240.12711864406782</v>
      </c>
      <c r="L436" s="218">
        <f t="shared" si="36"/>
        <v>282317.45338983054</v>
      </c>
    </row>
    <row r="437" spans="1:12" ht="38.25" x14ac:dyDescent="0.2">
      <c r="A437" s="407">
        <v>43</v>
      </c>
      <c r="B437" s="206">
        <v>22.5</v>
      </c>
      <c r="C437" s="349" t="s">
        <v>514</v>
      </c>
      <c r="D437" s="119"/>
      <c r="E437" s="271"/>
      <c r="F437" s="121"/>
      <c r="G437" s="121"/>
      <c r="H437" s="272"/>
      <c r="I437" s="254"/>
      <c r="J437" s="255"/>
      <c r="K437" s="217">
        <f t="shared" si="35"/>
        <v>0</v>
      </c>
      <c r="L437" s="218">
        <f t="shared" si="36"/>
        <v>0</v>
      </c>
    </row>
    <row r="438" spans="1:12" ht="38.25" x14ac:dyDescent="0.2">
      <c r="A438" s="407"/>
      <c r="B438" s="211"/>
      <c r="C438" s="276" t="s">
        <v>515</v>
      </c>
      <c r="D438" s="127"/>
      <c r="E438" s="249"/>
      <c r="F438" s="129"/>
      <c r="G438" s="129"/>
      <c r="H438" s="298"/>
      <c r="I438" s="260"/>
      <c r="J438" s="261"/>
      <c r="K438" s="217">
        <f t="shared" si="35"/>
        <v>0</v>
      </c>
      <c r="L438" s="218">
        <f t="shared" si="36"/>
        <v>0</v>
      </c>
    </row>
    <row r="439" spans="1:12" ht="51" x14ac:dyDescent="0.2">
      <c r="A439" s="407"/>
      <c r="B439" s="211"/>
      <c r="C439" s="350" t="s">
        <v>516</v>
      </c>
      <c r="D439" s="127"/>
      <c r="E439" s="249"/>
      <c r="F439" s="129"/>
      <c r="G439" s="129"/>
      <c r="H439" s="298"/>
      <c r="I439" s="260"/>
      <c r="J439" s="261"/>
      <c r="K439" s="217">
        <f t="shared" si="35"/>
        <v>0</v>
      </c>
      <c r="L439" s="218">
        <f t="shared" si="36"/>
        <v>0</v>
      </c>
    </row>
    <row r="440" spans="1:12" ht="38.25" x14ac:dyDescent="0.2">
      <c r="A440" s="407"/>
      <c r="B440" s="211"/>
      <c r="C440" s="276" t="s">
        <v>517</v>
      </c>
      <c r="D440" s="127"/>
      <c r="E440" s="249"/>
      <c r="F440" s="129"/>
      <c r="G440" s="129"/>
      <c r="H440" s="298"/>
      <c r="I440" s="260"/>
      <c r="J440" s="261"/>
      <c r="K440" s="217">
        <f t="shared" si="35"/>
        <v>0</v>
      </c>
      <c r="L440" s="218">
        <f t="shared" si="36"/>
        <v>0</v>
      </c>
    </row>
    <row r="441" spans="1:12" ht="15.75" customHeight="1" x14ac:dyDescent="0.2">
      <c r="A441" s="124"/>
      <c r="B441" s="211"/>
      <c r="C441" s="401" t="s">
        <v>729</v>
      </c>
      <c r="D441" s="119"/>
      <c r="E441" s="121"/>
      <c r="F441" s="121"/>
      <c r="G441" s="121"/>
      <c r="H441" s="263"/>
      <c r="I441" s="122"/>
      <c r="J441" s="209"/>
      <c r="K441" s="217">
        <f t="shared" si="35"/>
        <v>0</v>
      </c>
      <c r="L441" s="218">
        <f t="shared" si="36"/>
        <v>0</v>
      </c>
    </row>
    <row r="442" spans="1:12" x14ac:dyDescent="0.2">
      <c r="A442" s="124"/>
      <c r="B442" s="211"/>
      <c r="C442" s="220" t="s">
        <v>322</v>
      </c>
      <c r="D442" s="133">
        <v>1</v>
      </c>
      <c r="E442" s="135">
        <v>2.375</v>
      </c>
      <c r="F442" s="135">
        <v>1.575</v>
      </c>
      <c r="G442" s="135"/>
      <c r="H442" s="212">
        <f t="shared" ref="H442:H447" si="37">F442*E442*D442</f>
        <v>3.7406250000000001</v>
      </c>
      <c r="I442" s="136"/>
      <c r="J442" s="213"/>
      <c r="K442" s="217">
        <f t="shared" si="35"/>
        <v>0</v>
      </c>
      <c r="L442" s="218">
        <f t="shared" si="36"/>
        <v>0</v>
      </c>
    </row>
    <row r="443" spans="1:12" x14ac:dyDescent="0.2">
      <c r="A443" s="124"/>
      <c r="B443" s="211"/>
      <c r="C443" s="220" t="s">
        <v>518</v>
      </c>
      <c r="D443" s="133">
        <v>1</v>
      </c>
      <c r="E443" s="135">
        <f>(E442+F442)*2</f>
        <v>7.9</v>
      </c>
      <c r="F443" s="135">
        <v>0.45</v>
      </c>
      <c r="G443" s="135"/>
      <c r="H443" s="212">
        <f t="shared" si="37"/>
        <v>3.5550000000000002</v>
      </c>
      <c r="I443" s="136"/>
      <c r="J443" s="213"/>
      <c r="K443" s="217">
        <f t="shared" si="35"/>
        <v>0</v>
      </c>
      <c r="L443" s="218">
        <f t="shared" si="36"/>
        <v>0</v>
      </c>
    </row>
    <row r="444" spans="1:12" ht="12" customHeight="1" x14ac:dyDescent="0.2">
      <c r="A444" s="124"/>
      <c r="B444" s="211"/>
      <c r="C444" s="220" t="s">
        <v>322</v>
      </c>
      <c r="D444" s="133">
        <v>1</v>
      </c>
      <c r="E444" s="135">
        <v>2.375</v>
      </c>
      <c r="F444" s="135">
        <v>1.6</v>
      </c>
      <c r="G444" s="135"/>
      <c r="H444" s="212">
        <f t="shared" si="37"/>
        <v>3.8000000000000003</v>
      </c>
      <c r="I444" s="136"/>
      <c r="J444" s="213"/>
      <c r="K444" s="217">
        <f t="shared" si="35"/>
        <v>0</v>
      </c>
      <c r="L444" s="218">
        <f t="shared" si="36"/>
        <v>0</v>
      </c>
    </row>
    <row r="445" spans="1:12" x14ac:dyDescent="0.2">
      <c r="A445" s="124"/>
      <c r="B445" s="211"/>
      <c r="C445" s="220" t="s">
        <v>518</v>
      </c>
      <c r="D445" s="133">
        <v>1</v>
      </c>
      <c r="E445" s="135">
        <f>(E444+F444)*2</f>
        <v>7.95</v>
      </c>
      <c r="F445" s="135">
        <v>0.45</v>
      </c>
      <c r="G445" s="135"/>
      <c r="H445" s="212">
        <f>F445*E445*D445</f>
        <v>3.5775000000000001</v>
      </c>
      <c r="I445" s="136"/>
      <c r="J445" s="213"/>
      <c r="K445" s="217">
        <f t="shared" si="35"/>
        <v>0</v>
      </c>
      <c r="L445" s="218">
        <f t="shared" si="36"/>
        <v>0</v>
      </c>
    </row>
    <row r="446" spans="1:12" ht="12" customHeight="1" x14ac:dyDescent="0.2">
      <c r="A446" s="124"/>
      <c r="B446" s="211"/>
      <c r="C446" s="220" t="s">
        <v>322</v>
      </c>
      <c r="D446" s="133">
        <v>1</v>
      </c>
      <c r="E446" s="135">
        <v>1.6</v>
      </c>
      <c r="F446" s="135">
        <v>2.2000000000000002</v>
      </c>
      <c r="G446" s="135"/>
      <c r="H446" s="212">
        <f t="shared" si="37"/>
        <v>3.5200000000000005</v>
      </c>
      <c r="I446" s="136"/>
      <c r="J446" s="213"/>
      <c r="K446" s="217">
        <f t="shared" si="35"/>
        <v>0</v>
      </c>
      <c r="L446" s="218">
        <f t="shared" si="36"/>
        <v>0</v>
      </c>
    </row>
    <row r="447" spans="1:12" x14ac:dyDescent="0.2">
      <c r="A447" s="124"/>
      <c r="B447" s="211"/>
      <c r="C447" s="220" t="s">
        <v>518</v>
      </c>
      <c r="D447" s="133">
        <v>1</v>
      </c>
      <c r="E447" s="135">
        <f>(E446+F446)*2</f>
        <v>7.6000000000000005</v>
      </c>
      <c r="F447" s="135">
        <v>0.45</v>
      </c>
      <c r="G447" s="135"/>
      <c r="H447" s="212">
        <f t="shared" si="37"/>
        <v>3.4200000000000004</v>
      </c>
      <c r="I447" s="136"/>
      <c r="J447" s="213"/>
      <c r="K447" s="217">
        <f t="shared" si="35"/>
        <v>0</v>
      </c>
      <c r="L447" s="218">
        <f t="shared" si="36"/>
        <v>0</v>
      </c>
    </row>
    <row r="448" spans="1:12" ht="12" customHeight="1" x14ac:dyDescent="0.2">
      <c r="A448" s="124"/>
      <c r="B448" s="211"/>
      <c r="C448" s="220" t="s">
        <v>322</v>
      </c>
      <c r="D448" s="133">
        <v>1</v>
      </c>
      <c r="E448" s="135">
        <v>1.8</v>
      </c>
      <c r="F448" s="135">
        <v>1.2749999999999999</v>
      </c>
      <c r="G448" s="135"/>
      <c r="H448" s="212">
        <f>F448*E448*D448</f>
        <v>2.2949999999999999</v>
      </c>
      <c r="I448" s="136"/>
      <c r="J448" s="213"/>
      <c r="K448" s="217">
        <f t="shared" si="35"/>
        <v>0</v>
      </c>
      <c r="L448" s="218">
        <f t="shared" si="36"/>
        <v>0</v>
      </c>
    </row>
    <row r="449" spans="1:12" x14ac:dyDescent="0.2">
      <c r="A449" s="124"/>
      <c r="B449" s="211"/>
      <c r="C449" s="220" t="s">
        <v>518</v>
      </c>
      <c r="D449" s="133">
        <v>1</v>
      </c>
      <c r="E449" s="135">
        <f>(E448+F448)*2</f>
        <v>6.15</v>
      </c>
      <c r="F449" s="135">
        <v>0.45</v>
      </c>
      <c r="G449" s="135"/>
      <c r="H449" s="212">
        <f>F449*E449*D449</f>
        <v>2.7675000000000001</v>
      </c>
      <c r="I449" s="136"/>
      <c r="J449" s="213"/>
      <c r="K449" s="217">
        <f t="shared" si="35"/>
        <v>0</v>
      </c>
      <c r="L449" s="218">
        <f t="shared" si="36"/>
        <v>0</v>
      </c>
    </row>
    <row r="450" spans="1:12" x14ac:dyDescent="0.2">
      <c r="A450" s="124"/>
      <c r="B450" s="211"/>
      <c r="C450" s="402" t="s">
        <v>716</v>
      </c>
      <c r="D450" s="133"/>
      <c r="E450" s="135"/>
      <c r="F450" s="135"/>
      <c r="G450" s="135"/>
      <c r="H450" s="212"/>
      <c r="I450" s="136"/>
      <c r="J450" s="213"/>
      <c r="K450" s="217">
        <f t="shared" si="35"/>
        <v>0</v>
      </c>
      <c r="L450" s="218">
        <f t="shared" si="36"/>
        <v>0</v>
      </c>
    </row>
    <row r="451" spans="1:12" x14ac:dyDescent="0.2">
      <c r="A451" s="124"/>
      <c r="B451" s="211"/>
      <c r="C451" s="220" t="s">
        <v>322</v>
      </c>
      <c r="D451" s="133">
        <v>2</v>
      </c>
      <c r="E451" s="135">
        <v>2.15</v>
      </c>
      <c r="F451" s="135">
        <v>1.625</v>
      </c>
      <c r="G451" s="135"/>
      <c r="H451" s="212">
        <f>F451*E451*D451</f>
        <v>6.9874999999999998</v>
      </c>
      <c r="I451" s="136"/>
      <c r="J451" s="213"/>
      <c r="K451" s="217">
        <f t="shared" si="35"/>
        <v>0</v>
      </c>
      <c r="L451" s="218">
        <f t="shared" si="36"/>
        <v>0</v>
      </c>
    </row>
    <row r="452" spans="1:12" x14ac:dyDescent="0.2">
      <c r="A452" s="124"/>
      <c r="B452" s="211"/>
      <c r="C452" s="220" t="s">
        <v>518</v>
      </c>
      <c r="D452" s="133">
        <v>2</v>
      </c>
      <c r="E452" s="135">
        <f>(E451+F451)*2</f>
        <v>7.55</v>
      </c>
      <c r="F452" s="135">
        <v>0.45</v>
      </c>
      <c r="G452" s="135"/>
      <c r="H452" s="212">
        <f>F452*E452*D452</f>
        <v>6.7949999999999999</v>
      </c>
      <c r="I452" s="136"/>
      <c r="J452" s="213"/>
      <c r="K452" s="217">
        <f t="shared" si="35"/>
        <v>0</v>
      </c>
      <c r="L452" s="218">
        <f t="shared" si="36"/>
        <v>0</v>
      </c>
    </row>
    <row r="453" spans="1:12" ht="12" customHeight="1" x14ac:dyDescent="0.2">
      <c r="A453" s="124"/>
      <c r="B453" s="211"/>
      <c r="C453" s="220" t="s">
        <v>322</v>
      </c>
      <c r="D453" s="133">
        <v>2</v>
      </c>
      <c r="E453" s="135">
        <v>1.6</v>
      </c>
      <c r="F453" s="135">
        <v>2.25</v>
      </c>
      <c r="G453" s="135"/>
      <c r="H453" s="212">
        <f>F453*E453*D453</f>
        <v>7.2</v>
      </c>
      <c r="I453" s="136"/>
      <c r="J453" s="213"/>
      <c r="K453" s="217">
        <f t="shared" si="35"/>
        <v>0</v>
      </c>
      <c r="L453" s="218">
        <f t="shared" si="36"/>
        <v>0</v>
      </c>
    </row>
    <row r="454" spans="1:12" x14ac:dyDescent="0.2">
      <c r="A454" s="124"/>
      <c r="B454" s="211"/>
      <c r="C454" s="220" t="s">
        <v>518</v>
      </c>
      <c r="D454" s="133">
        <v>2</v>
      </c>
      <c r="E454" s="135">
        <f>(E453+F453)*2</f>
        <v>7.7</v>
      </c>
      <c r="F454" s="135">
        <v>0.45</v>
      </c>
      <c r="G454" s="135"/>
      <c r="H454" s="212">
        <f>F454*E454*D454</f>
        <v>6.9300000000000006</v>
      </c>
      <c r="I454" s="136"/>
      <c r="J454" s="213"/>
      <c r="K454" s="217">
        <f t="shared" si="35"/>
        <v>0</v>
      </c>
      <c r="L454" s="218">
        <f t="shared" si="36"/>
        <v>0</v>
      </c>
    </row>
    <row r="455" spans="1:12" x14ac:dyDescent="0.2">
      <c r="A455" s="407"/>
      <c r="B455" s="215"/>
      <c r="C455" s="141" t="s">
        <v>117</v>
      </c>
      <c r="D455" s="142"/>
      <c r="E455" s="145" t="s">
        <v>91</v>
      </c>
      <c r="F455" s="145"/>
      <c r="G455" s="145"/>
      <c r="H455" s="216">
        <v>53</v>
      </c>
      <c r="I455" s="141" t="s">
        <v>128</v>
      </c>
      <c r="J455" s="217">
        <v>617.04999999999995</v>
      </c>
      <c r="K455" s="217">
        <f t="shared" si="35"/>
        <v>522.92372881355925</v>
      </c>
      <c r="L455" s="218">
        <f t="shared" si="36"/>
        <v>27714.957627118642</v>
      </c>
    </row>
    <row r="456" spans="1:12" x14ac:dyDescent="0.2">
      <c r="A456" s="408"/>
      <c r="B456" s="236"/>
      <c r="C456" s="351" t="s">
        <v>723</v>
      </c>
      <c r="D456" s="236"/>
      <c r="E456" s="236"/>
      <c r="F456" s="236"/>
      <c r="G456" s="236"/>
      <c r="H456" s="352"/>
      <c r="I456" s="953" t="s">
        <v>91</v>
      </c>
      <c r="J456" s="953"/>
      <c r="K456" s="353"/>
      <c r="L456" s="214">
        <f>SUM(L7:L455)</f>
        <v>7922519.5423728824</v>
      </c>
    </row>
  </sheetData>
  <sheetProtection algorithmName="SHA-512" hashValue="P05DzXriiuZiJXZTLgCPj9SInaMSlCP+Eni0PK/bQ5QR4bPfo/8dyiJYgWwHnpIhJ506yqwe5Ud9ql40B1uhAQ==" saltValue="jkJU6SHtBiPLUqerBHhD0Q==" spinCount="100000" sheet="1" objects="1" scenarios="1" selectLockedCells="1" selectUnlockedCells="1"/>
  <mergeCells count="5">
    <mergeCell ref="A3:I3"/>
    <mergeCell ref="E58:F58"/>
    <mergeCell ref="E91:F91"/>
    <mergeCell ref="E204:F204"/>
    <mergeCell ref="I456:J456"/>
  </mergeCells>
  <pageMargins left="0.7" right="0.7" top="0.75" bottom="0.75" header="0.3" footer="0.3"/>
  <pageSetup scale="68"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D4F1B-5260-4AB0-BA12-7C0BF1A6E598}">
  <sheetPr>
    <tabColor rgb="FFFF0000"/>
  </sheetPr>
  <dimension ref="A2:L295"/>
  <sheetViews>
    <sheetView topLeftCell="A272" zoomScaleNormal="100" workbookViewId="0">
      <selection activeCell="S294" sqref="S294"/>
    </sheetView>
  </sheetViews>
  <sheetFormatPr defaultRowHeight="12.75" x14ac:dyDescent="0.2"/>
  <cols>
    <col min="1" max="1" width="4.28515625" style="90" customWidth="1"/>
    <col min="2" max="2" width="7.85546875" style="90" customWidth="1"/>
    <col min="3" max="3" width="64.85546875" style="90" customWidth="1"/>
    <col min="4" max="4" width="5.140625" style="90" customWidth="1"/>
    <col min="5" max="5" width="7.28515625" style="90" customWidth="1"/>
    <col min="6" max="6" width="7" style="90" customWidth="1"/>
    <col min="7" max="7" width="6.5703125" style="90" customWidth="1"/>
    <col min="8" max="8" width="8.42578125" style="90" customWidth="1"/>
    <col min="9" max="9" width="5.28515625" style="90" customWidth="1"/>
    <col min="10" max="11" width="10.85546875" style="202" customWidth="1"/>
    <col min="12" max="12" width="11.7109375" style="203" customWidth="1"/>
    <col min="13" max="256" width="9.140625" style="90"/>
    <col min="257" max="257" width="4.28515625" style="90" customWidth="1"/>
    <col min="258" max="258" width="7.85546875" style="90" customWidth="1"/>
    <col min="259" max="259" width="64.85546875" style="90" customWidth="1"/>
    <col min="260" max="260" width="5.140625" style="90" customWidth="1"/>
    <col min="261" max="261" width="7.28515625" style="90" customWidth="1"/>
    <col min="262" max="262" width="7" style="90" customWidth="1"/>
    <col min="263" max="263" width="6.5703125" style="90" customWidth="1"/>
    <col min="264" max="264" width="8.42578125" style="90" customWidth="1"/>
    <col min="265" max="265" width="5.28515625" style="90" customWidth="1"/>
    <col min="266" max="267" width="10.85546875" style="90" customWidth="1"/>
    <col min="268" max="268" width="11.7109375" style="90" customWidth="1"/>
    <col min="269" max="512" width="9.140625" style="90"/>
    <col min="513" max="513" width="4.28515625" style="90" customWidth="1"/>
    <col min="514" max="514" width="7.85546875" style="90" customWidth="1"/>
    <col min="515" max="515" width="64.85546875" style="90" customWidth="1"/>
    <col min="516" max="516" width="5.140625" style="90" customWidth="1"/>
    <col min="517" max="517" width="7.28515625" style="90" customWidth="1"/>
    <col min="518" max="518" width="7" style="90" customWidth="1"/>
    <col min="519" max="519" width="6.5703125" style="90" customWidth="1"/>
    <col min="520" max="520" width="8.42578125" style="90" customWidth="1"/>
    <col min="521" max="521" width="5.28515625" style="90" customWidth="1"/>
    <col min="522" max="523" width="10.85546875" style="90" customWidth="1"/>
    <col min="524" max="524" width="11.7109375" style="90" customWidth="1"/>
    <col min="525" max="768" width="9.140625" style="90"/>
    <col min="769" max="769" width="4.28515625" style="90" customWidth="1"/>
    <col min="770" max="770" width="7.85546875" style="90" customWidth="1"/>
    <col min="771" max="771" width="64.85546875" style="90" customWidth="1"/>
    <col min="772" max="772" width="5.140625" style="90" customWidth="1"/>
    <col min="773" max="773" width="7.28515625" style="90" customWidth="1"/>
    <col min="774" max="774" width="7" style="90" customWidth="1"/>
    <col min="775" max="775" width="6.5703125" style="90" customWidth="1"/>
    <col min="776" max="776" width="8.42578125" style="90" customWidth="1"/>
    <col min="777" max="777" width="5.28515625" style="90" customWidth="1"/>
    <col min="778" max="779" width="10.85546875" style="90" customWidth="1"/>
    <col min="780" max="780" width="11.7109375" style="90" customWidth="1"/>
    <col min="781" max="1024" width="9.140625" style="90"/>
    <col min="1025" max="1025" width="4.28515625" style="90" customWidth="1"/>
    <col min="1026" max="1026" width="7.85546875" style="90" customWidth="1"/>
    <col min="1027" max="1027" width="64.85546875" style="90" customWidth="1"/>
    <col min="1028" max="1028" width="5.140625" style="90" customWidth="1"/>
    <col min="1029" max="1029" width="7.28515625" style="90" customWidth="1"/>
    <col min="1030" max="1030" width="7" style="90" customWidth="1"/>
    <col min="1031" max="1031" width="6.5703125" style="90" customWidth="1"/>
    <col min="1032" max="1032" width="8.42578125" style="90" customWidth="1"/>
    <col min="1033" max="1033" width="5.28515625" style="90" customWidth="1"/>
    <col min="1034" max="1035" width="10.85546875" style="90" customWidth="1"/>
    <col min="1036" max="1036" width="11.7109375" style="90" customWidth="1"/>
    <col min="1037" max="1280" width="9.140625" style="90"/>
    <col min="1281" max="1281" width="4.28515625" style="90" customWidth="1"/>
    <col min="1282" max="1282" width="7.85546875" style="90" customWidth="1"/>
    <col min="1283" max="1283" width="64.85546875" style="90" customWidth="1"/>
    <col min="1284" max="1284" width="5.140625" style="90" customWidth="1"/>
    <col min="1285" max="1285" width="7.28515625" style="90" customWidth="1"/>
    <col min="1286" max="1286" width="7" style="90" customWidth="1"/>
    <col min="1287" max="1287" width="6.5703125" style="90" customWidth="1"/>
    <col min="1288" max="1288" width="8.42578125" style="90" customWidth="1"/>
    <col min="1289" max="1289" width="5.28515625" style="90" customWidth="1"/>
    <col min="1290" max="1291" width="10.85546875" style="90" customWidth="1"/>
    <col min="1292" max="1292" width="11.7109375" style="90" customWidth="1"/>
    <col min="1293" max="1536" width="9.140625" style="90"/>
    <col min="1537" max="1537" width="4.28515625" style="90" customWidth="1"/>
    <col min="1538" max="1538" width="7.85546875" style="90" customWidth="1"/>
    <col min="1539" max="1539" width="64.85546875" style="90" customWidth="1"/>
    <col min="1540" max="1540" width="5.140625" style="90" customWidth="1"/>
    <col min="1541" max="1541" width="7.28515625" style="90" customWidth="1"/>
    <col min="1542" max="1542" width="7" style="90" customWidth="1"/>
    <col min="1543" max="1543" width="6.5703125" style="90" customWidth="1"/>
    <col min="1544" max="1544" width="8.42578125" style="90" customWidth="1"/>
    <col min="1545" max="1545" width="5.28515625" style="90" customWidth="1"/>
    <col min="1546" max="1547" width="10.85546875" style="90" customWidth="1"/>
    <col min="1548" max="1548" width="11.7109375" style="90" customWidth="1"/>
    <col min="1549" max="1792" width="9.140625" style="90"/>
    <col min="1793" max="1793" width="4.28515625" style="90" customWidth="1"/>
    <col min="1794" max="1794" width="7.85546875" style="90" customWidth="1"/>
    <col min="1795" max="1795" width="64.85546875" style="90" customWidth="1"/>
    <col min="1796" max="1796" width="5.140625" style="90" customWidth="1"/>
    <col min="1797" max="1797" width="7.28515625" style="90" customWidth="1"/>
    <col min="1798" max="1798" width="7" style="90" customWidth="1"/>
    <col min="1799" max="1799" width="6.5703125" style="90" customWidth="1"/>
    <col min="1800" max="1800" width="8.42578125" style="90" customWidth="1"/>
    <col min="1801" max="1801" width="5.28515625" style="90" customWidth="1"/>
    <col min="1802" max="1803" width="10.85546875" style="90" customWidth="1"/>
    <col min="1804" max="1804" width="11.7109375" style="90" customWidth="1"/>
    <col min="1805" max="2048" width="9.140625" style="90"/>
    <col min="2049" max="2049" width="4.28515625" style="90" customWidth="1"/>
    <col min="2050" max="2050" width="7.85546875" style="90" customWidth="1"/>
    <col min="2051" max="2051" width="64.85546875" style="90" customWidth="1"/>
    <col min="2052" max="2052" width="5.140625" style="90" customWidth="1"/>
    <col min="2053" max="2053" width="7.28515625" style="90" customWidth="1"/>
    <col min="2054" max="2054" width="7" style="90" customWidth="1"/>
    <col min="2055" max="2055" width="6.5703125" style="90" customWidth="1"/>
    <col min="2056" max="2056" width="8.42578125" style="90" customWidth="1"/>
    <col min="2057" max="2057" width="5.28515625" style="90" customWidth="1"/>
    <col min="2058" max="2059" width="10.85546875" style="90" customWidth="1"/>
    <col min="2060" max="2060" width="11.7109375" style="90" customWidth="1"/>
    <col min="2061" max="2304" width="9.140625" style="90"/>
    <col min="2305" max="2305" width="4.28515625" style="90" customWidth="1"/>
    <col min="2306" max="2306" width="7.85546875" style="90" customWidth="1"/>
    <col min="2307" max="2307" width="64.85546875" style="90" customWidth="1"/>
    <col min="2308" max="2308" width="5.140625" style="90" customWidth="1"/>
    <col min="2309" max="2309" width="7.28515625" style="90" customWidth="1"/>
    <col min="2310" max="2310" width="7" style="90" customWidth="1"/>
    <col min="2311" max="2311" width="6.5703125" style="90" customWidth="1"/>
    <col min="2312" max="2312" width="8.42578125" style="90" customWidth="1"/>
    <col min="2313" max="2313" width="5.28515625" style="90" customWidth="1"/>
    <col min="2314" max="2315" width="10.85546875" style="90" customWidth="1"/>
    <col min="2316" max="2316" width="11.7109375" style="90" customWidth="1"/>
    <col min="2317" max="2560" width="9.140625" style="90"/>
    <col min="2561" max="2561" width="4.28515625" style="90" customWidth="1"/>
    <col min="2562" max="2562" width="7.85546875" style="90" customWidth="1"/>
    <col min="2563" max="2563" width="64.85546875" style="90" customWidth="1"/>
    <col min="2564" max="2564" width="5.140625" style="90" customWidth="1"/>
    <col min="2565" max="2565" width="7.28515625" style="90" customWidth="1"/>
    <col min="2566" max="2566" width="7" style="90" customWidth="1"/>
    <col min="2567" max="2567" width="6.5703125" style="90" customWidth="1"/>
    <col min="2568" max="2568" width="8.42578125" style="90" customWidth="1"/>
    <col min="2569" max="2569" width="5.28515625" style="90" customWidth="1"/>
    <col min="2570" max="2571" width="10.85546875" style="90" customWidth="1"/>
    <col min="2572" max="2572" width="11.7109375" style="90" customWidth="1"/>
    <col min="2573" max="2816" width="9.140625" style="90"/>
    <col min="2817" max="2817" width="4.28515625" style="90" customWidth="1"/>
    <col min="2818" max="2818" width="7.85546875" style="90" customWidth="1"/>
    <col min="2819" max="2819" width="64.85546875" style="90" customWidth="1"/>
    <col min="2820" max="2820" width="5.140625" style="90" customWidth="1"/>
    <col min="2821" max="2821" width="7.28515625" style="90" customWidth="1"/>
    <col min="2822" max="2822" width="7" style="90" customWidth="1"/>
    <col min="2823" max="2823" width="6.5703125" style="90" customWidth="1"/>
    <col min="2824" max="2824" width="8.42578125" style="90" customWidth="1"/>
    <col min="2825" max="2825" width="5.28515625" style="90" customWidth="1"/>
    <col min="2826" max="2827" width="10.85546875" style="90" customWidth="1"/>
    <col min="2828" max="2828" width="11.7109375" style="90" customWidth="1"/>
    <col min="2829" max="3072" width="9.140625" style="90"/>
    <col min="3073" max="3073" width="4.28515625" style="90" customWidth="1"/>
    <col min="3074" max="3074" width="7.85546875" style="90" customWidth="1"/>
    <col min="3075" max="3075" width="64.85546875" style="90" customWidth="1"/>
    <col min="3076" max="3076" width="5.140625" style="90" customWidth="1"/>
    <col min="3077" max="3077" width="7.28515625" style="90" customWidth="1"/>
    <col min="3078" max="3078" width="7" style="90" customWidth="1"/>
    <col min="3079" max="3079" width="6.5703125" style="90" customWidth="1"/>
    <col min="3080" max="3080" width="8.42578125" style="90" customWidth="1"/>
    <col min="3081" max="3081" width="5.28515625" style="90" customWidth="1"/>
    <col min="3082" max="3083" width="10.85546875" style="90" customWidth="1"/>
    <col min="3084" max="3084" width="11.7109375" style="90" customWidth="1"/>
    <col min="3085" max="3328" width="9.140625" style="90"/>
    <col min="3329" max="3329" width="4.28515625" style="90" customWidth="1"/>
    <col min="3330" max="3330" width="7.85546875" style="90" customWidth="1"/>
    <col min="3331" max="3331" width="64.85546875" style="90" customWidth="1"/>
    <col min="3332" max="3332" width="5.140625" style="90" customWidth="1"/>
    <col min="3333" max="3333" width="7.28515625" style="90" customWidth="1"/>
    <col min="3334" max="3334" width="7" style="90" customWidth="1"/>
    <col min="3335" max="3335" width="6.5703125" style="90" customWidth="1"/>
    <col min="3336" max="3336" width="8.42578125" style="90" customWidth="1"/>
    <col min="3337" max="3337" width="5.28515625" style="90" customWidth="1"/>
    <col min="3338" max="3339" width="10.85546875" style="90" customWidth="1"/>
    <col min="3340" max="3340" width="11.7109375" style="90" customWidth="1"/>
    <col min="3341" max="3584" width="9.140625" style="90"/>
    <col min="3585" max="3585" width="4.28515625" style="90" customWidth="1"/>
    <col min="3586" max="3586" width="7.85546875" style="90" customWidth="1"/>
    <col min="3587" max="3587" width="64.85546875" style="90" customWidth="1"/>
    <col min="3588" max="3588" width="5.140625" style="90" customWidth="1"/>
    <col min="3589" max="3589" width="7.28515625" style="90" customWidth="1"/>
    <col min="3590" max="3590" width="7" style="90" customWidth="1"/>
    <col min="3591" max="3591" width="6.5703125" style="90" customWidth="1"/>
    <col min="3592" max="3592" width="8.42578125" style="90" customWidth="1"/>
    <col min="3593" max="3593" width="5.28515625" style="90" customWidth="1"/>
    <col min="3594" max="3595" width="10.85546875" style="90" customWidth="1"/>
    <col min="3596" max="3596" width="11.7109375" style="90" customWidth="1"/>
    <col min="3597" max="3840" width="9.140625" style="90"/>
    <col min="3841" max="3841" width="4.28515625" style="90" customWidth="1"/>
    <col min="3842" max="3842" width="7.85546875" style="90" customWidth="1"/>
    <col min="3843" max="3843" width="64.85546875" style="90" customWidth="1"/>
    <col min="3844" max="3844" width="5.140625" style="90" customWidth="1"/>
    <col min="3845" max="3845" width="7.28515625" style="90" customWidth="1"/>
    <col min="3846" max="3846" width="7" style="90" customWidth="1"/>
    <col min="3847" max="3847" width="6.5703125" style="90" customWidth="1"/>
    <col min="3848" max="3848" width="8.42578125" style="90" customWidth="1"/>
    <col min="3849" max="3849" width="5.28515625" style="90" customWidth="1"/>
    <col min="3850" max="3851" width="10.85546875" style="90" customWidth="1"/>
    <col min="3852" max="3852" width="11.7109375" style="90" customWidth="1"/>
    <col min="3853" max="4096" width="9.140625" style="90"/>
    <col min="4097" max="4097" width="4.28515625" style="90" customWidth="1"/>
    <col min="4098" max="4098" width="7.85546875" style="90" customWidth="1"/>
    <col min="4099" max="4099" width="64.85546875" style="90" customWidth="1"/>
    <col min="4100" max="4100" width="5.140625" style="90" customWidth="1"/>
    <col min="4101" max="4101" width="7.28515625" style="90" customWidth="1"/>
    <col min="4102" max="4102" width="7" style="90" customWidth="1"/>
    <col min="4103" max="4103" width="6.5703125" style="90" customWidth="1"/>
    <col min="4104" max="4104" width="8.42578125" style="90" customWidth="1"/>
    <col min="4105" max="4105" width="5.28515625" style="90" customWidth="1"/>
    <col min="4106" max="4107" width="10.85546875" style="90" customWidth="1"/>
    <col min="4108" max="4108" width="11.7109375" style="90" customWidth="1"/>
    <col min="4109" max="4352" width="9.140625" style="90"/>
    <col min="4353" max="4353" width="4.28515625" style="90" customWidth="1"/>
    <col min="4354" max="4354" width="7.85546875" style="90" customWidth="1"/>
    <col min="4355" max="4355" width="64.85546875" style="90" customWidth="1"/>
    <col min="4356" max="4356" width="5.140625" style="90" customWidth="1"/>
    <col min="4357" max="4357" width="7.28515625" style="90" customWidth="1"/>
    <col min="4358" max="4358" width="7" style="90" customWidth="1"/>
    <col min="4359" max="4359" width="6.5703125" style="90" customWidth="1"/>
    <col min="4360" max="4360" width="8.42578125" style="90" customWidth="1"/>
    <col min="4361" max="4361" width="5.28515625" style="90" customWidth="1"/>
    <col min="4362" max="4363" width="10.85546875" style="90" customWidth="1"/>
    <col min="4364" max="4364" width="11.7109375" style="90" customWidth="1"/>
    <col min="4365" max="4608" width="9.140625" style="90"/>
    <col min="4609" max="4609" width="4.28515625" style="90" customWidth="1"/>
    <col min="4610" max="4610" width="7.85546875" style="90" customWidth="1"/>
    <col min="4611" max="4611" width="64.85546875" style="90" customWidth="1"/>
    <col min="4612" max="4612" width="5.140625" style="90" customWidth="1"/>
    <col min="4613" max="4613" width="7.28515625" style="90" customWidth="1"/>
    <col min="4614" max="4614" width="7" style="90" customWidth="1"/>
    <col min="4615" max="4615" width="6.5703125" style="90" customWidth="1"/>
    <col min="4616" max="4616" width="8.42578125" style="90" customWidth="1"/>
    <col min="4617" max="4617" width="5.28515625" style="90" customWidth="1"/>
    <col min="4618" max="4619" width="10.85546875" style="90" customWidth="1"/>
    <col min="4620" max="4620" width="11.7109375" style="90" customWidth="1"/>
    <col min="4621" max="4864" width="9.140625" style="90"/>
    <col min="4865" max="4865" width="4.28515625" style="90" customWidth="1"/>
    <col min="4866" max="4866" width="7.85546875" style="90" customWidth="1"/>
    <col min="4867" max="4867" width="64.85546875" style="90" customWidth="1"/>
    <col min="4868" max="4868" width="5.140625" style="90" customWidth="1"/>
    <col min="4869" max="4869" width="7.28515625" style="90" customWidth="1"/>
    <col min="4870" max="4870" width="7" style="90" customWidth="1"/>
    <col min="4871" max="4871" width="6.5703125" style="90" customWidth="1"/>
    <col min="4872" max="4872" width="8.42578125" style="90" customWidth="1"/>
    <col min="4873" max="4873" width="5.28515625" style="90" customWidth="1"/>
    <col min="4874" max="4875" width="10.85546875" style="90" customWidth="1"/>
    <col min="4876" max="4876" width="11.7109375" style="90" customWidth="1"/>
    <col min="4877" max="5120" width="9.140625" style="90"/>
    <col min="5121" max="5121" width="4.28515625" style="90" customWidth="1"/>
    <col min="5122" max="5122" width="7.85546875" style="90" customWidth="1"/>
    <col min="5123" max="5123" width="64.85546875" style="90" customWidth="1"/>
    <col min="5124" max="5124" width="5.140625" style="90" customWidth="1"/>
    <col min="5125" max="5125" width="7.28515625" style="90" customWidth="1"/>
    <col min="5126" max="5126" width="7" style="90" customWidth="1"/>
    <col min="5127" max="5127" width="6.5703125" style="90" customWidth="1"/>
    <col min="5128" max="5128" width="8.42578125" style="90" customWidth="1"/>
    <col min="5129" max="5129" width="5.28515625" style="90" customWidth="1"/>
    <col min="5130" max="5131" width="10.85546875" style="90" customWidth="1"/>
    <col min="5132" max="5132" width="11.7109375" style="90" customWidth="1"/>
    <col min="5133" max="5376" width="9.140625" style="90"/>
    <col min="5377" max="5377" width="4.28515625" style="90" customWidth="1"/>
    <col min="5378" max="5378" width="7.85546875" style="90" customWidth="1"/>
    <col min="5379" max="5379" width="64.85546875" style="90" customWidth="1"/>
    <col min="5380" max="5380" width="5.140625" style="90" customWidth="1"/>
    <col min="5381" max="5381" width="7.28515625" style="90" customWidth="1"/>
    <col min="5382" max="5382" width="7" style="90" customWidth="1"/>
    <col min="5383" max="5383" width="6.5703125" style="90" customWidth="1"/>
    <col min="5384" max="5384" width="8.42578125" style="90" customWidth="1"/>
    <col min="5385" max="5385" width="5.28515625" style="90" customWidth="1"/>
    <col min="5386" max="5387" width="10.85546875" style="90" customWidth="1"/>
    <col min="5388" max="5388" width="11.7109375" style="90" customWidth="1"/>
    <col min="5389" max="5632" width="9.140625" style="90"/>
    <col min="5633" max="5633" width="4.28515625" style="90" customWidth="1"/>
    <col min="5634" max="5634" width="7.85546875" style="90" customWidth="1"/>
    <col min="5635" max="5635" width="64.85546875" style="90" customWidth="1"/>
    <col min="5636" max="5636" width="5.140625" style="90" customWidth="1"/>
    <col min="5637" max="5637" width="7.28515625" style="90" customWidth="1"/>
    <col min="5638" max="5638" width="7" style="90" customWidth="1"/>
    <col min="5639" max="5639" width="6.5703125" style="90" customWidth="1"/>
    <col min="5640" max="5640" width="8.42578125" style="90" customWidth="1"/>
    <col min="5641" max="5641" width="5.28515625" style="90" customWidth="1"/>
    <col min="5642" max="5643" width="10.85546875" style="90" customWidth="1"/>
    <col min="5644" max="5644" width="11.7109375" style="90" customWidth="1"/>
    <col min="5645" max="5888" width="9.140625" style="90"/>
    <col min="5889" max="5889" width="4.28515625" style="90" customWidth="1"/>
    <col min="5890" max="5890" width="7.85546875" style="90" customWidth="1"/>
    <col min="5891" max="5891" width="64.85546875" style="90" customWidth="1"/>
    <col min="5892" max="5892" width="5.140625" style="90" customWidth="1"/>
    <col min="5893" max="5893" width="7.28515625" style="90" customWidth="1"/>
    <col min="5894" max="5894" width="7" style="90" customWidth="1"/>
    <col min="5895" max="5895" width="6.5703125" style="90" customWidth="1"/>
    <col min="5896" max="5896" width="8.42578125" style="90" customWidth="1"/>
    <col min="5897" max="5897" width="5.28515625" style="90" customWidth="1"/>
    <col min="5898" max="5899" width="10.85546875" style="90" customWidth="1"/>
    <col min="5900" max="5900" width="11.7109375" style="90" customWidth="1"/>
    <col min="5901" max="6144" width="9.140625" style="90"/>
    <col min="6145" max="6145" width="4.28515625" style="90" customWidth="1"/>
    <col min="6146" max="6146" width="7.85546875" style="90" customWidth="1"/>
    <col min="6147" max="6147" width="64.85546875" style="90" customWidth="1"/>
    <col min="6148" max="6148" width="5.140625" style="90" customWidth="1"/>
    <col min="6149" max="6149" width="7.28515625" style="90" customWidth="1"/>
    <col min="6150" max="6150" width="7" style="90" customWidth="1"/>
    <col min="6151" max="6151" width="6.5703125" style="90" customWidth="1"/>
    <col min="6152" max="6152" width="8.42578125" style="90" customWidth="1"/>
    <col min="6153" max="6153" width="5.28515625" style="90" customWidth="1"/>
    <col min="6154" max="6155" width="10.85546875" style="90" customWidth="1"/>
    <col min="6156" max="6156" width="11.7109375" style="90" customWidth="1"/>
    <col min="6157" max="6400" width="9.140625" style="90"/>
    <col min="6401" max="6401" width="4.28515625" style="90" customWidth="1"/>
    <col min="6402" max="6402" width="7.85546875" style="90" customWidth="1"/>
    <col min="6403" max="6403" width="64.85546875" style="90" customWidth="1"/>
    <col min="6404" max="6404" width="5.140625" style="90" customWidth="1"/>
    <col min="6405" max="6405" width="7.28515625" style="90" customWidth="1"/>
    <col min="6406" max="6406" width="7" style="90" customWidth="1"/>
    <col min="6407" max="6407" width="6.5703125" style="90" customWidth="1"/>
    <col min="6408" max="6408" width="8.42578125" style="90" customWidth="1"/>
    <col min="6409" max="6409" width="5.28515625" style="90" customWidth="1"/>
    <col min="6410" max="6411" width="10.85546875" style="90" customWidth="1"/>
    <col min="6412" max="6412" width="11.7109375" style="90" customWidth="1"/>
    <col min="6413" max="6656" width="9.140625" style="90"/>
    <col min="6657" max="6657" width="4.28515625" style="90" customWidth="1"/>
    <col min="6658" max="6658" width="7.85546875" style="90" customWidth="1"/>
    <col min="6659" max="6659" width="64.85546875" style="90" customWidth="1"/>
    <col min="6660" max="6660" width="5.140625" style="90" customWidth="1"/>
    <col min="6661" max="6661" width="7.28515625" style="90" customWidth="1"/>
    <col min="6662" max="6662" width="7" style="90" customWidth="1"/>
    <col min="6663" max="6663" width="6.5703125" style="90" customWidth="1"/>
    <col min="6664" max="6664" width="8.42578125" style="90" customWidth="1"/>
    <col min="6665" max="6665" width="5.28515625" style="90" customWidth="1"/>
    <col min="6666" max="6667" width="10.85546875" style="90" customWidth="1"/>
    <col min="6668" max="6668" width="11.7109375" style="90" customWidth="1"/>
    <col min="6669" max="6912" width="9.140625" style="90"/>
    <col min="6913" max="6913" width="4.28515625" style="90" customWidth="1"/>
    <col min="6914" max="6914" width="7.85546875" style="90" customWidth="1"/>
    <col min="6915" max="6915" width="64.85546875" style="90" customWidth="1"/>
    <col min="6916" max="6916" width="5.140625" style="90" customWidth="1"/>
    <col min="6917" max="6917" width="7.28515625" style="90" customWidth="1"/>
    <col min="6918" max="6918" width="7" style="90" customWidth="1"/>
    <col min="6919" max="6919" width="6.5703125" style="90" customWidth="1"/>
    <col min="6920" max="6920" width="8.42578125" style="90" customWidth="1"/>
    <col min="6921" max="6921" width="5.28515625" style="90" customWidth="1"/>
    <col min="6922" max="6923" width="10.85546875" style="90" customWidth="1"/>
    <col min="6924" max="6924" width="11.7109375" style="90" customWidth="1"/>
    <col min="6925" max="7168" width="9.140625" style="90"/>
    <col min="7169" max="7169" width="4.28515625" style="90" customWidth="1"/>
    <col min="7170" max="7170" width="7.85546875" style="90" customWidth="1"/>
    <col min="7171" max="7171" width="64.85546875" style="90" customWidth="1"/>
    <col min="7172" max="7172" width="5.140625" style="90" customWidth="1"/>
    <col min="7173" max="7173" width="7.28515625" style="90" customWidth="1"/>
    <col min="7174" max="7174" width="7" style="90" customWidth="1"/>
    <col min="7175" max="7175" width="6.5703125" style="90" customWidth="1"/>
    <col min="7176" max="7176" width="8.42578125" style="90" customWidth="1"/>
    <col min="7177" max="7177" width="5.28515625" style="90" customWidth="1"/>
    <col min="7178" max="7179" width="10.85546875" style="90" customWidth="1"/>
    <col min="7180" max="7180" width="11.7109375" style="90" customWidth="1"/>
    <col min="7181" max="7424" width="9.140625" style="90"/>
    <col min="7425" max="7425" width="4.28515625" style="90" customWidth="1"/>
    <col min="7426" max="7426" width="7.85546875" style="90" customWidth="1"/>
    <col min="7427" max="7427" width="64.85546875" style="90" customWidth="1"/>
    <col min="7428" max="7428" width="5.140625" style="90" customWidth="1"/>
    <col min="7429" max="7429" width="7.28515625" style="90" customWidth="1"/>
    <col min="7430" max="7430" width="7" style="90" customWidth="1"/>
    <col min="7431" max="7431" width="6.5703125" style="90" customWidth="1"/>
    <col min="7432" max="7432" width="8.42578125" style="90" customWidth="1"/>
    <col min="7433" max="7433" width="5.28515625" style="90" customWidth="1"/>
    <col min="7434" max="7435" width="10.85546875" style="90" customWidth="1"/>
    <col min="7436" max="7436" width="11.7109375" style="90" customWidth="1"/>
    <col min="7437" max="7680" width="9.140625" style="90"/>
    <col min="7681" max="7681" width="4.28515625" style="90" customWidth="1"/>
    <col min="7682" max="7682" width="7.85546875" style="90" customWidth="1"/>
    <col min="7683" max="7683" width="64.85546875" style="90" customWidth="1"/>
    <col min="7684" max="7684" width="5.140625" style="90" customWidth="1"/>
    <col min="7685" max="7685" width="7.28515625" style="90" customWidth="1"/>
    <col min="7686" max="7686" width="7" style="90" customWidth="1"/>
    <col min="7687" max="7687" width="6.5703125" style="90" customWidth="1"/>
    <col min="7688" max="7688" width="8.42578125" style="90" customWidth="1"/>
    <col min="7689" max="7689" width="5.28515625" style="90" customWidth="1"/>
    <col min="7690" max="7691" width="10.85546875" style="90" customWidth="1"/>
    <col min="7692" max="7692" width="11.7109375" style="90" customWidth="1"/>
    <col min="7693" max="7936" width="9.140625" style="90"/>
    <col min="7937" max="7937" width="4.28515625" style="90" customWidth="1"/>
    <col min="7938" max="7938" width="7.85546875" style="90" customWidth="1"/>
    <col min="7939" max="7939" width="64.85546875" style="90" customWidth="1"/>
    <col min="7940" max="7940" width="5.140625" style="90" customWidth="1"/>
    <col min="7941" max="7941" width="7.28515625" style="90" customWidth="1"/>
    <col min="7942" max="7942" width="7" style="90" customWidth="1"/>
    <col min="7943" max="7943" width="6.5703125" style="90" customWidth="1"/>
    <col min="7944" max="7944" width="8.42578125" style="90" customWidth="1"/>
    <col min="7945" max="7945" width="5.28515625" style="90" customWidth="1"/>
    <col min="7946" max="7947" width="10.85546875" style="90" customWidth="1"/>
    <col min="7948" max="7948" width="11.7109375" style="90" customWidth="1"/>
    <col min="7949" max="8192" width="9.140625" style="90"/>
    <col min="8193" max="8193" width="4.28515625" style="90" customWidth="1"/>
    <col min="8194" max="8194" width="7.85546875" style="90" customWidth="1"/>
    <col min="8195" max="8195" width="64.85546875" style="90" customWidth="1"/>
    <col min="8196" max="8196" width="5.140625" style="90" customWidth="1"/>
    <col min="8197" max="8197" width="7.28515625" style="90" customWidth="1"/>
    <col min="8198" max="8198" width="7" style="90" customWidth="1"/>
    <col min="8199" max="8199" width="6.5703125" style="90" customWidth="1"/>
    <col min="8200" max="8200" width="8.42578125" style="90" customWidth="1"/>
    <col min="8201" max="8201" width="5.28515625" style="90" customWidth="1"/>
    <col min="8202" max="8203" width="10.85546875" style="90" customWidth="1"/>
    <col min="8204" max="8204" width="11.7109375" style="90" customWidth="1"/>
    <col min="8205" max="8448" width="9.140625" style="90"/>
    <col min="8449" max="8449" width="4.28515625" style="90" customWidth="1"/>
    <col min="8450" max="8450" width="7.85546875" style="90" customWidth="1"/>
    <col min="8451" max="8451" width="64.85546875" style="90" customWidth="1"/>
    <col min="8452" max="8452" width="5.140625" style="90" customWidth="1"/>
    <col min="8453" max="8453" width="7.28515625" style="90" customWidth="1"/>
    <col min="8454" max="8454" width="7" style="90" customWidth="1"/>
    <col min="8455" max="8455" width="6.5703125" style="90" customWidth="1"/>
    <col min="8456" max="8456" width="8.42578125" style="90" customWidth="1"/>
    <col min="8457" max="8457" width="5.28515625" style="90" customWidth="1"/>
    <col min="8458" max="8459" width="10.85546875" style="90" customWidth="1"/>
    <col min="8460" max="8460" width="11.7109375" style="90" customWidth="1"/>
    <col min="8461" max="8704" width="9.140625" style="90"/>
    <col min="8705" max="8705" width="4.28515625" style="90" customWidth="1"/>
    <col min="8706" max="8706" width="7.85546875" style="90" customWidth="1"/>
    <col min="8707" max="8707" width="64.85546875" style="90" customWidth="1"/>
    <col min="8708" max="8708" width="5.140625" style="90" customWidth="1"/>
    <col min="8709" max="8709" width="7.28515625" style="90" customWidth="1"/>
    <col min="8710" max="8710" width="7" style="90" customWidth="1"/>
    <col min="8711" max="8711" width="6.5703125" style="90" customWidth="1"/>
    <col min="8712" max="8712" width="8.42578125" style="90" customWidth="1"/>
    <col min="8713" max="8713" width="5.28515625" style="90" customWidth="1"/>
    <col min="8714" max="8715" width="10.85546875" style="90" customWidth="1"/>
    <col min="8716" max="8716" width="11.7109375" style="90" customWidth="1"/>
    <col min="8717" max="8960" width="9.140625" style="90"/>
    <col min="8961" max="8961" width="4.28515625" style="90" customWidth="1"/>
    <col min="8962" max="8962" width="7.85546875" style="90" customWidth="1"/>
    <col min="8963" max="8963" width="64.85546875" style="90" customWidth="1"/>
    <col min="8964" max="8964" width="5.140625" style="90" customWidth="1"/>
    <col min="8965" max="8965" width="7.28515625" style="90" customWidth="1"/>
    <col min="8966" max="8966" width="7" style="90" customWidth="1"/>
    <col min="8967" max="8967" width="6.5703125" style="90" customWidth="1"/>
    <col min="8968" max="8968" width="8.42578125" style="90" customWidth="1"/>
    <col min="8969" max="8969" width="5.28515625" style="90" customWidth="1"/>
    <col min="8970" max="8971" width="10.85546875" style="90" customWidth="1"/>
    <col min="8972" max="8972" width="11.7109375" style="90" customWidth="1"/>
    <col min="8973" max="9216" width="9.140625" style="90"/>
    <col min="9217" max="9217" width="4.28515625" style="90" customWidth="1"/>
    <col min="9218" max="9218" width="7.85546875" style="90" customWidth="1"/>
    <col min="9219" max="9219" width="64.85546875" style="90" customWidth="1"/>
    <col min="9220" max="9220" width="5.140625" style="90" customWidth="1"/>
    <col min="9221" max="9221" width="7.28515625" style="90" customWidth="1"/>
    <col min="9222" max="9222" width="7" style="90" customWidth="1"/>
    <col min="9223" max="9223" width="6.5703125" style="90" customWidth="1"/>
    <col min="9224" max="9224" width="8.42578125" style="90" customWidth="1"/>
    <col min="9225" max="9225" width="5.28515625" style="90" customWidth="1"/>
    <col min="9226" max="9227" width="10.85546875" style="90" customWidth="1"/>
    <col min="9228" max="9228" width="11.7109375" style="90" customWidth="1"/>
    <col min="9229" max="9472" width="9.140625" style="90"/>
    <col min="9473" max="9473" width="4.28515625" style="90" customWidth="1"/>
    <col min="9474" max="9474" width="7.85546875" style="90" customWidth="1"/>
    <col min="9475" max="9475" width="64.85546875" style="90" customWidth="1"/>
    <col min="9476" max="9476" width="5.140625" style="90" customWidth="1"/>
    <col min="9477" max="9477" width="7.28515625" style="90" customWidth="1"/>
    <col min="9478" max="9478" width="7" style="90" customWidth="1"/>
    <col min="9479" max="9479" width="6.5703125" style="90" customWidth="1"/>
    <col min="9480" max="9480" width="8.42578125" style="90" customWidth="1"/>
    <col min="9481" max="9481" width="5.28515625" style="90" customWidth="1"/>
    <col min="9482" max="9483" width="10.85546875" style="90" customWidth="1"/>
    <col min="9484" max="9484" width="11.7109375" style="90" customWidth="1"/>
    <col min="9485" max="9728" width="9.140625" style="90"/>
    <col min="9729" max="9729" width="4.28515625" style="90" customWidth="1"/>
    <col min="9730" max="9730" width="7.85546875" style="90" customWidth="1"/>
    <col min="9731" max="9731" width="64.85546875" style="90" customWidth="1"/>
    <col min="9732" max="9732" width="5.140625" style="90" customWidth="1"/>
    <col min="9733" max="9733" width="7.28515625" style="90" customWidth="1"/>
    <col min="9734" max="9734" width="7" style="90" customWidth="1"/>
    <col min="9735" max="9735" width="6.5703125" style="90" customWidth="1"/>
    <col min="9736" max="9736" width="8.42578125" style="90" customWidth="1"/>
    <col min="9737" max="9737" width="5.28515625" style="90" customWidth="1"/>
    <col min="9738" max="9739" width="10.85546875" style="90" customWidth="1"/>
    <col min="9740" max="9740" width="11.7109375" style="90" customWidth="1"/>
    <col min="9741" max="9984" width="9.140625" style="90"/>
    <col min="9985" max="9985" width="4.28515625" style="90" customWidth="1"/>
    <col min="9986" max="9986" width="7.85546875" style="90" customWidth="1"/>
    <col min="9987" max="9987" width="64.85546875" style="90" customWidth="1"/>
    <col min="9988" max="9988" width="5.140625" style="90" customWidth="1"/>
    <col min="9989" max="9989" width="7.28515625" style="90" customWidth="1"/>
    <col min="9990" max="9990" width="7" style="90" customWidth="1"/>
    <col min="9991" max="9991" width="6.5703125" style="90" customWidth="1"/>
    <col min="9992" max="9992" width="8.42578125" style="90" customWidth="1"/>
    <col min="9993" max="9993" width="5.28515625" style="90" customWidth="1"/>
    <col min="9994" max="9995" width="10.85546875" style="90" customWidth="1"/>
    <col min="9996" max="9996" width="11.7109375" style="90" customWidth="1"/>
    <col min="9997" max="10240" width="9.140625" style="90"/>
    <col min="10241" max="10241" width="4.28515625" style="90" customWidth="1"/>
    <col min="10242" max="10242" width="7.85546875" style="90" customWidth="1"/>
    <col min="10243" max="10243" width="64.85546875" style="90" customWidth="1"/>
    <col min="10244" max="10244" width="5.140625" style="90" customWidth="1"/>
    <col min="10245" max="10245" width="7.28515625" style="90" customWidth="1"/>
    <col min="10246" max="10246" width="7" style="90" customWidth="1"/>
    <col min="10247" max="10247" width="6.5703125" style="90" customWidth="1"/>
    <col min="10248" max="10248" width="8.42578125" style="90" customWidth="1"/>
    <col min="10249" max="10249" width="5.28515625" style="90" customWidth="1"/>
    <col min="10250" max="10251" width="10.85546875" style="90" customWidth="1"/>
    <col min="10252" max="10252" width="11.7109375" style="90" customWidth="1"/>
    <col min="10253" max="10496" width="9.140625" style="90"/>
    <col min="10497" max="10497" width="4.28515625" style="90" customWidth="1"/>
    <col min="10498" max="10498" width="7.85546875" style="90" customWidth="1"/>
    <col min="10499" max="10499" width="64.85546875" style="90" customWidth="1"/>
    <col min="10500" max="10500" width="5.140625" style="90" customWidth="1"/>
    <col min="10501" max="10501" width="7.28515625" style="90" customWidth="1"/>
    <col min="10502" max="10502" width="7" style="90" customWidth="1"/>
    <col min="10503" max="10503" width="6.5703125" style="90" customWidth="1"/>
    <col min="10504" max="10504" width="8.42578125" style="90" customWidth="1"/>
    <col min="10505" max="10505" width="5.28515625" style="90" customWidth="1"/>
    <col min="10506" max="10507" width="10.85546875" style="90" customWidth="1"/>
    <col min="10508" max="10508" width="11.7109375" style="90" customWidth="1"/>
    <col min="10509" max="10752" width="9.140625" style="90"/>
    <col min="10753" max="10753" width="4.28515625" style="90" customWidth="1"/>
    <col min="10754" max="10754" width="7.85546875" style="90" customWidth="1"/>
    <col min="10755" max="10755" width="64.85546875" style="90" customWidth="1"/>
    <col min="10756" max="10756" width="5.140625" style="90" customWidth="1"/>
    <col min="10757" max="10757" width="7.28515625" style="90" customWidth="1"/>
    <col min="10758" max="10758" width="7" style="90" customWidth="1"/>
    <col min="10759" max="10759" width="6.5703125" style="90" customWidth="1"/>
    <col min="10760" max="10760" width="8.42578125" style="90" customWidth="1"/>
    <col min="10761" max="10761" width="5.28515625" style="90" customWidth="1"/>
    <col min="10762" max="10763" width="10.85546875" style="90" customWidth="1"/>
    <col min="10764" max="10764" width="11.7109375" style="90" customWidth="1"/>
    <col min="10765" max="11008" width="9.140625" style="90"/>
    <col min="11009" max="11009" width="4.28515625" style="90" customWidth="1"/>
    <col min="11010" max="11010" width="7.85546875" style="90" customWidth="1"/>
    <col min="11011" max="11011" width="64.85546875" style="90" customWidth="1"/>
    <col min="11012" max="11012" width="5.140625" style="90" customWidth="1"/>
    <col min="11013" max="11013" width="7.28515625" style="90" customWidth="1"/>
    <col min="11014" max="11014" width="7" style="90" customWidth="1"/>
    <col min="11015" max="11015" width="6.5703125" style="90" customWidth="1"/>
    <col min="11016" max="11016" width="8.42578125" style="90" customWidth="1"/>
    <col min="11017" max="11017" width="5.28515625" style="90" customWidth="1"/>
    <col min="11018" max="11019" width="10.85546875" style="90" customWidth="1"/>
    <col min="11020" max="11020" width="11.7109375" style="90" customWidth="1"/>
    <col min="11021" max="11264" width="9.140625" style="90"/>
    <col min="11265" max="11265" width="4.28515625" style="90" customWidth="1"/>
    <col min="11266" max="11266" width="7.85546875" style="90" customWidth="1"/>
    <col min="11267" max="11267" width="64.85546875" style="90" customWidth="1"/>
    <col min="11268" max="11268" width="5.140625" style="90" customWidth="1"/>
    <col min="11269" max="11269" width="7.28515625" style="90" customWidth="1"/>
    <col min="11270" max="11270" width="7" style="90" customWidth="1"/>
    <col min="11271" max="11271" width="6.5703125" style="90" customWidth="1"/>
    <col min="11272" max="11272" width="8.42578125" style="90" customWidth="1"/>
    <col min="11273" max="11273" width="5.28515625" style="90" customWidth="1"/>
    <col min="11274" max="11275" width="10.85546875" style="90" customWidth="1"/>
    <col min="11276" max="11276" width="11.7109375" style="90" customWidth="1"/>
    <col min="11277" max="11520" width="9.140625" style="90"/>
    <col min="11521" max="11521" width="4.28515625" style="90" customWidth="1"/>
    <col min="11522" max="11522" width="7.85546875" style="90" customWidth="1"/>
    <col min="11523" max="11523" width="64.85546875" style="90" customWidth="1"/>
    <col min="11524" max="11524" width="5.140625" style="90" customWidth="1"/>
    <col min="11525" max="11525" width="7.28515625" style="90" customWidth="1"/>
    <col min="11526" max="11526" width="7" style="90" customWidth="1"/>
    <col min="11527" max="11527" width="6.5703125" style="90" customWidth="1"/>
    <col min="11528" max="11528" width="8.42578125" style="90" customWidth="1"/>
    <col min="11529" max="11529" width="5.28515625" style="90" customWidth="1"/>
    <col min="11530" max="11531" width="10.85546875" style="90" customWidth="1"/>
    <col min="11532" max="11532" width="11.7109375" style="90" customWidth="1"/>
    <col min="11533" max="11776" width="9.140625" style="90"/>
    <col min="11777" max="11777" width="4.28515625" style="90" customWidth="1"/>
    <col min="11778" max="11778" width="7.85546875" style="90" customWidth="1"/>
    <col min="11779" max="11779" width="64.85546875" style="90" customWidth="1"/>
    <col min="11780" max="11780" width="5.140625" style="90" customWidth="1"/>
    <col min="11781" max="11781" width="7.28515625" style="90" customWidth="1"/>
    <col min="11782" max="11782" width="7" style="90" customWidth="1"/>
    <col min="11783" max="11783" width="6.5703125" style="90" customWidth="1"/>
    <col min="11784" max="11784" width="8.42578125" style="90" customWidth="1"/>
    <col min="11785" max="11785" width="5.28515625" style="90" customWidth="1"/>
    <col min="11786" max="11787" width="10.85546875" style="90" customWidth="1"/>
    <col min="11788" max="11788" width="11.7109375" style="90" customWidth="1"/>
    <col min="11789" max="12032" width="9.140625" style="90"/>
    <col min="12033" max="12033" width="4.28515625" style="90" customWidth="1"/>
    <col min="12034" max="12034" width="7.85546875" style="90" customWidth="1"/>
    <col min="12035" max="12035" width="64.85546875" style="90" customWidth="1"/>
    <col min="12036" max="12036" width="5.140625" style="90" customWidth="1"/>
    <col min="12037" max="12037" width="7.28515625" style="90" customWidth="1"/>
    <col min="12038" max="12038" width="7" style="90" customWidth="1"/>
    <col min="12039" max="12039" width="6.5703125" style="90" customWidth="1"/>
    <col min="12040" max="12040" width="8.42578125" style="90" customWidth="1"/>
    <col min="12041" max="12041" width="5.28515625" style="90" customWidth="1"/>
    <col min="12042" max="12043" width="10.85546875" style="90" customWidth="1"/>
    <col min="12044" max="12044" width="11.7109375" style="90" customWidth="1"/>
    <col min="12045" max="12288" width="9.140625" style="90"/>
    <col min="12289" max="12289" width="4.28515625" style="90" customWidth="1"/>
    <col min="12290" max="12290" width="7.85546875" style="90" customWidth="1"/>
    <col min="12291" max="12291" width="64.85546875" style="90" customWidth="1"/>
    <col min="12292" max="12292" width="5.140625" style="90" customWidth="1"/>
    <col min="12293" max="12293" width="7.28515625" style="90" customWidth="1"/>
    <col min="12294" max="12294" width="7" style="90" customWidth="1"/>
    <col min="12295" max="12295" width="6.5703125" style="90" customWidth="1"/>
    <col min="12296" max="12296" width="8.42578125" style="90" customWidth="1"/>
    <col min="12297" max="12297" width="5.28515625" style="90" customWidth="1"/>
    <col min="12298" max="12299" width="10.85546875" style="90" customWidth="1"/>
    <col min="12300" max="12300" width="11.7109375" style="90" customWidth="1"/>
    <col min="12301" max="12544" width="9.140625" style="90"/>
    <col min="12545" max="12545" width="4.28515625" style="90" customWidth="1"/>
    <col min="12546" max="12546" width="7.85546875" style="90" customWidth="1"/>
    <col min="12547" max="12547" width="64.85546875" style="90" customWidth="1"/>
    <col min="12548" max="12548" width="5.140625" style="90" customWidth="1"/>
    <col min="12549" max="12549" width="7.28515625" style="90" customWidth="1"/>
    <col min="12550" max="12550" width="7" style="90" customWidth="1"/>
    <col min="12551" max="12551" width="6.5703125" style="90" customWidth="1"/>
    <col min="12552" max="12552" width="8.42578125" style="90" customWidth="1"/>
    <col min="12553" max="12553" width="5.28515625" style="90" customWidth="1"/>
    <col min="12554" max="12555" width="10.85546875" style="90" customWidth="1"/>
    <col min="12556" max="12556" width="11.7109375" style="90" customWidth="1"/>
    <col min="12557" max="12800" width="9.140625" style="90"/>
    <col min="12801" max="12801" width="4.28515625" style="90" customWidth="1"/>
    <col min="12802" max="12802" width="7.85546875" style="90" customWidth="1"/>
    <col min="12803" max="12803" width="64.85546875" style="90" customWidth="1"/>
    <col min="12804" max="12804" width="5.140625" style="90" customWidth="1"/>
    <col min="12805" max="12805" width="7.28515625" style="90" customWidth="1"/>
    <col min="12806" max="12806" width="7" style="90" customWidth="1"/>
    <col min="12807" max="12807" width="6.5703125" style="90" customWidth="1"/>
    <col min="12808" max="12808" width="8.42578125" style="90" customWidth="1"/>
    <col min="12809" max="12809" width="5.28515625" style="90" customWidth="1"/>
    <col min="12810" max="12811" width="10.85546875" style="90" customWidth="1"/>
    <col min="12812" max="12812" width="11.7109375" style="90" customWidth="1"/>
    <col min="12813" max="13056" width="9.140625" style="90"/>
    <col min="13057" max="13057" width="4.28515625" style="90" customWidth="1"/>
    <col min="13058" max="13058" width="7.85546875" style="90" customWidth="1"/>
    <col min="13059" max="13059" width="64.85546875" style="90" customWidth="1"/>
    <col min="13060" max="13060" width="5.140625" style="90" customWidth="1"/>
    <col min="13061" max="13061" width="7.28515625" style="90" customWidth="1"/>
    <col min="13062" max="13062" width="7" style="90" customWidth="1"/>
    <col min="13063" max="13063" width="6.5703125" style="90" customWidth="1"/>
    <col min="13064" max="13064" width="8.42578125" style="90" customWidth="1"/>
    <col min="13065" max="13065" width="5.28515625" style="90" customWidth="1"/>
    <col min="13066" max="13067" width="10.85546875" style="90" customWidth="1"/>
    <col min="13068" max="13068" width="11.7109375" style="90" customWidth="1"/>
    <col min="13069" max="13312" width="9.140625" style="90"/>
    <col min="13313" max="13313" width="4.28515625" style="90" customWidth="1"/>
    <col min="13314" max="13314" width="7.85546875" style="90" customWidth="1"/>
    <col min="13315" max="13315" width="64.85546875" style="90" customWidth="1"/>
    <col min="13316" max="13316" width="5.140625" style="90" customWidth="1"/>
    <col min="13317" max="13317" width="7.28515625" style="90" customWidth="1"/>
    <col min="13318" max="13318" width="7" style="90" customWidth="1"/>
    <col min="13319" max="13319" width="6.5703125" style="90" customWidth="1"/>
    <col min="13320" max="13320" width="8.42578125" style="90" customWidth="1"/>
    <col min="13321" max="13321" width="5.28515625" style="90" customWidth="1"/>
    <col min="13322" max="13323" width="10.85546875" style="90" customWidth="1"/>
    <col min="13324" max="13324" width="11.7109375" style="90" customWidth="1"/>
    <col min="13325" max="13568" width="9.140625" style="90"/>
    <col min="13569" max="13569" width="4.28515625" style="90" customWidth="1"/>
    <col min="13570" max="13570" width="7.85546875" style="90" customWidth="1"/>
    <col min="13571" max="13571" width="64.85546875" style="90" customWidth="1"/>
    <col min="13572" max="13572" width="5.140625" style="90" customWidth="1"/>
    <col min="13573" max="13573" width="7.28515625" style="90" customWidth="1"/>
    <col min="13574" max="13574" width="7" style="90" customWidth="1"/>
    <col min="13575" max="13575" width="6.5703125" style="90" customWidth="1"/>
    <col min="13576" max="13576" width="8.42578125" style="90" customWidth="1"/>
    <col min="13577" max="13577" width="5.28515625" style="90" customWidth="1"/>
    <col min="13578" max="13579" width="10.85546875" style="90" customWidth="1"/>
    <col min="13580" max="13580" width="11.7109375" style="90" customWidth="1"/>
    <col min="13581" max="13824" width="9.140625" style="90"/>
    <col min="13825" max="13825" width="4.28515625" style="90" customWidth="1"/>
    <col min="13826" max="13826" width="7.85546875" style="90" customWidth="1"/>
    <col min="13827" max="13827" width="64.85546875" style="90" customWidth="1"/>
    <col min="13828" max="13828" width="5.140625" style="90" customWidth="1"/>
    <col min="13829" max="13829" width="7.28515625" style="90" customWidth="1"/>
    <col min="13830" max="13830" width="7" style="90" customWidth="1"/>
    <col min="13831" max="13831" width="6.5703125" style="90" customWidth="1"/>
    <col min="13832" max="13832" width="8.42578125" style="90" customWidth="1"/>
    <col min="13833" max="13833" width="5.28515625" style="90" customWidth="1"/>
    <col min="13834" max="13835" width="10.85546875" style="90" customWidth="1"/>
    <col min="13836" max="13836" width="11.7109375" style="90" customWidth="1"/>
    <col min="13837" max="14080" width="9.140625" style="90"/>
    <col min="14081" max="14081" width="4.28515625" style="90" customWidth="1"/>
    <col min="14082" max="14082" width="7.85546875" style="90" customWidth="1"/>
    <col min="14083" max="14083" width="64.85546875" style="90" customWidth="1"/>
    <col min="14084" max="14084" width="5.140625" style="90" customWidth="1"/>
    <col min="14085" max="14085" width="7.28515625" style="90" customWidth="1"/>
    <col min="14086" max="14086" width="7" style="90" customWidth="1"/>
    <col min="14087" max="14087" width="6.5703125" style="90" customWidth="1"/>
    <col min="14088" max="14088" width="8.42578125" style="90" customWidth="1"/>
    <col min="14089" max="14089" width="5.28515625" style="90" customWidth="1"/>
    <col min="14090" max="14091" width="10.85546875" style="90" customWidth="1"/>
    <col min="14092" max="14092" width="11.7109375" style="90" customWidth="1"/>
    <col min="14093" max="14336" width="9.140625" style="90"/>
    <col min="14337" max="14337" width="4.28515625" style="90" customWidth="1"/>
    <col min="14338" max="14338" width="7.85546875" style="90" customWidth="1"/>
    <col min="14339" max="14339" width="64.85546875" style="90" customWidth="1"/>
    <col min="14340" max="14340" width="5.140625" style="90" customWidth="1"/>
    <col min="14341" max="14341" width="7.28515625" style="90" customWidth="1"/>
    <col min="14342" max="14342" width="7" style="90" customWidth="1"/>
    <col min="14343" max="14343" width="6.5703125" style="90" customWidth="1"/>
    <col min="14344" max="14344" width="8.42578125" style="90" customWidth="1"/>
    <col min="14345" max="14345" width="5.28515625" style="90" customWidth="1"/>
    <col min="14346" max="14347" width="10.85546875" style="90" customWidth="1"/>
    <col min="14348" max="14348" width="11.7109375" style="90" customWidth="1"/>
    <col min="14349" max="14592" width="9.140625" style="90"/>
    <col min="14593" max="14593" width="4.28515625" style="90" customWidth="1"/>
    <col min="14594" max="14594" width="7.85546875" style="90" customWidth="1"/>
    <col min="14595" max="14595" width="64.85546875" style="90" customWidth="1"/>
    <col min="14596" max="14596" width="5.140625" style="90" customWidth="1"/>
    <col min="14597" max="14597" width="7.28515625" style="90" customWidth="1"/>
    <col min="14598" max="14598" width="7" style="90" customWidth="1"/>
    <col min="14599" max="14599" width="6.5703125" style="90" customWidth="1"/>
    <col min="14600" max="14600" width="8.42578125" style="90" customWidth="1"/>
    <col min="14601" max="14601" width="5.28515625" style="90" customWidth="1"/>
    <col min="14602" max="14603" width="10.85546875" style="90" customWidth="1"/>
    <col min="14604" max="14604" width="11.7109375" style="90" customWidth="1"/>
    <col min="14605" max="14848" width="9.140625" style="90"/>
    <col min="14849" max="14849" width="4.28515625" style="90" customWidth="1"/>
    <col min="14850" max="14850" width="7.85546875" style="90" customWidth="1"/>
    <col min="14851" max="14851" width="64.85546875" style="90" customWidth="1"/>
    <col min="14852" max="14852" width="5.140625" style="90" customWidth="1"/>
    <col min="14853" max="14853" width="7.28515625" style="90" customWidth="1"/>
    <col min="14854" max="14854" width="7" style="90" customWidth="1"/>
    <col min="14855" max="14855" width="6.5703125" style="90" customWidth="1"/>
    <col min="14856" max="14856" width="8.42578125" style="90" customWidth="1"/>
    <col min="14857" max="14857" width="5.28515625" style="90" customWidth="1"/>
    <col min="14858" max="14859" width="10.85546875" style="90" customWidth="1"/>
    <col min="14860" max="14860" width="11.7109375" style="90" customWidth="1"/>
    <col min="14861" max="15104" width="9.140625" style="90"/>
    <col min="15105" max="15105" width="4.28515625" style="90" customWidth="1"/>
    <col min="15106" max="15106" width="7.85546875" style="90" customWidth="1"/>
    <col min="15107" max="15107" width="64.85546875" style="90" customWidth="1"/>
    <col min="15108" max="15108" width="5.140625" style="90" customWidth="1"/>
    <col min="15109" max="15109" width="7.28515625" style="90" customWidth="1"/>
    <col min="15110" max="15110" width="7" style="90" customWidth="1"/>
    <col min="15111" max="15111" width="6.5703125" style="90" customWidth="1"/>
    <col min="15112" max="15112" width="8.42578125" style="90" customWidth="1"/>
    <col min="15113" max="15113" width="5.28515625" style="90" customWidth="1"/>
    <col min="15114" max="15115" width="10.85546875" style="90" customWidth="1"/>
    <col min="15116" max="15116" width="11.7109375" style="90" customWidth="1"/>
    <col min="15117" max="15360" width="9.140625" style="90"/>
    <col min="15361" max="15361" width="4.28515625" style="90" customWidth="1"/>
    <col min="15362" max="15362" width="7.85546875" style="90" customWidth="1"/>
    <col min="15363" max="15363" width="64.85546875" style="90" customWidth="1"/>
    <col min="15364" max="15364" width="5.140625" style="90" customWidth="1"/>
    <col min="15365" max="15365" width="7.28515625" style="90" customWidth="1"/>
    <col min="15366" max="15366" width="7" style="90" customWidth="1"/>
    <col min="15367" max="15367" width="6.5703125" style="90" customWidth="1"/>
    <col min="15368" max="15368" width="8.42578125" style="90" customWidth="1"/>
    <col min="15369" max="15369" width="5.28515625" style="90" customWidth="1"/>
    <col min="15370" max="15371" width="10.85546875" style="90" customWidth="1"/>
    <col min="15372" max="15372" width="11.7109375" style="90" customWidth="1"/>
    <col min="15373" max="15616" width="9.140625" style="90"/>
    <col min="15617" max="15617" width="4.28515625" style="90" customWidth="1"/>
    <col min="15618" max="15618" width="7.85546875" style="90" customWidth="1"/>
    <col min="15619" max="15619" width="64.85546875" style="90" customWidth="1"/>
    <col min="15620" max="15620" width="5.140625" style="90" customWidth="1"/>
    <col min="15621" max="15621" width="7.28515625" style="90" customWidth="1"/>
    <col min="15622" max="15622" width="7" style="90" customWidth="1"/>
    <col min="15623" max="15623" width="6.5703125" style="90" customWidth="1"/>
    <col min="15624" max="15624" width="8.42578125" style="90" customWidth="1"/>
    <col min="15625" max="15625" width="5.28515625" style="90" customWidth="1"/>
    <col min="15626" max="15627" width="10.85546875" style="90" customWidth="1"/>
    <col min="15628" max="15628" width="11.7109375" style="90" customWidth="1"/>
    <col min="15629" max="15872" width="9.140625" style="90"/>
    <col min="15873" max="15873" width="4.28515625" style="90" customWidth="1"/>
    <col min="15874" max="15874" width="7.85546875" style="90" customWidth="1"/>
    <col min="15875" max="15875" width="64.85546875" style="90" customWidth="1"/>
    <col min="15876" max="15876" width="5.140625" style="90" customWidth="1"/>
    <col min="15877" max="15877" width="7.28515625" style="90" customWidth="1"/>
    <col min="15878" max="15878" width="7" style="90" customWidth="1"/>
    <col min="15879" max="15879" width="6.5703125" style="90" customWidth="1"/>
    <col min="15880" max="15880" width="8.42578125" style="90" customWidth="1"/>
    <col min="15881" max="15881" width="5.28515625" style="90" customWidth="1"/>
    <col min="15882" max="15883" width="10.85546875" style="90" customWidth="1"/>
    <col min="15884" max="15884" width="11.7109375" style="90" customWidth="1"/>
    <col min="15885" max="16128" width="9.140625" style="90"/>
    <col min="16129" max="16129" width="4.28515625" style="90" customWidth="1"/>
    <col min="16130" max="16130" width="7.85546875" style="90" customWidth="1"/>
    <col min="16131" max="16131" width="64.85546875" style="90" customWidth="1"/>
    <col min="16132" max="16132" width="5.140625" style="90" customWidth="1"/>
    <col min="16133" max="16133" width="7.28515625" style="90" customWidth="1"/>
    <col min="16134" max="16134" width="7" style="90" customWidth="1"/>
    <col min="16135" max="16135" width="6.5703125" style="90" customWidth="1"/>
    <col min="16136" max="16136" width="8.42578125" style="90" customWidth="1"/>
    <col min="16137" max="16137" width="5.28515625" style="90" customWidth="1"/>
    <col min="16138" max="16139" width="10.85546875" style="90" customWidth="1"/>
    <col min="16140" max="16140" width="11.7109375" style="90" customWidth="1"/>
    <col min="16141" max="16384" width="9.140625" style="90"/>
  </cols>
  <sheetData>
    <row r="2" spans="1:12" ht="15" x14ac:dyDescent="0.2">
      <c r="C2" s="106" t="s">
        <v>592</v>
      </c>
    </row>
    <row r="3" spans="1:12" ht="15.75" x14ac:dyDescent="0.2">
      <c r="A3" s="949" t="s">
        <v>522</v>
      </c>
      <c r="B3" s="949"/>
      <c r="C3" s="949"/>
      <c r="D3" s="949"/>
      <c r="E3" s="949"/>
      <c r="F3" s="949"/>
      <c r="G3" s="949"/>
      <c r="H3" s="949"/>
      <c r="I3" s="949"/>
    </row>
    <row r="4" spans="1:12" ht="25.5" x14ac:dyDescent="0.2">
      <c r="A4" s="409" t="s">
        <v>99</v>
      </c>
      <c r="B4" s="410" t="s">
        <v>216</v>
      </c>
      <c r="C4" s="191" t="s">
        <v>101</v>
      </c>
      <c r="D4" s="241" t="s">
        <v>102</v>
      </c>
      <c r="E4" s="224" t="s">
        <v>103</v>
      </c>
      <c r="F4" s="224" t="s">
        <v>104</v>
      </c>
      <c r="G4" s="224" t="s">
        <v>105</v>
      </c>
      <c r="H4" s="242" t="s">
        <v>106</v>
      </c>
      <c r="I4" s="411" t="s">
        <v>107</v>
      </c>
      <c r="J4" s="224" t="s">
        <v>108</v>
      </c>
      <c r="K4" s="224" t="s">
        <v>109</v>
      </c>
      <c r="L4" s="214" t="s">
        <v>95</v>
      </c>
    </row>
    <row r="5" spans="1:12" ht="38.25" x14ac:dyDescent="0.2">
      <c r="A5" s="116">
        <v>1</v>
      </c>
      <c r="B5" s="206" t="s">
        <v>217</v>
      </c>
      <c r="C5" s="207" t="s">
        <v>218</v>
      </c>
      <c r="D5" s="119"/>
      <c r="E5" s="121"/>
      <c r="F5" s="121"/>
      <c r="G5" s="121"/>
      <c r="H5" s="208"/>
      <c r="I5" s="122"/>
      <c r="J5" s="209"/>
      <c r="K5" s="209"/>
      <c r="L5" s="210"/>
    </row>
    <row r="6" spans="1:12" x14ac:dyDescent="0.2">
      <c r="A6" s="124"/>
      <c r="B6" s="211"/>
      <c r="C6" s="132" t="s">
        <v>139</v>
      </c>
      <c r="D6" s="133">
        <v>18</v>
      </c>
      <c r="E6" s="134">
        <v>0.3</v>
      </c>
      <c r="F6" s="134">
        <v>0.6</v>
      </c>
      <c r="G6" s="134">
        <v>2.4</v>
      </c>
      <c r="H6" s="212">
        <f>G6*F6*E6*D6</f>
        <v>7.7759999999999998</v>
      </c>
      <c r="I6" s="136"/>
      <c r="J6" s="213"/>
      <c r="K6" s="213"/>
      <c r="L6" s="214"/>
    </row>
    <row r="7" spans="1:12" x14ac:dyDescent="0.2">
      <c r="A7" s="124"/>
      <c r="B7" s="211"/>
      <c r="C7" s="132" t="s">
        <v>523</v>
      </c>
      <c r="D7" s="133">
        <v>1</v>
      </c>
      <c r="E7" s="134">
        <v>0.25</v>
      </c>
      <c r="F7" s="134">
        <v>0.3</v>
      </c>
      <c r="G7" s="134">
        <v>2.4</v>
      </c>
      <c r="H7" s="212">
        <f>G7*F7*E7*D7</f>
        <v>0.18</v>
      </c>
      <c r="I7" s="136"/>
      <c r="J7" s="213"/>
      <c r="K7" s="213"/>
      <c r="L7" s="214"/>
    </row>
    <row r="8" spans="1:12" x14ac:dyDescent="0.2">
      <c r="A8" s="124"/>
      <c r="B8" s="211"/>
      <c r="C8" s="132" t="s">
        <v>524</v>
      </c>
      <c r="D8" s="133">
        <v>1</v>
      </c>
      <c r="E8" s="134">
        <f>(3.05+5.4)*2</f>
        <v>16.899999999999999</v>
      </c>
      <c r="F8" s="134">
        <v>0.15</v>
      </c>
      <c r="G8" s="134">
        <f>1.6-0.45*2</f>
        <v>0.70000000000000007</v>
      </c>
      <c r="H8" s="212">
        <f>G8*F8*E8*D8</f>
        <v>1.7745</v>
      </c>
      <c r="I8" s="136"/>
      <c r="J8" s="213"/>
      <c r="K8" s="213"/>
      <c r="L8" s="214"/>
    </row>
    <row r="9" spans="1:12" x14ac:dyDescent="0.2">
      <c r="A9" s="124"/>
      <c r="B9" s="211"/>
      <c r="C9" s="132" t="s">
        <v>525</v>
      </c>
      <c r="D9" s="133">
        <v>20</v>
      </c>
      <c r="E9" s="134">
        <v>0.25</v>
      </c>
      <c r="F9" s="134">
        <v>0.25</v>
      </c>
      <c r="G9" s="134">
        <v>1.2</v>
      </c>
      <c r="H9" s="212">
        <f>G9*F9*E9*D9</f>
        <v>1.5</v>
      </c>
      <c r="I9" s="136"/>
      <c r="J9" s="213"/>
      <c r="K9" s="213"/>
      <c r="L9" s="214"/>
    </row>
    <row r="10" spans="1:12" x14ac:dyDescent="0.2">
      <c r="A10" s="139"/>
      <c r="B10" s="215"/>
      <c r="C10" s="141" t="s">
        <v>117</v>
      </c>
      <c r="D10" s="142" t="s">
        <v>91</v>
      </c>
      <c r="E10" s="143"/>
      <c r="F10" s="143"/>
      <c r="G10" s="143"/>
      <c r="H10" s="216">
        <f>SUM(H6:H9)</f>
        <v>11.230499999999999</v>
      </c>
      <c r="I10" s="141" t="s">
        <v>118</v>
      </c>
      <c r="J10" s="217">
        <v>10852.95</v>
      </c>
      <c r="K10" s="217">
        <f>J10*100/118</f>
        <v>9197.4152542372885</v>
      </c>
      <c r="L10" s="218">
        <f>K10*H10</f>
        <v>103291.57201271187</v>
      </c>
    </row>
    <row r="11" spans="1:12" s="202" customFormat="1" ht="25.5" x14ac:dyDescent="0.2">
      <c r="A11" s="116">
        <v>2</v>
      </c>
      <c r="B11" s="206">
        <v>5.3</v>
      </c>
      <c r="C11" s="219" t="s">
        <v>220</v>
      </c>
      <c r="D11" s="119"/>
      <c r="E11" s="121"/>
      <c r="F11" s="121"/>
      <c r="G11" s="121"/>
      <c r="H11" s="208"/>
      <c r="I11" s="122"/>
      <c r="J11" s="209"/>
      <c r="K11" s="217">
        <f t="shared" ref="K11:K74" si="0">J11*100/118</f>
        <v>0</v>
      </c>
      <c r="L11" s="218">
        <f t="shared" ref="L11:L74" si="1">K11*H11</f>
        <v>0</v>
      </c>
    </row>
    <row r="12" spans="1:12" s="202" customFormat="1" x14ac:dyDescent="0.2">
      <c r="A12" s="124"/>
      <c r="B12" s="211"/>
      <c r="C12" s="187" t="s">
        <v>526</v>
      </c>
      <c r="D12" s="133"/>
      <c r="E12" s="135"/>
      <c r="F12" s="135"/>
      <c r="G12" s="135"/>
      <c r="H12" s="212"/>
      <c r="I12" s="136"/>
      <c r="J12" s="213"/>
      <c r="K12" s="217">
        <f t="shared" si="0"/>
        <v>0</v>
      </c>
      <c r="L12" s="218">
        <f t="shared" si="1"/>
        <v>0</v>
      </c>
    </row>
    <row r="13" spans="1:12" x14ac:dyDescent="0.2">
      <c r="A13" s="124"/>
      <c r="B13" s="211"/>
      <c r="C13" s="187" t="s">
        <v>418</v>
      </c>
      <c r="D13" s="133">
        <v>0</v>
      </c>
      <c r="E13" s="135">
        <f>1.05+0.25+0.25</f>
        <v>1.55</v>
      </c>
      <c r="F13" s="135">
        <v>0.125</v>
      </c>
      <c r="G13" s="135">
        <v>0.15</v>
      </c>
      <c r="H13" s="134">
        <f>G13*F13*E13*D13</f>
        <v>0</v>
      </c>
      <c r="I13" s="136"/>
      <c r="J13" s="213"/>
      <c r="K13" s="217">
        <f t="shared" si="0"/>
        <v>0</v>
      </c>
      <c r="L13" s="218">
        <f t="shared" si="1"/>
        <v>0</v>
      </c>
    </row>
    <row r="14" spans="1:12" x14ac:dyDescent="0.2">
      <c r="A14" s="124"/>
      <c r="B14" s="211"/>
      <c r="C14" s="187" t="s">
        <v>293</v>
      </c>
      <c r="D14" s="133">
        <v>1</v>
      </c>
      <c r="E14" s="135">
        <f>1+0.125+0.125</f>
        <v>1.25</v>
      </c>
      <c r="F14" s="135">
        <v>0.25</v>
      </c>
      <c r="G14" s="135">
        <v>0.15</v>
      </c>
      <c r="H14" s="134">
        <f>G14*F14*E14*D14</f>
        <v>4.6875E-2</v>
      </c>
      <c r="I14" s="136"/>
      <c r="J14" s="213"/>
      <c r="K14" s="217">
        <f t="shared" si="0"/>
        <v>0</v>
      </c>
      <c r="L14" s="218">
        <f t="shared" si="1"/>
        <v>0</v>
      </c>
    </row>
    <row r="15" spans="1:12" x14ac:dyDescent="0.2">
      <c r="A15" s="124"/>
      <c r="B15" s="211"/>
      <c r="C15" s="220" t="s">
        <v>419</v>
      </c>
      <c r="D15" s="133">
        <v>1</v>
      </c>
      <c r="E15" s="135">
        <f>0.9 + 0.25+0.25</f>
        <v>1.4</v>
      </c>
      <c r="F15" s="135">
        <v>0.125</v>
      </c>
      <c r="G15" s="135">
        <v>0.15</v>
      </c>
      <c r="H15" s="134">
        <f>G15*F15*E15*D15</f>
        <v>2.6249999999999999E-2</v>
      </c>
      <c r="I15" s="136"/>
      <c r="J15" s="213"/>
      <c r="K15" s="217">
        <f t="shared" si="0"/>
        <v>0</v>
      </c>
      <c r="L15" s="218">
        <f t="shared" si="1"/>
        <v>0</v>
      </c>
    </row>
    <row r="16" spans="1:12" s="202" customFormat="1" x14ac:dyDescent="0.2">
      <c r="A16" s="124"/>
      <c r="B16" s="211"/>
      <c r="C16" s="187" t="s">
        <v>224</v>
      </c>
      <c r="D16" s="133"/>
      <c r="E16" s="135"/>
      <c r="F16" s="135"/>
      <c r="G16" s="135"/>
      <c r="H16" s="212"/>
      <c r="I16" s="136"/>
      <c r="J16" s="213"/>
      <c r="K16" s="217">
        <f t="shared" si="0"/>
        <v>0</v>
      </c>
      <c r="L16" s="218">
        <f t="shared" si="1"/>
        <v>0</v>
      </c>
    </row>
    <row r="17" spans="1:12" s="202" customFormat="1" x14ac:dyDescent="0.2">
      <c r="A17" s="124"/>
      <c r="B17" s="211"/>
      <c r="C17" s="220" t="s">
        <v>736</v>
      </c>
      <c r="D17" s="133">
        <v>2</v>
      </c>
      <c r="E17" s="135">
        <v>7.02</v>
      </c>
      <c r="F17" s="135">
        <v>0.25</v>
      </c>
      <c r="G17" s="135">
        <v>0.6</v>
      </c>
      <c r="H17" s="134">
        <f t="shared" ref="H17:H27" si="2">G17*F17*E17*D17</f>
        <v>2.1059999999999999</v>
      </c>
      <c r="I17" s="136"/>
      <c r="J17" s="213"/>
      <c r="K17" s="217">
        <f t="shared" si="0"/>
        <v>0</v>
      </c>
      <c r="L17" s="218">
        <f t="shared" si="1"/>
        <v>0</v>
      </c>
    </row>
    <row r="18" spans="1:12" s="202" customFormat="1" x14ac:dyDescent="0.2">
      <c r="A18" s="124"/>
      <c r="B18" s="211"/>
      <c r="C18" s="220" t="s">
        <v>737</v>
      </c>
      <c r="D18" s="133">
        <v>2</v>
      </c>
      <c r="E18" s="135">
        <v>4.3</v>
      </c>
      <c r="F18" s="135">
        <v>0.25</v>
      </c>
      <c r="G18" s="135">
        <v>0.6</v>
      </c>
      <c r="H18" s="134">
        <f t="shared" si="2"/>
        <v>1.2899999999999998</v>
      </c>
      <c r="I18" s="136"/>
      <c r="J18" s="213"/>
      <c r="K18" s="217">
        <f t="shared" si="0"/>
        <v>0</v>
      </c>
      <c r="L18" s="218">
        <f t="shared" si="1"/>
        <v>0</v>
      </c>
    </row>
    <row r="19" spans="1:12" s="202" customFormat="1" x14ac:dyDescent="0.2">
      <c r="A19" s="124"/>
      <c r="B19" s="211"/>
      <c r="C19" s="220" t="s">
        <v>738</v>
      </c>
      <c r="D19" s="133">
        <v>2</v>
      </c>
      <c r="E19" s="135">
        <v>3.05</v>
      </c>
      <c r="F19" s="135">
        <v>0.25</v>
      </c>
      <c r="G19" s="135">
        <v>0.6</v>
      </c>
      <c r="H19" s="134">
        <f t="shared" si="2"/>
        <v>0.91499999999999992</v>
      </c>
      <c r="I19" s="136"/>
      <c r="J19" s="213"/>
      <c r="K19" s="217">
        <f t="shared" si="0"/>
        <v>0</v>
      </c>
      <c r="L19" s="218">
        <f t="shared" si="1"/>
        <v>0</v>
      </c>
    </row>
    <row r="20" spans="1:12" s="202" customFormat="1" x14ac:dyDescent="0.2">
      <c r="A20" s="124"/>
      <c r="B20" s="211"/>
      <c r="C20" s="220" t="s">
        <v>739</v>
      </c>
      <c r="D20" s="133">
        <v>1</v>
      </c>
      <c r="E20" s="135">
        <v>4.5</v>
      </c>
      <c r="F20" s="135">
        <v>0.25</v>
      </c>
      <c r="G20" s="135">
        <v>0.6</v>
      </c>
      <c r="H20" s="134">
        <f t="shared" si="2"/>
        <v>0.67499999999999993</v>
      </c>
      <c r="I20" s="136"/>
      <c r="J20" s="213"/>
      <c r="K20" s="217">
        <f t="shared" si="0"/>
        <v>0</v>
      </c>
      <c r="L20" s="218">
        <f t="shared" si="1"/>
        <v>0</v>
      </c>
    </row>
    <row r="21" spans="1:12" s="202" customFormat="1" x14ac:dyDescent="0.2">
      <c r="A21" s="124"/>
      <c r="B21" s="211"/>
      <c r="C21" s="220" t="s">
        <v>740</v>
      </c>
      <c r="D21" s="133">
        <v>1</v>
      </c>
      <c r="E21" s="135">
        <v>11.95</v>
      </c>
      <c r="F21" s="135">
        <v>0.25</v>
      </c>
      <c r="G21" s="135">
        <v>0.6</v>
      </c>
      <c r="H21" s="134">
        <f t="shared" si="2"/>
        <v>1.7924999999999998</v>
      </c>
      <c r="I21" s="136"/>
      <c r="J21" s="213"/>
      <c r="K21" s="217">
        <f t="shared" si="0"/>
        <v>0</v>
      </c>
      <c r="L21" s="218">
        <f t="shared" si="1"/>
        <v>0</v>
      </c>
    </row>
    <row r="22" spans="1:12" s="202" customFormat="1" x14ac:dyDescent="0.2">
      <c r="A22" s="124"/>
      <c r="B22" s="211"/>
      <c r="C22" s="220" t="s">
        <v>741</v>
      </c>
      <c r="D22" s="133">
        <v>1</v>
      </c>
      <c r="E22" s="135">
        <v>6.9</v>
      </c>
      <c r="F22" s="135">
        <v>0.25</v>
      </c>
      <c r="G22" s="135">
        <v>0.6</v>
      </c>
      <c r="H22" s="134">
        <f t="shared" si="2"/>
        <v>1.0349999999999999</v>
      </c>
      <c r="I22" s="136"/>
      <c r="J22" s="213"/>
      <c r="K22" s="217">
        <f t="shared" si="0"/>
        <v>0</v>
      </c>
      <c r="L22" s="218">
        <f t="shared" si="1"/>
        <v>0</v>
      </c>
    </row>
    <row r="23" spans="1:12" s="202" customFormat="1" x14ac:dyDescent="0.2">
      <c r="A23" s="124"/>
      <c r="B23" s="211"/>
      <c r="C23" s="220" t="s">
        <v>742</v>
      </c>
      <c r="D23" s="133">
        <v>1</v>
      </c>
      <c r="E23" s="135">
        <v>8.0250000000000004</v>
      </c>
      <c r="F23" s="135">
        <v>0.25</v>
      </c>
      <c r="G23" s="135">
        <v>0.6</v>
      </c>
      <c r="H23" s="134">
        <f t="shared" si="2"/>
        <v>1.2037500000000001</v>
      </c>
      <c r="I23" s="136"/>
      <c r="J23" s="213"/>
      <c r="K23" s="217">
        <f t="shared" si="0"/>
        <v>0</v>
      </c>
      <c r="L23" s="218">
        <f t="shared" si="1"/>
        <v>0</v>
      </c>
    </row>
    <row r="24" spans="1:12" s="202" customFormat="1" x14ac:dyDescent="0.2">
      <c r="A24" s="124"/>
      <c r="B24" s="211"/>
      <c r="C24" s="220" t="s">
        <v>743</v>
      </c>
      <c r="D24" s="133">
        <v>2</v>
      </c>
      <c r="E24" s="135">
        <v>5.4</v>
      </c>
      <c r="F24" s="135">
        <v>0.25</v>
      </c>
      <c r="G24" s="135">
        <v>0.6</v>
      </c>
      <c r="H24" s="134">
        <f t="shared" si="2"/>
        <v>1.62</v>
      </c>
      <c r="I24" s="136"/>
      <c r="J24" s="213"/>
      <c r="K24" s="217">
        <f t="shared" si="0"/>
        <v>0</v>
      </c>
      <c r="L24" s="218">
        <f t="shared" si="1"/>
        <v>0</v>
      </c>
    </row>
    <row r="25" spans="1:12" s="202" customFormat="1" x14ac:dyDescent="0.2">
      <c r="A25" s="124"/>
      <c r="B25" s="211"/>
      <c r="C25" s="220" t="s">
        <v>744</v>
      </c>
      <c r="D25" s="133">
        <v>2</v>
      </c>
      <c r="E25" s="135">
        <v>2.9</v>
      </c>
      <c r="F25" s="135">
        <v>0.25</v>
      </c>
      <c r="G25" s="135">
        <v>0.6</v>
      </c>
      <c r="H25" s="134">
        <f t="shared" si="2"/>
        <v>0.87</v>
      </c>
      <c r="I25" s="136"/>
      <c r="J25" s="213"/>
      <c r="K25" s="217">
        <f t="shared" si="0"/>
        <v>0</v>
      </c>
      <c r="L25" s="218">
        <f t="shared" si="1"/>
        <v>0</v>
      </c>
    </row>
    <row r="26" spans="1:12" s="202" customFormat="1" x14ac:dyDescent="0.2">
      <c r="A26" s="124"/>
      <c r="B26" s="211"/>
      <c r="C26" s="225" t="s">
        <v>532</v>
      </c>
      <c r="D26" s="226">
        <v>2</v>
      </c>
      <c r="E26" s="227">
        <f>1+0.125+0.125</f>
        <v>1.25</v>
      </c>
      <c r="F26" s="227">
        <v>0.6</v>
      </c>
      <c r="G26" s="227">
        <v>7.4999999999999997E-2</v>
      </c>
      <c r="H26" s="135">
        <f t="shared" si="2"/>
        <v>0.11249999999999999</v>
      </c>
      <c r="I26" s="136"/>
      <c r="J26" s="213"/>
      <c r="K26" s="217">
        <f t="shared" si="0"/>
        <v>0</v>
      </c>
      <c r="L26" s="218">
        <f t="shared" si="1"/>
        <v>0</v>
      </c>
    </row>
    <row r="27" spans="1:12" s="202" customFormat="1" x14ac:dyDescent="0.2">
      <c r="A27" s="124"/>
      <c r="B27" s="211"/>
      <c r="C27" s="220" t="s">
        <v>533</v>
      </c>
      <c r="D27" s="133">
        <v>1</v>
      </c>
      <c r="E27" s="134">
        <v>120</v>
      </c>
      <c r="F27" s="134">
        <v>0.375</v>
      </c>
      <c r="G27" s="134">
        <v>7.4999999999999997E-2</v>
      </c>
      <c r="H27" s="212">
        <f t="shared" si="2"/>
        <v>3.3749999999999996</v>
      </c>
      <c r="I27" s="136"/>
      <c r="J27" s="213"/>
      <c r="K27" s="217">
        <f t="shared" si="0"/>
        <v>0</v>
      </c>
      <c r="L27" s="218">
        <f t="shared" si="1"/>
        <v>0</v>
      </c>
    </row>
    <row r="28" spans="1:12" s="202" customFormat="1" x14ac:dyDescent="0.2">
      <c r="A28" s="124"/>
      <c r="B28" s="211"/>
      <c r="C28" s="187" t="s">
        <v>745</v>
      </c>
      <c r="D28" s="142"/>
      <c r="E28" s="143"/>
      <c r="F28" s="143"/>
      <c r="G28" s="143"/>
      <c r="H28" s="400"/>
      <c r="I28" s="141"/>
      <c r="J28" s="217"/>
      <c r="K28" s="217">
        <f t="shared" si="0"/>
        <v>0</v>
      </c>
      <c r="L28" s="218">
        <f t="shared" si="1"/>
        <v>0</v>
      </c>
    </row>
    <row r="29" spans="1:12" x14ac:dyDescent="0.2">
      <c r="A29" s="124"/>
      <c r="B29" s="211"/>
      <c r="C29" s="225"/>
      <c r="D29" s="226">
        <v>1</v>
      </c>
      <c r="E29" s="227">
        <v>7.0250000000000004</v>
      </c>
      <c r="F29" s="227">
        <v>4.7</v>
      </c>
      <c r="G29" s="227">
        <v>0.13500000000000001</v>
      </c>
      <c r="H29" s="135">
        <f t="shared" ref="H29:H35" si="3">G29*F29*E29*D29</f>
        <v>4.4573625000000003</v>
      </c>
      <c r="I29" s="136"/>
      <c r="J29" s="213"/>
      <c r="K29" s="217">
        <f t="shared" si="0"/>
        <v>0</v>
      </c>
      <c r="L29" s="218">
        <f t="shared" si="1"/>
        <v>0</v>
      </c>
    </row>
    <row r="30" spans="1:12" x14ac:dyDescent="0.2">
      <c r="A30" s="124"/>
      <c r="B30" s="211"/>
      <c r="C30" s="225"/>
      <c r="D30" s="226">
        <v>1</v>
      </c>
      <c r="E30" s="228">
        <v>6.9</v>
      </c>
      <c r="F30" s="227">
        <v>4.5</v>
      </c>
      <c r="G30" s="227">
        <v>0.13500000000000001</v>
      </c>
      <c r="H30" s="135">
        <f t="shared" si="3"/>
        <v>4.1917500000000008</v>
      </c>
      <c r="I30" s="136"/>
      <c r="J30" s="213"/>
      <c r="K30" s="217">
        <f t="shared" si="0"/>
        <v>0</v>
      </c>
      <c r="L30" s="218">
        <f t="shared" si="1"/>
        <v>0</v>
      </c>
    </row>
    <row r="31" spans="1:12" x14ac:dyDescent="0.2">
      <c r="A31" s="124"/>
      <c r="B31" s="211"/>
      <c r="C31" s="225"/>
      <c r="D31" s="226">
        <v>2</v>
      </c>
      <c r="E31" s="228">
        <v>4.3</v>
      </c>
      <c r="F31" s="227">
        <v>2.9</v>
      </c>
      <c r="G31" s="227">
        <v>0.25</v>
      </c>
      <c r="H31" s="135">
        <f t="shared" si="3"/>
        <v>6.2349999999999994</v>
      </c>
      <c r="I31" s="136"/>
      <c r="J31" s="213"/>
      <c r="K31" s="217">
        <f t="shared" si="0"/>
        <v>0</v>
      </c>
      <c r="L31" s="218">
        <f t="shared" si="1"/>
        <v>0</v>
      </c>
    </row>
    <row r="32" spans="1:12" x14ac:dyDescent="0.2">
      <c r="A32" s="124"/>
      <c r="B32" s="211"/>
      <c r="C32" s="225"/>
      <c r="D32" s="226">
        <v>1</v>
      </c>
      <c r="E32" s="228">
        <v>3.05</v>
      </c>
      <c r="F32" s="227">
        <v>5.4</v>
      </c>
      <c r="G32" s="227">
        <v>0.13500000000000001</v>
      </c>
      <c r="H32" s="135">
        <f t="shared" si="3"/>
        <v>2.2234500000000001</v>
      </c>
      <c r="I32" s="136"/>
      <c r="J32" s="213"/>
      <c r="K32" s="217">
        <f t="shared" si="0"/>
        <v>0</v>
      </c>
      <c r="L32" s="218">
        <f t="shared" si="1"/>
        <v>0</v>
      </c>
    </row>
    <row r="33" spans="1:12" x14ac:dyDescent="0.2">
      <c r="A33" s="124"/>
      <c r="B33" s="211"/>
      <c r="C33" s="225" t="s">
        <v>421</v>
      </c>
      <c r="D33" s="226">
        <v>1</v>
      </c>
      <c r="E33" s="227">
        <f>1.37+0.125+0.125</f>
        <v>1.62</v>
      </c>
      <c r="F33" s="227">
        <v>0.6</v>
      </c>
      <c r="G33" s="227">
        <v>7.4999999999999997E-2</v>
      </c>
      <c r="H33" s="135">
        <f t="shared" si="3"/>
        <v>7.2900000000000006E-2</v>
      </c>
      <c r="I33" s="136"/>
      <c r="J33" s="213"/>
      <c r="K33" s="217">
        <f t="shared" si="0"/>
        <v>0</v>
      </c>
      <c r="L33" s="218">
        <f t="shared" si="1"/>
        <v>0</v>
      </c>
    </row>
    <row r="34" spans="1:12" x14ac:dyDescent="0.2">
      <c r="A34" s="124"/>
      <c r="B34" s="211"/>
      <c r="C34" s="225" t="s">
        <v>236</v>
      </c>
      <c r="D34" s="226">
        <v>3</v>
      </c>
      <c r="E34" s="227">
        <f>1.2+0.25+0.25</f>
        <v>1.7</v>
      </c>
      <c r="F34" s="227">
        <v>0.6</v>
      </c>
      <c r="G34" s="227">
        <v>7.4999999999999997E-2</v>
      </c>
      <c r="H34" s="135">
        <f t="shared" si="3"/>
        <v>0.22949999999999998</v>
      </c>
      <c r="I34" s="136"/>
      <c r="J34" s="213"/>
      <c r="K34" s="217">
        <f t="shared" si="0"/>
        <v>0</v>
      </c>
      <c r="L34" s="218">
        <f t="shared" si="1"/>
        <v>0</v>
      </c>
    </row>
    <row r="35" spans="1:12" x14ac:dyDescent="0.2">
      <c r="A35" s="124"/>
      <c r="B35" s="211"/>
      <c r="C35" s="225" t="s">
        <v>282</v>
      </c>
      <c r="D35" s="226">
        <v>1</v>
      </c>
      <c r="E35" s="227">
        <f>0.6+0.125+0.125</f>
        <v>0.85</v>
      </c>
      <c r="F35" s="227">
        <v>0.6</v>
      </c>
      <c r="G35" s="227">
        <v>7.4999999999999997E-2</v>
      </c>
      <c r="H35" s="135">
        <f t="shared" si="3"/>
        <v>3.8249999999999999E-2</v>
      </c>
      <c r="I35" s="136"/>
      <c r="J35" s="213"/>
      <c r="K35" s="217">
        <f t="shared" si="0"/>
        <v>0</v>
      </c>
      <c r="L35" s="218">
        <f t="shared" si="1"/>
        <v>0</v>
      </c>
    </row>
    <row r="36" spans="1:12" x14ac:dyDescent="0.2">
      <c r="A36" s="139"/>
      <c r="B36" s="215"/>
      <c r="C36" s="221" t="s">
        <v>117</v>
      </c>
      <c r="D36" s="142"/>
      <c r="E36" s="145"/>
      <c r="F36" s="145"/>
      <c r="G36" s="145"/>
      <c r="H36" s="222">
        <f>SUM(H13:H35)</f>
        <v>32.516087499999998</v>
      </c>
      <c r="I36" s="141" t="s">
        <v>118</v>
      </c>
      <c r="J36" s="217">
        <v>11505.5</v>
      </c>
      <c r="K36" s="217">
        <f t="shared" si="0"/>
        <v>9750.4237288135591</v>
      </c>
      <c r="L36" s="218">
        <f t="shared" si="1"/>
        <v>317045.63112817792</v>
      </c>
    </row>
    <row r="37" spans="1:12" ht="25.5" x14ac:dyDescent="0.2">
      <c r="A37" s="116">
        <v>3</v>
      </c>
      <c r="B37" s="206">
        <v>5.22</v>
      </c>
      <c r="C37" s="219" t="s">
        <v>244</v>
      </c>
      <c r="D37" s="119"/>
      <c r="E37" s="121"/>
      <c r="F37" s="121"/>
      <c r="G37" s="121"/>
      <c r="H37" s="208"/>
      <c r="I37" s="122"/>
      <c r="J37" s="209"/>
      <c r="K37" s="217">
        <f t="shared" si="0"/>
        <v>0</v>
      </c>
      <c r="L37" s="218">
        <f t="shared" si="1"/>
        <v>0</v>
      </c>
    </row>
    <row r="38" spans="1:12" x14ac:dyDescent="0.2">
      <c r="A38" s="124"/>
      <c r="B38" s="211" t="s">
        <v>193</v>
      </c>
      <c r="C38" s="238" t="s">
        <v>245</v>
      </c>
      <c r="D38" s="127"/>
      <c r="E38" s="138"/>
      <c r="F38" s="129"/>
      <c r="G38" s="129"/>
      <c r="H38" s="239"/>
      <c r="I38" s="130"/>
      <c r="J38" s="240"/>
      <c r="K38" s="217">
        <f t="shared" si="0"/>
        <v>0</v>
      </c>
      <c r="L38" s="218">
        <f t="shared" si="1"/>
        <v>0</v>
      </c>
    </row>
    <row r="39" spans="1:12" x14ac:dyDescent="0.2">
      <c r="A39" s="124"/>
      <c r="B39" s="211"/>
      <c r="C39" s="187" t="s">
        <v>191</v>
      </c>
      <c r="D39" s="241"/>
      <c r="E39" s="190">
        <f>H10+H36</f>
        <v>43.746587499999997</v>
      </c>
      <c r="F39" s="190"/>
      <c r="G39" s="135"/>
      <c r="H39" s="212"/>
      <c r="I39" s="136"/>
      <c r="J39" s="213"/>
      <c r="K39" s="217">
        <f t="shared" si="0"/>
        <v>0</v>
      </c>
      <c r="L39" s="218">
        <f t="shared" si="1"/>
        <v>0</v>
      </c>
    </row>
    <row r="40" spans="1:12" x14ac:dyDescent="0.2">
      <c r="A40" s="139"/>
      <c r="B40" s="215"/>
      <c r="C40" s="220" t="s">
        <v>246</v>
      </c>
      <c r="D40" s="133">
        <v>105</v>
      </c>
      <c r="E40" s="190"/>
      <c r="F40" s="135"/>
      <c r="G40" s="135"/>
      <c r="H40" s="242">
        <f>D40*E39</f>
        <v>4593.3916874999995</v>
      </c>
      <c r="I40" s="136" t="s">
        <v>195</v>
      </c>
      <c r="J40" s="213">
        <v>107.85</v>
      </c>
      <c r="K40" s="217">
        <f t="shared" si="0"/>
        <v>91.398305084745758</v>
      </c>
      <c r="L40" s="218">
        <f t="shared" si="1"/>
        <v>419828.21482786012</v>
      </c>
    </row>
    <row r="41" spans="1:12" ht="25.5" x14ac:dyDescent="0.2">
      <c r="A41" s="116">
        <v>4</v>
      </c>
      <c r="B41" s="206">
        <v>5.9</v>
      </c>
      <c r="C41" s="182" t="s">
        <v>247</v>
      </c>
      <c r="D41" s="119"/>
      <c r="E41" s="121"/>
      <c r="F41" s="121"/>
      <c r="G41" s="121"/>
      <c r="H41" s="208"/>
      <c r="I41" s="122"/>
      <c r="J41" s="209"/>
      <c r="K41" s="217">
        <f t="shared" si="0"/>
        <v>0</v>
      </c>
      <c r="L41" s="218">
        <f t="shared" si="1"/>
        <v>0</v>
      </c>
    </row>
    <row r="42" spans="1:12" ht="14.25" x14ac:dyDescent="0.2">
      <c r="A42" s="124" t="s">
        <v>248</v>
      </c>
      <c r="B42" s="211" t="s">
        <v>249</v>
      </c>
      <c r="C42" s="244" t="s">
        <v>250</v>
      </c>
      <c r="D42" s="127"/>
      <c r="E42" s="129"/>
      <c r="F42" s="129"/>
      <c r="G42" s="129"/>
      <c r="H42" s="239"/>
      <c r="I42" s="130"/>
      <c r="J42" s="240"/>
      <c r="K42" s="217">
        <f t="shared" si="0"/>
        <v>0</v>
      </c>
      <c r="L42" s="218">
        <f t="shared" si="1"/>
        <v>0</v>
      </c>
    </row>
    <row r="43" spans="1:12" x14ac:dyDescent="0.2">
      <c r="A43" s="124"/>
      <c r="B43" s="211"/>
      <c r="C43" s="245"/>
      <c r="D43" s="127"/>
      <c r="E43" s="129"/>
      <c r="F43" s="129"/>
      <c r="G43" s="129"/>
      <c r="H43" s="239"/>
      <c r="I43" s="130"/>
      <c r="J43" s="240"/>
      <c r="K43" s="217">
        <f t="shared" si="0"/>
        <v>0</v>
      </c>
      <c r="L43" s="218">
        <f t="shared" si="1"/>
        <v>0</v>
      </c>
    </row>
    <row r="44" spans="1:12" s="202" customFormat="1" x14ac:dyDescent="0.2">
      <c r="A44" s="124"/>
      <c r="B44" s="211"/>
      <c r="C44" s="187" t="s">
        <v>745</v>
      </c>
      <c r="D44" s="142"/>
      <c r="E44" s="143"/>
      <c r="F44" s="143"/>
      <c r="G44" s="143"/>
      <c r="H44" s="400"/>
      <c r="I44" s="141"/>
      <c r="J44" s="217"/>
      <c r="K44" s="217">
        <f t="shared" si="0"/>
        <v>0</v>
      </c>
      <c r="L44" s="218">
        <f t="shared" si="1"/>
        <v>0</v>
      </c>
    </row>
    <row r="45" spans="1:12" x14ac:dyDescent="0.2">
      <c r="A45" s="124"/>
      <c r="B45" s="211"/>
      <c r="C45" s="225"/>
      <c r="D45" s="226">
        <v>1</v>
      </c>
      <c r="E45" s="227">
        <v>7.0250000000000004</v>
      </c>
      <c r="F45" s="227">
        <v>4.7</v>
      </c>
      <c r="G45" s="227"/>
      <c r="H45" s="135">
        <f>D45*E45*F45</f>
        <v>33.017500000000005</v>
      </c>
      <c r="I45" s="136"/>
      <c r="J45" s="213"/>
      <c r="K45" s="217">
        <f t="shared" si="0"/>
        <v>0</v>
      </c>
      <c r="L45" s="218">
        <f t="shared" si="1"/>
        <v>0</v>
      </c>
    </row>
    <row r="46" spans="1:12" x14ac:dyDescent="0.2">
      <c r="A46" s="124"/>
      <c r="B46" s="211"/>
      <c r="C46" s="225"/>
      <c r="D46" s="226">
        <v>1</v>
      </c>
      <c r="E46" s="228">
        <v>6.9</v>
      </c>
      <c r="F46" s="227">
        <v>4.5</v>
      </c>
      <c r="G46" s="227"/>
      <c r="H46" s="135">
        <f t="shared" ref="H46:H51" si="4">D46*E46*F46</f>
        <v>31.05</v>
      </c>
      <c r="I46" s="136"/>
      <c r="J46" s="213"/>
      <c r="K46" s="217">
        <f t="shared" si="0"/>
        <v>0</v>
      </c>
      <c r="L46" s="218">
        <f t="shared" si="1"/>
        <v>0</v>
      </c>
    </row>
    <row r="47" spans="1:12" x14ac:dyDescent="0.2">
      <c r="A47" s="124"/>
      <c r="B47" s="211"/>
      <c r="C47" s="225"/>
      <c r="D47" s="226">
        <v>2</v>
      </c>
      <c r="E47" s="228">
        <v>4.3</v>
      </c>
      <c r="F47" s="227">
        <v>2.9</v>
      </c>
      <c r="G47" s="227"/>
      <c r="H47" s="135">
        <f t="shared" si="4"/>
        <v>24.939999999999998</v>
      </c>
      <c r="I47" s="136"/>
      <c r="J47" s="213"/>
      <c r="K47" s="217">
        <f t="shared" si="0"/>
        <v>0</v>
      </c>
      <c r="L47" s="218">
        <f t="shared" si="1"/>
        <v>0</v>
      </c>
    </row>
    <row r="48" spans="1:12" x14ac:dyDescent="0.2">
      <c r="A48" s="124"/>
      <c r="B48" s="211"/>
      <c r="C48" s="225"/>
      <c r="D48" s="226">
        <v>1</v>
      </c>
      <c r="E48" s="228">
        <v>3.05</v>
      </c>
      <c r="F48" s="227">
        <v>5.4</v>
      </c>
      <c r="G48" s="227"/>
      <c r="H48" s="135">
        <f t="shared" si="4"/>
        <v>16.47</v>
      </c>
      <c r="I48" s="136"/>
      <c r="J48" s="213"/>
      <c r="K48" s="217">
        <f t="shared" si="0"/>
        <v>0</v>
      </c>
      <c r="L48" s="218">
        <f t="shared" si="1"/>
        <v>0</v>
      </c>
    </row>
    <row r="49" spans="1:12" x14ac:dyDescent="0.2">
      <c r="A49" s="124"/>
      <c r="B49" s="211"/>
      <c r="C49" s="225" t="s">
        <v>421</v>
      </c>
      <c r="D49" s="226">
        <v>1</v>
      </c>
      <c r="E49" s="227">
        <f>1.37+0.125+0.125</f>
        <v>1.62</v>
      </c>
      <c r="F49" s="227">
        <v>0.6</v>
      </c>
      <c r="G49" s="227"/>
      <c r="H49" s="135">
        <f t="shared" si="4"/>
        <v>0.97199999999999998</v>
      </c>
      <c r="I49" s="136"/>
      <c r="J49" s="213"/>
      <c r="K49" s="217">
        <f t="shared" si="0"/>
        <v>0</v>
      </c>
      <c r="L49" s="218">
        <f t="shared" si="1"/>
        <v>0</v>
      </c>
    </row>
    <row r="50" spans="1:12" x14ac:dyDescent="0.2">
      <c r="A50" s="124"/>
      <c r="B50" s="211"/>
      <c r="C50" s="225" t="s">
        <v>236</v>
      </c>
      <c r="D50" s="226">
        <v>3</v>
      </c>
      <c r="E50" s="227">
        <f>1.2+0.25+0.25</f>
        <v>1.7</v>
      </c>
      <c r="F50" s="227">
        <v>0.6</v>
      </c>
      <c r="G50" s="227"/>
      <c r="H50" s="135">
        <f t="shared" si="4"/>
        <v>3.0599999999999996</v>
      </c>
      <c r="I50" s="136"/>
      <c r="J50" s="213"/>
      <c r="K50" s="217">
        <f t="shared" si="0"/>
        <v>0</v>
      </c>
      <c r="L50" s="218">
        <f t="shared" si="1"/>
        <v>0</v>
      </c>
    </row>
    <row r="51" spans="1:12" x14ac:dyDescent="0.2">
      <c r="A51" s="124"/>
      <c r="B51" s="211"/>
      <c r="C51" s="225" t="s">
        <v>282</v>
      </c>
      <c r="D51" s="226">
        <v>1</v>
      </c>
      <c r="E51" s="227">
        <f>0.6+0.125+0.125</f>
        <v>0.85</v>
      </c>
      <c r="F51" s="227">
        <v>0.6</v>
      </c>
      <c r="G51" s="227"/>
      <c r="H51" s="135">
        <f t="shared" si="4"/>
        <v>0.51</v>
      </c>
      <c r="I51" s="136"/>
      <c r="J51" s="213"/>
      <c r="K51" s="217">
        <f t="shared" si="0"/>
        <v>0</v>
      </c>
      <c r="L51" s="218">
        <f t="shared" si="1"/>
        <v>0</v>
      </c>
    </row>
    <row r="52" spans="1:12" x14ac:dyDescent="0.2">
      <c r="A52" s="139"/>
      <c r="B52" s="215"/>
      <c r="C52" s="233" t="s">
        <v>117</v>
      </c>
      <c r="D52" s="142"/>
      <c r="E52" s="145"/>
      <c r="F52" s="145"/>
      <c r="G52" s="145"/>
      <c r="H52" s="216">
        <f>SUM(H45:H51)</f>
        <v>110.01950000000001</v>
      </c>
      <c r="I52" s="141" t="s">
        <v>128</v>
      </c>
      <c r="J52" s="217">
        <v>927.25</v>
      </c>
      <c r="K52" s="217">
        <f t="shared" si="0"/>
        <v>785.80508474576266</v>
      </c>
      <c r="L52" s="218">
        <f t="shared" si="1"/>
        <v>86453.882521186446</v>
      </c>
    </row>
    <row r="53" spans="1:12" x14ac:dyDescent="0.2">
      <c r="A53" s="116" t="s">
        <v>252</v>
      </c>
      <c r="B53" s="206" t="s">
        <v>199</v>
      </c>
      <c r="C53" s="265" t="s">
        <v>253</v>
      </c>
      <c r="D53" s="119"/>
      <c r="E53" s="121"/>
      <c r="F53" s="121"/>
      <c r="G53" s="121"/>
      <c r="H53" s="208"/>
      <c r="I53" s="122"/>
      <c r="J53" s="209"/>
      <c r="K53" s="217">
        <f t="shared" si="0"/>
        <v>0</v>
      </c>
      <c r="L53" s="218">
        <f t="shared" si="1"/>
        <v>0</v>
      </c>
    </row>
    <row r="54" spans="1:12" s="202" customFormat="1" x14ac:dyDescent="0.2">
      <c r="A54" s="124"/>
      <c r="B54" s="211"/>
      <c r="C54" s="220" t="s">
        <v>457</v>
      </c>
      <c r="D54" s="133">
        <f>D33</f>
        <v>1</v>
      </c>
      <c r="E54" s="135">
        <f>1.05+0.125*2</f>
        <v>1.3</v>
      </c>
      <c r="F54" s="135">
        <f>2*F33+G33</f>
        <v>1.2749999999999999</v>
      </c>
      <c r="G54" s="135"/>
      <c r="H54" s="212">
        <f>D54*E54*F54</f>
        <v>1.6575</v>
      </c>
      <c r="I54" s="136"/>
      <c r="J54" s="213"/>
      <c r="K54" s="217">
        <f t="shared" si="0"/>
        <v>0</v>
      </c>
      <c r="L54" s="218">
        <f t="shared" si="1"/>
        <v>0</v>
      </c>
    </row>
    <row r="55" spans="1:12" s="202" customFormat="1" x14ac:dyDescent="0.2">
      <c r="A55" s="124"/>
      <c r="B55" s="211"/>
      <c r="C55" s="220" t="s">
        <v>260</v>
      </c>
      <c r="D55" s="133">
        <f>D34</f>
        <v>3</v>
      </c>
      <c r="E55" s="135">
        <f>1.2+0.125*2</f>
        <v>1.45</v>
      </c>
      <c r="F55" s="135">
        <f>2*F34+G34</f>
        <v>1.2749999999999999</v>
      </c>
      <c r="G55" s="135"/>
      <c r="H55" s="212">
        <f>D55*E55*F55</f>
        <v>5.5462499999999988</v>
      </c>
      <c r="I55" s="136"/>
      <c r="J55" s="213"/>
      <c r="K55" s="217">
        <f t="shared" si="0"/>
        <v>0</v>
      </c>
      <c r="L55" s="218">
        <f t="shared" si="1"/>
        <v>0</v>
      </c>
    </row>
    <row r="56" spans="1:12" s="202" customFormat="1" x14ac:dyDescent="0.2">
      <c r="A56" s="124"/>
      <c r="B56" s="211"/>
      <c r="C56" s="220" t="s">
        <v>273</v>
      </c>
      <c r="D56" s="133">
        <f>D35</f>
        <v>1</v>
      </c>
      <c r="E56" s="135">
        <f>0.6+0.125*2</f>
        <v>0.85</v>
      </c>
      <c r="F56" s="135">
        <f>2*F35+G35</f>
        <v>1.2749999999999999</v>
      </c>
      <c r="G56" s="135"/>
      <c r="H56" s="212">
        <f>D56*E56*F56</f>
        <v>1.08375</v>
      </c>
      <c r="I56" s="136"/>
      <c r="J56" s="213"/>
      <c r="K56" s="217">
        <f t="shared" si="0"/>
        <v>0</v>
      </c>
      <c r="L56" s="218">
        <f t="shared" si="1"/>
        <v>0</v>
      </c>
    </row>
    <row r="57" spans="1:12" s="202" customFormat="1" x14ac:dyDescent="0.2">
      <c r="A57" s="124"/>
      <c r="B57" s="211"/>
      <c r="C57" s="187" t="s">
        <v>224</v>
      </c>
      <c r="D57" s="133"/>
      <c r="E57" s="135"/>
      <c r="F57" s="135"/>
      <c r="G57" s="135"/>
      <c r="H57" s="212"/>
      <c r="I57" s="136"/>
      <c r="J57" s="213"/>
      <c r="K57" s="217">
        <f t="shared" si="0"/>
        <v>0</v>
      </c>
      <c r="L57" s="218">
        <f t="shared" si="1"/>
        <v>0</v>
      </c>
    </row>
    <row r="58" spans="1:12" s="202" customFormat="1" x14ac:dyDescent="0.2">
      <c r="A58" s="124"/>
      <c r="B58" s="211"/>
      <c r="C58" s="220" t="s">
        <v>736</v>
      </c>
      <c r="D58" s="133">
        <f>D17</f>
        <v>2</v>
      </c>
      <c r="E58" s="135">
        <f>E17</f>
        <v>7.02</v>
      </c>
      <c r="F58" s="135">
        <f>2*F17+G17</f>
        <v>1.1000000000000001</v>
      </c>
      <c r="G58" s="135"/>
      <c r="H58" s="212">
        <f t="shared" ref="H58:H67" si="5">D58*E58*F58</f>
        <v>15.444000000000001</v>
      </c>
      <c r="I58" s="136"/>
      <c r="J58" s="213"/>
      <c r="K58" s="217">
        <f t="shared" si="0"/>
        <v>0</v>
      </c>
      <c r="L58" s="218">
        <f t="shared" si="1"/>
        <v>0</v>
      </c>
    </row>
    <row r="59" spans="1:12" s="202" customFormat="1" x14ac:dyDescent="0.2">
      <c r="A59" s="124"/>
      <c r="B59" s="211"/>
      <c r="C59" s="220" t="s">
        <v>737</v>
      </c>
      <c r="D59" s="133">
        <f t="shared" ref="D59:E66" si="6">D18</f>
        <v>2</v>
      </c>
      <c r="E59" s="135">
        <f t="shared" si="6"/>
        <v>4.3</v>
      </c>
      <c r="F59" s="135">
        <f t="shared" ref="F59:F67" si="7">2*F18+G18</f>
        <v>1.1000000000000001</v>
      </c>
      <c r="G59" s="135"/>
      <c r="H59" s="212">
        <f t="shared" si="5"/>
        <v>9.4600000000000009</v>
      </c>
      <c r="I59" s="136"/>
      <c r="J59" s="213"/>
      <c r="K59" s="217">
        <f t="shared" si="0"/>
        <v>0</v>
      </c>
      <c r="L59" s="218">
        <f t="shared" si="1"/>
        <v>0</v>
      </c>
    </row>
    <row r="60" spans="1:12" s="202" customFormat="1" x14ac:dyDescent="0.2">
      <c r="A60" s="124"/>
      <c r="B60" s="211"/>
      <c r="C60" s="220" t="s">
        <v>738</v>
      </c>
      <c r="D60" s="133">
        <f t="shared" si="6"/>
        <v>2</v>
      </c>
      <c r="E60" s="135">
        <f t="shared" si="6"/>
        <v>3.05</v>
      </c>
      <c r="F60" s="135">
        <f t="shared" si="7"/>
        <v>1.1000000000000001</v>
      </c>
      <c r="G60" s="135"/>
      <c r="H60" s="212">
        <f t="shared" si="5"/>
        <v>6.71</v>
      </c>
      <c r="I60" s="136"/>
      <c r="J60" s="213"/>
      <c r="K60" s="217">
        <f t="shared" si="0"/>
        <v>0</v>
      </c>
      <c r="L60" s="218">
        <f t="shared" si="1"/>
        <v>0</v>
      </c>
    </row>
    <row r="61" spans="1:12" s="202" customFormat="1" x14ac:dyDescent="0.2">
      <c r="A61" s="124"/>
      <c r="B61" s="211"/>
      <c r="C61" s="220" t="s">
        <v>739</v>
      </c>
      <c r="D61" s="133">
        <f t="shared" si="6"/>
        <v>1</v>
      </c>
      <c r="E61" s="135">
        <f t="shared" si="6"/>
        <v>4.5</v>
      </c>
      <c r="F61" s="135">
        <f t="shared" si="7"/>
        <v>1.1000000000000001</v>
      </c>
      <c r="G61" s="135"/>
      <c r="H61" s="212">
        <f t="shared" si="5"/>
        <v>4.95</v>
      </c>
      <c r="I61" s="136"/>
      <c r="J61" s="213"/>
      <c r="K61" s="217">
        <f t="shared" si="0"/>
        <v>0</v>
      </c>
      <c r="L61" s="218">
        <f t="shared" si="1"/>
        <v>0</v>
      </c>
    </row>
    <row r="62" spans="1:12" s="202" customFormat="1" x14ac:dyDescent="0.2">
      <c r="A62" s="124"/>
      <c r="B62" s="211"/>
      <c r="C62" s="220" t="s">
        <v>740</v>
      </c>
      <c r="D62" s="133">
        <f t="shared" si="6"/>
        <v>1</v>
      </c>
      <c r="E62" s="135">
        <f t="shared" si="6"/>
        <v>11.95</v>
      </c>
      <c r="F62" s="135">
        <f t="shared" si="7"/>
        <v>1.1000000000000001</v>
      </c>
      <c r="G62" s="227"/>
      <c r="H62" s="212">
        <f t="shared" si="5"/>
        <v>13.145</v>
      </c>
      <c r="I62" s="136"/>
      <c r="J62" s="213"/>
      <c r="K62" s="217">
        <f t="shared" si="0"/>
        <v>0</v>
      </c>
      <c r="L62" s="218">
        <f t="shared" si="1"/>
        <v>0</v>
      </c>
    </row>
    <row r="63" spans="1:12" s="202" customFormat="1" x14ac:dyDescent="0.2">
      <c r="A63" s="124"/>
      <c r="B63" s="211"/>
      <c r="C63" s="220" t="s">
        <v>741</v>
      </c>
      <c r="D63" s="133">
        <f t="shared" si="6"/>
        <v>1</v>
      </c>
      <c r="E63" s="135">
        <f t="shared" si="6"/>
        <v>6.9</v>
      </c>
      <c r="F63" s="135">
        <f t="shared" si="7"/>
        <v>1.1000000000000001</v>
      </c>
      <c r="G63" s="227"/>
      <c r="H63" s="212">
        <f t="shared" si="5"/>
        <v>7.5900000000000007</v>
      </c>
      <c r="I63" s="136"/>
      <c r="J63" s="213"/>
      <c r="K63" s="217">
        <f t="shared" si="0"/>
        <v>0</v>
      </c>
      <c r="L63" s="218">
        <f t="shared" si="1"/>
        <v>0</v>
      </c>
    </row>
    <row r="64" spans="1:12" s="202" customFormat="1" x14ac:dyDescent="0.2">
      <c r="A64" s="124"/>
      <c r="B64" s="211"/>
      <c r="C64" s="220" t="s">
        <v>742</v>
      </c>
      <c r="D64" s="133">
        <f t="shared" si="6"/>
        <v>1</v>
      </c>
      <c r="E64" s="135">
        <f t="shared" si="6"/>
        <v>8.0250000000000004</v>
      </c>
      <c r="F64" s="135">
        <f t="shared" si="7"/>
        <v>1.1000000000000001</v>
      </c>
      <c r="G64" s="227"/>
      <c r="H64" s="212">
        <f t="shared" si="5"/>
        <v>8.8275000000000006</v>
      </c>
      <c r="I64" s="136"/>
      <c r="J64" s="213"/>
      <c r="K64" s="217">
        <f t="shared" si="0"/>
        <v>0</v>
      </c>
      <c r="L64" s="218">
        <f t="shared" si="1"/>
        <v>0</v>
      </c>
    </row>
    <row r="65" spans="1:12" s="202" customFormat="1" x14ac:dyDescent="0.2">
      <c r="A65" s="124"/>
      <c r="B65" s="211"/>
      <c r="C65" s="220" t="s">
        <v>743</v>
      </c>
      <c r="D65" s="133">
        <f t="shared" si="6"/>
        <v>2</v>
      </c>
      <c r="E65" s="135">
        <f t="shared" si="6"/>
        <v>5.4</v>
      </c>
      <c r="F65" s="135">
        <f t="shared" si="7"/>
        <v>1.1000000000000001</v>
      </c>
      <c r="G65" s="227"/>
      <c r="H65" s="212">
        <f t="shared" si="5"/>
        <v>11.880000000000003</v>
      </c>
      <c r="I65" s="136"/>
      <c r="J65" s="213"/>
      <c r="K65" s="217">
        <f t="shared" si="0"/>
        <v>0</v>
      </c>
      <c r="L65" s="218">
        <f t="shared" si="1"/>
        <v>0</v>
      </c>
    </row>
    <row r="66" spans="1:12" s="202" customFormat="1" x14ac:dyDescent="0.2">
      <c r="A66" s="124"/>
      <c r="B66" s="211"/>
      <c r="C66" s="220" t="s">
        <v>744</v>
      </c>
      <c r="D66" s="133">
        <f t="shared" si="6"/>
        <v>2</v>
      </c>
      <c r="E66" s="135">
        <f t="shared" si="6"/>
        <v>2.9</v>
      </c>
      <c r="F66" s="135">
        <f t="shared" si="7"/>
        <v>1.1000000000000001</v>
      </c>
      <c r="G66" s="227"/>
      <c r="H66" s="212">
        <f t="shared" si="5"/>
        <v>6.38</v>
      </c>
      <c r="I66" s="136"/>
      <c r="J66" s="213"/>
      <c r="K66" s="217">
        <f t="shared" si="0"/>
        <v>0</v>
      </c>
      <c r="L66" s="218">
        <f t="shared" si="1"/>
        <v>0</v>
      </c>
    </row>
    <row r="67" spans="1:12" s="202" customFormat="1" x14ac:dyDescent="0.2">
      <c r="A67" s="124"/>
      <c r="B67" s="211"/>
      <c r="C67" s="225" t="s">
        <v>532</v>
      </c>
      <c r="D67" s="133">
        <f>D26</f>
        <v>2</v>
      </c>
      <c r="E67" s="135">
        <f>E26</f>
        <v>1.25</v>
      </c>
      <c r="F67" s="135">
        <f t="shared" si="7"/>
        <v>1.2749999999999999</v>
      </c>
      <c r="G67" s="227"/>
      <c r="H67" s="212">
        <f t="shared" si="5"/>
        <v>3.1875</v>
      </c>
      <c r="I67" s="136"/>
      <c r="J67" s="213"/>
      <c r="K67" s="217">
        <f t="shared" si="0"/>
        <v>0</v>
      </c>
      <c r="L67" s="218">
        <f t="shared" si="1"/>
        <v>0</v>
      </c>
    </row>
    <row r="68" spans="1:12" x14ac:dyDescent="0.2">
      <c r="A68" s="139"/>
      <c r="B68" s="215"/>
      <c r="C68" s="221" t="s">
        <v>117</v>
      </c>
      <c r="D68" s="142"/>
      <c r="E68" s="145"/>
      <c r="F68" s="145"/>
      <c r="G68" s="145"/>
      <c r="H68" s="216">
        <f>SUM(H54:H67)</f>
        <v>95.861500000000007</v>
      </c>
      <c r="I68" s="141" t="s">
        <v>128</v>
      </c>
      <c r="J68" s="217">
        <v>736.4</v>
      </c>
      <c r="K68" s="217">
        <f t="shared" si="0"/>
        <v>624.06779661016947</v>
      </c>
      <c r="L68" s="218">
        <f t="shared" si="1"/>
        <v>59824.075084745768</v>
      </c>
    </row>
    <row r="69" spans="1:12" x14ac:dyDescent="0.2">
      <c r="A69" s="124" t="s">
        <v>257</v>
      </c>
      <c r="B69" s="211" t="s">
        <v>258</v>
      </c>
      <c r="C69" s="246" t="s">
        <v>259</v>
      </c>
      <c r="D69" s="247"/>
      <c r="E69" s="248"/>
      <c r="F69" s="248"/>
      <c r="G69" s="129"/>
      <c r="H69" s="239"/>
      <c r="I69" s="130"/>
      <c r="J69" s="240"/>
      <c r="K69" s="217">
        <f t="shared" si="0"/>
        <v>0</v>
      </c>
      <c r="L69" s="218">
        <f t="shared" si="1"/>
        <v>0</v>
      </c>
    </row>
    <row r="70" spans="1:12" s="202" customFormat="1" x14ac:dyDescent="0.2">
      <c r="A70" s="124"/>
      <c r="B70" s="211"/>
      <c r="C70" s="220" t="s">
        <v>457</v>
      </c>
      <c r="D70" s="133">
        <f>D50</f>
        <v>3</v>
      </c>
      <c r="E70" s="135">
        <f>1.05+0.25</f>
        <v>1.3</v>
      </c>
      <c r="F70" s="227">
        <v>0.6</v>
      </c>
      <c r="G70" s="135"/>
      <c r="H70" s="212">
        <f>D70*E70*F70</f>
        <v>2.3400000000000003</v>
      </c>
      <c r="I70" s="136"/>
      <c r="J70" s="213"/>
      <c r="K70" s="217">
        <f t="shared" si="0"/>
        <v>0</v>
      </c>
      <c r="L70" s="218">
        <f t="shared" si="1"/>
        <v>0</v>
      </c>
    </row>
    <row r="71" spans="1:12" s="202" customFormat="1" x14ac:dyDescent="0.2">
      <c r="A71" s="124"/>
      <c r="B71" s="211"/>
      <c r="C71" s="220" t="s">
        <v>260</v>
      </c>
      <c r="D71" s="133">
        <f>D51</f>
        <v>1</v>
      </c>
      <c r="E71" s="135">
        <f>1.2+0.25</f>
        <v>1.45</v>
      </c>
      <c r="F71" s="227">
        <v>0.6</v>
      </c>
      <c r="G71" s="135"/>
      <c r="H71" s="212">
        <f>D71*E71*F71</f>
        <v>0.87</v>
      </c>
      <c r="I71" s="136"/>
      <c r="J71" s="213"/>
      <c r="K71" s="217">
        <f t="shared" si="0"/>
        <v>0</v>
      </c>
      <c r="L71" s="218">
        <f t="shared" si="1"/>
        <v>0</v>
      </c>
    </row>
    <row r="72" spans="1:12" s="202" customFormat="1" x14ac:dyDescent="0.2">
      <c r="A72" s="124"/>
      <c r="B72" s="211"/>
      <c r="C72" s="220" t="s">
        <v>273</v>
      </c>
      <c r="D72" s="133">
        <v>1</v>
      </c>
      <c r="E72" s="135">
        <f>0.6+0.25</f>
        <v>0.85</v>
      </c>
      <c r="F72" s="227">
        <v>0.6</v>
      </c>
      <c r="G72" s="135"/>
      <c r="H72" s="212">
        <f>D72*E72*F72</f>
        <v>0.51</v>
      </c>
      <c r="I72" s="136"/>
      <c r="J72" s="213"/>
      <c r="K72" s="217">
        <f t="shared" si="0"/>
        <v>0</v>
      </c>
      <c r="L72" s="218">
        <f t="shared" si="1"/>
        <v>0</v>
      </c>
    </row>
    <row r="73" spans="1:12" x14ac:dyDescent="0.2">
      <c r="A73" s="124"/>
      <c r="B73" s="233"/>
      <c r="C73" s="180" t="s">
        <v>117</v>
      </c>
      <c r="D73" s="133"/>
      <c r="E73" s="135"/>
      <c r="F73" s="135"/>
      <c r="G73" s="135"/>
      <c r="H73" s="242">
        <f>SUM(H70:H72)</f>
        <v>3.7200000000000006</v>
      </c>
      <c r="I73" s="136" t="s">
        <v>128</v>
      </c>
      <c r="J73" s="213">
        <v>951.1</v>
      </c>
      <c r="K73" s="217">
        <f t="shared" si="0"/>
        <v>806.01694915254234</v>
      </c>
      <c r="L73" s="218">
        <f t="shared" si="1"/>
        <v>2998.383050847458</v>
      </c>
    </row>
    <row r="74" spans="1:12" ht="43.5" x14ac:dyDescent="0.2">
      <c r="A74" s="116" t="s">
        <v>261</v>
      </c>
      <c r="B74" s="206" t="s">
        <v>205</v>
      </c>
      <c r="C74" s="292" t="s">
        <v>538</v>
      </c>
      <c r="D74" s="119"/>
      <c r="E74" s="121"/>
      <c r="F74" s="121"/>
      <c r="G74" s="121"/>
      <c r="H74" s="354"/>
      <c r="I74" s="122"/>
      <c r="J74" s="209"/>
      <c r="K74" s="217">
        <f t="shared" si="0"/>
        <v>0</v>
      </c>
      <c r="L74" s="218">
        <f t="shared" si="1"/>
        <v>0</v>
      </c>
    </row>
    <row r="75" spans="1:12" x14ac:dyDescent="0.2">
      <c r="A75" s="124"/>
      <c r="B75" s="211"/>
      <c r="C75" s="220" t="s">
        <v>533</v>
      </c>
      <c r="D75" s="133">
        <v>1</v>
      </c>
      <c r="E75" s="134">
        <f>E27</f>
        <v>120</v>
      </c>
      <c r="F75" s="135"/>
      <c r="G75" s="135">
        <f>2*G27+0.075</f>
        <v>0.22499999999999998</v>
      </c>
      <c r="H75" s="134">
        <f>D75*E75*G75</f>
        <v>26.999999999999996</v>
      </c>
      <c r="I75" s="136"/>
      <c r="J75" s="213"/>
      <c r="K75" s="217">
        <f t="shared" ref="K75:K138" si="8">J75*100/118</f>
        <v>0</v>
      </c>
      <c r="L75" s="218">
        <f t="shared" ref="L75:L138" si="9">K75*H75</f>
        <v>0</v>
      </c>
    </row>
    <row r="76" spans="1:12" x14ac:dyDescent="0.2">
      <c r="A76" s="139"/>
      <c r="B76" s="215"/>
      <c r="C76" s="221" t="s">
        <v>117</v>
      </c>
      <c r="D76" s="142"/>
      <c r="E76" s="144">
        <f>SUM(E75:E75)</f>
        <v>120</v>
      </c>
      <c r="F76" s="145"/>
      <c r="G76" s="145"/>
      <c r="H76" s="222">
        <f>SUM(H75:H75)</f>
        <v>26.999999999999996</v>
      </c>
      <c r="I76" s="141" t="s">
        <v>334</v>
      </c>
      <c r="J76" s="217">
        <v>392.15</v>
      </c>
      <c r="K76" s="217">
        <f t="shared" si="8"/>
        <v>332.33050847457628</v>
      </c>
      <c r="L76" s="218">
        <f t="shared" si="9"/>
        <v>8972.9237288135591</v>
      </c>
    </row>
    <row r="77" spans="1:12" x14ac:dyDescent="0.2">
      <c r="A77" s="116" t="s">
        <v>263</v>
      </c>
      <c r="B77" s="206" t="s">
        <v>203</v>
      </c>
      <c r="C77" s="182" t="s">
        <v>262</v>
      </c>
      <c r="D77" s="119"/>
      <c r="E77" s="121"/>
      <c r="F77" s="121"/>
      <c r="G77" s="121"/>
      <c r="H77" s="208"/>
      <c r="I77" s="122"/>
      <c r="J77" s="209"/>
      <c r="K77" s="217">
        <f t="shared" si="8"/>
        <v>0</v>
      </c>
      <c r="L77" s="218">
        <f t="shared" si="9"/>
        <v>0</v>
      </c>
    </row>
    <row r="78" spans="1:12" x14ac:dyDescent="0.2">
      <c r="A78" s="124" t="s">
        <v>91</v>
      </c>
      <c r="B78" s="211"/>
      <c r="C78" s="132" t="s">
        <v>139</v>
      </c>
      <c r="D78" s="133">
        <f>D6</f>
        <v>18</v>
      </c>
      <c r="E78" s="134">
        <f>2*(F6+E6)</f>
        <v>1.7999999999999998</v>
      </c>
      <c r="F78" s="134"/>
      <c r="G78" s="134">
        <f>G6</f>
        <v>2.4</v>
      </c>
      <c r="H78" s="212">
        <f>G78*E78*D78</f>
        <v>77.759999999999991</v>
      </c>
      <c r="I78" s="136"/>
      <c r="J78" s="213"/>
      <c r="K78" s="217">
        <f t="shared" si="8"/>
        <v>0</v>
      </c>
      <c r="L78" s="218">
        <f t="shared" si="9"/>
        <v>0</v>
      </c>
    </row>
    <row r="79" spans="1:12" x14ac:dyDescent="0.2">
      <c r="A79" s="124"/>
      <c r="B79" s="211"/>
      <c r="C79" s="132" t="s">
        <v>523</v>
      </c>
      <c r="D79" s="133">
        <f>D7</f>
        <v>1</v>
      </c>
      <c r="E79" s="134">
        <f>2*(F7+E7)</f>
        <v>1.1000000000000001</v>
      </c>
      <c r="F79" s="134"/>
      <c r="G79" s="134">
        <f>G7</f>
        <v>2.4</v>
      </c>
      <c r="H79" s="212">
        <f>G79*E79*D79</f>
        <v>2.64</v>
      </c>
      <c r="I79" s="136"/>
      <c r="J79" s="213"/>
      <c r="K79" s="217">
        <f t="shared" si="8"/>
        <v>0</v>
      </c>
      <c r="L79" s="218">
        <f t="shared" si="9"/>
        <v>0</v>
      </c>
    </row>
    <row r="80" spans="1:12" x14ac:dyDescent="0.2">
      <c r="A80" s="124"/>
      <c r="B80" s="211"/>
      <c r="C80" s="132" t="s">
        <v>524</v>
      </c>
      <c r="D80" s="133">
        <f>D8</f>
        <v>1</v>
      </c>
      <c r="E80" s="134">
        <f>2*E8</f>
        <v>33.799999999999997</v>
      </c>
      <c r="F80" s="134"/>
      <c r="G80" s="134">
        <f>G8</f>
        <v>0.70000000000000007</v>
      </c>
      <c r="H80" s="212">
        <f>G80*E80*D80</f>
        <v>23.66</v>
      </c>
      <c r="I80" s="136"/>
      <c r="J80" s="213"/>
      <c r="K80" s="217">
        <f t="shared" si="8"/>
        <v>0</v>
      </c>
      <c r="L80" s="218">
        <f t="shared" si="9"/>
        <v>0</v>
      </c>
    </row>
    <row r="81" spans="1:12" x14ac:dyDescent="0.2">
      <c r="A81" s="124"/>
      <c r="B81" s="211"/>
      <c r="C81" s="132" t="s">
        <v>525</v>
      </c>
      <c r="D81" s="133">
        <f>D9</f>
        <v>20</v>
      </c>
      <c r="E81" s="134">
        <f>E9*2</f>
        <v>0.5</v>
      </c>
      <c r="F81" s="134"/>
      <c r="G81" s="134">
        <f>G9</f>
        <v>1.2</v>
      </c>
      <c r="H81" s="212">
        <f>G81*E81*D81</f>
        <v>12</v>
      </c>
      <c r="I81" s="136"/>
      <c r="J81" s="213"/>
      <c r="K81" s="217">
        <f t="shared" si="8"/>
        <v>0</v>
      </c>
      <c r="L81" s="218">
        <f t="shared" si="9"/>
        <v>0</v>
      </c>
    </row>
    <row r="82" spans="1:12" x14ac:dyDescent="0.2">
      <c r="A82" s="139"/>
      <c r="B82" s="215"/>
      <c r="C82" s="221" t="s">
        <v>117</v>
      </c>
      <c r="D82" s="142"/>
      <c r="E82" s="145"/>
      <c r="F82" s="145"/>
      <c r="G82" s="145"/>
      <c r="H82" s="216">
        <f>SUM(H78:H81)</f>
        <v>116.05999999999999</v>
      </c>
      <c r="I82" s="141" t="s">
        <v>128</v>
      </c>
      <c r="J82" s="217">
        <v>961.3</v>
      </c>
      <c r="K82" s="217">
        <f t="shared" si="8"/>
        <v>814.66101694915255</v>
      </c>
      <c r="L82" s="218">
        <f t="shared" si="9"/>
        <v>94549.557627118629</v>
      </c>
    </row>
    <row r="83" spans="1:12" s="256" customFormat="1" ht="38.25" x14ac:dyDescent="0.2">
      <c r="A83" s="116">
        <v>5</v>
      </c>
      <c r="B83" s="117">
        <v>6.4</v>
      </c>
      <c r="C83" s="251" t="s">
        <v>267</v>
      </c>
      <c r="D83" s="116"/>
      <c r="E83" s="252"/>
      <c r="F83" s="252"/>
      <c r="G83" s="252"/>
      <c r="H83" s="253"/>
      <c r="I83" s="254"/>
      <c r="J83" s="255"/>
      <c r="K83" s="217">
        <f t="shared" si="8"/>
        <v>0</v>
      </c>
      <c r="L83" s="218">
        <f t="shared" si="9"/>
        <v>0</v>
      </c>
    </row>
    <row r="84" spans="1:12" s="256" customFormat="1" x14ac:dyDescent="0.2">
      <c r="A84" s="124"/>
      <c r="B84" s="125" t="s">
        <v>268</v>
      </c>
      <c r="C84" s="257" t="s">
        <v>269</v>
      </c>
      <c r="D84" s="124"/>
      <c r="E84" s="258"/>
      <c r="F84" s="258"/>
      <c r="G84" s="258"/>
      <c r="H84" s="259"/>
      <c r="I84" s="260"/>
      <c r="J84" s="261"/>
      <c r="K84" s="217">
        <f t="shared" si="8"/>
        <v>0</v>
      </c>
      <c r="L84" s="218">
        <f t="shared" si="9"/>
        <v>0</v>
      </c>
    </row>
    <row r="85" spans="1:12" x14ac:dyDescent="0.2">
      <c r="A85" s="124"/>
      <c r="B85" s="125"/>
      <c r="C85" s="262" t="s">
        <v>424</v>
      </c>
      <c r="D85" s="133"/>
      <c r="E85" s="135"/>
      <c r="F85" s="135"/>
      <c r="G85" s="135"/>
      <c r="H85" s="212"/>
      <c r="I85" s="136"/>
      <c r="J85" s="213"/>
      <c r="K85" s="217">
        <f t="shared" si="8"/>
        <v>0</v>
      </c>
      <c r="L85" s="218">
        <f t="shared" si="9"/>
        <v>0</v>
      </c>
    </row>
    <row r="86" spans="1:12" x14ac:dyDescent="0.2">
      <c r="A86" s="124"/>
      <c r="B86" s="211"/>
      <c r="C86" s="325" t="s">
        <v>539</v>
      </c>
      <c r="D86" s="133">
        <v>2</v>
      </c>
      <c r="E86" s="134">
        <f xml:space="preserve"> (3.05+5.4)</f>
        <v>8.4499999999999993</v>
      </c>
      <c r="F86" s="135">
        <v>0.25</v>
      </c>
      <c r="G86" s="135">
        <f>3-0.6</f>
        <v>2.4</v>
      </c>
      <c r="H86" s="212">
        <f>G86*F86*E86*D86</f>
        <v>10.139999999999999</v>
      </c>
      <c r="I86" s="136"/>
      <c r="J86" s="213"/>
      <c r="K86" s="217">
        <f t="shared" si="8"/>
        <v>0</v>
      </c>
      <c r="L86" s="218">
        <f t="shared" si="9"/>
        <v>0</v>
      </c>
    </row>
    <row r="87" spans="1:12" x14ac:dyDescent="0.2">
      <c r="A87" s="124"/>
      <c r="B87" s="211"/>
      <c r="C87" s="325" t="s">
        <v>540</v>
      </c>
      <c r="D87" s="133">
        <v>2</v>
      </c>
      <c r="E87" s="134">
        <f>(4.3+2.9)</f>
        <v>7.1999999999999993</v>
      </c>
      <c r="F87" s="135">
        <v>0.25</v>
      </c>
      <c r="G87" s="135">
        <f>1.5-0.45</f>
        <v>1.05</v>
      </c>
      <c r="H87" s="212">
        <f>G87*F87*E87*D87</f>
        <v>3.78</v>
      </c>
      <c r="I87" s="136"/>
      <c r="J87" s="213"/>
      <c r="K87" s="217">
        <f t="shared" si="8"/>
        <v>0</v>
      </c>
      <c r="L87" s="218">
        <f t="shared" si="9"/>
        <v>0</v>
      </c>
    </row>
    <row r="88" spans="1:12" x14ac:dyDescent="0.2">
      <c r="A88" s="124"/>
      <c r="B88" s="211"/>
      <c r="C88" s="325"/>
      <c r="D88" s="133">
        <v>2</v>
      </c>
      <c r="E88" s="134">
        <f>(4.3+2.9)</f>
        <v>7.1999999999999993</v>
      </c>
      <c r="F88" s="135">
        <v>0.25</v>
      </c>
      <c r="G88" s="135">
        <f>2.13-0.45</f>
        <v>1.68</v>
      </c>
      <c r="H88" s="212">
        <f>G88*F88*E88*D88</f>
        <v>6.0479999999999992</v>
      </c>
      <c r="I88" s="136"/>
      <c r="J88" s="213"/>
      <c r="K88" s="217">
        <f t="shared" si="8"/>
        <v>0</v>
      </c>
      <c r="L88" s="218">
        <f t="shared" si="9"/>
        <v>0</v>
      </c>
    </row>
    <row r="89" spans="1:12" x14ac:dyDescent="0.2">
      <c r="A89" s="124"/>
      <c r="B89" s="211"/>
      <c r="C89" s="325"/>
      <c r="D89" s="133">
        <v>1</v>
      </c>
      <c r="E89" s="134">
        <v>3.12</v>
      </c>
      <c r="F89" s="135">
        <v>0.25</v>
      </c>
      <c r="G89" s="135">
        <f>2.55 - 0.45</f>
        <v>2.0999999999999996</v>
      </c>
      <c r="H89" s="212">
        <f>G89*F89*E89*D89</f>
        <v>1.6379999999999997</v>
      </c>
      <c r="I89" s="136"/>
      <c r="J89" s="213"/>
      <c r="K89" s="217">
        <f t="shared" si="8"/>
        <v>0</v>
      </c>
      <c r="L89" s="218">
        <f t="shared" si="9"/>
        <v>0</v>
      </c>
    </row>
    <row r="90" spans="1:12" s="202" customFormat="1" x14ac:dyDescent="0.2">
      <c r="A90" s="124"/>
      <c r="B90" s="211"/>
      <c r="C90" s="220" t="s">
        <v>736</v>
      </c>
      <c r="D90" s="133">
        <v>2</v>
      </c>
      <c r="E90" s="135">
        <f>E49</f>
        <v>1.62</v>
      </c>
      <c r="F90" s="135">
        <v>0.25</v>
      </c>
      <c r="G90" s="135">
        <f>3-0.6</f>
        <v>2.4</v>
      </c>
      <c r="H90" s="212">
        <f>D90*E90*F90</f>
        <v>0.81</v>
      </c>
      <c r="I90" s="136"/>
      <c r="J90" s="213"/>
      <c r="K90" s="217">
        <f t="shared" si="8"/>
        <v>0</v>
      </c>
      <c r="L90" s="218">
        <f t="shared" si="9"/>
        <v>0</v>
      </c>
    </row>
    <row r="91" spans="1:12" s="202" customFormat="1" x14ac:dyDescent="0.2">
      <c r="A91" s="124"/>
      <c r="B91" s="211"/>
      <c r="C91" s="220" t="s">
        <v>739</v>
      </c>
      <c r="D91" s="133">
        <v>1</v>
      </c>
      <c r="E91" s="135">
        <f>E61</f>
        <v>4.5</v>
      </c>
      <c r="F91" s="135">
        <v>0.25</v>
      </c>
      <c r="G91" s="135">
        <f t="shared" ref="G91:G101" si="10">3-0.6</f>
        <v>2.4</v>
      </c>
      <c r="H91" s="212">
        <f>D91*E91*F91</f>
        <v>1.125</v>
      </c>
      <c r="I91" s="136"/>
      <c r="J91" s="213"/>
      <c r="K91" s="217">
        <f t="shared" si="8"/>
        <v>0</v>
      </c>
      <c r="L91" s="218">
        <f t="shared" si="9"/>
        <v>0</v>
      </c>
    </row>
    <row r="92" spans="1:12" s="202" customFormat="1" x14ac:dyDescent="0.2">
      <c r="A92" s="124"/>
      <c r="B92" s="211"/>
      <c r="C92" s="220" t="s">
        <v>740</v>
      </c>
      <c r="D92" s="133">
        <f t="shared" ref="D92:E94" si="11">D53</f>
        <v>0</v>
      </c>
      <c r="E92" s="135">
        <f t="shared" si="11"/>
        <v>0</v>
      </c>
      <c r="F92" s="135">
        <v>0.25</v>
      </c>
      <c r="G92" s="135">
        <f t="shared" si="10"/>
        <v>2.4</v>
      </c>
      <c r="H92" s="212">
        <f>D92*E92*F92</f>
        <v>0</v>
      </c>
      <c r="I92" s="136"/>
      <c r="J92" s="213"/>
      <c r="K92" s="217">
        <f t="shared" si="8"/>
        <v>0</v>
      </c>
      <c r="L92" s="218">
        <f t="shared" si="9"/>
        <v>0</v>
      </c>
    </row>
    <row r="93" spans="1:12" s="202" customFormat="1" x14ac:dyDescent="0.2">
      <c r="A93" s="124"/>
      <c r="B93" s="211"/>
      <c r="C93" s="220" t="s">
        <v>741</v>
      </c>
      <c r="D93" s="133">
        <f t="shared" si="11"/>
        <v>1</v>
      </c>
      <c r="E93" s="135">
        <f t="shared" si="11"/>
        <v>1.3</v>
      </c>
      <c r="F93" s="135">
        <v>0.25</v>
      </c>
      <c r="G93" s="135">
        <f t="shared" si="10"/>
        <v>2.4</v>
      </c>
      <c r="H93" s="212">
        <f>D93*E93*F93</f>
        <v>0.32500000000000001</v>
      </c>
      <c r="I93" s="136"/>
      <c r="J93" s="213"/>
      <c r="K93" s="217">
        <f t="shared" si="8"/>
        <v>0</v>
      </c>
      <c r="L93" s="218">
        <f t="shared" si="9"/>
        <v>0</v>
      </c>
    </row>
    <row r="94" spans="1:12" s="202" customFormat="1" x14ac:dyDescent="0.2">
      <c r="A94" s="124"/>
      <c r="B94" s="211"/>
      <c r="C94" s="220" t="s">
        <v>742</v>
      </c>
      <c r="D94" s="133">
        <f t="shared" si="11"/>
        <v>3</v>
      </c>
      <c r="E94" s="135">
        <f t="shared" si="11"/>
        <v>1.45</v>
      </c>
      <c r="F94" s="135">
        <v>0.25</v>
      </c>
      <c r="G94" s="135">
        <f t="shared" si="10"/>
        <v>2.4</v>
      </c>
      <c r="H94" s="212">
        <f>D94*E94*F94</f>
        <v>1.0874999999999999</v>
      </c>
      <c r="I94" s="136"/>
      <c r="J94" s="213"/>
      <c r="K94" s="217">
        <f t="shared" si="8"/>
        <v>0</v>
      </c>
      <c r="L94" s="218">
        <f t="shared" si="9"/>
        <v>0</v>
      </c>
    </row>
    <row r="95" spans="1:12" x14ac:dyDescent="0.2">
      <c r="A95" s="124"/>
      <c r="B95" s="211"/>
      <c r="C95" s="191" t="s">
        <v>271</v>
      </c>
      <c r="D95" s="133"/>
      <c r="E95" s="134"/>
      <c r="F95" s="135"/>
      <c r="G95" s="135"/>
      <c r="H95" s="212"/>
      <c r="I95" s="136"/>
      <c r="J95" s="236"/>
      <c r="K95" s="217">
        <f t="shared" si="8"/>
        <v>0</v>
      </c>
      <c r="L95" s="218">
        <f t="shared" si="9"/>
        <v>0</v>
      </c>
    </row>
    <row r="96" spans="1:12" x14ac:dyDescent="0.2">
      <c r="A96" s="124"/>
      <c r="B96" s="211"/>
      <c r="C96" s="183" t="s">
        <v>418</v>
      </c>
      <c r="D96" s="133">
        <v>-2</v>
      </c>
      <c r="E96" s="135">
        <v>1.05</v>
      </c>
      <c r="F96" s="135">
        <v>0.25</v>
      </c>
      <c r="G96" s="135">
        <f t="shared" si="10"/>
        <v>2.4</v>
      </c>
      <c r="H96" s="212">
        <f t="shared" ref="H96:H101" si="12">G96*F96*E96*D96</f>
        <v>-1.26</v>
      </c>
      <c r="I96" s="136"/>
      <c r="J96" s="236"/>
      <c r="K96" s="217">
        <f t="shared" si="8"/>
        <v>0</v>
      </c>
      <c r="L96" s="218">
        <f t="shared" si="9"/>
        <v>0</v>
      </c>
    </row>
    <row r="97" spans="1:12" x14ac:dyDescent="0.2">
      <c r="A97" s="124"/>
      <c r="B97" s="211"/>
      <c r="C97" s="183" t="s">
        <v>223</v>
      </c>
      <c r="D97" s="133">
        <v>-1</v>
      </c>
      <c r="E97" s="135">
        <v>0.75</v>
      </c>
      <c r="F97" s="135">
        <v>0.25</v>
      </c>
      <c r="G97" s="135">
        <f t="shared" si="10"/>
        <v>2.4</v>
      </c>
      <c r="H97" s="212">
        <f t="shared" si="12"/>
        <v>-0.44999999999999996</v>
      </c>
      <c r="I97" s="136"/>
      <c r="J97" s="236"/>
      <c r="K97" s="217">
        <f t="shared" si="8"/>
        <v>0</v>
      </c>
      <c r="L97" s="218">
        <f t="shared" si="9"/>
        <v>0</v>
      </c>
    </row>
    <row r="98" spans="1:12" x14ac:dyDescent="0.2">
      <c r="A98" s="124"/>
      <c r="B98" s="211"/>
      <c r="C98" s="220" t="s">
        <v>457</v>
      </c>
      <c r="D98" s="133">
        <v>-1</v>
      </c>
      <c r="E98" s="135">
        <v>1.37</v>
      </c>
      <c r="F98" s="135">
        <v>0.25</v>
      </c>
      <c r="G98" s="135">
        <f t="shared" si="10"/>
        <v>2.4</v>
      </c>
      <c r="H98" s="212">
        <f t="shared" si="12"/>
        <v>-0.82200000000000006</v>
      </c>
      <c r="I98" s="136"/>
      <c r="J98" s="236"/>
      <c r="K98" s="217">
        <f t="shared" si="8"/>
        <v>0</v>
      </c>
      <c r="L98" s="218">
        <f t="shared" si="9"/>
        <v>0</v>
      </c>
    </row>
    <row r="99" spans="1:12" x14ac:dyDescent="0.2">
      <c r="A99" s="124"/>
      <c r="B99" s="211"/>
      <c r="C99" s="220" t="s">
        <v>260</v>
      </c>
      <c r="D99" s="133">
        <v>-2</v>
      </c>
      <c r="E99" s="135">
        <v>1.2</v>
      </c>
      <c r="F99" s="135">
        <v>0.25</v>
      </c>
      <c r="G99" s="135">
        <f t="shared" si="10"/>
        <v>2.4</v>
      </c>
      <c r="H99" s="212">
        <f t="shared" si="12"/>
        <v>-1.44</v>
      </c>
      <c r="I99" s="136"/>
      <c r="J99" s="236"/>
      <c r="K99" s="217">
        <f t="shared" si="8"/>
        <v>0</v>
      </c>
      <c r="L99" s="218">
        <f t="shared" si="9"/>
        <v>0</v>
      </c>
    </row>
    <row r="100" spans="1:12" x14ac:dyDescent="0.2">
      <c r="A100" s="124"/>
      <c r="B100" s="211"/>
      <c r="C100" s="220" t="s">
        <v>273</v>
      </c>
      <c r="D100" s="133">
        <v>-1</v>
      </c>
      <c r="E100" s="135">
        <v>0.6</v>
      </c>
      <c r="F100" s="135">
        <v>0.25</v>
      </c>
      <c r="G100" s="135">
        <f t="shared" si="10"/>
        <v>2.4</v>
      </c>
      <c r="H100" s="212">
        <f t="shared" si="12"/>
        <v>-0.36</v>
      </c>
      <c r="I100" s="136"/>
      <c r="J100" s="236"/>
      <c r="K100" s="217">
        <f t="shared" si="8"/>
        <v>0</v>
      </c>
      <c r="L100" s="218">
        <f t="shared" si="9"/>
        <v>0</v>
      </c>
    </row>
    <row r="101" spans="1:12" x14ac:dyDescent="0.2">
      <c r="A101" s="124"/>
      <c r="B101" s="211"/>
      <c r="C101" s="316" t="s">
        <v>456</v>
      </c>
      <c r="D101" s="142">
        <v>-1</v>
      </c>
      <c r="E101" s="145">
        <v>1.8</v>
      </c>
      <c r="F101" s="135">
        <v>0.25</v>
      </c>
      <c r="G101" s="135">
        <f t="shared" si="10"/>
        <v>2.4</v>
      </c>
      <c r="H101" s="400">
        <f t="shared" si="12"/>
        <v>-1.08</v>
      </c>
      <c r="I101" s="141"/>
      <c r="J101" s="314"/>
      <c r="K101" s="217">
        <f t="shared" si="8"/>
        <v>0</v>
      </c>
      <c r="L101" s="218">
        <f t="shared" si="9"/>
        <v>0</v>
      </c>
    </row>
    <row r="102" spans="1:12" x14ac:dyDescent="0.2">
      <c r="A102" s="124"/>
      <c r="B102" s="211"/>
      <c r="C102" s="325"/>
      <c r="D102" s="133"/>
      <c r="E102" s="134"/>
      <c r="F102" s="135"/>
      <c r="G102" s="135"/>
      <c r="H102" s="212"/>
      <c r="I102" s="136"/>
      <c r="J102" s="213"/>
      <c r="K102" s="217">
        <f t="shared" si="8"/>
        <v>0</v>
      </c>
      <c r="L102" s="218">
        <f t="shared" si="9"/>
        <v>0</v>
      </c>
    </row>
    <row r="103" spans="1:12" x14ac:dyDescent="0.2">
      <c r="A103" s="124"/>
      <c r="B103" s="211"/>
      <c r="C103" s="325" t="s">
        <v>541</v>
      </c>
      <c r="D103" s="133"/>
      <c r="E103" s="134">
        <f>SUM(E86*D86+E87*D87+E88*D88+E89*D89+D90*E90+D91*E91+D92*E92+D93*E93+D94*E94)</f>
        <v>62.209999999999994</v>
      </c>
      <c r="F103" s="135"/>
      <c r="G103" s="135"/>
      <c r="H103" s="212"/>
      <c r="I103" s="136"/>
      <c r="J103" s="213"/>
      <c r="K103" s="217">
        <f t="shared" si="8"/>
        <v>0</v>
      </c>
      <c r="L103" s="218">
        <f t="shared" si="9"/>
        <v>0</v>
      </c>
    </row>
    <row r="104" spans="1:12" x14ac:dyDescent="0.2">
      <c r="A104" s="124"/>
      <c r="B104" s="211"/>
      <c r="C104" s="325" t="s">
        <v>542</v>
      </c>
      <c r="D104" s="133"/>
      <c r="E104" s="134"/>
      <c r="F104" s="135"/>
      <c r="G104" s="135"/>
      <c r="H104" s="212"/>
      <c r="I104" s="136"/>
      <c r="J104" s="213"/>
      <c r="K104" s="217">
        <f t="shared" si="8"/>
        <v>0</v>
      </c>
      <c r="L104" s="218">
        <f t="shared" si="9"/>
        <v>0</v>
      </c>
    </row>
    <row r="105" spans="1:12" x14ac:dyDescent="0.2">
      <c r="A105" s="124"/>
      <c r="B105" s="211"/>
      <c r="C105" s="325" t="s">
        <v>289</v>
      </c>
      <c r="D105" s="133">
        <v>1</v>
      </c>
      <c r="E105" s="134">
        <v>5.0999999999999996</v>
      </c>
      <c r="F105" s="135">
        <v>0.25</v>
      </c>
      <c r="G105" s="135">
        <f>2.55 - 0.45</f>
        <v>2.0999999999999996</v>
      </c>
      <c r="H105" s="212">
        <f>G105*F105*E105*D105</f>
        <v>2.6774999999999993</v>
      </c>
      <c r="I105" s="136"/>
      <c r="J105" s="213"/>
      <c r="K105" s="217">
        <f t="shared" si="8"/>
        <v>0</v>
      </c>
      <c r="L105" s="218">
        <f t="shared" si="9"/>
        <v>0</v>
      </c>
    </row>
    <row r="106" spans="1:12" x14ac:dyDescent="0.2">
      <c r="A106" s="124"/>
      <c r="B106" s="211"/>
      <c r="C106" s="325" t="s">
        <v>543</v>
      </c>
      <c r="D106" s="133">
        <v>1</v>
      </c>
      <c r="E106" s="134">
        <v>1.95</v>
      </c>
      <c r="F106" s="135">
        <v>0.25</v>
      </c>
      <c r="G106" s="135">
        <v>1.35</v>
      </c>
      <c r="H106" s="212">
        <f>G106*F106*E106*D106</f>
        <v>0.65812500000000007</v>
      </c>
      <c r="I106" s="136"/>
      <c r="J106" s="213"/>
      <c r="K106" s="217">
        <f t="shared" si="8"/>
        <v>0</v>
      </c>
      <c r="L106" s="218">
        <f t="shared" si="9"/>
        <v>0</v>
      </c>
    </row>
    <row r="107" spans="1:12" x14ac:dyDescent="0.2">
      <c r="A107" s="124"/>
      <c r="B107" s="211"/>
      <c r="C107" s="325" t="s">
        <v>544</v>
      </c>
      <c r="D107" s="133"/>
      <c r="E107" s="134">
        <f>SUM(E105*D105+E106*D106)</f>
        <v>7.05</v>
      </c>
      <c r="F107" s="135"/>
      <c r="G107" s="135"/>
      <c r="H107" s="212"/>
      <c r="I107" s="136"/>
      <c r="J107" s="213"/>
      <c r="K107" s="217">
        <f t="shared" si="8"/>
        <v>0</v>
      </c>
      <c r="L107" s="218">
        <f t="shared" si="9"/>
        <v>0</v>
      </c>
    </row>
    <row r="108" spans="1:12" x14ac:dyDescent="0.2">
      <c r="A108" s="124"/>
      <c r="B108" s="211"/>
      <c r="C108" s="326" t="s">
        <v>545</v>
      </c>
      <c r="D108" s="133"/>
      <c r="E108" s="134"/>
      <c r="F108" s="135"/>
      <c r="G108" s="135"/>
      <c r="H108" s="212"/>
      <c r="I108" s="136"/>
      <c r="J108" s="213"/>
      <c r="K108" s="217">
        <f t="shared" si="8"/>
        <v>0</v>
      </c>
      <c r="L108" s="218">
        <f t="shared" si="9"/>
        <v>0</v>
      </c>
    </row>
    <row r="109" spans="1:12" x14ac:dyDescent="0.2">
      <c r="A109" s="124"/>
      <c r="B109" s="211"/>
      <c r="C109" s="132"/>
      <c r="D109" s="133">
        <v>1</v>
      </c>
      <c r="E109" s="134">
        <f>E27</f>
        <v>120</v>
      </c>
      <c r="F109" s="135">
        <v>0.25</v>
      </c>
      <c r="G109" s="135">
        <v>1.2</v>
      </c>
      <c r="H109" s="212">
        <f>G109*F109*E109*D109</f>
        <v>36</v>
      </c>
      <c r="I109" s="136"/>
      <c r="J109" s="213"/>
      <c r="K109" s="217">
        <f t="shared" si="8"/>
        <v>0</v>
      </c>
      <c r="L109" s="218">
        <f t="shared" si="9"/>
        <v>0</v>
      </c>
    </row>
    <row r="110" spans="1:12" x14ac:dyDescent="0.2">
      <c r="A110" s="124"/>
      <c r="B110" s="211"/>
      <c r="C110" s="132" t="s">
        <v>546</v>
      </c>
      <c r="D110" s="133"/>
      <c r="E110" s="134">
        <f>SUM(E109*D109)</f>
        <v>120</v>
      </c>
      <c r="F110" s="135"/>
      <c r="G110" s="135"/>
      <c r="H110" s="212"/>
      <c r="I110" s="136"/>
      <c r="J110" s="213"/>
      <c r="K110" s="217">
        <f t="shared" si="8"/>
        <v>0</v>
      </c>
      <c r="L110" s="218">
        <f t="shared" si="9"/>
        <v>0</v>
      </c>
    </row>
    <row r="111" spans="1:12" x14ac:dyDescent="0.2">
      <c r="A111" s="124"/>
      <c r="B111" s="211"/>
      <c r="C111" s="191" t="s">
        <v>271</v>
      </c>
      <c r="D111" s="133"/>
      <c r="E111" s="134"/>
      <c r="F111" s="134"/>
      <c r="G111" s="134"/>
      <c r="H111" s="212"/>
      <c r="I111" s="136"/>
      <c r="J111" s="236"/>
      <c r="K111" s="217">
        <f t="shared" si="8"/>
        <v>0</v>
      </c>
      <c r="L111" s="218">
        <f t="shared" si="9"/>
        <v>0</v>
      </c>
    </row>
    <row r="112" spans="1:12" x14ac:dyDescent="0.2">
      <c r="A112" s="124"/>
      <c r="B112" s="211"/>
      <c r="C112" s="220" t="s">
        <v>293</v>
      </c>
      <c r="D112" s="133">
        <v>-1</v>
      </c>
      <c r="E112" s="135">
        <v>1.05</v>
      </c>
      <c r="F112" s="135">
        <v>0.25</v>
      </c>
      <c r="G112" s="135">
        <v>2.1</v>
      </c>
      <c r="H112" s="212">
        <f>G112*F112*E112*D112</f>
        <v>-0.55125000000000002</v>
      </c>
      <c r="I112" s="136"/>
      <c r="J112" s="236"/>
      <c r="K112" s="217">
        <f t="shared" si="8"/>
        <v>0</v>
      </c>
      <c r="L112" s="218">
        <f t="shared" si="9"/>
        <v>0</v>
      </c>
    </row>
    <row r="113" spans="1:12" x14ac:dyDescent="0.2">
      <c r="A113" s="139"/>
      <c r="B113" s="215"/>
      <c r="C113" s="221" t="s">
        <v>117</v>
      </c>
      <c r="D113" s="142"/>
      <c r="E113" s="145"/>
      <c r="F113" s="145"/>
      <c r="G113" s="145"/>
      <c r="H113" s="216">
        <f>SUM(H86:H112)</f>
        <v>58.325874999999989</v>
      </c>
      <c r="I113" s="141" t="s">
        <v>118</v>
      </c>
      <c r="J113" s="217">
        <v>9105.9500000000007</v>
      </c>
      <c r="K113" s="217">
        <f t="shared" si="8"/>
        <v>7716.9067796610179</v>
      </c>
      <c r="L113" s="218">
        <f t="shared" si="9"/>
        <v>450095.34021716099</v>
      </c>
    </row>
    <row r="114" spans="1:12" ht="25.5" x14ac:dyDescent="0.2">
      <c r="A114" s="116">
        <v>6</v>
      </c>
      <c r="B114" s="117">
        <v>6.13</v>
      </c>
      <c r="C114" s="251" t="s">
        <v>274</v>
      </c>
      <c r="D114" s="119"/>
      <c r="E114" s="121"/>
      <c r="F114" s="121"/>
      <c r="G114" s="121"/>
      <c r="H114" s="263"/>
      <c r="I114" s="122"/>
      <c r="J114" s="209"/>
      <c r="K114" s="217">
        <f t="shared" si="8"/>
        <v>0</v>
      </c>
      <c r="L114" s="218">
        <f t="shared" si="9"/>
        <v>0</v>
      </c>
    </row>
    <row r="115" spans="1:12" ht="26.25" customHeight="1" x14ac:dyDescent="0.2">
      <c r="A115" s="124"/>
      <c r="B115" s="125" t="s">
        <v>275</v>
      </c>
      <c r="C115" s="257" t="s">
        <v>276</v>
      </c>
      <c r="D115" s="127"/>
      <c r="E115" s="129"/>
      <c r="F115" s="129"/>
      <c r="G115" s="129"/>
      <c r="H115" s="264"/>
      <c r="I115" s="130"/>
      <c r="J115" s="240"/>
      <c r="K115" s="217">
        <f t="shared" si="8"/>
        <v>0</v>
      </c>
      <c r="L115" s="218">
        <f t="shared" si="9"/>
        <v>0</v>
      </c>
    </row>
    <row r="116" spans="1:12" ht="21" customHeight="1" x14ac:dyDescent="0.2">
      <c r="A116" s="124"/>
      <c r="B116" s="211"/>
      <c r="C116" s="187" t="s">
        <v>547</v>
      </c>
      <c r="D116" s="180"/>
      <c r="E116" s="135"/>
      <c r="F116" s="135"/>
      <c r="G116" s="135"/>
      <c r="H116" s="212"/>
      <c r="I116" s="136"/>
      <c r="J116" s="213"/>
      <c r="K116" s="217">
        <f t="shared" si="8"/>
        <v>0</v>
      </c>
      <c r="L116" s="218">
        <f t="shared" si="9"/>
        <v>0</v>
      </c>
    </row>
    <row r="117" spans="1:12" ht="17.25" customHeight="1" x14ac:dyDescent="0.2">
      <c r="A117" s="124"/>
      <c r="B117" s="211"/>
      <c r="C117" s="325" t="s">
        <v>548</v>
      </c>
      <c r="D117" s="133">
        <v>1</v>
      </c>
      <c r="E117" s="134">
        <v>2.5499999999999998</v>
      </c>
      <c r="F117" s="135"/>
      <c r="G117" s="135">
        <f>3-0.6</f>
        <v>2.4</v>
      </c>
      <c r="H117" s="212">
        <f>D117*E117*G117</f>
        <v>6.1199999999999992</v>
      </c>
      <c r="I117" s="136"/>
      <c r="J117" s="213"/>
      <c r="K117" s="217">
        <f t="shared" si="8"/>
        <v>0</v>
      </c>
      <c r="L117" s="218">
        <f t="shared" si="9"/>
        <v>0</v>
      </c>
    </row>
    <row r="118" spans="1:12" ht="20.25" customHeight="1" x14ac:dyDescent="0.2">
      <c r="A118" s="124"/>
      <c r="B118" s="211"/>
      <c r="C118" s="191" t="s">
        <v>271</v>
      </c>
      <c r="D118" s="133"/>
      <c r="E118" s="135"/>
      <c r="F118" s="135"/>
      <c r="G118" s="135"/>
      <c r="H118" s="212"/>
      <c r="I118" s="136"/>
      <c r="J118" s="213"/>
      <c r="K118" s="217">
        <f t="shared" si="8"/>
        <v>0</v>
      </c>
      <c r="L118" s="218">
        <f t="shared" si="9"/>
        <v>0</v>
      </c>
    </row>
    <row r="119" spans="1:12" ht="18.75" customHeight="1" x14ac:dyDescent="0.2">
      <c r="A119" s="124"/>
      <c r="B119" s="211"/>
      <c r="C119" s="183" t="s">
        <v>260</v>
      </c>
      <c r="D119" s="133">
        <v>-1</v>
      </c>
      <c r="E119" s="135">
        <v>1.2</v>
      </c>
      <c r="F119" s="135"/>
      <c r="G119" s="135">
        <v>1.65</v>
      </c>
      <c r="H119" s="212">
        <f>D119*E119*G119</f>
        <v>-1.9799999999999998</v>
      </c>
      <c r="I119" s="136"/>
      <c r="J119" s="213"/>
      <c r="K119" s="217">
        <f t="shared" si="8"/>
        <v>0</v>
      </c>
      <c r="L119" s="218">
        <f t="shared" si="9"/>
        <v>0</v>
      </c>
    </row>
    <row r="120" spans="1:12" ht="12.75" customHeight="1" x14ac:dyDescent="0.2">
      <c r="A120" s="139"/>
      <c r="B120" s="215"/>
      <c r="C120" s="221" t="s">
        <v>117</v>
      </c>
      <c r="D120" s="142"/>
      <c r="E120" s="145"/>
      <c r="F120" s="145"/>
      <c r="G120" s="145"/>
      <c r="H120" s="216">
        <f>SUM(H117:H119)</f>
        <v>4.1399999999999997</v>
      </c>
      <c r="I120" s="141" t="s">
        <v>278</v>
      </c>
      <c r="J120" s="217">
        <v>1123.8</v>
      </c>
      <c r="K120" s="217">
        <f t="shared" si="8"/>
        <v>952.37288135593224</v>
      </c>
      <c r="L120" s="218">
        <f t="shared" si="9"/>
        <v>3942.8237288135592</v>
      </c>
    </row>
    <row r="121" spans="1:12" ht="12.75" customHeight="1" x14ac:dyDescent="0.2">
      <c r="A121" s="124"/>
      <c r="B121" s="211"/>
      <c r="C121" s="355" t="s">
        <v>549</v>
      </c>
      <c r="D121" s="127"/>
      <c r="E121" s="129">
        <f>SUM(E117*D117)</f>
        <v>2.5499999999999998</v>
      </c>
      <c r="F121" s="129"/>
      <c r="G121" s="129"/>
      <c r="H121" s="264"/>
      <c r="I121" s="130"/>
      <c r="J121" s="240"/>
      <c r="K121" s="217">
        <f t="shared" si="8"/>
        <v>0</v>
      </c>
      <c r="L121" s="218">
        <f t="shared" si="9"/>
        <v>0</v>
      </c>
    </row>
    <row r="122" spans="1:12" ht="24.75" customHeight="1" x14ac:dyDescent="0.2">
      <c r="A122" s="116">
        <v>7</v>
      </c>
      <c r="B122" s="206">
        <v>13.16</v>
      </c>
      <c r="C122" s="265" t="s">
        <v>279</v>
      </c>
      <c r="D122" s="119"/>
      <c r="E122" s="121"/>
      <c r="F122" s="121"/>
      <c r="G122" s="121"/>
      <c r="H122" s="263"/>
      <c r="I122" s="122"/>
      <c r="J122" s="209"/>
      <c r="K122" s="217">
        <f t="shared" si="8"/>
        <v>0</v>
      </c>
      <c r="L122" s="218">
        <f t="shared" si="9"/>
        <v>0</v>
      </c>
    </row>
    <row r="123" spans="1:12" ht="20.25" customHeight="1" x14ac:dyDescent="0.2">
      <c r="A123" s="124"/>
      <c r="B123" s="211" t="s">
        <v>280</v>
      </c>
      <c r="C123" s="266" t="s">
        <v>550</v>
      </c>
      <c r="D123" s="127"/>
      <c r="E123" s="129"/>
      <c r="F123" s="129"/>
      <c r="G123" s="129"/>
      <c r="H123" s="239"/>
      <c r="I123" s="130"/>
      <c r="J123" s="240"/>
      <c r="K123" s="217">
        <f t="shared" si="8"/>
        <v>0</v>
      </c>
      <c r="L123" s="218">
        <f t="shared" si="9"/>
        <v>0</v>
      </c>
    </row>
    <row r="124" spans="1:12" s="202" customFormat="1" x14ac:dyDescent="0.2">
      <c r="A124" s="124"/>
      <c r="B124" s="211"/>
      <c r="C124" s="187" t="s">
        <v>745</v>
      </c>
      <c r="D124" s="142"/>
      <c r="E124" s="143"/>
      <c r="F124" s="143"/>
      <c r="G124" s="143"/>
      <c r="H124" s="400"/>
      <c r="I124" s="141"/>
      <c r="J124" s="217"/>
      <c r="K124" s="217">
        <f t="shared" si="8"/>
        <v>0</v>
      </c>
      <c r="L124" s="218">
        <f t="shared" si="9"/>
        <v>0</v>
      </c>
    </row>
    <row r="125" spans="1:12" x14ac:dyDescent="0.2">
      <c r="A125" s="124"/>
      <c r="B125" s="211"/>
      <c r="C125" s="225"/>
      <c r="D125" s="226">
        <v>1</v>
      </c>
      <c r="E125" s="227">
        <v>7.0250000000000004</v>
      </c>
      <c r="F125" s="227">
        <v>4.7</v>
      </c>
      <c r="G125" s="227"/>
      <c r="H125" s="135">
        <f>D125*E125*F125</f>
        <v>33.017500000000005</v>
      </c>
      <c r="I125" s="136"/>
      <c r="J125" s="213"/>
      <c r="K125" s="217">
        <f t="shared" si="8"/>
        <v>0</v>
      </c>
      <c r="L125" s="218">
        <f t="shared" si="9"/>
        <v>0</v>
      </c>
    </row>
    <row r="126" spans="1:12" x14ac:dyDescent="0.2">
      <c r="A126" s="124"/>
      <c r="B126" s="211"/>
      <c r="C126" s="225"/>
      <c r="D126" s="226">
        <v>1</v>
      </c>
      <c r="E126" s="228">
        <v>6.9</v>
      </c>
      <c r="F126" s="227">
        <v>4.5</v>
      </c>
      <c r="G126" s="227"/>
      <c r="H126" s="135">
        <f t="shared" ref="H126:H131" si="13">D126*E126*F126</f>
        <v>31.05</v>
      </c>
      <c r="I126" s="136"/>
      <c r="J126" s="213"/>
      <c r="K126" s="217">
        <f t="shared" si="8"/>
        <v>0</v>
      </c>
      <c r="L126" s="218">
        <f t="shared" si="9"/>
        <v>0</v>
      </c>
    </row>
    <row r="127" spans="1:12" x14ac:dyDescent="0.2">
      <c r="A127" s="124"/>
      <c r="B127" s="211"/>
      <c r="C127" s="225"/>
      <c r="D127" s="226">
        <v>2</v>
      </c>
      <c r="E127" s="228">
        <v>4.3</v>
      </c>
      <c r="F127" s="227">
        <v>2.9</v>
      </c>
      <c r="G127" s="227"/>
      <c r="H127" s="135">
        <f t="shared" si="13"/>
        <v>24.939999999999998</v>
      </c>
      <c r="I127" s="136"/>
      <c r="J127" s="213"/>
      <c r="K127" s="217">
        <f t="shared" si="8"/>
        <v>0</v>
      </c>
      <c r="L127" s="218">
        <f t="shared" si="9"/>
        <v>0</v>
      </c>
    </row>
    <row r="128" spans="1:12" x14ac:dyDescent="0.2">
      <c r="A128" s="124"/>
      <c r="B128" s="211"/>
      <c r="C128" s="225"/>
      <c r="D128" s="226">
        <v>1</v>
      </c>
      <c r="E128" s="228">
        <v>3.05</v>
      </c>
      <c r="F128" s="227">
        <v>5.4</v>
      </c>
      <c r="G128" s="227"/>
      <c r="H128" s="135">
        <f t="shared" si="13"/>
        <v>16.47</v>
      </c>
      <c r="I128" s="136"/>
      <c r="J128" s="213"/>
      <c r="K128" s="217">
        <f t="shared" si="8"/>
        <v>0</v>
      </c>
      <c r="L128" s="218">
        <f t="shared" si="9"/>
        <v>0</v>
      </c>
    </row>
    <row r="129" spans="1:12" x14ac:dyDescent="0.2">
      <c r="A129" s="124"/>
      <c r="B129" s="211"/>
      <c r="C129" s="225" t="s">
        <v>421</v>
      </c>
      <c r="D129" s="226">
        <v>1</v>
      </c>
      <c r="E129" s="227">
        <f>1.37+0.125+0.125</f>
        <v>1.62</v>
      </c>
      <c r="F129" s="227">
        <v>0.6</v>
      </c>
      <c r="G129" s="227"/>
      <c r="H129" s="135">
        <f t="shared" si="13"/>
        <v>0.97199999999999998</v>
      </c>
      <c r="I129" s="136"/>
      <c r="J129" s="213"/>
      <c r="K129" s="217">
        <f t="shared" si="8"/>
        <v>0</v>
      </c>
      <c r="L129" s="218">
        <f t="shared" si="9"/>
        <v>0</v>
      </c>
    </row>
    <row r="130" spans="1:12" x14ac:dyDescent="0.2">
      <c r="A130" s="124"/>
      <c r="B130" s="211"/>
      <c r="C130" s="225" t="s">
        <v>236</v>
      </c>
      <c r="D130" s="226">
        <v>3</v>
      </c>
      <c r="E130" s="227">
        <f>1.2+0.25+0.25</f>
        <v>1.7</v>
      </c>
      <c r="F130" s="227">
        <v>0.6</v>
      </c>
      <c r="G130" s="227"/>
      <c r="H130" s="135">
        <f t="shared" si="13"/>
        <v>3.0599999999999996</v>
      </c>
      <c r="I130" s="136"/>
      <c r="J130" s="213"/>
      <c r="K130" s="217">
        <f t="shared" si="8"/>
        <v>0</v>
      </c>
      <c r="L130" s="218">
        <f t="shared" si="9"/>
        <v>0</v>
      </c>
    </row>
    <row r="131" spans="1:12" x14ac:dyDescent="0.2">
      <c r="A131" s="124"/>
      <c r="B131" s="211"/>
      <c r="C131" s="225" t="s">
        <v>282</v>
      </c>
      <c r="D131" s="226">
        <v>1</v>
      </c>
      <c r="E131" s="227">
        <f>0.6+0.125+0.125</f>
        <v>0.85</v>
      </c>
      <c r="F131" s="227">
        <v>0.6</v>
      </c>
      <c r="G131" s="227"/>
      <c r="H131" s="135">
        <f t="shared" si="13"/>
        <v>0.51</v>
      </c>
      <c r="I131" s="136"/>
      <c r="J131" s="213"/>
      <c r="K131" s="217">
        <f t="shared" si="8"/>
        <v>0</v>
      </c>
      <c r="L131" s="218">
        <f t="shared" si="9"/>
        <v>0</v>
      </c>
    </row>
    <row r="132" spans="1:12" x14ac:dyDescent="0.2">
      <c r="A132" s="139"/>
      <c r="B132" s="215"/>
      <c r="C132" s="223" t="s">
        <v>117</v>
      </c>
      <c r="D132" s="142"/>
      <c r="E132" s="233"/>
      <c r="F132" s="145"/>
      <c r="G132" s="145"/>
      <c r="H132" s="282">
        <f>SUM(H125:H131)</f>
        <v>110.01950000000001</v>
      </c>
      <c r="I132" s="268" t="s">
        <v>128</v>
      </c>
      <c r="J132" s="269">
        <v>300.45</v>
      </c>
      <c r="K132" s="217">
        <f t="shared" si="8"/>
        <v>254.61864406779662</v>
      </c>
      <c r="L132" s="218">
        <f t="shared" si="9"/>
        <v>28013.015911016952</v>
      </c>
    </row>
    <row r="133" spans="1:12" x14ac:dyDescent="0.2">
      <c r="A133" s="116"/>
      <c r="B133" s="206" t="s">
        <v>283</v>
      </c>
      <c r="C133" s="219" t="s">
        <v>551</v>
      </c>
      <c r="D133" s="119"/>
      <c r="E133" s="121"/>
      <c r="F133" s="121"/>
      <c r="G133" s="121"/>
      <c r="H133" s="208"/>
      <c r="I133" s="122"/>
      <c r="J133" s="209"/>
      <c r="K133" s="217">
        <f t="shared" si="8"/>
        <v>0</v>
      </c>
      <c r="L133" s="218">
        <f t="shared" si="9"/>
        <v>0</v>
      </c>
    </row>
    <row r="134" spans="1:12" x14ac:dyDescent="0.2">
      <c r="A134" s="124">
        <v>8</v>
      </c>
      <c r="B134" s="211"/>
      <c r="C134" s="225" t="s">
        <v>552</v>
      </c>
      <c r="D134" s="226">
        <v>1</v>
      </c>
      <c r="E134" s="227">
        <f>E103</f>
        <v>62.209999999999994</v>
      </c>
      <c r="F134" s="135"/>
      <c r="G134" s="135">
        <f>2.1+1.5-0.2</f>
        <v>3.4</v>
      </c>
      <c r="H134" s="212">
        <f>G134*E134*D134</f>
        <v>211.51399999999998</v>
      </c>
      <c r="I134" s="136"/>
      <c r="J134" s="213"/>
      <c r="K134" s="217">
        <f t="shared" si="8"/>
        <v>0</v>
      </c>
      <c r="L134" s="218">
        <f t="shared" si="9"/>
        <v>0</v>
      </c>
    </row>
    <row r="135" spans="1:12" x14ac:dyDescent="0.2">
      <c r="A135" s="124"/>
      <c r="B135" s="211"/>
      <c r="C135" s="225" t="s">
        <v>553</v>
      </c>
      <c r="D135" s="226">
        <v>2</v>
      </c>
      <c r="E135" s="227">
        <f>E107</f>
        <v>7.05</v>
      </c>
      <c r="F135" s="135"/>
      <c r="G135" s="135">
        <f>2.1+1.5-0.2</f>
        <v>3.4</v>
      </c>
      <c r="H135" s="212"/>
      <c r="I135" s="136"/>
      <c r="J135" s="213"/>
      <c r="K135" s="217">
        <f t="shared" si="8"/>
        <v>0</v>
      </c>
      <c r="L135" s="218">
        <f t="shared" si="9"/>
        <v>0</v>
      </c>
    </row>
    <row r="136" spans="1:12" x14ac:dyDescent="0.2">
      <c r="A136" s="124"/>
      <c r="B136" s="211"/>
      <c r="C136" s="225" t="s">
        <v>554</v>
      </c>
      <c r="D136" s="226">
        <v>1</v>
      </c>
      <c r="E136" s="227">
        <f>E117</f>
        <v>2.5499999999999998</v>
      </c>
      <c r="F136" s="135"/>
      <c r="G136" s="135">
        <v>2.1</v>
      </c>
      <c r="H136" s="212">
        <f>G136*E136*D136</f>
        <v>5.3549999999999995</v>
      </c>
      <c r="I136" s="136"/>
      <c r="J136" s="213"/>
      <c r="K136" s="217">
        <f t="shared" si="8"/>
        <v>0</v>
      </c>
      <c r="L136" s="218">
        <f t="shared" si="9"/>
        <v>0</v>
      </c>
    </row>
    <row r="137" spans="1:12" x14ac:dyDescent="0.2">
      <c r="A137" s="124"/>
      <c r="B137" s="211"/>
      <c r="C137" s="191" t="s">
        <v>271</v>
      </c>
      <c r="D137" s="133"/>
      <c r="E137" s="135"/>
      <c r="F137" s="135"/>
      <c r="G137" s="135"/>
      <c r="H137" s="212"/>
      <c r="I137" s="136"/>
      <c r="J137" s="213"/>
      <c r="K137" s="217">
        <f t="shared" si="8"/>
        <v>0</v>
      </c>
      <c r="L137" s="218">
        <f t="shared" si="9"/>
        <v>0</v>
      </c>
    </row>
    <row r="138" spans="1:12" x14ac:dyDescent="0.2">
      <c r="A138" s="124"/>
      <c r="B138" s="211"/>
      <c r="C138" s="183" t="s">
        <v>293</v>
      </c>
      <c r="D138" s="133">
        <v>-2</v>
      </c>
      <c r="E138" s="135">
        <v>1</v>
      </c>
      <c r="F138" s="135"/>
      <c r="G138" s="135">
        <v>2.1</v>
      </c>
      <c r="H138" s="212">
        <f>G138*E138*D138</f>
        <v>-4.2</v>
      </c>
      <c r="I138" s="136"/>
      <c r="J138" s="213"/>
      <c r="K138" s="217">
        <f t="shared" si="8"/>
        <v>0</v>
      </c>
      <c r="L138" s="218">
        <f t="shared" si="9"/>
        <v>0</v>
      </c>
    </row>
    <row r="139" spans="1:12" ht="14.25" x14ac:dyDescent="0.2">
      <c r="A139" s="124"/>
      <c r="B139" s="211"/>
      <c r="C139" s="340" t="s">
        <v>260</v>
      </c>
      <c r="D139" s="341">
        <v>-2</v>
      </c>
      <c r="E139" s="342">
        <v>1.2</v>
      </c>
      <c r="F139" s="135"/>
      <c r="G139" s="135">
        <v>1.65</v>
      </c>
      <c r="H139" s="212">
        <f>G139*E139*D139</f>
        <v>-3.9599999999999995</v>
      </c>
      <c r="I139" s="136"/>
      <c r="J139" s="213"/>
      <c r="K139" s="217">
        <f t="shared" ref="K139:K202" si="14">J139*100/118</f>
        <v>0</v>
      </c>
      <c r="L139" s="218">
        <f t="shared" ref="L139:L202" si="15">K139*H139</f>
        <v>0</v>
      </c>
    </row>
    <row r="140" spans="1:12" x14ac:dyDescent="0.2">
      <c r="A140" s="139"/>
      <c r="B140" s="215"/>
      <c r="C140" s="221" t="s">
        <v>117</v>
      </c>
      <c r="D140" s="142"/>
      <c r="E140" s="233"/>
      <c r="F140" s="145"/>
      <c r="G140" s="145"/>
      <c r="H140" s="282">
        <f>SUM(H134:H139)</f>
        <v>208.70899999999997</v>
      </c>
      <c r="I140" s="268" t="s">
        <v>128</v>
      </c>
      <c r="J140" s="269">
        <v>343.65</v>
      </c>
      <c r="K140" s="217">
        <f t="shared" si="14"/>
        <v>291.22881355932202</v>
      </c>
      <c r="L140" s="218">
        <f t="shared" si="15"/>
        <v>60782.074449152533</v>
      </c>
    </row>
    <row r="141" spans="1:12" x14ac:dyDescent="0.2">
      <c r="A141" s="116">
        <v>9</v>
      </c>
      <c r="B141" s="206" t="s">
        <v>299</v>
      </c>
      <c r="C141" s="349" t="s">
        <v>300</v>
      </c>
      <c r="D141" s="119"/>
      <c r="E141" s="121"/>
      <c r="F141" s="121"/>
      <c r="G141" s="121"/>
      <c r="H141" s="263"/>
      <c r="I141" s="122"/>
      <c r="J141" s="209"/>
      <c r="K141" s="217">
        <f t="shared" si="14"/>
        <v>0</v>
      </c>
      <c r="L141" s="218">
        <f t="shared" si="15"/>
        <v>0</v>
      </c>
    </row>
    <row r="142" spans="1:12" x14ac:dyDescent="0.2">
      <c r="A142" s="124"/>
      <c r="B142" s="211"/>
      <c r="C142" s="225" t="s">
        <v>489</v>
      </c>
      <c r="D142" s="133">
        <v>1</v>
      </c>
      <c r="E142" s="135">
        <f>E103</f>
        <v>62.209999999999994</v>
      </c>
      <c r="F142" s="135"/>
      <c r="G142" s="135">
        <f>2.1+1.6</f>
        <v>3.7</v>
      </c>
      <c r="H142" s="134">
        <f>G142*E142*D142</f>
        <v>230.17699999999999</v>
      </c>
      <c r="I142" s="180"/>
      <c r="J142" s="213"/>
      <c r="K142" s="217">
        <f t="shared" si="14"/>
        <v>0</v>
      </c>
      <c r="L142" s="218">
        <f t="shared" si="15"/>
        <v>0</v>
      </c>
    </row>
    <row r="143" spans="1:12" x14ac:dyDescent="0.2">
      <c r="A143" s="124"/>
      <c r="B143" s="211"/>
      <c r="C143" s="225" t="s">
        <v>555</v>
      </c>
      <c r="D143" s="133">
        <v>1</v>
      </c>
      <c r="E143" s="135">
        <f>E121</f>
        <v>2.5499999999999998</v>
      </c>
      <c r="F143" s="135"/>
      <c r="G143" s="135">
        <f>G142</f>
        <v>3.7</v>
      </c>
      <c r="H143" s="134">
        <f>G143*E143*D143</f>
        <v>9.4350000000000005</v>
      </c>
      <c r="I143" s="180"/>
      <c r="J143" s="213"/>
      <c r="K143" s="217">
        <f t="shared" si="14"/>
        <v>0</v>
      </c>
      <c r="L143" s="218">
        <f t="shared" si="15"/>
        <v>0</v>
      </c>
    </row>
    <row r="144" spans="1:12" x14ac:dyDescent="0.2">
      <c r="A144" s="124"/>
      <c r="B144" s="211"/>
      <c r="C144" s="262" t="s">
        <v>556</v>
      </c>
      <c r="D144" s="133">
        <v>2</v>
      </c>
      <c r="E144" s="135">
        <f>E110</f>
        <v>120</v>
      </c>
      <c r="F144" s="135"/>
      <c r="G144" s="135">
        <v>1.2</v>
      </c>
      <c r="H144" s="134">
        <f>G144*E144*D144</f>
        <v>288</v>
      </c>
      <c r="I144" s="180"/>
      <c r="J144" s="213"/>
      <c r="K144" s="217">
        <f t="shared" si="14"/>
        <v>0</v>
      </c>
      <c r="L144" s="218">
        <f t="shared" si="15"/>
        <v>0</v>
      </c>
    </row>
    <row r="145" spans="1:12" x14ac:dyDescent="0.2">
      <c r="A145" s="124"/>
      <c r="B145" s="211"/>
      <c r="C145" s="356" t="s">
        <v>557</v>
      </c>
      <c r="D145" s="142">
        <v>1</v>
      </c>
      <c r="E145" s="145">
        <f>E144</f>
        <v>120</v>
      </c>
      <c r="F145" s="145"/>
      <c r="G145" s="145">
        <f>0.325+0.075</f>
        <v>0.4</v>
      </c>
      <c r="H145" s="134">
        <f>G145*E145*D145</f>
        <v>48</v>
      </c>
      <c r="I145" s="233"/>
      <c r="J145" s="217"/>
      <c r="K145" s="217">
        <f t="shared" si="14"/>
        <v>0</v>
      </c>
      <c r="L145" s="218">
        <f t="shared" si="15"/>
        <v>0</v>
      </c>
    </row>
    <row r="146" spans="1:12" x14ac:dyDescent="0.2">
      <c r="A146" s="139"/>
      <c r="B146" s="215"/>
      <c r="C146" s="221" t="s">
        <v>117</v>
      </c>
      <c r="D146" s="142"/>
      <c r="E146" s="143"/>
      <c r="F146" s="143"/>
      <c r="G146" s="143"/>
      <c r="H146" s="222">
        <f>SUM(H142:H145)</f>
        <v>575.61199999999997</v>
      </c>
      <c r="I146" s="233" t="s">
        <v>128</v>
      </c>
      <c r="J146" s="217">
        <v>466.05</v>
      </c>
      <c r="K146" s="217">
        <f t="shared" si="14"/>
        <v>394.95762711864404</v>
      </c>
      <c r="L146" s="218">
        <f t="shared" si="15"/>
        <v>227342.34966101692</v>
      </c>
    </row>
    <row r="147" spans="1:12" ht="71.25" x14ac:dyDescent="0.2">
      <c r="A147" s="124">
        <v>10</v>
      </c>
      <c r="B147" s="211">
        <v>13.73</v>
      </c>
      <c r="C147" s="118" t="s">
        <v>304</v>
      </c>
      <c r="D147" s="127"/>
      <c r="E147" s="128"/>
      <c r="F147" s="128"/>
      <c r="G147" s="128"/>
      <c r="H147" s="264"/>
      <c r="I147" s="249"/>
      <c r="J147" s="240"/>
      <c r="K147" s="217">
        <f t="shared" si="14"/>
        <v>0</v>
      </c>
      <c r="L147" s="218">
        <f t="shared" si="15"/>
        <v>0</v>
      </c>
    </row>
    <row r="148" spans="1:12" ht="14.25" x14ac:dyDescent="0.2">
      <c r="A148" s="139"/>
      <c r="B148" s="215" t="s">
        <v>305</v>
      </c>
      <c r="C148" s="297" t="s">
        <v>306</v>
      </c>
      <c r="D148" s="142"/>
      <c r="E148" s="143">
        <v>20</v>
      </c>
      <c r="F148" s="143"/>
      <c r="G148" s="143"/>
      <c r="H148" s="216"/>
      <c r="I148" s="233" t="s">
        <v>307</v>
      </c>
      <c r="J148" s="217">
        <v>75.8</v>
      </c>
      <c r="K148" s="217">
        <f t="shared" si="14"/>
        <v>64.237288135593218</v>
      </c>
      <c r="L148" s="218">
        <f t="shared" si="15"/>
        <v>0</v>
      </c>
    </row>
    <row r="149" spans="1:12" ht="71.25" x14ac:dyDescent="0.2">
      <c r="A149" s="124"/>
      <c r="B149" s="176" t="s">
        <v>308</v>
      </c>
      <c r="C149" s="126" t="s">
        <v>309</v>
      </c>
      <c r="D149" s="127"/>
      <c r="E149" s="128"/>
      <c r="F149" s="128"/>
      <c r="G149" s="128"/>
      <c r="H149" s="264"/>
      <c r="I149" s="249"/>
      <c r="J149" s="240"/>
      <c r="K149" s="217">
        <f t="shared" si="14"/>
        <v>0</v>
      </c>
      <c r="L149" s="218">
        <f t="shared" si="15"/>
        <v>0</v>
      </c>
    </row>
    <row r="150" spans="1:12" ht="14.25" x14ac:dyDescent="0.2">
      <c r="A150" s="124"/>
      <c r="B150" s="211"/>
      <c r="C150" s="118" t="s">
        <v>558</v>
      </c>
      <c r="D150" s="127">
        <v>1</v>
      </c>
      <c r="E150" s="128">
        <v>2.9</v>
      </c>
      <c r="F150" s="128">
        <v>4.3</v>
      </c>
      <c r="G150" s="128"/>
      <c r="H150" s="264">
        <f>SUM(D150:G150)</f>
        <v>8.1999999999999993</v>
      </c>
      <c r="I150" s="249" t="s">
        <v>91</v>
      </c>
      <c r="J150" s="240"/>
      <c r="K150" s="217">
        <f t="shared" si="14"/>
        <v>0</v>
      </c>
      <c r="L150" s="218">
        <f t="shared" si="15"/>
        <v>0</v>
      </c>
    </row>
    <row r="151" spans="1:12" ht="14.25" x14ac:dyDescent="0.2">
      <c r="A151" s="124"/>
      <c r="B151" s="211"/>
      <c r="C151" s="118" t="s">
        <v>559</v>
      </c>
      <c r="D151" s="127">
        <v>1</v>
      </c>
      <c r="E151" s="128">
        <v>2.5499999999999998</v>
      </c>
      <c r="F151" s="128">
        <v>1.2</v>
      </c>
      <c r="G151" s="128"/>
      <c r="H151" s="264">
        <f>SUM(D151:G151)</f>
        <v>4.75</v>
      </c>
      <c r="I151" s="249"/>
      <c r="J151" s="240"/>
      <c r="K151" s="217">
        <f t="shared" si="14"/>
        <v>0</v>
      </c>
      <c r="L151" s="218">
        <f t="shared" si="15"/>
        <v>0</v>
      </c>
    </row>
    <row r="152" spans="1:12" ht="14.25" x14ac:dyDescent="0.2">
      <c r="A152" s="139"/>
      <c r="B152" s="211"/>
      <c r="C152" s="281" t="s">
        <v>207</v>
      </c>
      <c r="D152" s="142"/>
      <c r="E152" s="233"/>
      <c r="F152" s="145"/>
      <c r="G152" s="145"/>
      <c r="H152" s="282">
        <f>SUM(H150:H151)</f>
        <v>12.95</v>
      </c>
      <c r="I152" s="268" t="s">
        <v>278</v>
      </c>
      <c r="J152" s="269">
        <v>1948.25</v>
      </c>
      <c r="K152" s="217">
        <f t="shared" si="14"/>
        <v>1651.0593220338983</v>
      </c>
      <c r="L152" s="218">
        <f t="shared" si="15"/>
        <v>21381.218220338982</v>
      </c>
    </row>
    <row r="153" spans="1:12" ht="100.5" x14ac:dyDescent="0.2">
      <c r="A153" s="116">
        <v>13</v>
      </c>
      <c r="B153" s="206">
        <v>11.41</v>
      </c>
      <c r="C153" s="288" t="s">
        <v>317</v>
      </c>
      <c r="D153" s="119"/>
      <c r="E153" s="121"/>
      <c r="F153" s="121"/>
      <c r="G153" s="121"/>
      <c r="H153" s="208"/>
      <c r="I153" s="122"/>
      <c r="J153" s="209"/>
      <c r="K153" s="217">
        <f t="shared" si="14"/>
        <v>0</v>
      </c>
      <c r="L153" s="218">
        <f t="shared" si="15"/>
        <v>0</v>
      </c>
    </row>
    <row r="154" spans="1:12" ht="25.5" x14ac:dyDescent="0.2">
      <c r="A154" s="124"/>
      <c r="B154" s="211" t="s">
        <v>318</v>
      </c>
      <c r="C154" s="289" t="s">
        <v>319</v>
      </c>
      <c r="D154" s="127"/>
      <c r="E154" s="129"/>
      <c r="F154" s="129"/>
      <c r="G154" s="129"/>
      <c r="H154" s="239"/>
      <c r="I154" s="130"/>
      <c r="J154" s="240"/>
      <c r="K154" s="217">
        <f t="shared" si="14"/>
        <v>0</v>
      </c>
      <c r="L154" s="218">
        <f t="shared" si="15"/>
        <v>0</v>
      </c>
    </row>
    <row r="155" spans="1:12" x14ac:dyDescent="0.2">
      <c r="A155" s="124"/>
      <c r="B155" s="211"/>
      <c r="C155" s="401" t="s">
        <v>746</v>
      </c>
      <c r="D155" s="127"/>
      <c r="E155" s="129"/>
      <c r="F155" s="129"/>
      <c r="G155" s="129"/>
      <c r="H155" s="239"/>
      <c r="I155" s="130"/>
      <c r="J155" s="240"/>
      <c r="K155" s="217">
        <f t="shared" si="14"/>
        <v>0</v>
      </c>
      <c r="L155" s="218">
        <f t="shared" si="15"/>
        <v>0</v>
      </c>
    </row>
    <row r="156" spans="1:12" x14ac:dyDescent="0.2">
      <c r="A156" s="124"/>
      <c r="B156" s="211"/>
      <c r="C156" s="225" t="s">
        <v>712</v>
      </c>
      <c r="D156" s="226">
        <v>1</v>
      </c>
      <c r="E156" s="227">
        <v>7.0250000000000004</v>
      </c>
      <c r="F156" s="227">
        <v>4.7</v>
      </c>
      <c r="G156" s="227"/>
      <c r="H156" s="227">
        <f>D156*E156*F156</f>
        <v>33.017500000000005</v>
      </c>
      <c r="I156" s="136"/>
      <c r="J156" s="213"/>
      <c r="K156" s="217">
        <f t="shared" si="14"/>
        <v>0</v>
      </c>
      <c r="L156" s="218">
        <f t="shared" si="15"/>
        <v>0</v>
      </c>
    </row>
    <row r="157" spans="1:12" x14ac:dyDescent="0.2">
      <c r="A157" s="124"/>
      <c r="B157" s="211"/>
      <c r="C157" s="225" t="s">
        <v>493</v>
      </c>
      <c r="D157" s="226">
        <v>1</v>
      </c>
      <c r="E157" s="227">
        <v>4.2</v>
      </c>
      <c r="F157" s="227">
        <v>3.6</v>
      </c>
      <c r="G157" s="227"/>
      <c r="H157" s="227">
        <f>D157*E157*F157</f>
        <v>15.120000000000001</v>
      </c>
      <c r="I157" s="136"/>
      <c r="J157" s="213"/>
      <c r="K157" s="217">
        <f t="shared" si="14"/>
        <v>0</v>
      </c>
      <c r="L157" s="218">
        <f t="shared" si="15"/>
        <v>0</v>
      </c>
    </row>
    <row r="158" spans="1:12" x14ac:dyDescent="0.2">
      <c r="A158" s="124"/>
      <c r="B158" s="211"/>
      <c r="C158" s="225" t="s">
        <v>714</v>
      </c>
      <c r="D158" s="226">
        <v>1</v>
      </c>
      <c r="E158" s="227">
        <v>2.8250000000000002</v>
      </c>
      <c r="F158" s="227">
        <v>0.6</v>
      </c>
      <c r="G158" s="227"/>
      <c r="H158" s="227">
        <f>D158*E158*F158</f>
        <v>1.6950000000000001</v>
      </c>
      <c r="I158" s="136"/>
      <c r="J158" s="213"/>
      <c r="K158" s="217">
        <f t="shared" si="14"/>
        <v>0</v>
      </c>
      <c r="L158" s="218">
        <f t="shared" si="15"/>
        <v>0</v>
      </c>
    </row>
    <row r="159" spans="1:12" x14ac:dyDescent="0.2">
      <c r="A159" s="124"/>
      <c r="B159" s="211"/>
      <c r="C159" s="225" t="s">
        <v>715</v>
      </c>
      <c r="D159" s="226">
        <v>1</v>
      </c>
      <c r="E159" s="227">
        <v>2.5</v>
      </c>
      <c r="F159" s="227">
        <v>0.875</v>
      </c>
      <c r="G159" s="227"/>
      <c r="H159" s="227">
        <f>D159*E159*F159</f>
        <v>2.1875</v>
      </c>
      <c r="I159" s="136"/>
      <c r="J159" s="213"/>
      <c r="K159" s="217">
        <f t="shared" si="14"/>
        <v>0</v>
      </c>
      <c r="L159" s="218">
        <f t="shared" si="15"/>
        <v>0</v>
      </c>
    </row>
    <row r="160" spans="1:12" x14ac:dyDescent="0.2">
      <c r="A160" s="139"/>
      <c r="B160" s="215"/>
      <c r="C160" s="221" t="s">
        <v>117</v>
      </c>
      <c r="D160" s="142"/>
      <c r="E160" s="144"/>
      <c r="F160" s="144"/>
      <c r="G160" s="145"/>
      <c r="H160" s="216">
        <f>SUM(H156:H159)</f>
        <v>52.02</v>
      </c>
      <c r="I160" s="141" t="s">
        <v>128</v>
      </c>
      <c r="J160" s="217">
        <v>1553.45</v>
      </c>
      <c r="K160" s="217">
        <f t="shared" si="14"/>
        <v>1316.4830508474577</v>
      </c>
      <c r="L160" s="218">
        <f t="shared" si="15"/>
        <v>68483.448305084748</v>
      </c>
    </row>
    <row r="161" spans="1:12" ht="39" customHeight="1" x14ac:dyDescent="0.2">
      <c r="A161" s="116">
        <v>14</v>
      </c>
      <c r="B161" s="206">
        <v>11.37</v>
      </c>
      <c r="C161" s="207" t="s">
        <v>321</v>
      </c>
      <c r="D161" s="119"/>
      <c r="E161" s="121"/>
      <c r="F161" s="121"/>
      <c r="G161" s="121"/>
      <c r="H161" s="263"/>
      <c r="I161" s="122"/>
      <c r="J161" s="209"/>
      <c r="K161" s="217">
        <f t="shared" si="14"/>
        <v>0</v>
      </c>
      <c r="L161" s="218">
        <f t="shared" si="15"/>
        <v>0</v>
      </c>
    </row>
    <row r="162" spans="1:12" ht="15.75" customHeight="1" x14ac:dyDescent="0.2">
      <c r="A162" s="124"/>
      <c r="B162" s="211"/>
      <c r="C162" s="401" t="s">
        <v>746</v>
      </c>
      <c r="D162" s="119"/>
      <c r="E162" s="121"/>
      <c r="F162" s="121"/>
      <c r="G162" s="121"/>
      <c r="H162" s="263"/>
      <c r="I162" s="122"/>
      <c r="J162" s="209"/>
      <c r="K162" s="217">
        <f t="shared" si="14"/>
        <v>0</v>
      </c>
      <c r="L162" s="218">
        <f t="shared" si="15"/>
        <v>0</v>
      </c>
    </row>
    <row r="163" spans="1:12" x14ac:dyDescent="0.2">
      <c r="A163" s="124"/>
      <c r="B163" s="211"/>
      <c r="C163" s="220" t="s">
        <v>322</v>
      </c>
      <c r="D163" s="133">
        <v>1</v>
      </c>
      <c r="E163" s="135">
        <v>1.6</v>
      </c>
      <c r="F163" s="135">
        <v>2.2200000000000002</v>
      </c>
      <c r="G163" s="135"/>
      <c r="H163" s="212">
        <f>F163*E163*D163</f>
        <v>3.5520000000000005</v>
      </c>
      <c r="I163" s="136"/>
      <c r="J163" s="213"/>
      <c r="K163" s="217">
        <f t="shared" si="14"/>
        <v>0</v>
      </c>
      <c r="L163" s="218">
        <f t="shared" si="15"/>
        <v>0</v>
      </c>
    </row>
    <row r="164" spans="1:12" ht="12" customHeight="1" x14ac:dyDescent="0.2">
      <c r="A164" s="124"/>
      <c r="B164" s="211"/>
      <c r="C164" s="220" t="s">
        <v>718</v>
      </c>
      <c r="D164" s="133">
        <v>1</v>
      </c>
      <c r="E164" s="135">
        <v>2.5249999999999999</v>
      </c>
      <c r="F164" s="135">
        <v>1.575</v>
      </c>
      <c r="G164" s="135"/>
      <c r="H164" s="212">
        <f>F164*E164*D164</f>
        <v>3.9768749999999997</v>
      </c>
      <c r="I164" s="136"/>
      <c r="J164" s="213"/>
      <c r="K164" s="217">
        <f t="shared" si="14"/>
        <v>0</v>
      </c>
      <c r="L164" s="218">
        <f t="shared" si="15"/>
        <v>0</v>
      </c>
    </row>
    <row r="165" spans="1:12" ht="12" customHeight="1" x14ac:dyDescent="0.2">
      <c r="A165" s="124"/>
      <c r="B165" s="211"/>
      <c r="C165" s="220"/>
      <c r="D165" s="133"/>
      <c r="E165" s="135"/>
      <c r="F165" s="135"/>
      <c r="G165" s="135"/>
      <c r="H165" s="212"/>
      <c r="I165" s="136"/>
      <c r="J165" s="213"/>
      <c r="K165" s="217">
        <f t="shared" si="14"/>
        <v>0</v>
      </c>
      <c r="L165" s="218">
        <f t="shared" si="15"/>
        <v>0</v>
      </c>
    </row>
    <row r="166" spans="1:12" x14ac:dyDescent="0.2">
      <c r="A166" s="139"/>
      <c r="B166" s="215"/>
      <c r="C166" s="221" t="s">
        <v>117</v>
      </c>
      <c r="D166" s="142"/>
      <c r="E166" s="145"/>
      <c r="F166" s="145"/>
      <c r="G166" s="145"/>
      <c r="H166" s="216">
        <f>SUM(H163:H165)</f>
        <v>7.5288750000000002</v>
      </c>
      <c r="I166" s="141" t="s">
        <v>128</v>
      </c>
      <c r="J166" s="217">
        <v>1096.55</v>
      </c>
      <c r="K166" s="217">
        <f t="shared" si="14"/>
        <v>929.27966101694915</v>
      </c>
      <c r="L166" s="218">
        <f t="shared" si="15"/>
        <v>6996.4304078389832</v>
      </c>
    </row>
    <row r="167" spans="1:12" ht="58.5" customHeight="1" x14ac:dyDescent="0.2">
      <c r="A167" s="116">
        <v>17</v>
      </c>
      <c r="B167" s="291">
        <v>8.9</v>
      </c>
      <c r="C167" s="292" t="s">
        <v>325</v>
      </c>
      <c r="D167" s="119"/>
      <c r="E167" s="121"/>
      <c r="F167" s="121"/>
      <c r="G167" s="121"/>
      <c r="H167" s="263"/>
      <c r="I167" s="122"/>
      <c r="J167" s="209"/>
      <c r="K167" s="217">
        <f t="shared" si="14"/>
        <v>0</v>
      </c>
      <c r="L167" s="218">
        <f t="shared" si="15"/>
        <v>0</v>
      </c>
    </row>
    <row r="168" spans="1:12" ht="14.25" x14ac:dyDescent="0.2">
      <c r="A168" s="124"/>
      <c r="B168" s="293" t="s">
        <v>326</v>
      </c>
      <c r="C168" s="294" t="s">
        <v>327</v>
      </c>
      <c r="D168" s="127"/>
      <c r="E168" s="129"/>
      <c r="F168" s="129"/>
      <c r="G168" s="129"/>
      <c r="H168" s="264"/>
      <c r="I168" s="130"/>
      <c r="J168" s="240"/>
      <c r="K168" s="217">
        <f t="shared" si="14"/>
        <v>0</v>
      </c>
      <c r="L168" s="218">
        <f t="shared" si="15"/>
        <v>0</v>
      </c>
    </row>
    <row r="169" spans="1:12" ht="14.25" x14ac:dyDescent="0.2">
      <c r="A169" s="124"/>
      <c r="B169" s="293" t="s">
        <v>335</v>
      </c>
      <c r="C169" s="294" t="s">
        <v>336</v>
      </c>
      <c r="D169" s="127" t="s">
        <v>91</v>
      </c>
      <c r="E169" s="129" t="s">
        <v>91</v>
      </c>
      <c r="F169" s="129"/>
      <c r="G169" s="129" t="s">
        <v>91</v>
      </c>
      <c r="H169" s="264" t="s">
        <v>91</v>
      </c>
      <c r="I169" s="130"/>
      <c r="J169" s="240"/>
      <c r="K169" s="217">
        <f t="shared" si="14"/>
        <v>0</v>
      </c>
      <c r="L169" s="218">
        <v>0</v>
      </c>
    </row>
    <row r="170" spans="1:12" ht="14.25" x14ac:dyDescent="0.2">
      <c r="A170" s="124"/>
      <c r="B170" s="293"/>
      <c r="C170" s="278" t="s">
        <v>337</v>
      </c>
      <c r="D170" s="133">
        <v>1</v>
      </c>
      <c r="E170" s="135">
        <f>0.575*2</f>
        <v>1.1499999999999999</v>
      </c>
      <c r="F170" s="135"/>
      <c r="G170" s="135">
        <v>2.1</v>
      </c>
      <c r="H170" s="242">
        <f>D170*E170*G170</f>
        <v>2.415</v>
      </c>
      <c r="I170" s="136"/>
      <c r="J170" s="213"/>
      <c r="K170" s="217">
        <f t="shared" si="14"/>
        <v>0</v>
      </c>
      <c r="L170" s="218">
        <f t="shared" si="15"/>
        <v>0</v>
      </c>
    </row>
    <row r="171" spans="1:12" ht="14.25" x14ac:dyDescent="0.2">
      <c r="A171" s="139"/>
      <c r="B171" s="295"/>
      <c r="C171" s="296" t="s">
        <v>117</v>
      </c>
      <c r="D171" s="142"/>
      <c r="E171" s="145"/>
      <c r="F171" s="145"/>
      <c r="G171" s="145"/>
      <c r="H171" s="216">
        <f>SUM(H169:H170)</f>
        <v>2.415</v>
      </c>
      <c r="I171" s="141" t="s">
        <v>334</v>
      </c>
      <c r="J171" s="217">
        <v>3617.55</v>
      </c>
      <c r="K171" s="217">
        <f t="shared" si="14"/>
        <v>3065.7203389830506</v>
      </c>
      <c r="L171" s="218">
        <f t="shared" si="15"/>
        <v>7403.7146186440677</v>
      </c>
    </row>
    <row r="172" spans="1:12" ht="87.75" customHeight="1" x14ac:dyDescent="0.2">
      <c r="A172" s="116">
        <v>18</v>
      </c>
      <c r="B172" s="175">
        <v>11.27</v>
      </c>
      <c r="C172" s="118" t="s">
        <v>338</v>
      </c>
      <c r="D172" s="119"/>
      <c r="E172" s="271"/>
      <c r="F172" s="121"/>
      <c r="G172" s="121"/>
      <c r="H172" s="272"/>
      <c r="I172" s="254"/>
      <c r="J172" s="255"/>
      <c r="K172" s="217">
        <f t="shared" si="14"/>
        <v>0</v>
      </c>
      <c r="L172" s="218">
        <f t="shared" si="15"/>
        <v>0</v>
      </c>
    </row>
    <row r="173" spans="1:12" ht="14.25" x14ac:dyDescent="0.2">
      <c r="A173" s="124"/>
      <c r="B173" s="176"/>
      <c r="C173" s="287" t="s">
        <v>503</v>
      </c>
      <c r="D173" s="133">
        <v>8</v>
      </c>
      <c r="E173" s="135">
        <v>0.9</v>
      </c>
      <c r="F173" s="135"/>
      <c r="G173" s="135">
        <v>0.15</v>
      </c>
      <c r="H173" s="242">
        <f>D173*E173*G173</f>
        <v>1.08</v>
      </c>
      <c r="I173" s="273"/>
      <c r="J173" s="274"/>
      <c r="K173" s="217">
        <f t="shared" si="14"/>
        <v>0</v>
      </c>
      <c r="L173" s="218">
        <f t="shared" si="15"/>
        <v>0</v>
      </c>
    </row>
    <row r="174" spans="1:12" ht="14.25" x14ac:dyDescent="0.2">
      <c r="A174" s="124"/>
      <c r="B174" s="176"/>
      <c r="C174" s="177" t="s">
        <v>340</v>
      </c>
      <c r="D174" s="133">
        <v>1</v>
      </c>
      <c r="E174" s="135">
        <v>2.5499999999999998</v>
      </c>
      <c r="F174" s="135"/>
      <c r="G174" s="135">
        <v>0.15</v>
      </c>
      <c r="H174" s="242">
        <f>D174*E174*G174</f>
        <v>0.38249999999999995</v>
      </c>
      <c r="I174" s="273"/>
      <c r="J174" s="274"/>
      <c r="K174" s="217">
        <f t="shared" si="14"/>
        <v>0</v>
      </c>
      <c r="L174" s="218">
        <f t="shared" si="15"/>
        <v>0</v>
      </c>
    </row>
    <row r="175" spans="1:12" ht="14.25" x14ac:dyDescent="0.2">
      <c r="A175" s="124"/>
      <c r="B175" s="176"/>
      <c r="C175" s="177" t="s">
        <v>341</v>
      </c>
      <c r="D175" s="133">
        <v>2</v>
      </c>
      <c r="E175" s="135">
        <v>4</v>
      </c>
      <c r="F175" s="135"/>
      <c r="G175" s="135">
        <v>0.15</v>
      </c>
      <c r="H175" s="242">
        <f>D175*E175*G175</f>
        <v>1.2</v>
      </c>
      <c r="I175" s="273"/>
      <c r="J175" s="274"/>
      <c r="K175" s="217">
        <f t="shared" si="14"/>
        <v>0</v>
      </c>
      <c r="L175" s="218">
        <f t="shared" si="15"/>
        <v>0</v>
      </c>
    </row>
    <row r="176" spans="1:12" ht="14.25" x14ac:dyDescent="0.2">
      <c r="A176" s="139"/>
      <c r="B176" s="280"/>
      <c r="C176" s="281" t="s">
        <v>207</v>
      </c>
      <c r="D176" s="142"/>
      <c r="E176" s="233"/>
      <c r="F176" s="145"/>
      <c r="G176" s="145"/>
      <c r="H176" s="282">
        <f>SUM(H173:H175)</f>
        <v>2.6624999999999996</v>
      </c>
      <c r="I176" s="268" t="s">
        <v>278</v>
      </c>
      <c r="J176" s="269">
        <v>2354.6999999999998</v>
      </c>
      <c r="K176" s="217">
        <f t="shared" si="14"/>
        <v>1995.5084745762708</v>
      </c>
      <c r="L176" s="218">
        <f t="shared" si="15"/>
        <v>5313.0413135593208</v>
      </c>
    </row>
    <row r="177" spans="1:12" ht="25.5" x14ac:dyDescent="0.2">
      <c r="A177" s="116">
        <v>19</v>
      </c>
      <c r="B177" s="206" t="s">
        <v>343</v>
      </c>
      <c r="C177" s="207" t="s">
        <v>344</v>
      </c>
      <c r="D177" s="117"/>
      <c r="E177" s="328"/>
      <c r="F177" s="117"/>
      <c r="G177" s="329"/>
      <c r="H177" s="253"/>
      <c r="I177" s="254"/>
      <c r="J177" s="255"/>
      <c r="K177" s="217">
        <f t="shared" si="14"/>
        <v>0</v>
      </c>
      <c r="L177" s="218">
        <f t="shared" si="15"/>
        <v>0</v>
      </c>
    </row>
    <row r="178" spans="1:12" x14ac:dyDescent="0.2">
      <c r="A178" s="124"/>
      <c r="B178" s="211"/>
      <c r="C178" s="401" t="s">
        <v>746</v>
      </c>
      <c r="D178" s="127"/>
      <c r="E178" s="129"/>
      <c r="F178" s="403"/>
      <c r="G178" s="145"/>
      <c r="H178" s="404"/>
      <c r="I178" s="130"/>
      <c r="J178" s="240"/>
      <c r="K178" s="217">
        <f t="shared" si="14"/>
        <v>0</v>
      </c>
      <c r="L178" s="218">
        <f t="shared" si="15"/>
        <v>0</v>
      </c>
    </row>
    <row r="179" spans="1:12" x14ac:dyDescent="0.2">
      <c r="A179" s="124"/>
      <c r="B179" s="211"/>
      <c r="C179" s="225" t="s">
        <v>712</v>
      </c>
      <c r="D179" s="226">
        <v>1</v>
      </c>
      <c r="E179" s="227">
        <f>(E156+F156)*2-1.05+0.9+1+4.2</f>
        <v>28.5</v>
      </c>
      <c r="F179" s="227"/>
      <c r="G179" s="145">
        <v>0.1</v>
      </c>
      <c r="H179" s="212">
        <f>G179*E179*D179</f>
        <v>2.85</v>
      </c>
      <c r="I179" s="136"/>
      <c r="J179" s="213"/>
      <c r="K179" s="217">
        <f t="shared" si="14"/>
        <v>0</v>
      </c>
      <c r="L179" s="218">
        <f t="shared" si="15"/>
        <v>0</v>
      </c>
    </row>
    <row r="180" spans="1:12" x14ac:dyDescent="0.2">
      <c r="A180" s="124"/>
      <c r="B180" s="211"/>
      <c r="C180" s="225" t="s">
        <v>493</v>
      </c>
      <c r="D180" s="226">
        <v>1</v>
      </c>
      <c r="E180" s="227">
        <f>(E157+F157)*2-1+2.4</f>
        <v>17</v>
      </c>
      <c r="F180" s="227"/>
      <c r="G180" s="135">
        <v>0.1</v>
      </c>
      <c r="H180" s="212">
        <f>G180*E180*D180</f>
        <v>1.7000000000000002</v>
      </c>
      <c r="I180" s="136"/>
      <c r="J180" s="213"/>
      <c r="K180" s="217">
        <f t="shared" si="14"/>
        <v>0</v>
      </c>
      <c r="L180" s="218">
        <f t="shared" si="15"/>
        <v>0</v>
      </c>
    </row>
    <row r="181" spans="1:12" x14ac:dyDescent="0.2">
      <c r="A181" s="124"/>
      <c r="B181" s="211"/>
      <c r="C181" s="225" t="s">
        <v>714</v>
      </c>
      <c r="D181" s="226">
        <v>3</v>
      </c>
      <c r="E181" s="227">
        <f>(E158+F158)</f>
        <v>3.4250000000000003</v>
      </c>
      <c r="F181" s="227"/>
      <c r="G181" s="135">
        <v>0.1</v>
      </c>
      <c r="H181" s="212">
        <f>G181*E181*D181</f>
        <v>1.0275000000000001</v>
      </c>
      <c r="I181" s="136"/>
      <c r="J181" s="213"/>
      <c r="K181" s="217">
        <f t="shared" si="14"/>
        <v>0</v>
      </c>
      <c r="L181" s="218">
        <f t="shared" si="15"/>
        <v>0</v>
      </c>
    </row>
    <row r="182" spans="1:12" x14ac:dyDescent="0.2">
      <c r="A182" s="124"/>
      <c r="B182" s="211"/>
      <c r="C182" s="225" t="s">
        <v>715</v>
      </c>
      <c r="D182" s="226">
        <v>1</v>
      </c>
      <c r="E182" s="227">
        <f>(E159+F159)*2-1+0.75*2+1+1.5</f>
        <v>9.75</v>
      </c>
      <c r="F182" s="227"/>
      <c r="G182" s="135">
        <v>0.1</v>
      </c>
      <c r="H182" s="212">
        <f>G182*E182*D182</f>
        <v>0.97500000000000009</v>
      </c>
      <c r="I182" s="136"/>
      <c r="J182" s="213"/>
      <c r="K182" s="217">
        <f t="shared" si="14"/>
        <v>0</v>
      </c>
      <c r="L182" s="218">
        <f t="shared" si="15"/>
        <v>0</v>
      </c>
    </row>
    <row r="183" spans="1:12" x14ac:dyDescent="0.2">
      <c r="A183" s="139"/>
      <c r="B183" s="215"/>
      <c r="C183" s="299" t="s">
        <v>207</v>
      </c>
      <c r="D183" s="142"/>
      <c r="E183" s="145"/>
      <c r="F183" s="145"/>
      <c r="G183" s="145"/>
      <c r="H183" s="216">
        <f>SUM(H179:H182)</f>
        <v>6.5525000000000002</v>
      </c>
      <c r="I183" s="268" t="s">
        <v>334</v>
      </c>
      <c r="J183" s="269">
        <v>1623.05</v>
      </c>
      <c r="K183" s="217">
        <f t="shared" si="14"/>
        <v>1375.4661016949153</v>
      </c>
      <c r="L183" s="218">
        <f t="shared" si="15"/>
        <v>9012.7416313559334</v>
      </c>
    </row>
    <row r="184" spans="1:12" ht="25.5" customHeight="1" x14ac:dyDescent="0.2">
      <c r="A184" s="116">
        <v>20</v>
      </c>
      <c r="B184" s="206">
        <v>8.31</v>
      </c>
      <c r="C184" s="219" t="s">
        <v>345</v>
      </c>
      <c r="D184" s="119"/>
      <c r="E184" s="121"/>
      <c r="F184" s="121"/>
      <c r="G184" s="121"/>
      <c r="H184" s="208"/>
      <c r="I184" s="122"/>
      <c r="J184" s="209"/>
      <c r="K184" s="217">
        <f t="shared" si="14"/>
        <v>0</v>
      </c>
      <c r="L184" s="218">
        <f t="shared" si="15"/>
        <v>0</v>
      </c>
    </row>
    <row r="185" spans="1:12" ht="15.75" customHeight="1" x14ac:dyDescent="0.2">
      <c r="A185" s="124"/>
      <c r="B185" s="211"/>
      <c r="C185" s="401" t="s">
        <v>746</v>
      </c>
      <c r="D185" s="119"/>
      <c r="E185" s="121"/>
      <c r="F185" s="121"/>
      <c r="G185" s="301"/>
      <c r="H185" s="302"/>
      <c r="I185" s="122"/>
      <c r="J185" s="209"/>
      <c r="K185" s="217">
        <f t="shared" si="14"/>
        <v>0</v>
      </c>
      <c r="L185" s="218">
        <f t="shared" si="15"/>
        <v>0</v>
      </c>
    </row>
    <row r="186" spans="1:12" ht="14.25" customHeight="1" x14ac:dyDescent="0.2">
      <c r="A186" s="124"/>
      <c r="B186" s="211"/>
      <c r="C186" s="220" t="s">
        <v>322</v>
      </c>
      <c r="D186" s="133">
        <v>1</v>
      </c>
      <c r="E186" s="301">
        <f>(E163+F163)*2-0.75</f>
        <v>6.8900000000000006</v>
      </c>
      <c r="F186" s="135"/>
      <c r="G186" s="301">
        <v>2.1</v>
      </c>
      <c r="H186" s="302">
        <f>D186*E186*G186</f>
        <v>14.469000000000001</v>
      </c>
      <c r="I186" s="136"/>
      <c r="J186" s="213"/>
      <c r="K186" s="217">
        <f t="shared" si="14"/>
        <v>0</v>
      </c>
      <c r="L186" s="218">
        <f t="shared" si="15"/>
        <v>0</v>
      </c>
    </row>
    <row r="187" spans="1:12" ht="14.25" customHeight="1" x14ac:dyDescent="0.2">
      <c r="A187" s="124"/>
      <c r="B187" s="211"/>
      <c r="C187" s="220" t="s">
        <v>718</v>
      </c>
      <c r="D187" s="133">
        <v>1</v>
      </c>
      <c r="E187" s="301">
        <f>(E164+F164)*2-0.75</f>
        <v>7.4499999999999993</v>
      </c>
      <c r="F187" s="135"/>
      <c r="G187" s="301">
        <f>0.1+0.15</f>
        <v>0.25</v>
      </c>
      <c r="H187" s="302">
        <f>D187*E187*G187</f>
        <v>1.8624999999999998</v>
      </c>
      <c r="I187" s="136"/>
      <c r="J187" s="213"/>
      <c r="K187" s="217">
        <f t="shared" si="14"/>
        <v>0</v>
      </c>
      <c r="L187" s="218">
        <f t="shared" si="15"/>
        <v>0</v>
      </c>
    </row>
    <row r="188" spans="1:12" ht="16.5" customHeight="1" x14ac:dyDescent="0.2">
      <c r="A188" s="124"/>
      <c r="B188" s="211"/>
      <c r="C188" s="220" t="s">
        <v>524</v>
      </c>
      <c r="D188" s="243">
        <v>1</v>
      </c>
      <c r="E188" s="301">
        <v>3.3</v>
      </c>
      <c r="F188" s="301"/>
      <c r="G188" s="301">
        <v>1.5</v>
      </c>
      <c r="H188" s="302">
        <f>D188*E188*G188</f>
        <v>4.9499999999999993</v>
      </c>
      <c r="I188" s="180"/>
      <c r="J188" s="213"/>
      <c r="K188" s="217">
        <f t="shared" si="14"/>
        <v>0</v>
      </c>
      <c r="L188" s="218">
        <f t="shared" si="15"/>
        <v>0</v>
      </c>
    </row>
    <row r="189" spans="1:12" ht="14.25" x14ac:dyDescent="0.2">
      <c r="A189" s="124"/>
      <c r="B189" s="211"/>
      <c r="C189" s="177"/>
      <c r="D189" s="133">
        <v>1</v>
      </c>
      <c r="E189" s="134">
        <v>2.5499999999999998</v>
      </c>
      <c r="F189" s="134"/>
      <c r="G189" s="134">
        <v>1.5</v>
      </c>
      <c r="H189" s="302">
        <f>D189*E189*G189</f>
        <v>3.8249999999999997</v>
      </c>
      <c r="I189" s="180"/>
      <c r="J189" s="213"/>
      <c r="K189" s="217">
        <f t="shared" si="14"/>
        <v>0</v>
      </c>
      <c r="L189" s="218">
        <f t="shared" si="15"/>
        <v>0</v>
      </c>
    </row>
    <row r="190" spans="1:12" ht="14.25" customHeight="1" x14ac:dyDescent="0.2">
      <c r="A190" s="139"/>
      <c r="B190" s="215"/>
      <c r="C190" s="141" t="s">
        <v>117</v>
      </c>
      <c r="D190" s="142"/>
      <c r="E190" s="145"/>
      <c r="F190" s="145"/>
      <c r="G190" s="145"/>
      <c r="H190" s="216">
        <f>SUM(H185:H189)</f>
        <v>25.1065</v>
      </c>
      <c r="I190" s="141" t="s">
        <v>128</v>
      </c>
      <c r="J190" s="217">
        <v>1267.95</v>
      </c>
      <c r="K190" s="217">
        <f t="shared" si="14"/>
        <v>1074.5338983050847</v>
      </c>
      <c r="L190" s="218">
        <f t="shared" si="15"/>
        <v>26977.78531779661</v>
      </c>
    </row>
    <row r="191" spans="1:12" ht="38.25" x14ac:dyDescent="0.2">
      <c r="A191" s="116">
        <v>21</v>
      </c>
      <c r="B191" s="206">
        <v>9.1</v>
      </c>
      <c r="C191" s="219" t="s">
        <v>346</v>
      </c>
      <c r="D191" s="119"/>
      <c r="E191" s="121"/>
      <c r="F191" s="121"/>
      <c r="G191" s="121"/>
      <c r="H191" s="208"/>
      <c r="I191" s="122"/>
      <c r="J191" s="209"/>
      <c r="K191" s="217">
        <f t="shared" si="14"/>
        <v>0</v>
      </c>
      <c r="L191" s="218">
        <f t="shared" si="15"/>
        <v>0</v>
      </c>
    </row>
    <row r="192" spans="1:12" x14ac:dyDescent="0.2">
      <c r="A192" s="124"/>
      <c r="B192" s="211"/>
      <c r="C192" s="266" t="s">
        <v>347</v>
      </c>
      <c r="D192" s="127"/>
      <c r="E192" s="129"/>
      <c r="F192" s="129"/>
      <c r="G192" s="129"/>
      <c r="H192" s="239"/>
      <c r="I192" s="130"/>
      <c r="J192" s="240"/>
      <c r="K192" s="217">
        <f t="shared" si="14"/>
        <v>0</v>
      </c>
      <c r="L192" s="218">
        <f t="shared" si="15"/>
        <v>0</v>
      </c>
    </row>
    <row r="193" spans="1:12" ht="31.5" customHeight="1" x14ac:dyDescent="0.2">
      <c r="A193" s="124"/>
      <c r="B193" s="211" t="s">
        <v>348</v>
      </c>
      <c r="C193" s="289" t="s">
        <v>349</v>
      </c>
      <c r="D193" s="127"/>
      <c r="E193" s="129"/>
      <c r="F193" s="129"/>
      <c r="G193" s="129"/>
      <c r="H193" s="239"/>
      <c r="I193" s="130"/>
      <c r="J193" s="240"/>
      <c r="K193" s="217">
        <f t="shared" si="14"/>
        <v>0</v>
      </c>
      <c r="L193" s="218">
        <f t="shared" si="15"/>
        <v>0</v>
      </c>
    </row>
    <row r="194" spans="1:12" ht="14.25" customHeight="1" x14ac:dyDescent="0.2">
      <c r="A194" s="124"/>
      <c r="B194" s="211"/>
      <c r="C194" s="187" t="s">
        <v>293</v>
      </c>
      <c r="D194" s="133">
        <v>2</v>
      </c>
      <c r="E194" s="135">
        <f>2.13*2+1</f>
        <v>5.26</v>
      </c>
      <c r="F194" s="135">
        <v>0.125</v>
      </c>
      <c r="G194" s="135">
        <v>6.25E-2</v>
      </c>
      <c r="H194" s="303">
        <f>G194*F194*E194*D194</f>
        <v>8.2187499999999997E-2</v>
      </c>
      <c r="I194" s="130"/>
      <c r="J194" s="240"/>
      <c r="K194" s="217">
        <f t="shared" si="14"/>
        <v>0</v>
      </c>
      <c r="L194" s="218">
        <f t="shared" si="15"/>
        <v>0</v>
      </c>
    </row>
    <row r="195" spans="1:12" ht="14.25" customHeight="1" x14ac:dyDescent="0.2">
      <c r="A195" s="124"/>
      <c r="B195" s="211"/>
      <c r="C195" s="220" t="s">
        <v>222</v>
      </c>
      <c r="D195" s="133">
        <v>1</v>
      </c>
      <c r="E195" s="135">
        <f>2.13*2+0.75</f>
        <v>5.01</v>
      </c>
      <c r="F195" s="135">
        <v>0.125</v>
      </c>
      <c r="G195" s="135">
        <v>6.25E-2</v>
      </c>
      <c r="H195" s="303">
        <f>G195*F195*E195*D195</f>
        <v>3.9140624999999998E-2</v>
      </c>
      <c r="I195" s="136"/>
      <c r="J195" s="213"/>
      <c r="K195" s="217">
        <f t="shared" si="14"/>
        <v>0</v>
      </c>
      <c r="L195" s="218">
        <f t="shared" si="15"/>
        <v>0</v>
      </c>
    </row>
    <row r="196" spans="1:12" ht="14.25" customHeight="1" x14ac:dyDescent="0.2">
      <c r="A196" s="139"/>
      <c r="B196" s="215"/>
      <c r="C196" s="141" t="s">
        <v>117</v>
      </c>
      <c r="D196" s="142"/>
      <c r="E196" s="145"/>
      <c r="F196" s="145"/>
      <c r="G196" s="145"/>
      <c r="H196" s="216">
        <f>SUM(H194:H195)</f>
        <v>0.121328125</v>
      </c>
      <c r="I196" s="141" t="s">
        <v>118</v>
      </c>
      <c r="J196" s="217">
        <v>116520.3</v>
      </c>
      <c r="K196" s="217">
        <f t="shared" si="14"/>
        <v>98746.016949152545</v>
      </c>
      <c r="L196" s="218">
        <f t="shared" si="15"/>
        <v>11980.669087658898</v>
      </c>
    </row>
    <row r="197" spans="1:12" ht="146.25" customHeight="1" x14ac:dyDescent="0.2">
      <c r="A197" s="116">
        <v>22</v>
      </c>
      <c r="B197" s="206">
        <v>9.1310000000000002</v>
      </c>
      <c r="C197" s="288" t="s">
        <v>351</v>
      </c>
      <c r="D197" s="119"/>
      <c r="E197" s="121"/>
      <c r="F197" s="121"/>
      <c r="G197" s="121"/>
      <c r="H197" s="208"/>
      <c r="I197" s="122"/>
      <c r="J197" s="209"/>
      <c r="K197" s="217">
        <f t="shared" si="14"/>
        <v>0</v>
      </c>
      <c r="L197" s="218">
        <f t="shared" si="15"/>
        <v>0</v>
      </c>
    </row>
    <row r="198" spans="1:12" x14ac:dyDescent="0.2">
      <c r="A198" s="124"/>
      <c r="B198" s="211" t="s">
        <v>352</v>
      </c>
      <c r="C198" s="289" t="s">
        <v>353</v>
      </c>
      <c r="D198" s="127"/>
      <c r="E198" s="129"/>
      <c r="F198" s="129"/>
      <c r="G198" s="129"/>
      <c r="H198" s="239"/>
      <c r="I198" s="130"/>
      <c r="J198" s="240"/>
      <c r="K198" s="217">
        <f t="shared" si="14"/>
        <v>0</v>
      </c>
      <c r="L198" s="218">
        <f t="shared" si="15"/>
        <v>0</v>
      </c>
    </row>
    <row r="199" spans="1:12" ht="14.25" customHeight="1" x14ac:dyDescent="0.2">
      <c r="A199" s="124"/>
      <c r="B199" s="211"/>
      <c r="C199" s="220" t="s">
        <v>222</v>
      </c>
      <c r="D199" s="133">
        <v>1</v>
      </c>
      <c r="E199" s="135">
        <v>0.9</v>
      </c>
      <c r="F199" s="135"/>
      <c r="G199" s="135">
        <v>2.1</v>
      </c>
      <c r="H199" s="303">
        <f>D199*E199*G199</f>
        <v>1.8900000000000001</v>
      </c>
      <c r="I199" s="136"/>
      <c r="J199" s="213"/>
      <c r="K199" s="217">
        <f t="shared" si="14"/>
        <v>0</v>
      </c>
      <c r="L199" s="218">
        <f t="shared" si="15"/>
        <v>0</v>
      </c>
    </row>
    <row r="200" spans="1:12" x14ac:dyDescent="0.2">
      <c r="A200" s="139"/>
      <c r="B200" s="215"/>
      <c r="C200" s="141" t="s">
        <v>117</v>
      </c>
      <c r="D200" s="142"/>
      <c r="E200" s="145"/>
      <c r="F200" s="145"/>
      <c r="G200" s="145"/>
      <c r="H200" s="216">
        <f>SUM(H199:H199)</f>
        <v>1.8900000000000001</v>
      </c>
      <c r="I200" s="141" t="s">
        <v>334</v>
      </c>
      <c r="J200" s="217">
        <v>1801.6</v>
      </c>
      <c r="K200" s="217">
        <f t="shared" si="14"/>
        <v>1526.7796610169491</v>
      </c>
      <c r="L200" s="218">
        <f t="shared" si="15"/>
        <v>2885.6135593220342</v>
      </c>
    </row>
    <row r="201" spans="1:12" ht="39" customHeight="1" x14ac:dyDescent="0.2">
      <c r="A201" s="116">
        <v>23</v>
      </c>
      <c r="B201" s="206">
        <v>9.1319999999999997</v>
      </c>
      <c r="C201" s="304" t="s">
        <v>354</v>
      </c>
      <c r="D201" s="119"/>
      <c r="E201" s="121"/>
      <c r="F201" s="121"/>
      <c r="G201" s="121"/>
      <c r="H201" s="263"/>
      <c r="I201" s="122"/>
      <c r="J201" s="209"/>
      <c r="K201" s="217">
        <f t="shared" si="14"/>
        <v>0</v>
      </c>
      <c r="L201" s="218">
        <f t="shared" si="15"/>
        <v>0</v>
      </c>
    </row>
    <row r="202" spans="1:12" x14ac:dyDescent="0.2">
      <c r="A202" s="124"/>
      <c r="B202" s="211"/>
      <c r="C202" s="220" t="s">
        <v>223</v>
      </c>
      <c r="D202" s="133">
        <v>1</v>
      </c>
      <c r="E202" s="135">
        <f>2.13*2+0.75</f>
        <v>5.01</v>
      </c>
      <c r="F202" s="135"/>
      <c r="G202" s="135"/>
      <c r="H202" s="134">
        <f>D202*E202</f>
        <v>5.01</v>
      </c>
      <c r="I202" s="136"/>
      <c r="J202" s="213"/>
      <c r="K202" s="217">
        <f t="shared" si="14"/>
        <v>0</v>
      </c>
      <c r="L202" s="218">
        <f t="shared" si="15"/>
        <v>0</v>
      </c>
    </row>
    <row r="203" spans="1:12" x14ac:dyDescent="0.2">
      <c r="A203" s="139"/>
      <c r="B203" s="215"/>
      <c r="C203" s="141" t="s">
        <v>117</v>
      </c>
      <c r="D203" s="142">
        <f>SUM(D202:D202)</f>
        <v>1</v>
      </c>
      <c r="E203" s="145"/>
      <c r="F203" s="145"/>
      <c r="G203" s="145"/>
      <c r="H203" s="216">
        <f>( H202)*0.5</f>
        <v>2.5049999999999999</v>
      </c>
      <c r="I203" s="141" t="s">
        <v>355</v>
      </c>
      <c r="J203" s="217">
        <v>596.15</v>
      </c>
      <c r="K203" s="217">
        <f t="shared" ref="K203:K266" si="16">J203*100/118</f>
        <v>505.21186440677968</v>
      </c>
      <c r="L203" s="218">
        <f t="shared" ref="L203:L266" si="17">K203*H203</f>
        <v>1265.5557203389831</v>
      </c>
    </row>
    <row r="204" spans="1:12" ht="71.25" x14ac:dyDescent="0.2">
      <c r="A204" s="124">
        <v>24</v>
      </c>
      <c r="B204" s="211">
        <v>9.2100000000000009</v>
      </c>
      <c r="C204" s="290" t="s">
        <v>506</v>
      </c>
      <c r="D204" s="133"/>
      <c r="E204" s="135"/>
      <c r="F204" s="135"/>
      <c r="G204" s="135"/>
      <c r="H204" s="242"/>
      <c r="I204" s="136"/>
      <c r="J204" s="213"/>
      <c r="K204" s="217">
        <f t="shared" si="16"/>
        <v>0</v>
      </c>
      <c r="L204" s="218">
        <f t="shared" si="17"/>
        <v>0</v>
      </c>
    </row>
    <row r="205" spans="1:12" ht="25.5" x14ac:dyDescent="0.2">
      <c r="A205" s="124"/>
      <c r="B205" s="211" t="s">
        <v>358</v>
      </c>
      <c r="C205" s="305" t="s">
        <v>359</v>
      </c>
      <c r="D205" s="133"/>
      <c r="E205" s="135"/>
      <c r="F205" s="135"/>
      <c r="G205" s="135"/>
      <c r="H205" s="242"/>
      <c r="I205" s="136"/>
      <c r="J205" s="213"/>
      <c r="K205" s="217">
        <f t="shared" si="16"/>
        <v>0</v>
      </c>
      <c r="L205" s="218">
        <f t="shared" si="17"/>
        <v>0</v>
      </c>
    </row>
    <row r="206" spans="1:12" x14ac:dyDescent="0.2">
      <c r="A206" s="124"/>
      <c r="B206" s="211"/>
      <c r="C206" s="305" t="s">
        <v>293</v>
      </c>
      <c r="D206" s="133">
        <v>2</v>
      </c>
      <c r="E206" s="135">
        <v>1</v>
      </c>
      <c r="F206" s="135"/>
      <c r="G206" s="135">
        <v>2.1</v>
      </c>
      <c r="H206" s="303">
        <f>D206*E206*G206</f>
        <v>4.2</v>
      </c>
      <c r="I206" s="136"/>
      <c r="J206" s="213"/>
      <c r="K206" s="217">
        <f t="shared" si="16"/>
        <v>0</v>
      </c>
      <c r="L206" s="218">
        <f t="shared" si="17"/>
        <v>0</v>
      </c>
    </row>
    <row r="207" spans="1:12" x14ac:dyDescent="0.2">
      <c r="A207" s="124"/>
      <c r="B207" s="211"/>
      <c r="C207" s="305" t="s">
        <v>222</v>
      </c>
      <c r="D207" s="133">
        <v>1</v>
      </c>
      <c r="E207" s="135">
        <v>0.9</v>
      </c>
      <c r="F207" s="135"/>
      <c r="G207" s="135">
        <v>2.1</v>
      </c>
      <c r="H207" s="303">
        <f>D207*E207*G207</f>
        <v>1.8900000000000001</v>
      </c>
      <c r="I207" s="141"/>
      <c r="J207" s="217"/>
      <c r="K207" s="217">
        <f t="shared" si="16"/>
        <v>0</v>
      </c>
      <c r="L207" s="218">
        <f t="shared" si="17"/>
        <v>0</v>
      </c>
    </row>
    <row r="208" spans="1:12" x14ac:dyDescent="0.2">
      <c r="A208" s="124"/>
      <c r="B208" s="211"/>
      <c r="C208" s="192"/>
      <c r="D208" s="127"/>
      <c r="E208" s="129"/>
      <c r="F208" s="129"/>
      <c r="G208" s="129"/>
      <c r="H208" s="264">
        <f>SUM(H206:H207)</f>
        <v>6.09</v>
      </c>
      <c r="I208" s="130" t="s">
        <v>334</v>
      </c>
      <c r="J208" s="240">
        <v>2392.65</v>
      </c>
      <c r="K208" s="217">
        <f t="shared" si="16"/>
        <v>2027.6694915254238</v>
      </c>
      <c r="L208" s="218">
        <f t="shared" si="17"/>
        <v>12348.50720338983</v>
      </c>
    </row>
    <row r="209" spans="1:12" ht="273" customHeight="1" x14ac:dyDescent="0.2">
      <c r="A209" s="116">
        <v>25</v>
      </c>
      <c r="B209" s="206" t="s">
        <v>360</v>
      </c>
      <c r="C209" s="290" t="s">
        <v>361</v>
      </c>
      <c r="D209" s="116"/>
      <c r="E209" s="252"/>
      <c r="F209" s="252"/>
      <c r="G209" s="252"/>
      <c r="H209" s="272"/>
      <c r="I209" s="254"/>
      <c r="J209" s="255"/>
      <c r="K209" s="217">
        <f t="shared" si="16"/>
        <v>0</v>
      </c>
      <c r="L209" s="218">
        <f t="shared" si="17"/>
        <v>0</v>
      </c>
    </row>
    <row r="210" spans="1:12" ht="162" customHeight="1" x14ac:dyDescent="0.2">
      <c r="A210" s="306"/>
      <c r="B210" s="211"/>
      <c r="C210" s="307" t="s">
        <v>362</v>
      </c>
      <c r="D210" s="127"/>
      <c r="E210" s="129"/>
      <c r="F210" s="129"/>
      <c r="G210" s="129"/>
      <c r="H210" s="239"/>
      <c r="I210" s="260"/>
      <c r="J210" s="261"/>
      <c r="K210" s="217">
        <f t="shared" si="16"/>
        <v>0</v>
      </c>
      <c r="L210" s="218">
        <f t="shared" si="17"/>
        <v>0</v>
      </c>
    </row>
    <row r="211" spans="1:12" ht="63" customHeight="1" x14ac:dyDescent="0.2">
      <c r="A211" s="116">
        <v>26</v>
      </c>
      <c r="B211" s="117" t="s">
        <v>363</v>
      </c>
      <c r="C211" s="288" t="s">
        <v>364</v>
      </c>
      <c r="D211" s="119"/>
      <c r="E211" s="121"/>
      <c r="F211" s="121"/>
      <c r="G211" s="121"/>
      <c r="H211" s="263"/>
      <c r="I211" s="122"/>
      <c r="J211" s="209"/>
      <c r="K211" s="217">
        <f t="shared" si="16"/>
        <v>0</v>
      </c>
      <c r="L211" s="218">
        <f t="shared" si="17"/>
        <v>0</v>
      </c>
    </row>
    <row r="212" spans="1:12" ht="14.25" x14ac:dyDescent="0.2">
      <c r="A212" s="124"/>
      <c r="B212" s="211"/>
      <c r="C212" s="340" t="s">
        <v>484</v>
      </c>
      <c r="D212" s="341">
        <v>1</v>
      </c>
      <c r="E212" s="342">
        <v>1.8</v>
      </c>
      <c r="F212" s="342"/>
      <c r="G212" s="342">
        <v>1.5</v>
      </c>
      <c r="H212" s="343">
        <f>G212*E212*D212</f>
        <v>2.7</v>
      </c>
      <c r="I212" s="344"/>
      <c r="J212" s="345"/>
      <c r="K212" s="217">
        <f t="shared" si="16"/>
        <v>0</v>
      </c>
      <c r="L212" s="218">
        <f t="shared" si="17"/>
        <v>0</v>
      </c>
    </row>
    <row r="213" spans="1:12" ht="14.25" x14ac:dyDescent="0.2">
      <c r="A213" s="124"/>
      <c r="B213" s="211"/>
      <c r="C213" s="346" t="s">
        <v>457</v>
      </c>
      <c r="D213" s="133">
        <v>1</v>
      </c>
      <c r="E213" s="135">
        <v>1.37</v>
      </c>
      <c r="F213" s="135"/>
      <c r="G213" s="135">
        <v>1.5</v>
      </c>
      <c r="H213" s="212">
        <f>G213*E213*D213</f>
        <v>2.0550000000000002</v>
      </c>
      <c r="I213" s="136"/>
      <c r="J213" s="213"/>
      <c r="K213" s="217">
        <f t="shared" si="16"/>
        <v>0</v>
      </c>
      <c r="L213" s="218">
        <f t="shared" si="17"/>
        <v>0</v>
      </c>
    </row>
    <row r="214" spans="1:12" x14ac:dyDescent="0.2">
      <c r="A214" s="124"/>
      <c r="B214" s="211"/>
      <c r="C214" s="220" t="s">
        <v>458</v>
      </c>
      <c r="D214" s="133">
        <v>1</v>
      </c>
      <c r="E214" s="135">
        <v>1.05</v>
      </c>
      <c r="F214" s="135"/>
      <c r="G214" s="135">
        <v>1.35</v>
      </c>
      <c r="H214" s="212">
        <f>G214*E214*D214</f>
        <v>1.4175000000000002</v>
      </c>
      <c r="I214" s="136"/>
      <c r="J214" s="213"/>
      <c r="K214" s="217">
        <f t="shared" si="16"/>
        <v>0</v>
      </c>
      <c r="L214" s="218">
        <f t="shared" si="17"/>
        <v>0</v>
      </c>
    </row>
    <row r="215" spans="1:12" x14ac:dyDescent="0.2">
      <c r="A215" s="124"/>
      <c r="B215" s="211"/>
      <c r="C215" s="220" t="s">
        <v>260</v>
      </c>
      <c r="D215" s="133">
        <v>2</v>
      </c>
      <c r="E215" s="135">
        <v>1.2</v>
      </c>
      <c r="F215" s="135"/>
      <c r="G215" s="135">
        <v>1.2</v>
      </c>
      <c r="H215" s="212">
        <f>D215*E215*G215</f>
        <v>2.88</v>
      </c>
      <c r="I215" s="136"/>
      <c r="J215" s="213"/>
      <c r="K215" s="217">
        <f t="shared" si="16"/>
        <v>0</v>
      </c>
      <c r="L215" s="218">
        <f t="shared" si="17"/>
        <v>0</v>
      </c>
    </row>
    <row r="216" spans="1:12" x14ac:dyDescent="0.2">
      <c r="A216" s="124"/>
      <c r="B216" s="211"/>
      <c r="C216" s="220" t="s">
        <v>273</v>
      </c>
      <c r="D216" s="133">
        <v>1</v>
      </c>
      <c r="E216" s="135">
        <v>0.6</v>
      </c>
      <c r="F216" s="135"/>
      <c r="G216" s="135">
        <v>0.9</v>
      </c>
      <c r="H216" s="212">
        <f>D216*E216*G216</f>
        <v>0.54</v>
      </c>
      <c r="I216" s="136"/>
      <c r="J216" s="213"/>
      <c r="K216" s="217">
        <f t="shared" si="16"/>
        <v>0</v>
      </c>
      <c r="L216" s="218">
        <f t="shared" si="17"/>
        <v>0</v>
      </c>
    </row>
    <row r="217" spans="1:12" x14ac:dyDescent="0.2">
      <c r="A217" s="139"/>
      <c r="B217" s="215"/>
      <c r="C217" s="141" t="s">
        <v>117</v>
      </c>
      <c r="D217" s="142"/>
      <c r="E217" s="145"/>
      <c r="F217" s="145"/>
      <c r="G217" s="145"/>
      <c r="H217" s="216">
        <f>SUM(H212:H216)</f>
        <v>9.5925000000000011</v>
      </c>
      <c r="I217" s="141" t="s">
        <v>128</v>
      </c>
      <c r="J217" s="217">
        <v>9628.6</v>
      </c>
      <c r="K217" s="217">
        <f t="shared" si="16"/>
        <v>8159.8305084745762</v>
      </c>
      <c r="L217" s="218">
        <f t="shared" si="17"/>
        <v>78273.174152542386</v>
      </c>
    </row>
    <row r="218" spans="1:12" x14ac:dyDescent="0.2">
      <c r="A218" s="124"/>
      <c r="B218" s="211"/>
      <c r="C218" s="130"/>
      <c r="D218" s="127"/>
      <c r="E218" s="129"/>
      <c r="F218" s="129"/>
      <c r="G218" s="129"/>
      <c r="H218" s="264"/>
      <c r="I218" s="130"/>
      <c r="J218" s="240"/>
      <c r="K218" s="217">
        <f t="shared" si="16"/>
        <v>0</v>
      </c>
      <c r="L218" s="218">
        <f t="shared" si="17"/>
        <v>0</v>
      </c>
    </row>
    <row r="219" spans="1:12" ht="75.75" customHeight="1" x14ac:dyDescent="0.2">
      <c r="A219" s="116">
        <v>27</v>
      </c>
      <c r="B219" s="117" t="s">
        <v>507</v>
      </c>
      <c r="C219" s="288" t="s">
        <v>508</v>
      </c>
      <c r="D219" s="119"/>
      <c r="E219" s="121"/>
      <c r="F219" s="121"/>
      <c r="G219" s="121"/>
      <c r="H219" s="263"/>
      <c r="I219" s="122"/>
      <c r="J219" s="209"/>
      <c r="K219" s="217">
        <f t="shared" si="16"/>
        <v>0</v>
      </c>
      <c r="L219" s="218">
        <f t="shared" si="17"/>
        <v>0</v>
      </c>
    </row>
    <row r="220" spans="1:12" ht="51.75" customHeight="1" x14ac:dyDescent="0.2">
      <c r="A220" s="243"/>
      <c r="B220" s="186" t="s">
        <v>509</v>
      </c>
      <c r="C220" s="288" t="s">
        <v>510</v>
      </c>
      <c r="D220" s="119"/>
      <c r="E220" s="121"/>
      <c r="F220" s="121"/>
      <c r="G220" s="121"/>
      <c r="H220" s="263"/>
      <c r="I220" s="122"/>
      <c r="J220" s="209"/>
      <c r="K220" s="217">
        <f t="shared" si="16"/>
        <v>0</v>
      </c>
      <c r="L220" s="218">
        <f t="shared" si="17"/>
        <v>0</v>
      </c>
    </row>
    <row r="221" spans="1:12" ht="14.25" x14ac:dyDescent="0.2">
      <c r="A221" s="124"/>
      <c r="B221" s="211"/>
      <c r="C221" s="340" t="s">
        <v>511</v>
      </c>
      <c r="D221" s="341">
        <v>1</v>
      </c>
      <c r="E221" s="342">
        <v>2.4</v>
      </c>
      <c r="F221" s="342"/>
      <c r="G221" s="342">
        <v>2.4</v>
      </c>
      <c r="H221" s="343">
        <f>G221*E221*D221</f>
        <v>5.76</v>
      </c>
      <c r="I221" s="344"/>
      <c r="J221" s="345"/>
      <c r="K221" s="217">
        <f t="shared" si="16"/>
        <v>0</v>
      </c>
      <c r="L221" s="218">
        <f t="shared" si="17"/>
        <v>0</v>
      </c>
    </row>
    <row r="222" spans="1:12" x14ac:dyDescent="0.2">
      <c r="A222" s="139"/>
      <c r="B222" s="215"/>
      <c r="C222" s="141" t="s">
        <v>117</v>
      </c>
      <c r="D222" s="142"/>
      <c r="E222" s="145"/>
      <c r="F222" s="145"/>
      <c r="G222" s="145"/>
      <c r="H222" s="216">
        <f>SUM(H221:H221)</f>
        <v>5.76</v>
      </c>
      <c r="I222" s="141" t="s">
        <v>128</v>
      </c>
      <c r="J222" s="217">
        <v>8287.0499999999993</v>
      </c>
      <c r="K222" s="217">
        <f t="shared" si="16"/>
        <v>7022.9237288135582</v>
      </c>
      <c r="L222" s="218">
        <f t="shared" si="17"/>
        <v>40452.040677966092</v>
      </c>
    </row>
    <row r="223" spans="1:12" ht="57.75" customHeight="1" x14ac:dyDescent="0.2">
      <c r="A223" s="116">
        <v>30</v>
      </c>
      <c r="B223" s="206">
        <v>9.9600000000000009</v>
      </c>
      <c r="C223" s="308" t="s">
        <v>366</v>
      </c>
      <c r="D223" s="119"/>
      <c r="E223" s="121"/>
      <c r="F223" s="121"/>
      <c r="G223" s="121"/>
      <c r="H223" s="263"/>
      <c r="I223" s="122"/>
      <c r="J223" s="209"/>
      <c r="K223" s="217">
        <f t="shared" si="16"/>
        <v>0</v>
      </c>
      <c r="L223" s="218">
        <f t="shared" si="17"/>
        <v>0</v>
      </c>
    </row>
    <row r="224" spans="1:12" ht="21" customHeight="1" x14ac:dyDescent="0.2">
      <c r="A224" s="124"/>
      <c r="B224" s="188" t="s">
        <v>367</v>
      </c>
      <c r="C224" s="405" t="s">
        <v>368</v>
      </c>
      <c r="D224" s="243">
        <v>4</v>
      </c>
      <c r="E224" s="301"/>
      <c r="F224" s="301"/>
      <c r="G224" s="301"/>
      <c r="H224" s="285">
        <f>D224</f>
        <v>4</v>
      </c>
      <c r="I224" s="273" t="s">
        <v>369</v>
      </c>
      <c r="J224" s="274">
        <v>303.25</v>
      </c>
      <c r="K224" s="217">
        <f t="shared" si="16"/>
        <v>256.99152542372883</v>
      </c>
      <c r="L224" s="218">
        <f t="shared" si="17"/>
        <v>1027.9661016949153</v>
      </c>
    </row>
    <row r="225" spans="1:12" ht="20.25" customHeight="1" x14ac:dyDescent="0.2">
      <c r="A225" s="139"/>
      <c r="B225" s="215" t="s">
        <v>370</v>
      </c>
      <c r="C225" s="311" t="s">
        <v>371</v>
      </c>
      <c r="D225" s="139">
        <v>1</v>
      </c>
      <c r="E225" s="310"/>
      <c r="F225" s="310"/>
      <c r="G225" s="310"/>
      <c r="H225" s="282">
        <f>D225</f>
        <v>1</v>
      </c>
      <c r="I225" s="268" t="s">
        <v>369</v>
      </c>
      <c r="J225" s="269">
        <v>260.60000000000002</v>
      </c>
      <c r="K225" s="217">
        <f t="shared" si="16"/>
        <v>220.84745762711867</v>
      </c>
      <c r="L225" s="218">
        <f t="shared" si="17"/>
        <v>220.84745762711867</v>
      </c>
    </row>
    <row r="226" spans="1:12" ht="58.5" customHeight="1" x14ac:dyDescent="0.2">
      <c r="A226" s="116">
        <v>31</v>
      </c>
      <c r="B226" s="206">
        <v>9.9700000000000006</v>
      </c>
      <c r="C226" s="308" t="s">
        <v>372</v>
      </c>
      <c r="D226" s="119"/>
      <c r="E226" s="121"/>
      <c r="F226" s="121"/>
      <c r="G226" s="121"/>
      <c r="H226" s="263"/>
      <c r="I226" s="122"/>
      <c r="J226" s="209"/>
      <c r="K226" s="217">
        <f t="shared" si="16"/>
        <v>0</v>
      </c>
      <c r="L226" s="218">
        <f t="shared" si="17"/>
        <v>0</v>
      </c>
    </row>
    <row r="227" spans="1:12" ht="21.75" customHeight="1" x14ac:dyDescent="0.2">
      <c r="A227" s="124"/>
      <c r="B227" s="211" t="s">
        <v>373</v>
      </c>
      <c r="C227" s="294" t="s">
        <v>374</v>
      </c>
      <c r="D227" s="139">
        <v>8</v>
      </c>
      <c r="E227" s="310"/>
      <c r="F227" s="310"/>
      <c r="G227" s="310"/>
      <c r="H227" s="282">
        <f>D227</f>
        <v>8</v>
      </c>
      <c r="I227" s="268" t="s">
        <v>369</v>
      </c>
      <c r="J227" s="269">
        <v>130.1</v>
      </c>
      <c r="K227" s="217">
        <f t="shared" si="16"/>
        <v>110.2542372881356</v>
      </c>
      <c r="L227" s="218">
        <f t="shared" si="17"/>
        <v>882.03389830508479</v>
      </c>
    </row>
    <row r="228" spans="1:12" x14ac:dyDescent="0.2">
      <c r="A228" s="139"/>
      <c r="B228" s="188" t="s">
        <v>375</v>
      </c>
      <c r="C228" s="183" t="s">
        <v>376</v>
      </c>
      <c r="D228" s="139">
        <v>4</v>
      </c>
      <c r="E228" s="310"/>
      <c r="F228" s="310"/>
      <c r="G228" s="310"/>
      <c r="H228" s="282">
        <f>D228</f>
        <v>4</v>
      </c>
      <c r="I228" s="268" t="s">
        <v>369</v>
      </c>
      <c r="J228" s="269">
        <v>115.15</v>
      </c>
      <c r="K228" s="217">
        <f t="shared" si="16"/>
        <v>97.584745762711862</v>
      </c>
      <c r="L228" s="218">
        <f t="shared" si="17"/>
        <v>390.33898305084745</v>
      </c>
    </row>
    <row r="229" spans="1:12" ht="51" x14ac:dyDescent="0.2">
      <c r="A229" s="124">
        <v>32</v>
      </c>
      <c r="B229" s="211">
        <v>9.98</v>
      </c>
      <c r="C229" s="312" t="s">
        <v>377</v>
      </c>
      <c r="D229" s="139">
        <v>2</v>
      </c>
      <c r="E229" s="310"/>
      <c r="F229" s="310"/>
      <c r="G229" s="310"/>
      <c r="H229" s="282">
        <f>D229</f>
        <v>2</v>
      </c>
      <c r="I229" s="268" t="s">
        <v>378</v>
      </c>
      <c r="J229" s="269">
        <v>100.8</v>
      </c>
      <c r="K229" s="217">
        <f t="shared" si="16"/>
        <v>85.423728813559322</v>
      </c>
      <c r="L229" s="218">
        <f t="shared" si="17"/>
        <v>170.84745762711864</v>
      </c>
    </row>
    <row r="230" spans="1:12" ht="61.5" customHeight="1" x14ac:dyDescent="0.2">
      <c r="A230" s="116">
        <v>33</v>
      </c>
      <c r="B230" s="313">
        <v>9.1</v>
      </c>
      <c r="C230" s="118" t="s">
        <v>379</v>
      </c>
      <c r="D230" s="119"/>
      <c r="E230" s="121"/>
      <c r="F230" s="121"/>
      <c r="G230" s="121"/>
      <c r="H230" s="263"/>
      <c r="I230" s="122"/>
      <c r="J230" s="209"/>
      <c r="K230" s="217">
        <f t="shared" si="16"/>
        <v>0</v>
      </c>
      <c r="L230" s="218">
        <f t="shared" si="17"/>
        <v>0</v>
      </c>
    </row>
    <row r="231" spans="1:12" ht="14.25" x14ac:dyDescent="0.2">
      <c r="A231" s="124"/>
      <c r="B231" s="286" t="s">
        <v>380</v>
      </c>
      <c r="C231" s="177" t="s">
        <v>381</v>
      </c>
      <c r="D231" s="133">
        <v>8</v>
      </c>
      <c r="E231" s="135"/>
      <c r="F231" s="135"/>
      <c r="G231" s="135"/>
      <c r="H231" s="242">
        <v>22</v>
      </c>
      <c r="I231" s="136" t="s">
        <v>382</v>
      </c>
      <c r="J231" s="213">
        <v>66.25</v>
      </c>
      <c r="K231" s="217">
        <f t="shared" si="16"/>
        <v>56.144067796610166</v>
      </c>
      <c r="L231" s="218">
        <f t="shared" si="17"/>
        <v>1235.1694915254236</v>
      </c>
    </row>
    <row r="232" spans="1:12" ht="14.25" x14ac:dyDescent="0.2">
      <c r="A232" s="139"/>
      <c r="B232" s="286" t="s">
        <v>383</v>
      </c>
      <c r="C232" s="177" t="s">
        <v>384</v>
      </c>
      <c r="D232" s="133">
        <v>2</v>
      </c>
      <c r="E232" s="135"/>
      <c r="F232" s="135"/>
      <c r="G232" s="135"/>
      <c r="H232" s="242">
        <v>20</v>
      </c>
      <c r="I232" s="136" t="s">
        <v>382</v>
      </c>
      <c r="J232" s="213">
        <v>59.55</v>
      </c>
      <c r="K232" s="217">
        <f t="shared" si="16"/>
        <v>50.466101694915253</v>
      </c>
      <c r="L232" s="218">
        <f t="shared" si="17"/>
        <v>1009.3220338983051</v>
      </c>
    </row>
    <row r="233" spans="1:12" ht="54.75" customHeight="1" x14ac:dyDescent="0.2">
      <c r="A233" s="116">
        <v>34</v>
      </c>
      <c r="B233" s="175">
        <v>9.1010000000000009</v>
      </c>
      <c r="C233" s="118" t="s">
        <v>385</v>
      </c>
      <c r="D233" s="119"/>
      <c r="E233" s="121"/>
      <c r="F233" s="121"/>
      <c r="G233" s="121"/>
      <c r="H233" s="263"/>
      <c r="I233" s="122"/>
      <c r="J233" s="209"/>
      <c r="K233" s="217">
        <f t="shared" si="16"/>
        <v>0</v>
      </c>
      <c r="L233" s="218">
        <f t="shared" si="17"/>
        <v>0</v>
      </c>
    </row>
    <row r="234" spans="1:12" ht="14.25" x14ac:dyDescent="0.2">
      <c r="A234" s="139"/>
      <c r="B234" s="280" t="s">
        <v>386</v>
      </c>
      <c r="C234" s="297" t="s">
        <v>387</v>
      </c>
      <c r="D234" s="142">
        <v>10</v>
      </c>
      <c r="E234" s="145"/>
      <c r="F234" s="145"/>
      <c r="G234" s="145"/>
      <c r="H234" s="216">
        <v>13</v>
      </c>
      <c r="I234" s="314" t="s">
        <v>382</v>
      </c>
      <c r="J234" s="215">
        <v>72.349999999999994</v>
      </c>
      <c r="K234" s="217">
        <f t="shared" si="16"/>
        <v>61.313559322033889</v>
      </c>
      <c r="L234" s="218">
        <f t="shared" si="17"/>
        <v>797.07627118644052</v>
      </c>
    </row>
    <row r="235" spans="1:12" ht="34.5" customHeight="1" x14ac:dyDescent="0.2">
      <c r="A235" s="116">
        <v>35</v>
      </c>
      <c r="B235" s="206">
        <v>10.28</v>
      </c>
      <c r="C235" s="207" t="s">
        <v>388</v>
      </c>
      <c r="D235" s="119"/>
      <c r="E235" s="120"/>
      <c r="F235" s="120"/>
      <c r="G235" s="120"/>
      <c r="H235" s="208"/>
      <c r="I235" s="122"/>
      <c r="J235" s="209"/>
      <c r="K235" s="217">
        <f t="shared" si="16"/>
        <v>0</v>
      </c>
      <c r="L235" s="218">
        <f t="shared" si="17"/>
        <v>0</v>
      </c>
    </row>
    <row r="236" spans="1:12" x14ac:dyDescent="0.2">
      <c r="A236" s="124"/>
      <c r="B236" s="211"/>
      <c r="C236" s="183" t="s">
        <v>389</v>
      </c>
      <c r="D236" s="133">
        <v>2</v>
      </c>
      <c r="E236" s="135">
        <v>3.76</v>
      </c>
      <c r="F236" s="135"/>
      <c r="G236" s="135"/>
      <c r="H236" s="212">
        <f>E236*D236</f>
        <v>7.52</v>
      </c>
      <c r="I236" s="136"/>
      <c r="J236" s="213"/>
      <c r="K236" s="217">
        <f t="shared" si="16"/>
        <v>0</v>
      </c>
      <c r="L236" s="218">
        <f t="shared" si="17"/>
        <v>0</v>
      </c>
    </row>
    <row r="237" spans="1:12" x14ac:dyDescent="0.2">
      <c r="A237" s="124" t="s">
        <v>91</v>
      </c>
      <c r="B237" s="211"/>
      <c r="C237" s="183" t="s">
        <v>512</v>
      </c>
      <c r="D237" s="133">
        <v>8</v>
      </c>
      <c r="E237" s="135">
        <f>1.5*2+3.3</f>
        <v>6.3</v>
      </c>
      <c r="F237" s="135"/>
      <c r="G237" s="135"/>
      <c r="H237" s="212">
        <f>E237*D237</f>
        <v>50.4</v>
      </c>
      <c r="I237" s="136"/>
      <c r="J237" s="213"/>
      <c r="K237" s="217">
        <f t="shared" si="16"/>
        <v>0</v>
      </c>
      <c r="L237" s="218">
        <f t="shared" si="17"/>
        <v>0</v>
      </c>
    </row>
    <row r="238" spans="1:12" x14ac:dyDescent="0.2">
      <c r="A238" s="124"/>
      <c r="B238" s="211"/>
      <c r="C238" s="183"/>
      <c r="D238" s="133">
        <v>4</v>
      </c>
      <c r="E238" s="135">
        <v>3.3</v>
      </c>
      <c r="F238" s="135"/>
      <c r="G238" s="135"/>
      <c r="H238" s="212">
        <f>E238*D238</f>
        <v>13.2</v>
      </c>
      <c r="I238" s="136"/>
      <c r="J238" s="213"/>
      <c r="K238" s="217">
        <f t="shared" si="16"/>
        <v>0</v>
      </c>
      <c r="L238" s="218">
        <f t="shared" si="17"/>
        <v>0</v>
      </c>
    </row>
    <row r="239" spans="1:12" x14ac:dyDescent="0.2">
      <c r="A239" s="139"/>
      <c r="B239" s="215"/>
      <c r="C239" s="180" t="s">
        <v>117</v>
      </c>
      <c r="D239" s="133"/>
      <c r="E239" s="135"/>
      <c r="F239" s="135"/>
      <c r="G239" s="135"/>
      <c r="H239" s="242">
        <f>SUM(H236:H238)*5</f>
        <v>355.6</v>
      </c>
      <c r="I239" s="136" t="s">
        <v>195</v>
      </c>
      <c r="J239" s="213">
        <v>772.4</v>
      </c>
      <c r="K239" s="217">
        <f t="shared" si="16"/>
        <v>654.57627118644064</v>
      </c>
      <c r="L239" s="218">
        <f t="shared" si="17"/>
        <v>232767.32203389829</v>
      </c>
    </row>
    <row r="240" spans="1:12" ht="25.5" x14ac:dyDescent="0.2">
      <c r="A240" s="116">
        <v>36</v>
      </c>
      <c r="B240" s="117">
        <v>13.26</v>
      </c>
      <c r="C240" s="219" t="s">
        <v>390</v>
      </c>
      <c r="D240" s="119"/>
      <c r="E240" s="120"/>
      <c r="F240" s="120"/>
      <c r="G240" s="120"/>
      <c r="H240" s="208"/>
      <c r="I240" s="122"/>
      <c r="J240" s="209"/>
      <c r="K240" s="217">
        <f t="shared" si="16"/>
        <v>0</v>
      </c>
      <c r="L240" s="218">
        <f t="shared" si="17"/>
        <v>0</v>
      </c>
    </row>
    <row r="241" spans="1:12" x14ac:dyDescent="0.2">
      <c r="A241" s="124"/>
      <c r="B241" s="125"/>
      <c r="C241" s="220" t="s">
        <v>391</v>
      </c>
      <c r="D241" s="133"/>
      <c r="E241" s="134"/>
      <c r="F241" s="134"/>
      <c r="G241" s="134"/>
      <c r="H241" s="242">
        <f>H140</f>
        <v>208.70899999999997</v>
      </c>
      <c r="I241" s="136" t="s">
        <v>91</v>
      </c>
      <c r="J241" s="213" t="s">
        <v>91</v>
      </c>
      <c r="K241" s="217" t="e">
        <f t="shared" si="16"/>
        <v>#VALUE!</v>
      </c>
      <c r="L241" s="218">
        <v>0</v>
      </c>
    </row>
    <row r="242" spans="1:12" x14ac:dyDescent="0.2">
      <c r="A242" s="124"/>
      <c r="B242" s="125"/>
      <c r="C242" s="220" t="s">
        <v>392</v>
      </c>
      <c r="D242" s="133"/>
      <c r="E242" s="134"/>
      <c r="F242" s="134"/>
      <c r="G242" s="134"/>
      <c r="H242" s="242">
        <f>H143</f>
        <v>9.4350000000000005</v>
      </c>
      <c r="I242" s="136"/>
      <c r="J242" s="213"/>
      <c r="K242" s="217">
        <f t="shared" si="16"/>
        <v>0</v>
      </c>
      <c r="L242" s="218">
        <f t="shared" si="17"/>
        <v>0</v>
      </c>
    </row>
    <row r="243" spans="1:12" x14ac:dyDescent="0.2">
      <c r="A243" s="124"/>
      <c r="B243" s="125"/>
      <c r="C243" s="220" t="s">
        <v>393</v>
      </c>
      <c r="D243" s="133"/>
      <c r="E243" s="134"/>
      <c r="F243" s="134"/>
      <c r="G243" s="134"/>
      <c r="H243" s="242">
        <f>H117</f>
        <v>6.1199999999999992</v>
      </c>
      <c r="I243" s="136"/>
      <c r="J243" s="213"/>
      <c r="K243" s="217">
        <f t="shared" si="16"/>
        <v>0</v>
      </c>
      <c r="L243" s="218">
        <f t="shared" si="17"/>
        <v>0</v>
      </c>
    </row>
    <row r="244" spans="1:12" x14ac:dyDescent="0.2">
      <c r="A244" s="124"/>
      <c r="B244" s="125"/>
      <c r="C244" s="220" t="s">
        <v>394</v>
      </c>
      <c r="D244" s="133" t="s">
        <v>91</v>
      </c>
      <c r="E244" s="134"/>
      <c r="F244" s="134"/>
      <c r="G244" s="134"/>
      <c r="H244" s="242">
        <f>-H190</f>
        <v>-25.1065</v>
      </c>
      <c r="I244" s="136"/>
      <c r="J244" s="213"/>
      <c r="K244" s="217">
        <f t="shared" si="16"/>
        <v>0</v>
      </c>
      <c r="L244" s="218">
        <f t="shared" si="17"/>
        <v>0</v>
      </c>
    </row>
    <row r="245" spans="1:12" x14ac:dyDescent="0.2">
      <c r="A245" s="139"/>
      <c r="B245" s="140"/>
      <c r="C245" s="221" t="s">
        <v>207</v>
      </c>
      <c r="D245" s="142"/>
      <c r="E245" s="143"/>
      <c r="F245" s="143"/>
      <c r="G245" s="143"/>
      <c r="H245" s="216">
        <f>SUM(H241:H244)</f>
        <v>199.15749999999997</v>
      </c>
      <c r="I245" s="141" t="s">
        <v>128</v>
      </c>
      <c r="J245" s="217">
        <v>262.7</v>
      </c>
      <c r="K245" s="217">
        <f t="shared" si="16"/>
        <v>222.62711864406779</v>
      </c>
      <c r="L245" s="218">
        <f t="shared" si="17"/>
        <v>44337.860381355924</v>
      </c>
    </row>
    <row r="246" spans="1:12" x14ac:dyDescent="0.2">
      <c r="A246" s="116">
        <v>37</v>
      </c>
      <c r="B246" s="206" t="s">
        <v>395</v>
      </c>
      <c r="C246" s="207" t="s">
        <v>396</v>
      </c>
      <c r="D246" s="119"/>
      <c r="E246" s="120"/>
      <c r="F246" s="120"/>
      <c r="G246" s="120"/>
      <c r="H246" s="208"/>
      <c r="I246" s="122"/>
      <c r="J246" s="209"/>
      <c r="K246" s="217">
        <f t="shared" si="16"/>
        <v>0</v>
      </c>
      <c r="L246" s="218">
        <f t="shared" si="17"/>
        <v>0</v>
      </c>
    </row>
    <row r="247" spans="1:12" x14ac:dyDescent="0.2">
      <c r="A247" s="139"/>
      <c r="B247" s="140"/>
      <c r="C247" s="316" t="s">
        <v>397</v>
      </c>
      <c r="D247" s="142"/>
      <c r="E247" s="143"/>
      <c r="F247" s="143"/>
      <c r="G247" s="143"/>
      <c r="H247" s="216">
        <f>H245</f>
        <v>199.15749999999997</v>
      </c>
      <c r="I247" s="141" t="s">
        <v>128</v>
      </c>
      <c r="J247" s="217">
        <v>142.80000000000001</v>
      </c>
      <c r="K247" s="217">
        <f t="shared" si="16"/>
        <v>121.0169491525424</v>
      </c>
      <c r="L247" s="218">
        <f t="shared" si="17"/>
        <v>24101.43305084746</v>
      </c>
    </row>
    <row r="248" spans="1:12" ht="25.5" x14ac:dyDescent="0.2">
      <c r="A248" s="116">
        <v>38</v>
      </c>
      <c r="B248" s="117">
        <v>13.47</v>
      </c>
      <c r="C248" s="219" t="s">
        <v>398</v>
      </c>
      <c r="D248" s="119"/>
      <c r="E248" s="120"/>
      <c r="F248" s="120"/>
      <c r="G248" s="120"/>
      <c r="H248" s="208"/>
      <c r="I248" s="122"/>
      <c r="J248" s="209"/>
      <c r="K248" s="217">
        <f t="shared" si="16"/>
        <v>0</v>
      </c>
      <c r="L248" s="218">
        <f t="shared" si="17"/>
        <v>0</v>
      </c>
    </row>
    <row r="249" spans="1:12" ht="38.25" x14ac:dyDescent="0.2">
      <c r="A249" s="124"/>
      <c r="B249" s="125" t="s">
        <v>399</v>
      </c>
      <c r="C249" s="238" t="s">
        <v>400</v>
      </c>
      <c r="D249" s="127"/>
      <c r="E249" s="128"/>
      <c r="F249" s="128"/>
      <c r="G249" s="128"/>
      <c r="H249" s="239"/>
      <c r="I249" s="130"/>
      <c r="J249" s="240"/>
      <c r="K249" s="217">
        <f t="shared" si="16"/>
        <v>0</v>
      </c>
      <c r="L249" s="218">
        <f t="shared" si="17"/>
        <v>0</v>
      </c>
    </row>
    <row r="250" spans="1:12" x14ac:dyDescent="0.2">
      <c r="A250" s="139"/>
      <c r="B250" s="140"/>
      <c r="C250" s="316" t="s">
        <v>513</v>
      </c>
      <c r="D250" s="142"/>
      <c r="E250" s="143"/>
      <c r="F250" s="143"/>
      <c r="G250" s="143"/>
      <c r="H250" s="216">
        <f>H146</f>
        <v>575.61199999999997</v>
      </c>
      <c r="I250" s="141" t="s">
        <v>128</v>
      </c>
      <c r="J250" s="217">
        <v>171.1</v>
      </c>
      <c r="K250" s="217">
        <f t="shared" si="16"/>
        <v>145</v>
      </c>
      <c r="L250" s="218">
        <f t="shared" si="17"/>
        <v>83463.739999999991</v>
      </c>
    </row>
    <row r="251" spans="1:12" ht="25.5" x14ac:dyDescent="0.2">
      <c r="A251" s="116">
        <v>39</v>
      </c>
      <c r="B251" s="117">
        <v>13.61</v>
      </c>
      <c r="C251" s="219" t="s">
        <v>402</v>
      </c>
      <c r="D251" s="119"/>
      <c r="E251" s="120"/>
      <c r="F251" s="120"/>
      <c r="G251" s="120"/>
      <c r="H251" s="263"/>
      <c r="I251" s="122"/>
      <c r="J251" s="209"/>
      <c r="K251" s="217">
        <f t="shared" si="16"/>
        <v>0</v>
      </c>
      <c r="L251" s="218">
        <f t="shared" si="17"/>
        <v>0</v>
      </c>
    </row>
    <row r="252" spans="1:12" ht="18.75" customHeight="1" x14ac:dyDescent="0.2">
      <c r="A252" s="124" t="s">
        <v>91</v>
      </c>
      <c r="B252" s="125" t="s">
        <v>403</v>
      </c>
      <c r="C252" s="238" t="s">
        <v>404</v>
      </c>
      <c r="D252" s="127"/>
      <c r="E252" s="128"/>
      <c r="F252" s="128"/>
      <c r="G252" s="128"/>
      <c r="H252" s="264"/>
      <c r="I252" s="130"/>
      <c r="J252" s="240"/>
      <c r="K252" s="217">
        <f t="shared" si="16"/>
        <v>0</v>
      </c>
      <c r="L252" s="218">
        <f t="shared" si="17"/>
        <v>0</v>
      </c>
    </row>
    <row r="253" spans="1:12" ht="15.75" customHeight="1" x14ac:dyDescent="0.2">
      <c r="A253" s="139"/>
      <c r="B253" s="215"/>
      <c r="C253" s="347" t="s">
        <v>91</v>
      </c>
      <c r="D253" s="139">
        <v>1</v>
      </c>
      <c r="E253" s="310">
        <f>H208+E258</f>
        <v>15.682500000000001</v>
      </c>
      <c r="F253" s="310">
        <v>2.5</v>
      </c>
      <c r="G253" s="310"/>
      <c r="H253" s="282">
        <f>SUM(D253*E253*F253)</f>
        <v>39.206250000000004</v>
      </c>
      <c r="I253" s="268" t="s">
        <v>128</v>
      </c>
      <c r="J253" s="269">
        <v>155.9</v>
      </c>
      <c r="K253" s="217">
        <f t="shared" si="16"/>
        <v>132.11864406779662</v>
      </c>
      <c r="L253" s="218">
        <f t="shared" si="17"/>
        <v>5179.876588983052</v>
      </c>
    </row>
    <row r="254" spans="1:12" ht="30.75" customHeight="1" x14ac:dyDescent="0.2">
      <c r="A254" s="116">
        <v>40</v>
      </c>
      <c r="B254" s="206">
        <v>10.18</v>
      </c>
      <c r="C254" s="219" t="s">
        <v>405</v>
      </c>
      <c r="D254" s="139">
        <v>3</v>
      </c>
      <c r="E254" s="310"/>
      <c r="F254" s="310"/>
      <c r="G254" s="310"/>
      <c r="H254" s="218">
        <f>D254</f>
        <v>3</v>
      </c>
      <c r="I254" s="268" t="s">
        <v>406</v>
      </c>
      <c r="J254" s="269">
        <v>220.65</v>
      </c>
      <c r="K254" s="217">
        <f t="shared" si="16"/>
        <v>186.9915254237288</v>
      </c>
      <c r="L254" s="218">
        <f t="shared" si="17"/>
        <v>560.97457627118638</v>
      </c>
    </row>
    <row r="255" spans="1:12" ht="32.25" customHeight="1" x14ac:dyDescent="0.2">
      <c r="A255" s="406">
        <v>41</v>
      </c>
      <c r="B255" s="206">
        <v>9.4700000000000006</v>
      </c>
      <c r="C255" s="318" t="s">
        <v>407</v>
      </c>
      <c r="D255" s="243"/>
      <c r="E255" s="301" t="s">
        <v>91</v>
      </c>
      <c r="F255" s="301"/>
      <c r="G255" s="301"/>
      <c r="H255" s="302" t="s">
        <v>91</v>
      </c>
      <c r="I255" s="273"/>
      <c r="J255" s="274"/>
      <c r="K255" s="217">
        <f t="shared" si="16"/>
        <v>0</v>
      </c>
      <c r="L255" s="218">
        <v>0</v>
      </c>
    </row>
    <row r="256" spans="1:12" ht="20.25" customHeight="1" x14ac:dyDescent="0.2">
      <c r="A256" s="315"/>
      <c r="B256" s="188" t="s">
        <v>408</v>
      </c>
      <c r="C256" s="220" t="s">
        <v>409</v>
      </c>
      <c r="D256" s="243"/>
      <c r="E256" s="252">
        <v>12</v>
      </c>
      <c r="F256" s="252"/>
      <c r="G256" s="252"/>
      <c r="H256" s="302">
        <f>SUM(E256:G256)</f>
        <v>12</v>
      </c>
      <c r="I256" s="273" t="s">
        <v>307</v>
      </c>
      <c r="J256" s="274">
        <v>175</v>
      </c>
      <c r="K256" s="217">
        <f t="shared" si="16"/>
        <v>148.30508474576271</v>
      </c>
      <c r="L256" s="218">
        <f t="shared" si="17"/>
        <v>1779.6610169491526</v>
      </c>
    </row>
    <row r="257" spans="1:12" ht="42" customHeight="1" x14ac:dyDescent="0.2">
      <c r="A257" s="406">
        <v>42</v>
      </c>
      <c r="B257" s="188">
        <v>9.48</v>
      </c>
      <c r="C257" s="220" t="s">
        <v>410</v>
      </c>
      <c r="D257" s="133"/>
      <c r="E257" s="135"/>
      <c r="F257" s="135"/>
      <c r="G257" s="135"/>
      <c r="H257" s="212"/>
      <c r="I257" s="136"/>
      <c r="J257" s="213"/>
      <c r="K257" s="217">
        <f t="shared" si="16"/>
        <v>0</v>
      </c>
      <c r="L257" s="218">
        <f t="shared" si="17"/>
        <v>0</v>
      </c>
    </row>
    <row r="258" spans="1:12" ht="25.5" x14ac:dyDescent="0.2">
      <c r="A258" s="315"/>
      <c r="B258" s="188" t="s">
        <v>411</v>
      </c>
      <c r="C258" s="220" t="s">
        <v>412</v>
      </c>
      <c r="D258" s="243"/>
      <c r="E258" s="301">
        <f>H217</f>
        <v>9.5925000000000011</v>
      </c>
      <c r="F258" s="301"/>
      <c r="G258" s="301"/>
      <c r="H258" s="302">
        <f>E258*24</f>
        <v>230.22000000000003</v>
      </c>
      <c r="I258" s="273" t="s">
        <v>413</v>
      </c>
      <c r="J258" s="274">
        <v>283.35000000000002</v>
      </c>
      <c r="K258" s="217">
        <f t="shared" si="16"/>
        <v>240.12711864406782</v>
      </c>
      <c r="L258" s="218">
        <f t="shared" si="17"/>
        <v>55282.065254237299</v>
      </c>
    </row>
    <row r="259" spans="1:12" ht="38.25" x14ac:dyDescent="0.2">
      <c r="A259" s="407">
        <v>43</v>
      </c>
      <c r="B259" s="206">
        <v>22.5</v>
      </c>
      <c r="C259" s="349" t="s">
        <v>514</v>
      </c>
      <c r="D259" s="119"/>
      <c r="E259" s="271"/>
      <c r="F259" s="121"/>
      <c r="G259" s="121"/>
      <c r="H259" s="272"/>
      <c r="I259" s="254"/>
      <c r="J259" s="255"/>
      <c r="K259" s="217">
        <f t="shared" si="16"/>
        <v>0</v>
      </c>
      <c r="L259" s="218">
        <f t="shared" si="17"/>
        <v>0</v>
      </c>
    </row>
    <row r="260" spans="1:12" ht="38.25" x14ac:dyDescent="0.2">
      <c r="A260" s="407"/>
      <c r="B260" s="211"/>
      <c r="C260" s="276" t="s">
        <v>515</v>
      </c>
      <c r="D260" s="127"/>
      <c r="E260" s="249"/>
      <c r="F260" s="129"/>
      <c r="G260" s="129"/>
      <c r="H260" s="298"/>
      <c r="I260" s="260"/>
      <c r="J260" s="261"/>
      <c r="K260" s="217">
        <f t="shared" si="16"/>
        <v>0</v>
      </c>
      <c r="L260" s="218">
        <f t="shared" si="17"/>
        <v>0</v>
      </c>
    </row>
    <row r="261" spans="1:12" ht="38.25" x14ac:dyDescent="0.2">
      <c r="A261" s="407"/>
      <c r="B261" s="211"/>
      <c r="C261" s="350" t="s">
        <v>516</v>
      </c>
      <c r="D261" s="127"/>
      <c r="E261" s="249"/>
      <c r="F261" s="129"/>
      <c r="G261" s="129"/>
      <c r="H261" s="298"/>
      <c r="I261" s="260"/>
      <c r="J261" s="261"/>
      <c r="K261" s="217">
        <f t="shared" si="16"/>
        <v>0</v>
      </c>
      <c r="L261" s="218">
        <f t="shared" si="17"/>
        <v>0</v>
      </c>
    </row>
    <row r="262" spans="1:12" ht="25.5" x14ac:dyDescent="0.2">
      <c r="A262" s="407"/>
      <c r="B262" s="211"/>
      <c r="C262" s="276" t="s">
        <v>517</v>
      </c>
      <c r="D262" s="127"/>
      <c r="E262" s="249"/>
      <c r="F262" s="129"/>
      <c r="G262" s="129"/>
      <c r="H262" s="298"/>
      <c r="I262" s="260"/>
      <c r="J262" s="261"/>
      <c r="K262" s="217">
        <f t="shared" si="16"/>
        <v>0</v>
      </c>
      <c r="L262" s="218">
        <f t="shared" si="17"/>
        <v>0</v>
      </c>
    </row>
    <row r="263" spans="1:12" ht="15.75" customHeight="1" x14ac:dyDescent="0.2">
      <c r="A263" s="124"/>
      <c r="B263" s="211"/>
      <c r="C263" s="401" t="s">
        <v>746</v>
      </c>
      <c r="D263" s="119"/>
      <c r="E263" s="121"/>
      <c r="F263" s="121"/>
      <c r="G263" s="121"/>
      <c r="H263" s="263"/>
      <c r="I263" s="122"/>
      <c r="J263" s="209"/>
      <c r="K263" s="217">
        <f t="shared" si="16"/>
        <v>0</v>
      </c>
      <c r="L263" s="218">
        <f t="shared" si="17"/>
        <v>0</v>
      </c>
    </row>
    <row r="264" spans="1:12" x14ac:dyDescent="0.2">
      <c r="A264" s="124"/>
      <c r="B264" s="211"/>
      <c r="C264" s="220" t="s">
        <v>322</v>
      </c>
      <c r="D264" s="133">
        <v>1</v>
      </c>
      <c r="E264" s="135">
        <v>1.6</v>
      </c>
      <c r="F264" s="135">
        <v>2.2000000000000002</v>
      </c>
      <c r="G264" s="135"/>
      <c r="H264" s="212">
        <f>F264*E264*D264</f>
        <v>3.5200000000000005</v>
      </c>
      <c r="I264" s="136"/>
      <c r="J264" s="213"/>
      <c r="K264" s="217">
        <f t="shared" si="16"/>
        <v>0</v>
      </c>
      <c r="L264" s="218">
        <f t="shared" si="17"/>
        <v>0</v>
      </c>
    </row>
    <row r="265" spans="1:12" x14ac:dyDescent="0.2">
      <c r="A265" s="124"/>
      <c r="B265" s="211"/>
      <c r="C265" s="220" t="s">
        <v>518</v>
      </c>
      <c r="D265" s="133">
        <v>1</v>
      </c>
      <c r="E265" s="135">
        <f>(E264+F264)*2</f>
        <v>7.6000000000000005</v>
      </c>
      <c r="F265" s="135">
        <v>0.45</v>
      </c>
      <c r="G265" s="135"/>
      <c r="H265" s="212">
        <f>F265*E265*D265</f>
        <v>3.4200000000000004</v>
      </c>
      <c r="I265" s="136"/>
      <c r="J265" s="213"/>
      <c r="K265" s="217">
        <f t="shared" si="16"/>
        <v>0</v>
      </c>
      <c r="L265" s="218">
        <f t="shared" si="17"/>
        <v>0</v>
      </c>
    </row>
    <row r="266" spans="1:12" x14ac:dyDescent="0.2">
      <c r="A266" s="407"/>
      <c r="B266" s="215"/>
      <c r="C266" s="141" t="s">
        <v>117</v>
      </c>
      <c r="D266" s="142"/>
      <c r="E266" s="145" t="s">
        <v>91</v>
      </c>
      <c r="F266" s="145"/>
      <c r="G266" s="145"/>
      <c r="H266" s="216">
        <f>SUM(H263:H265)</f>
        <v>6.9400000000000013</v>
      </c>
      <c r="I266" s="141" t="s">
        <v>128</v>
      </c>
      <c r="J266" s="217">
        <v>617.04999999999995</v>
      </c>
      <c r="K266" s="217">
        <f t="shared" si="16"/>
        <v>522.92372881355925</v>
      </c>
      <c r="L266" s="218">
        <f t="shared" si="17"/>
        <v>3629.0906779661018</v>
      </c>
    </row>
    <row r="267" spans="1:12" ht="14.25" x14ac:dyDescent="0.2">
      <c r="A267" s="124"/>
      <c r="B267" s="211"/>
      <c r="C267" s="300"/>
      <c r="D267" s="127"/>
      <c r="E267" s="249"/>
      <c r="F267" s="129"/>
      <c r="G267" s="129"/>
      <c r="H267" s="298"/>
      <c r="I267" s="260"/>
      <c r="J267" s="261"/>
      <c r="K267" s="217">
        <f t="shared" ref="K267:K288" si="18">J267*100/118</f>
        <v>0</v>
      </c>
      <c r="L267" s="218">
        <f t="shared" ref="L267:L287" si="19">K267*H267</f>
        <v>0</v>
      </c>
    </row>
    <row r="268" spans="1:12" ht="28.5" x14ac:dyDescent="0.2">
      <c r="A268" s="116">
        <v>25</v>
      </c>
      <c r="B268" s="206" t="s">
        <v>747</v>
      </c>
      <c r="C268" s="361" t="s">
        <v>574</v>
      </c>
      <c r="D268" s="119"/>
      <c r="E268" s="121"/>
      <c r="F268" s="121"/>
      <c r="G268" s="121"/>
      <c r="H268" s="263"/>
      <c r="I268" s="122"/>
      <c r="J268" s="209"/>
      <c r="K268" s="217">
        <f t="shared" si="18"/>
        <v>0</v>
      </c>
      <c r="L268" s="218">
        <f t="shared" si="19"/>
        <v>0</v>
      </c>
    </row>
    <row r="269" spans="1:12" ht="42.75" x14ac:dyDescent="0.2">
      <c r="A269" s="124"/>
      <c r="B269" s="211"/>
      <c r="C269" s="362" t="s">
        <v>575</v>
      </c>
      <c r="D269" s="127"/>
      <c r="E269" s="129"/>
      <c r="F269" s="129"/>
      <c r="G269" s="129"/>
      <c r="H269" s="264"/>
      <c r="I269" s="130"/>
      <c r="J269" s="240"/>
      <c r="K269" s="217">
        <f t="shared" si="18"/>
        <v>0</v>
      </c>
      <c r="L269" s="218">
        <f t="shared" si="19"/>
        <v>0</v>
      </c>
    </row>
    <row r="270" spans="1:12" ht="28.5" x14ac:dyDescent="0.2">
      <c r="A270" s="124"/>
      <c r="B270" s="211"/>
      <c r="C270" s="362" t="s">
        <v>576</v>
      </c>
      <c r="D270" s="127"/>
      <c r="E270" s="129"/>
      <c r="F270" s="129"/>
      <c r="G270" s="129"/>
      <c r="H270" s="264"/>
      <c r="I270" s="130"/>
      <c r="J270" s="240"/>
      <c r="K270" s="217">
        <f t="shared" si="18"/>
        <v>0</v>
      </c>
      <c r="L270" s="218">
        <f t="shared" si="19"/>
        <v>0</v>
      </c>
    </row>
    <row r="271" spans="1:12" ht="62.25" customHeight="1" x14ac:dyDescent="0.2">
      <c r="A271" s="124"/>
      <c r="B271" s="211"/>
      <c r="C271" s="362" t="s">
        <v>577</v>
      </c>
      <c r="D271" s="127"/>
      <c r="E271" s="129"/>
      <c r="F271" s="129"/>
      <c r="G271" s="129"/>
      <c r="H271" s="264"/>
      <c r="I271" s="130"/>
      <c r="J271" s="240"/>
      <c r="K271" s="217">
        <f t="shared" si="18"/>
        <v>0</v>
      </c>
      <c r="L271" s="218">
        <f t="shared" si="19"/>
        <v>0</v>
      </c>
    </row>
    <row r="272" spans="1:12" ht="14.25" x14ac:dyDescent="0.2">
      <c r="A272" s="124"/>
      <c r="B272" s="211"/>
      <c r="C272" s="126"/>
      <c r="D272" s="127"/>
      <c r="E272" s="249"/>
      <c r="F272" s="129"/>
      <c r="G272" s="129"/>
      <c r="H272" s="298"/>
      <c r="I272" s="260"/>
      <c r="J272" s="261"/>
      <c r="K272" s="217">
        <f t="shared" si="18"/>
        <v>0</v>
      </c>
      <c r="L272" s="218">
        <f t="shared" si="19"/>
        <v>0</v>
      </c>
    </row>
    <row r="273" spans="1:12" ht="14.25" x14ac:dyDescent="0.2">
      <c r="A273" s="124"/>
      <c r="B273" s="211"/>
      <c r="C273" s="177" t="s">
        <v>578</v>
      </c>
      <c r="D273" s="188">
        <v>1</v>
      </c>
      <c r="E273" s="301">
        <v>9.3699999999999992</v>
      </c>
      <c r="F273" s="301">
        <v>11.37</v>
      </c>
      <c r="G273" s="301"/>
      <c r="H273" s="302">
        <f t="shared" ref="H273:H280" si="20">F273*E273*D273</f>
        <v>106.53689999999999</v>
      </c>
      <c r="I273" s="136"/>
      <c r="J273" s="213"/>
      <c r="K273" s="217">
        <f t="shared" si="18"/>
        <v>0</v>
      </c>
      <c r="L273" s="218">
        <f t="shared" si="19"/>
        <v>0</v>
      </c>
    </row>
    <row r="274" spans="1:12" ht="14.25" x14ac:dyDescent="0.2">
      <c r="A274" s="124"/>
      <c r="B274" s="211"/>
      <c r="C274" s="177"/>
      <c r="D274" s="188">
        <v>1</v>
      </c>
      <c r="E274" s="301">
        <v>23.33</v>
      </c>
      <c r="F274" s="301">
        <v>8.0252999999999997</v>
      </c>
      <c r="G274" s="301"/>
      <c r="H274" s="302">
        <f t="shared" si="20"/>
        <v>187.23024899999999</v>
      </c>
      <c r="I274" s="136"/>
      <c r="J274" s="213"/>
      <c r="K274" s="217">
        <f t="shared" si="18"/>
        <v>0</v>
      </c>
      <c r="L274" s="218">
        <f t="shared" si="19"/>
        <v>0</v>
      </c>
    </row>
    <row r="275" spans="1:12" ht="14.25" x14ac:dyDescent="0.2">
      <c r="A275" s="124"/>
      <c r="B275" s="211"/>
      <c r="C275" s="177"/>
      <c r="D275" s="188">
        <v>1</v>
      </c>
      <c r="E275" s="301">
        <v>4.5</v>
      </c>
      <c r="F275" s="301">
        <v>3.2</v>
      </c>
      <c r="G275" s="301"/>
      <c r="H275" s="302">
        <f t="shared" si="20"/>
        <v>14.4</v>
      </c>
      <c r="I275" s="136"/>
      <c r="J275" s="213"/>
      <c r="K275" s="217">
        <f t="shared" si="18"/>
        <v>0</v>
      </c>
      <c r="L275" s="218">
        <f t="shared" si="19"/>
        <v>0</v>
      </c>
    </row>
    <row r="276" spans="1:12" ht="14.25" x14ac:dyDescent="0.2">
      <c r="A276" s="124"/>
      <c r="B276" s="211"/>
      <c r="C276" s="177"/>
      <c r="D276" s="188">
        <v>1</v>
      </c>
      <c r="E276" s="301">
        <v>8.9499999999999993</v>
      </c>
      <c r="F276" s="301">
        <v>3.4249999999999998</v>
      </c>
      <c r="G276" s="301"/>
      <c r="H276" s="302">
        <f t="shared" si="20"/>
        <v>30.653749999999995</v>
      </c>
      <c r="I276" s="136"/>
      <c r="J276" s="213"/>
      <c r="K276" s="217">
        <f t="shared" si="18"/>
        <v>0</v>
      </c>
      <c r="L276" s="218">
        <f t="shared" si="19"/>
        <v>0</v>
      </c>
    </row>
    <row r="277" spans="1:12" ht="14.25" x14ac:dyDescent="0.2">
      <c r="A277" s="124"/>
      <c r="B277" s="211"/>
      <c r="C277" s="297"/>
      <c r="D277" s="215">
        <v>1</v>
      </c>
      <c r="E277" s="310">
        <v>4.9000000000000004</v>
      </c>
      <c r="F277" s="310">
        <v>6.5750000000000002</v>
      </c>
      <c r="G277" s="310"/>
      <c r="H277" s="363">
        <f t="shared" si="20"/>
        <v>32.217500000000001</v>
      </c>
      <c r="I277" s="141"/>
      <c r="J277" s="217"/>
      <c r="K277" s="217">
        <f t="shared" si="18"/>
        <v>0</v>
      </c>
      <c r="L277" s="218">
        <f t="shared" si="19"/>
        <v>0</v>
      </c>
    </row>
    <row r="278" spans="1:12" ht="14.25" x14ac:dyDescent="0.2">
      <c r="A278" s="124"/>
      <c r="B278" s="211"/>
      <c r="C278" s="297"/>
      <c r="D278" s="215">
        <v>1</v>
      </c>
      <c r="E278" s="310">
        <v>8.85</v>
      </c>
      <c r="F278" s="310">
        <v>6.2</v>
      </c>
      <c r="G278" s="310"/>
      <c r="H278" s="363">
        <f t="shared" si="20"/>
        <v>54.87</v>
      </c>
      <c r="I278" s="141"/>
      <c r="J278" s="217"/>
      <c r="K278" s="217">
        <f t="shared" si="18"/>
        <v>0</v>
      </c>
      <c r="L278" s="218">
        <f t="shared" si="19"/>
        <v>0</v>
      </c>
    </row>
    <row r="279" spans="1:12" ht="14.25" x14ac:dyDescent="0.2">
      <c r="A279" s="124"/>
      <c r="B279" s="211"/>
      <c r="C279" s="297"/>
      <c r="D279" s="215">
        <v>1</v>
      </c>
      <c r="E279" s="310">
        <v>2.27</v>
      </c>
      <c r="F279" s="310">
        <v>5.4</v>
      </c>
      <c r="G279" s="310"/>
      <c r="H279" s="363">
        <f t="shared" si="20"/>
        <v>12.258000000000001</v>
      </c>
      <c r="I279" s="141"/>
      <c r="J279" s="217"/>
      <c r="K279" s="217">
        <f t="shared" si="18"/>
        <v>0</v>
      </c>
      <c r="L279" s="218">
        <f t="shared" si="19"/>
        <v>0</v>
      </c>
    </row>
    <row r="280" spans="1:12" ht="14.25" x14ac:dyDescent="0.2">
      <c r="A280" s="124"/>
      <c r="B280" s="211"/>
      <c r="C280" s="297"/>
      <c r="D280" s="215">
        <v>8</v>
      </c>
      <c r="E280" s="310">
        <v>3.6</v>
      </c>
      <c r="F280" s="310">
        <v>1.8</v>
      </c>
      <c r="G280" s="310"/>
      <c r="H280" s="363">
        <f t="shared" si="20"/>
        <v>51.84</v>
      </c>
      <c r="I280" s="141"/>
      <c r="J280" s="217"/>
      <c r="K280" s="217">
        <f t="shared" si="18"/>
        <v>0</v>
      </c>
      <c r="L280" s="218">
        <f t="shared" si="19"/>
        <v>0</v>
      </c>
    </row>
    <row r="281" spans="1:12" ht="14.25" x14ac:dyDescent="0.2">
      <c r="A281" s="139"/>
      <c r="B281" s="215"/>
      <c r="C281" s="281" t="s">
        <v>117</v>
      </c>
      <c r="D281" s="142"/>
      <c r="E281" s="145"/>
      <c r="F281" s="145"/>
      <c r="G281" s="145"/>
      <c r="H281" s="216">
        <f>SUM(H273:H280)</f>
        <v>490.00639899999987</v>
      </c>
      <c r="I281" s="141" t="s">
        <v>128</v>
      </c>
      <c r="J281" s="217">
        <v>1138.1199999999999</v>
      </c>
      <c r="K281" s="217">
        <f t="shared" si="18"/>
        <v>964.50847457627106</v>
      </c>
      <c r="L281" s="218">
        <f t="shared" si="19"/>
        <v>472615.32443210151</v>
      </c>
    </row>
    <row r="282" spans="1:12" ht="57" x14ac:dyDescent="0.2">
      <c r="A282" s="124">
        <v>26</v>
      </c>
      <c r="B282" s="211">
        <v>10.5</v>
      </c>
      <c r="C282" s="300" t="s">
        <v>579</v>
      </c>
      <c r="D282" s="127"/>
      <c r="E282" s="129"/>
      <c r="F282" s="129"/>
      <c r="G282" s="129"/>
      <c r="H282" s="264"/>
      <c r="I282" s="130"/>
      <c r="J282" s="240"/>
      <c r="K282" s="217">
        <f t="shared" si="18"/>
        <v>0</v>
      </c>
      <c r="L282" s="218">
        <f t="shared" si="19"/>
        <v>0</v>
      </c>
    </row>
    <row r="283" spans="1:12" ht="14.25" x14ac:dyDescent="0.2">
      <c r="A283" s="139"/>
      <c r="B283" s="215" t="s">
        <v>580</v>
      </c>
      <c r="C283" s="281" t="s">
        <v>581</v>
      </c>
      <c r="D283" s="215">
        <v>1</v>
      </c>
      <c r="E283" s="310">
        <v>1</v>
      </c>
      <c r="F283" s="310">
        <v>2</v>
      </c>
      <c r="G283" s="310"/>
      <c r="H283" s="363">
        <f>F283*E283*D283</f>
        <v>2</v>
      </c>
      <c r="I283" s="141" t="s">
        <v>128</v>
      </c>
      <c r="J283" s="217">
        <v>5563.75</v>
      </c>
      <c r="K283" s="217">
        <f t="shared" si="18"/>
        <v>4715.0423728813557</v>
      </c>
      <c r="L283" s="218">
        <f t="shared" si="19"/>
        <v>9430.0847457627115</v>
      </c>
    </row>
    <row r="284" spans="1:12" ht="42.75" x14ac:dyDescent="0.2">
      <c r="A284" s="124">
        <v>27</v>
      </c>
      <c r="B284" s="211">
        <v>10.25</v>
      </c>
      <c r="C284" s="300" t="s">
        <v>582</v>
      </c>
      <c r="D284" s="211"/>
      <c r="E284" s="258"/>
      <c r="F284" s="258"/>
      <c r="G284" s="258"/>
      <c r="H284" s="259"/>
      <c r="I284" s="130"/>
      <c r="J284" s="240"/>
      <c r="K284" s="217">
        <f t="shared" si="18"/>
        <v>0</v>
      </c>
      <c r="L284" s="218">
        <f t="shared" si="19"/>
        <v>0</v>
      </c>
    </row>
    <row r="285" spans="1:12" ht="28.5" x14ac:dyDescent="0.2">
      <c r="A285" s="124"/>
      <c r="B285" s="211" t="s">
        <v>583</v>
      </c>
      <c r="C285" s="300" t="s">
        <v>584</v>
      </c>
      <c r="D285" s="211"/>
      <c r="E285" s="258"/>
      <c r="F285" s="258"/>
      <c r="G285" s="258"/>
      <c r="H285" s="259"/>
      <c r="I285" s="130"/>
      <c r="J285" s="240"/>
      <c r="K285" s="217">
        <f t="shared" si="18"/>
        <v>0</v>
      </c>
      <c r="L285" s="218">
        <f t="shared" si="19"/>
        <v>0</v>
      </c>
    </row>
    <row r="286" spans="1:12" ht="14.25" x14ac:dyDescent="0.2">
      <c r="A286" s="124"/>
      <c r="B286" s="211"/>
      <c r="C286" s="300" t="s">
        <v>585</v>
      </c>
      <c r="D286" s="127">
        <v>1</v>
      </c>
      <c r="E286" s="129">
        <v>1.5</v>
      </c>
      <c r="F286" s="129">
        <v>1</v>
      </c>
      <c r="G286" s="129"/>
      <c r="H286" s="363">
        <f>F286*E286*D286*20</f>
        <v>30</v>
      </c>
      <c r="I286" s="141" t="s">
        <v>413</v>
      </c>
      <c r="J286" s="217">
        <v>172.6</v>
      </c>
      <c r="K286" s="217">
        <f t="shared" si="18"/>
        <v>146.27118644067798</v>
      </c>
      <c r="L286" s="218">
        <f t="shared" si="19"/>
        <v>4388.1355932203396</v>
      </c>
    </row>
    <row r="287" spans="1:12" ht="85.5" x14ac:dyDescent="0.2">
      <c r="A287" s="243">
        <v>28</v>
      </c>
      <c r="B287" s="188">
        <v>12.22</v>
      </c>
      <c r="C287" s="177" t="s">
        <v>586</v>
      </c>
      <c r="D287" s="133"/>
      <c r="E287" s="135"/>
      <c r="F287" s="135"/>
      <c r="G287" s="135"/>
      <c r="H287" s="417">
        <v>15</v>
      </c>
      <c r="I287" s="418" t="s">
        <v>378</v>
      </c>
      <c r="J287" s="213">
        <v>298.25</v>
      </c>
      <c r="K287" s="217">
        <f t="shared" si="18"/>
        <v>252.75423728813558</v>
      </c>
      <c r="L287" s="218">
        <f t="shared" si="19"/>
        <v>3791.3135593220336</v>
      </c>
    </row>
    <row r="288" spans="1:12" ht="42.75" x14ac:dyDescent="0.2">
      <c r="A288" s="139">
        <v>29</v>
      </c>
      <c r="B288" s="215"/>
      <c r="C288" s="297" t="s">
        <v>587</v>
      </c>
      <c r="D288" s="142">
        <v>2</v>
      </c>
      <c r="E288" s="310"/>
      <c r="F288" s="310"/>
      <c r="G288" s="310"/>
      <c r="H288" s="282">
        <v>10000</v>
      </c>
      <c r="I288" s="273" t="s">
        <v>378</v>
      </c>
      <c r="J288" s="269">
        <v>11</v>
      </c>
      <c r="K288" s="217">
        <f t="shared" si="18"/>
        <v>9.3220338983050848</v>
      </c>
      <c r="L288" s="218">
        <f>K288*H288</f>
        <v>93220.338983050853</v>
      </c>
    </row>
    <row r="289" spans="1:12" ht="15.75" x14ac:dyDescent="0.25">
      <c r="A289" s="314"/>
      <c r="B289" s="314"/>
      <c r="C289" s="419" t="s">
        <v>415</v>
      </c>
      <c r="D289" s="314"/>
      <c r="E289" s="314"/>
      <c r="F289" s="314"/>
      <c r="G289" s="314"/>
      <c r="H289" s="420"/>
      <c r="I289" s="959" t="s">
        <v>91</v>
      </c>
      <c r="J289" s="959"/>
      <c r="K289" s="421"/>
      <c r="L289" s="422">
        <f>SUM(L256:L288)</f>
        <v>644136.01426261012</v>
      </c>
    </row>
    <row r="295" spans="1:12" x14ac:dyDescent="0.2">
      <c r="C295" s="369"/>
    </row>
  </sheetData>
  <sheetProtection algorithmName="SHA-512" hashValue="ngzT8ajwIpBHM4oN0mepk4NfvhZfB/+ZmjZeKtsA4RUcPNMNPGywSptLB8uzC8TLRryTECPHMkYjQMUYf0zk+g==" saltValue="H8++cxEaminZJSTarsjCpQ==" spinCount="100000" sheet="1" objects="1" scenarios="1" selectLockedCells="1" selectUnlockedCells="1"/>
  <mergeCells count="2">
    <mergeCell ref="A3:I3"/>
    <mergeCell ref="I289:J289"/>
  </mergeCells>
  <pageMargins left="0.5" right="0.5" top="1" bottom="0.5" header="0.5" footer="0.5"/>
  <pageSetup scale="70" orientation="portrait" horizontalDpi="4294967293"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73833-90B6-48EE-90AC-F19EED3EE024}">
  <dimension ref="C5:I8"/>
  <sheetViews>
    <sheetView workbookViewId="0">
      <selection activeCell="I12" sqref="I12"/>
    </sheetView>
  </sheetViews>
  <sheetFormatPr defaultRowHeight="15" x14ac:dyDescent="0.25"/>
  <cols>
    <col min="3" max="3" width="8" customWidth="1"/>
    <col min="4" max="4" width="23.7109375" customWidth="1"/>
    <col min="7" max="7" width="13.7109375" customWidth="1"/>
    <col min="8" max="8" width="19.28515625" customWidth="1"/>
    <col min="9" max="9" width="88.28515625" customWidth="1"/>
  </cols>
  <sheetData>
    <row r="5" spans="3:9" x14ac:dyDescent="0.25">
      <c r="C5" s="960" t="s">
        <v>1427</v>
      </c>
      <c r="D5" s="960"/>
      <c r="E5" s="960"/>
      <c r="F5" s="960"/>
      <c r="G5" s="960"/>
      <c r="H5" s="960"/>
      <c r="I5" s="960"/>
    </row>
    <row r="6" spans="3:9" ht="30" customHeight="1" x14ac:dyDescent="0.25">
      <c r="C6" s="867" t="s">
        <v>1428</v>
      </c>
      <c r="D6" s="867" t="s">
        <v>66</v>
      </c>
      <c r="E6" s="867" t="s">
        <v>107</v>
      </c>
      <c r="F6" s="867" t="s">
        <v>106</v>
      </c>
      <c r="G6" s="867" t="s">
        <v>108</v>
      </c>
      <c r="H6" s="868" t="s">
        <v>1429</v>
      </c>
      <c r="I6" s="867" t="s">
        <v>1430</v>
      </c>
    </row>
    <row r="7" spans="3:9" ht="180" x14ac:dyDescent="0.25">
      <c r="C7" s="869">
        <v>1</v>
      </c>
      <c r="D7" s="508" t="s">
        <v>1431</v>
      </c>
      <c r="E7" s="869" t="s">
        <v>1432</v>
      </c>
      <c r="F7" s="869">
        <v>2</v>
      </c>
      <c r="G7" s="870">
        <v>1461017</v>
      </c>
      <c r="H7" s="870">
        <f>G7*F7</f>
        <v>2922034</v>
      </c>
      <c r="I7" s="508" t="s">
        <v>1433</v>
      </c>
    </row>
    <row r="8" spans="3:9" x14ac:dyDescent="0.25">
      <c r="C8" s="869"/>
      <c r="D8" s="871" t="s">
        <v>1434</v>
      </c>
      <c r="E8" s="869"/>
      <c r="F8" s="869"/>
      <c r="G8" s="869"/>
      <c r="H8" s="872">
        <f>SUM(H7)</f>
        <v>2922034</v>
      </c>
      <c r="I8" s="869"/>
    </row>
  </sheetData>
  <sheetProtection algorithmName="SHA-512" hashValue="5v+9ul6vQCsM7Y3w/xvokzJ3IwafMxbXx8XbnwvNGageIMhs13H+zzA4xPnBKWAWRpJsNnRDkgZGekXn6y6Ymw==" saltValue="U2oYrPHKcDxntIqrT9FYiw==" spinCount="100000" sheet="1" objects="1" scenarios="1" selectLockedCells="1" selectUnlockedCells="1"/>
  <mergeCells count="1">
    <mergeCell ref="C5:I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9647F-832A-4BF8-924B-8236A1DFC86E}">
  <sheetPr codeName="Sheet1"/>
  <dimension ref="B2:I20"/>
  <sheetViews>
    <sheetView showGridLines="0" topLeftCell="A12" zoomScaleNormal="100" workbookViewId="0">
      <selection activeCell="G25" sqref="G25"/>
    </sheetView>
  </sheetViews>
  <sheetFormatPr defaultRowHeight="12.75" x14ac:dyDescent="0.2"/>
  <cols>
    <col min="1" max="1" width="9.140625" style="90"/>
    <col min="2" max="2" width="5.28515625" style="90" customWidth="1"/>
    <col min="3" max="3" width="10.140625" style="90" customWidth="1"/>
    <col min="4" max="4" width="59.5703125" style="90" customWidth="1"/>
    <col min="5" max="5" width="6.42578125" style="90" customWidth="1"/>
    <col min="6" max="6" width="10.7109375" style="90" customWidth="1"/>
    <col min="7" max="7" width="14" style="90" customWidth="1"/>
    <col min="8" max="8" width="10.42578125" style="90" customWidth="1"/>
    <col min="9" max="9" width="14.42578125" style="90" customWidth="1"/>
    <col min="10" max="16384" width="9.140625" style="90"/>
  </cols>
  <sheetData>
    <row r="2" spans="2:9" ht="20.25" customHeight="1" x14ac:dyDescent="0.2">
      <c r="B2" s="961" t="s">
        <v>22</v>
      </c>
      <c r="C2" s="961"/>
      <c r="D2" s="961"/>
      <c r="E2" s="961"/>
      <c r="F2" s="961"/>
      <c r="G2" s="961"/>
      <c r="H2" s="961"/>
      <c r="I2" s="961"/>
    </row>
    <row r="3" spans="2:9" ht="15.75" customHeight="1" x14ac:dyDescent="0.25">
      <c r="B3" s="962" t="s">
        <v>748</v>
      </c>
      <c r="C3" s="962"/>
      <c r="D3" s="962"/>
      <c r="E3" s="962"/>
      <c r="F3" s="962"/>
      <c r="G3" s="962"/>
      <c r="H3" s="962"/>
      <c r="I3" s="962"/>
    </row>
    <row r="4" spans="2:9" ht="21" customHeight="1" x14ac:dyDescent="0.2">
      <c r="B4" s="963" t="s">
        <v>749</v>
      </c>
      <c r="C4" s="964"/>
      <c r="D4" s="964"/>
      <c r="E4" s="964"/>
      <c r="F4" s="964"/>
      <c r="G4" s="964"/>
      <c r="H4" s="964"/>
      <c r="I4" s="964"/>
    </row>
    <row r="5" spans="2:9" ht="36.75" customHeight="1" x14ac:dyDescent="0.2">
      <c r="B5" s="965" t="s">
        <v>750</v>
      </c>
      <c r="C5" s="965"/>
      <c r="D5" s="965"/>
      <c r="E5" s="965"/>
      <c r="F5" s="965"/>
      <c r="G5" s="965"/>
      <c r="H5" s="965"/>
      <c r="I5" s="965"/>
    </row>
    <row r="6" spans="2:9" ht="38.25" x14ac:dyDescent="0.2">
      <c r="B6" s="423" t="s">
        <v>60</v>
      </c>
      <c r="C6" s="424" t="s">
        <v>751</v>
      </c>
      <c r="D6" s="424" t="s">
        <v>752</v>
      </c>
      <c r="E6" s="424" t="s">
        <v>107</v>
      </c>
      <c r="F6" s="424" t="s">
        <v>753</v>
      </c>
      <c r="G6" s="424" t="s">
        <v>754</v>
      </c>
      <c r="H6" s="425" t="s">
        <v>755</v>
      </c>
      <c r="I6" s="426" t="s">
        <v>756</v>
      </c>
    </row>
    <row r="7" spans="2:9" ht="30" x14ac:dyDescent="0.2">
      <c r="B7" s="427">
        <v>1</v>
      </c>
      <c r="C7" s="428">
        <v>2</v>
      </c>
      <c r="D7" s="428">
        <v>3</v>
      </c>
      <c r="E7" s="428">
        <v>4</v>
      </c>
      <c r="F7" s="428">
        <v>5</v>
      </c>
      <c r="G7" s="428" t="s">
        <v>757</v>
      </c>
      <c r="H7" s="428">
        <v>7</v>
      </c>
      <c r="I7" s="428" t="s">
        <v>758</v>
      </c>
    </row>
    <row r="8" spans="2:9" ht="15" customHeight="1" x14ac:dyDescent="0.2">
      <c r="B8" s="429"/>
      <c r="C8" s="430" t="s">
        <v>759</v>
      </c>
      <c r="D8" s="431"/>
      <c r="E8" s="431"/>
      <c r="F8" s="431"/>
      <c r="G8" s="431"/>
      <c r="H8" s="431"/>
      <c r="I8" s="431"/>
    </row>
    <row r="9" spans="2:9" ht="48" customHeight="1" x14ac:dyDescent="0.25">
      <c r="B9" s="432">
        <v>1</v>
      </c>
      <c r="C9" s="433" t="s">
        <v>760</v>
      </c>
      <c r="D9" s="434" t="s">
        <v>761</v>
      </c>
      <c r="E9" s="435" t="s">
        <v>212</v>
      </c>
      <c r="F9" s="435">
        <v>326.88</v>
      </c>
      <c r="G9" s="436">
        <f xml:space="preserve">  (100/118)* F9</f>
        <v>277.01694915254234</v>
      </c>
      <c r="H9" s="436">
        <f xml:space="preserve"> '[2]Calculation - New Drain'!J11</f>
        <v>26.957781249999996</v>
      </c>
      <c r="I9" s="437">
        <f xml:space="preserve"> G9* H9</f>
        <v>7467.7623177966079</v>
      </c>
    </row>
    <row r="10" spans="2:9" ht="77.25" customHeight="1" x14ac:dyDescent="0.25">
      <c r="B10" s="432">
        <v>2</v>
      </c>
      <c r="C10" s="433" t="s">
        <v>762</v>
      </c>
      <c r="D10" s="434" t="s">
        <v>763</v>
      </c>
      <c r="E10" s="435" t="s">
        <v>212</v>
      </c>
      <c r="F10" s="435">
        <v>177.5</v>
      </c>
      <c r="G10" s="436">
        <f t="shared" ref="G10:G17" si="0" xml:space="preserve">  (100/118)* F10</f>
        <v>150.42372881355931</v>
      </c>
      <c r="H10" s="436">
        <f xml:space="preserve"> '[2]Calculation - New Drain'!J17</f>
        <v>408.375</v>
      </c>
      <c r="I10" s="437">
        <f t="shared" ref="I10:I16" si="1" xml:space="preserve"> G10* H10</f>
        <v>61429.290254237283</v>
      </c>
    </row>
    <row r="11" spans="2:9" ht="61.5" customHeight="1" x14ac:dyDescent="0.25">
      <c r="B11" s="432">
        <v>3</v>
      </c>
      <c r="C11" s="433">
        <v>2.25</v>
      </c>
      <c r="D11" s="434" t="s">
        <v>764</v>
      </c>
      <c r="E11" s="435" t="s">
        <v>212</v>
      </c>
      <c r="F11" s="435">
        <v>196</v>
      </c>
      <c r="G11" s="436">
        <f t="shared" si="0"/>
        <v>166.10169491525423</v>
      </c>
      <c r="H11" s="436">
        <f xml:space="preserve"> '[2]Calculation - New Drain'!J27</f>
        <v>300.54387500000001</v>
      </c>
      <c r="I11" s="437">
        <f t="shared" si="1"/>
        <v>49920.847033898302</v>
      </c>
    </row>
    <row r="12" spans="2:9" ht="75" x14ac:dyDescent="0.25">
      <c r="B12" s="432">
        <v>4</v>
      </c>
      <c r="C12" s="433" t="s">
        <v>130</v>
      </c>
      <c r="D12" s="434" t="s">
        <v>765</v>
      </c>
      <c r="E12" s="435" t="s">
        <v>212</v>
      </c>
      <c r="F12" s="436">
        <v>7878.5</v>
      </c>
      <c r="G12" s="436">
        <f t="shared" si="0"/>
        <v>6676.6949152542365</v>
      </c>
      <c r="H12" s="436">
        <f xml:space="preserve"> '[2]Calculation - New Drain'!J38</f>
        <v>27.331125</v>
      </c>
      <c r="I12" s="437">
        <f t="shared" si="1"/>
        <v>182481.58331567794</v>
      </c>
    </row>
    <row r="13" spans="2:9" ht="75" x14ac:dyDescent="0.25">
      <c r="B13" s="432">
        <v>5</v>
      </c>
      <c r="C13" s="433" t="s">
        <v>766</v>
      </c>
      <c r="D13" s="434" t="s">
        <v>767</v>
      </c>
      <c r="E13" s="435" t="s">
        <v>212</v>
      </c>
      <c r="F13" s="436">
        <v>6812</v>
      </c>
      <c r="G13" s="436">
        <f t="shared" si="0"/>
        <v>5772.8813559322034</v>
      </c>
      <c r="H13" s="436">
        <f xml:space="preserve"> '[2]Calculation - New Drain'!J45</f>
        <v>34.125</v>
      </c>
      <c r="I13" s="437">
        <f t="shared" si="1"/>
        <v>196999.57627118644</v>
      </c>
    </row>
    <row r="14" spans="2:9" ht="46.5" customHeight="1" x14ac:dyDescent="0.25">
      <c r="B14" s="432">
        <v>6</v>
      </c>
      <c r="C14" s="433" t="s">
        <v>197</v>
      </c>
      <c r="D14" s="434" t="s">
        <v>768</v>
      </c>
      <c r="E14" s="435" t="s">
        <v>278</v>
      </c>
      <c r="F14" s="436">
        <v>392.15</v>
      </c>
      <c r="G14" s="436">
        <f t="shared" si="0"/>
        <v>332.33050847457622</v>
      </c>
      <c r="H14" s="436">
        <f xml:space="preserve"> '[2]Calculation - New Drain'!J57</f>
        <v>129</v>
      </c>
      <c r="I14" s="437">
        <f t="shared" si="1"/>
        <v>42870.63559322033</v>
      </c>
    </row>
    <row r="15" spans="2:9" ht="45" x14ac:dyDescent="0.25">
      <c r="B15" s="432">
        <v>7</v>
      </c>
      <c r="C15" s="433" t="s">
        <v>210</v>
      </c>
      <c r="D15" s="434" t="s">
        <v>769</v>
      </c>
      <c r="E15" s="435" t="s">
        <v>212</v>
      </c>
      <c r="F15" s="436">
        <v>7132.25</v>
      </c>
      <c r="G15" s="436">
        <f t="shared" si="0"/>
        <v>6044.2796610169489</v>
      </c>
      <c r="H15" s="436">
        <f xml:space="preserve"> '[2]Calculation - New Drain'!J64</f>
        <v>138</v>
      </c>
      <c r="I15" s="437">
        <f t="shared" si="1"/>
        <v>834110.59322033892</v>
      </c>
    </row>
    <row r="16" spans="2:9" ht="35.25" customHeight="1" x14ac:dyDescent="0.25">
      <c r="B16" s="432">
        <v>8</v>
      </c>
      <c r="C16" s="433" t="s">
        <v>770</v>
      </c>
      <c r="D16" s="434" t="s">
        <v>771</v>
      </c>
      <c r="E16" s="435" t="s">
        <v>278</v>
      </c>
      <c r="F16" s="436">
        <v>425.55</v>
      </c>
      <c r="G16" s="436">
        <f t="shared" si="0"/>
        <v>360.63559322033899</v>
      </c>
      <c r="H16" s="436">
        <f xml:space="preserve"> '[2]Calculation - New Drain'!J71</f>
        <v>1004.9999999999999</v>
      </c>
      <c r="I16" s="437">
        <f t="shared" si="1"/>
        <v>362438.77118644066</v>
      </c>
    </row>
    <row r="17" spans="2:9" ht="125.25" customHeight="1" x14ac:dyDescent="0.25">
      <c r="B17" s="432">
        <v>9</v>
      </c>
      <c r="C17" s="433" t="s">
        <v>772</v>
      </c>
      <c r="D17" s="434" t="s">
        <v>773</v>
      </c>
      <c r="E17" s="435" t="s">
        <v>774</v>
      </c>
      <c r="F17" s="436">
        <v>2676.55</v>
      </c>
      <c r="G17" s="436">
        <f t="shared" si="0"/>
        <v>2268.2627118644068</v>
      </c>
      <c r="H17" s="436">
        <f xml:space="preserve"> '[2]Calculation - New Drain'!J78</f>
        <v>30</v>
      </c>
      <c r="I17" s="437">
        <f xml:space="preserve"> G17* H17</f>
        <v>68047.881355932201</v>
      </c>
    </row>
    <row r="18" spans="2:9" ht="24" customHeight="1" x14ac:dyDescent="0.25">
      <c r="B18" s="438"/>
      <c r="C18" s="439"/>
      <c r="D18" s="440"/>
      <c r="E18" s="441"/>
      <c r="F18" s="442"/>
      <c r="G18" s="442"/>
      <c r="H18" s="443" t="s">
        <v>775</v>
      </c>
      <c r="I18" s="437">
        <f xml:space="preserve"> SUM(I9:I17)</f>
        <v>1805766.9405487289</v>
      </c>
    </row>
    <row r="19" spans="2:9" ht="15" x14ac:dyDescent="0.25">
      <c r="B19" s="438"/>
      <c r="C19" s="444"/>
      <c r="D19" s="445"/>
      <c r="E19" s="446"/>
      <c r="F19" s="447"/>
      <c r="G19" s="447"/>
      <c r="H19" s="448" t="s">
        <v>776</v>
      </c>
      <c r="I19" s="437">
        <f xml:space="preserve"> ROUND(I18, 0)</f>
        <v>1805767</v>
      </c>
    </row>
    <row r="20" spans="2:9" ht="15" x14ac:dyDescent="0.25">
      <c r="B20" s="438"/>
      <c r="C20" s="449"/>
      <c r="D20" s="450"/>
      <c r="E20" s="451"/>
      <c r="F20" s="452"/>
      <c r="G20" s="452"/>
      <c r="H20" s="453" t="s">
        <v>777</v>
      </c>
      <c r="I20" s="436"/>
    </row>
  </sheetData>
  <sheetProtection algorithmName="SHA-512" hashValue="wHsslC7pbkcD1+GCS+pakKo/W3rXOkmR+aKVdK9fPVe9spZhc7goIrpCKDKOgaYpO+/f1t6nWeOwVVPdvgs8uQ==" saltValue="vQ24/0FD12AuXbgf7zKT2A==" spinCount="100000" sheet="1" objects="1" scenarios="1" selectLockedCells="1" selectUnlockedCells="1"/>
  <mergeCells count="4">
    <mergeCell ref="B2:I2"/>
    <mergeCell ref="B3:I3"/>
    <mergeCell ref="B4:I4"/>
    <mergeCell ref="B5:I5"/>
  </mergeCells>
  <pageMargins left="0.5" right="0.25" top="0.82" bottom="0.39" header="0.75" footer="0.21"/>
  <pageSetup scale="76" orientation="portrait" r:id="rId1"/>
  <headerFooter>
    <oddFooter>Page &amp;P of &amp;N</oddFooter>
  </headerFooter>
  <drawing r:id="rId2"/>
  <legacyDrawing r:id="rId3"/>
  <controls>
    <mc:AlternateContent xmlns:mc="http://schemas.openxmlformats.org/markup-compatibility/2006">
      <mc:Choice Requires="x14">
        <control shapeId="19457" r:id="rId4" name="Control 1">
          <controlPr defaultSize="0" r:id="rId5">
            <anchor moveWithCells="1">
              <from>
                <xdr:col>1</xdr:col>
                <xdr:colOff>9525</xdr:colOff>
                <xdr:row>0</xdr:row>
                <xdr:rowOff>0</xdr:rowOff>
              </from>
              <to>
                <xdr:col>2</xdr:col>
                <xdr:colOff>571500</xdr:colOff>
                <xdr:row>1</xdr:row>
                <xdr:rowOff>66675</xdr:rowOff>
              </to>
            </anchor>
          </controlPr>
        </control>
      </mc:Choice>
      <mc:Fallback>
        <control shapeId="19457" r:id="rId4" name="Control 1"/>
      </mc:Fallback>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82CBC-F8C3-4E1F-B928-2222A3E46F6C}">
  <sheetPr codeName="Sheet2"/>
  <dimension ref="B2:J15"/>
  <sheetViews>
    <sheetView showGridLines="0" topLeftCell="A11" zoomScaleNormal="100" zoomScaleSheetLayoutView="30" workbookViewId="0">
      <selection activeCell="B4" sqref="B4:I4"/>
    </sheetView>
  </sheetViews>
  <sheetFormatPr defaultRowHeight="12.75" x14ac:dyDescent="0.2"/>
  <cols>
    <col min="1" max="1" width="9.140625" style="90"/>
    <col min="2" max="2" width="5.28515625" style="90" customWidth="1"/>
    <col min="3" max="3" width="10.140625" style="90" customWidth="1"/>
    <col min="4" max="4" width="51.28515625" style="90" customWidth="1"/>
    <col min="5" max="5" width="6.42578125" style="90" customWidth="1"/>
    <col min="6" max="6" width="8.28515625" style="90" customWidth="1"/>
    <col min="7" max="7" width="11.42578125" style="90" customWidth="1"/>
    <col min="8" max="8" width="10.42578125" style="90" customWidth="1"/>
    <col min="9" max="9" width="14.42578125" style="90" customWidth="1"/>
    <col min="10" max="16384" width="9.140625" style="90"/>
  </cols>
  <sheetData>
    <row r="2" spans="2:10" ht="23.25" customHeight="1" x14ac:dyDescent="0.35">
      <c r="B2" s="966" t="s">
        <v>22</v>
      </c>
      <c r="C2" s="966"/>
      <c r="D2" s="966"/>
      <c r="E2" s="966"/>
      <c r="F2" s="966"/>
      <c r="G2" s="966"/>
      <c r="H2" s="966"/>
      <c r="I2" s="966"/>
    </row>
    <row r="3" spans="2:10" ht="25.35" customHeight="1" x14ac:dyDescent="0.2">
      <c r="B3" s="967" t="s">
        <v>749</v>
      </c>
      <c r="C3" s="968"/>
      <c r="D3" s="968"/>
      <c r="E3" s="968"/>
      <c r="F3" s="968"/>
      <c r="G3" s="968"/>
      <c r="H3" s="968"/>
      <c r="I3" s="968"/>
    </row>
    <row r="4" spans="2:10" ht="36.75" customHeight="1" x14ac:dyDescent="0.25">
      <c r="B4" s="969" t="s">
        <v>778</v>
      </c>
      <c r="C4" s="969"/>
      <c r="D4" s="969"/>
      <c r="E4" s="969"/>
      <c r="F4" s="969"/>
      <c r="G4" s="969"/>
      <c r="H4" s="969"/>
      <c r="I4" s="969"/>
    </row>
    <row r="5" spans="2:10" x14ac:dyDescent="0.2">
      <c r="B5" s="970"/>
      <c r="C5" s="970"/>
      <c r="D5" s="970"/>
      <c r="E5" s="970"/>
      <c r="F5" s="970"/>
      <c r="G5" s="970"/>
      <c r="H5" s="970"/>
      <c r="I5" s="970"/>
    </row>
    <row r="6" spans="2:10" ht="51" x14ac:dyDescent="0.2">
      <c r="B6" s="454" t="s">
        <v>60</v>
      </c>
      <c r="C6" s="455" t="s">
        <v>779</v>
      </c>
      <c r="D6" s="455" t="s">
        <v>752</v>
      </c>
      <c r="E6" s="455" t="s">
        <v>107</v>
      </c>
      <c r="F6" s="455" t="s">
        <v>753</v>
      </c>
      <c r="G6" s="455" t="s">
        <v>780</v>
      </c>
      <c r="H6" s="456" t="s">
        <v>755</v>
      </c>
      <c r="I6" s="455" t="s">
        <v>756</v>
      </c>
    </row>
    <row r="7" spans="2:10" ht="135" x14ac:dyDescent="0.25">
      <c r="B7" s="432">
        <v>1</v>
      </c>
      <c r="C7" s="433">
        <v>16.68</v>
      </c>
      <c r="D7" s="434" t="s">
        <v>781</v>
      </c>
      <c r="E7" s="435" t="s">
        <v>278</v>
      </c>
      <c r="F7" s="435">
        <v>972</v>
      </c>
      <c r="G7" s="436">
        <f xml:space="preserve"> (100/118)* F7</f>
        <v>823.72881355932202</v>
      </c>
      <c r="H7" s="436">
        <f>'[3]Calculation - PAVER BLOCK '!J11</f>
        <v>450</v>
      </c>
      <c r="I7" s="437">
        <f xml:space="preserve"> G7* H7</f>
        <v>370677.96610169491</v>
      </c>
    </row>
    <row r="8" spans="2:10" ht="150" x14ac:dyDescent="0.25">
      <c r="B8" s="432">
        <v>2</v>
      </c>
      <c r="C8" s="433" t="s">
        <v>135</v>
      </c>
      <c r="D8" s="434" t="s">
        <v>782</v>
      </c>
      <c r="E8" s="435" t="s">
        <v>212</v>
      </c>
      <c r="F8" s="436">
        <v>9045.75</v>
      </c>
      <c r="G8" s="436">
        <f t="shared" ref="G8:G10" si="0" xml:space="preserve"> (100/118)* F8</f>
        <v>7665.889830508474</v>
      </c>
      <c r="H8" s="436">
        <f>'[3]Calculation - PAVER BLOCK '!J18</f>
        <v>45</v>
      </c>
      <c r="I8" s="437">
        <f t="shared" ref="I8:I12" si="1" xml:space="preserve"> G8* H8</f>
        <v>344965.04237288132</v>
      </c>
    </row>
    <row r="9" spans="2:10" ht="60" x14ac:dyDescent="0.25">
      <c r="B9" s="457">
        <v>3</v>
      </c>
      <c r="C9" s="458" t="s">
        <v>197</v>
      </c>
      <c r="D9" s="459" t="s">
        <v>768</v>
      </c>
      <c r="E9" s="460" t="s">
        <v>278</v>
      </c>
      <c r="F9" s="461">
        <v>392.15</v>
      </c>
      <c r="G9" s="436">
        <f t="shared" si="0"/>
        <v>332.33050847457622</v>
      </c>
      <c r="H9" s="461">
        <f>'[3]Calculation - PAVER BLOCK '!J25</f>
        <v>450</v>
      </c>
      <c r="I9" s="437">
        <f t="shared" si="1"/>
        <v>149548.72881355931</v>
      </c>
    </row>
    <row r="10" spans="2:10" ht="93" customHeight="1" x14ac:dyDescent="0.25">
      <c r="B10" s="462">
        <v>4</v>
      </c>
      <c r="C10" s="463" t="s">
        <v>766</v>
      </c>
      <c r="D10" s="464" t="s">
        <v>783</v>
      </c>
      <c r="E10" s="465" t="s">
        <v>212</v>
      </c>
      <c r="F10" s="466">
        <v>6812</v>
      </c>
      <c r="G10" s="436">
        <f t="shared" si="0"/>
        <v>5772.8813559322034</v>
      </c>
      <c r="H10" s="466">
        <f>'[3]Calculation - PAVER BLOCK '!J34</f>
        <v>60</v>
      </c>
      <c r="I10" s="437">
        <f t="shared" si="1"/>
        <v>346372.88135593222</v>
      </c>
    </row>
    <row r="11" spans="2:10" ht="93" customHeight="1" x14ac:dyDescent="0.25">
      <c r="B11" s="462"/>
      <c r="C11" s="463" t="s">
        <v>784</v>
      </c>
      <c r="D11" s="464" t="s">
        <v>785</v>
      </c>
      <c r="E11" s="465" t="s">
        <v>278</v>
      </c>
      <c r="F11" s="466">
        <v>64.45</v>
      </c>
      <c r="G11" s="436">
        <f xml:space="preserve"> (100/112)* F11</f>
        <v>57.544642857142861</v>
      </c>
      <c r="H11" s="466">
        <f>'[3]Calculation - PAVER BLOCK '!J41</f>
        <v>450</v>
      </c>
      <c r="I11" s="437">
        <f t="shared" si="1"/>
        <v>25895.089285714286</v>
      </c>
      <c r="J11" s="90" t="s">
        <v>786</v>
      </c>
    </row>
    <row r="12" spans="2:10" ht="105.75" customHeight="1" x14ac:dyDescent="0.25">
      <c r="B12" s="462"/>
      <c r="C12" s="463" t="s">
        <v>570</v>
      </c>
      <c r="D12" s="464" t="s">
        <v>787</v>
      </c>
      <c r="E12" s="465" t="s">
        <v>278</v>
      </c>
      <c r="F12" s="466">
        <v>226.25</v>
      </c>
      <c r="G12" s="436">
        <f>F12*100/118</f>
        <v>191.73728813559322</v>
      </c>
      <c r="H12" s="466">
        <f>'[3]Calculation - PAVER BLOCK '!J48</f>
        <v>450</v>
      </c>
      <c r="I12" s="437">
        <f t="shared" si="1"/>
        <v>86281.779661016946</v>
      </c>
    </row>
    <row r="13" spans="2:10" ht="24" customHeight="1" x14ac:dyDescent="0.25">
      <c r="B13" s="438"/>
      <c r="C13" s="439"/>
      <c r="D13" s="440"/>
      <c r="E13" s="441"/>
      <c r="F13" s="442"/>
      <c r="G13" s="442"/>
      <c r="H13" s="443" t="s">
        <v>775</v>
      </c>
      <c r="I13" s="437">
        <f xml:space="preserve"> SUM(I7:I12)</f>
        <v>1323741.4875907991</v>
      </c>
    </row>
    <row r="14" spans="2:10" ht="15" x14ac:dyDescent="0.25">
      <c r="B14" s="438"/>
      <c r="C14" s="444"/>
      <c r="D14" s="445"/>
      <c r="E14" s="446"/>
      <c r="F14" s="447"/>
      <c r="G14" s="447"/>
      <c r="H14" s="448" t="s">
        <v>776</v>
      </c>
      <c r="I14" s="437">
        <f xml:space="preserve"> ROUND(I13, 0)</f>
        <v>1323741</v>
      </c>
    </row>
    <row r="15" spans="2:10" ht="15" x14ac:dyDescent="0.25">
      <c r="B15" s="438"/>
      <c r="C15" s="449"/>
      <c r="D15" s="450"/>
      <c r="E15" s="451"/>
      <c r="F15" s="452"/>
      <c r="G15" s="452"/>
      <c r="H15" s="453" t="s">
        <v>777</v>
      </c>
      <c r="I15" s="436"/>
    </row>
  </sheetData>
  <sheetProtection algorithmName="SHA-512" hashValue="8YUddtZPY/v1W2ySNfw8ulNDeTbwhH2bpA9ry9Ts4jQvhEGsx8lndfrpxtzL56HjZ0sWhS9ppmDn2e9Qq0MpgA==" saltValue="3ymDHaepeMJI3FYRfAi1Ig==" spinCount="100000" sheet="1" objects="1" scenarios="1" selectLockedCells="1" selectUnlockedCells="1"/>
  <mergeCells count="4">
    <mergeCell ref="B2:I2"/>
    <mergeCell ref="B3:I3"/>
    <mergeCell ref="B4:I4"/>
    <mergeCell ref="B5:I5"/>
  </mergeCells>
  <printOptions horizontalCentered="1"/>
  <pageMargins left="0.51181102362204722" right="0.23622047244094491" top="0" bottom="0" header="0.23622047244094491" footer="0.15748031496062992"/>
  <pageSetup scale="80" orientation="portrait" r:id="rId1"/>
  <headerFooter>
    <oddFooter>Page &amp;P of &amp;N</oddFooter>
  </headerFooter>
  <drawing r:id="rId2"/>
  <legacyDrawing r:id="rId3"/>
  <controls>
    <mc:AlternateContent xmlns:mc="http://schemas.openxmlformats.org/markup-compatibility/2006">
      <mc:Choice Requires="x14">
        <control shapeId="20481" r:id="rId4" name="Control 1">
          <controlPr defaultSize="0" r:id="rId5">
            <anchor moveWithCells="1">
              <from>
                <xdr:col>1</xdr:col>
                <xdr:colOff>0</xdr:colOff>
                <xdr:row>0</xdr:row>
                <xdr:rowOff>0</xdr:rowOff>
              </from>
              <to>
                <xdr:col>2</xdr:col>
                <xdr:colOff>561975</xdr:colOff>
                <xdr:row>1</xdr:row>
                <xdr:rowOff>66675</xdr:rowOff>
              </to>
            </anchor>
          </controlPr>
        </control>
      </mc:Choice>
      <mc:Fallback>
        <control shapeId="20481" r:id="rId4" name="Control 1"/>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9AF3C-FCF0-4EBF-8D1B-7C58A2035906}">
  <sheetPr codeName="Sheet3"/>
  <dimension ref="B2:M23"/>
  <sheetViews>
    <sheetView showGridLines="0" topLeftCell="A13" zoomScaleNormal="100" workbookViewId="0">
      <selection activeCell="M17" sqref="M17"/>
    </sheetView>
  </sheetViews>
  <sheetFormatPr defaultRowHeight="15" x14ac:dyDescent="0.25"/>
  <cols>
    <col min="2" max="2" width="8" customWidth="1"/>
    <col min="3" max="3" width="8.7109375" customWidth="1"/>
    <col min="4" max="4" width="51.28515625" customWidth="1"/>
    <col min="5" max="5" width="6.140625" customWidth="1"/>
    <col min="6" max="6" width="11.42578125" customWidth="1"/>
    <col min="7" max="7" width="12.28515625" customWidth="1"/>
    <col min="8" max="8" width="11.42578125" customWidth="1"/>
    <col min="9" max="9" width="13.7109375" customWidth="1"/>
    <col min="10" max="10" width="16.85546875" customWidth="1"/>
    <col min="11" max="11" width="16.140625" bestFit="1" customWidth="1"/>
    <col min="12" max="12" width="10.85546875" customWidth="1"/>
    <col min="13" max="13" width="20.85546875" customWidth="1"/>
  </cols>
  <sheetData>
    <row r="2" spans="2:11" ht="23.25" x14ac:dyDescent="0.35">
      <c r="B2" s="972" t="s">
        <v>22</v>
      </c>
      <c r="C2" s="972"/>
      <c r="D2" s="972"/>
      <c r="E2" s="972"/>
      <c r="F2" s="972"/>
      <c r="G2" s="972"/>
      <c r="H2" s="972"/>
      <c r="I2" s="972"/>
      <c r="J2" s="467"/>
      <c r="K2" s="467"/>
    </row>
    <row r="3" spans="2:11" ht="15.75" x14ac:dyDescent="0.25">
      <c r="B3" s="973" t="s">
        <v>748</v>
      </c>
      <c r="C3" s="973"/>
      <c r="D3" s="973"/>
      <c r="E3" s="973"/>
      <c r="F3" s="973"/>
      <c r="G3" s="973"/>
      <c r="H3" s="973"/>
      <c r="I3" s="973"/>
      <c r="J3" s="467"/>
      <c r="K3" s="467"/>
    </row>
    <row r="4" spans="2:11" ht="22.5" x14ac:dyDescent="0.25">
      <c r="B4" s="974" t="s">
        <v>749</v>
      </c>
      <c r="C4" s="974"/>
      <c r="D4" s="974"/>
      <c r="E4" s="974"/>
      <c r="F4" s="974"/>
      <c r="G4" s="974"/>
      <c r="H4" s="974"/>
      <c r="I4" s="974"/>
      <c r="J4" s="467"/>
      <c r="K4" s="467"/>
    </row>
    <row r="5" spans="2:11" ht="37.5" customHeight="1" x14ac:dyDescent="0.25">
      <c r="B5" s="975" t="s">
        <v>788</v>
      </c>
      <c r="C5" s="975"/>
      <c r="D5" s="975"/>
      <c r="E5" s="975"/>
      <c r="F5" s="975"/>
      <c r="G5" s="975"/>
      <c r="H5" s="975"/>
      <c r="I5" s="975"/>
      <c r="J5" s="467"/>
      <c r="K5" s="467"/>
    </row>
    <row r="6" spans="2:11" x14ac:dyDescent="0.25">
      <c r="B6" s="971" t="s">
        <v>60</v>
      </c>
      <c r="C6" s="971" t="s">
        <v>779</v>
      </c>
      <c r="D6" s="971" t="s">
        <v>752</v>
      </c>
      <c r="E6" s="976" t="s">
        <v>107</v>
      </c>
      <c r="F6" s="971" t="s">
        <v>753</v>
      </c>
      <c r="G6" s="971" t="s">
        <v>789</v>
      </c>
      <c r="H6" s="971" t="s">
        <v>755</v>
      </c>
      <c r="I6" s="971" t="s">
        <v>790</v>
      </c>
      <c r="J6" s="467"/>
      <c r="K6" s="467"/>
    </row>
    <row r="7" spans="2:11" ht="24" customHeight="1" x14ac:dyDescent="0.25">
      <c r="B7" s="971"/>
      <c r="C7" s="971"/>
      <c r="D7" s="971"/>
      <c r="E7" s="976"/>
      <c r="F7" s="971"/>
      <c r="G7" s="971"/>
      <c r="H7" s="971"/>
      <c r="I7" s="971"/>
      <c r="J7" s="467"/>
      <c r="K7" s="467"/>
    </row>
    <row r="8" spans="2:11" ht="30" x14ac:dyDescent="0.25">
      <c r="B8" s="468">
        <v>1</v>
      </c>
      <c r="C8" s="469">
        <v>2</v>
      </c>
      <c r="D8" s="469">
        <v>3</v>
      </c>
      <c r="E8" s="469">
        <v>4</v>
      </c>
      <c r="F8" s="469">
        <v>5</v>
      </c>
      <c r="G8" s="469" t="s">
        <v>791</v>
      </c>
      <c r="H8" s="469">
        <v>7</v>
      </c>
      <c r="I8" s="469" t="s">
        <v>758</v>
      </c>
      <c r="J8" s="467"/>
      <c r="K8" s="467"/>
    </row>
    <row r="9" spans="2:11" ht="51" x14ac:dyDescent="0.25">
      <c r="B9" s="470">
        <v>1</v>
      </c>
      <c r="C9" s="471" t="s">
        <v>792</v>
      </c>
      <c r="D9" s="472" t="s">
        <v>793</v>
      </c>
      <c r="E9" s="473" t="s">
        <v>212</v>
      </c>
      <c r="F9" s="474">
        <v>174.04</v>
      </c>
      <c r="G9" s="474">
        <f xml:space="preserve"> (100/118)* F9</f>
        <v>147.4915254237288</v>
      </c>
      <c r="H9" s="474">
        <f xml:space="preserve"> '[4]Cal- RCC ROAD'!K12</f>
        <v>200</v>
      </c>
      <c r="I9" s="474">
        <f xml:space="preserve"> G9* H9</f>
        <v>29498.30508474576</v>
      </c>
      <c r="J9" s="467"/>
      <c r="K9" s="467"/>
    </row>
    <row r="10" spans="2:11" ht="63.75" x14ac:dyDescent="0.25">
      <c r="B10" s="470">
        <v>2</v>
      </c>
      <c r="C10" s="471" t="s">
        <v>794</v>
      </c>
      <c r="D10" s="472" t="s">
        <v>795</v>
      </c>
      <c r="E10" s="473" t="s">
        <v>212</v>
      </c>
      <c r="F10" s="474">
        <v>395.3</v>
      </c>
      <c r="G10" s="474">
        <f t="shared" ref="G10:G19" si="0" xml:space="preserve"> (100/118)* F10</f>
        <v>335</v>
      </c>
      <c r="H10" s="474">
        <f xml:space="preserve"> '[4]Cal- RCC ROAD'!K19</f>
        <v>131.25</v>
      </c>
      <c r="I10" s="474">
        <f t="shared" ref="I10:I18" si="1" xml:space="preserve"> G10* H10</f>
        <v>43968.75</v>
      </c>
      <c r="J10" s="467"/>
      <c r="K10" s="467"/>
    </row>
    <row r="11" spans="2:11" ht="76.5" x14ac:dyDescent="0.25">
      <c r="B11" s="470">
        <v>3</v>
      </c>
      <c r="C11" s="471" t="s">
        <v>766</v>
      </c>
      <c r="D11" s="472" t="s">
        <v>796</v>
      </c>
      <c r="E11" s="473" t="s">
        <v>212</v>
      </c>
      <c r="F11" s="474">
        <v>6812</v>
      </c>
      <c r="G11" s="474">
        <f t="shared" si="0"/>
        <v>5772.8813559322034</v>
      </c>
      <c r="H11" s="474">
        <f xml:space="preserve"> '[4]Cal- RCC ROAD'!K26</f>
        <v>131.25</v>
      </c>
      <c r="I11" s="474">
        <f t="shared" si="1"/>
        <v>757690.67796610168</v>
      </c>
      <c r="J11" s="467"/>
      <c r="K11" s="467"/>
    </row>
    <row r="12" spans="2:11" ht="89.25" x14ac:dyDescent="0.25">
      <c r="B12" s="470">
        <v>4</v>
      </c>
      <c r="C12" s="471" t="s">
        <v>135</v>
      </c>
      <c r="D12" s="472" t="s">
        <v>797</v>
      </c>
      <c r="E12" s="473" t="s">
        <v>212</v>
      </c>
      <c r="F12" s="474">
        <v>9045.75</v>
      </c>
      <c r="G12" s="474">
        <f t="shared" si="0"/>
        <v>7665.889830508474</v>
      </c>
      <c r="H12" s="474">
        <f xml:space="preserve"> '[4]Cal- RCC ROAD'!K33</f>
        <v>131.25</v>
      </c>
      <c r="I12" s="474">
        <f t="shared" si="1"/>
        <v>1006148.0402542372</v>
      </c>
      <c r="J12" s="467"/>
      <c r="K12" s="467"/>
    </row>
    <row r="13" spans="2:11" ht="51" x14ac:dyDescent="0.25">
      <c r="B13" s="470">
        <v>5</v>
      </c>
      <c r="C13" s="471" t="s">
        <v>197</v>
      </c>
      <c r="D13" s="472" t="s">
        <v>798</v>
      </c>
      <c r="E13" s="473" t="s">
        <v>278</v>
      </c>
      <c r="F13" s="474">
        <v>392.15</v>
      </c>
      <c r="G13" s="474">
        <f t="shared" si="0"/>
        <v>332.33050847457622</v>
      </c>
      <c r="H13" s="474">
        <f xml:space="preserve"> '[4]Cal- RCC ROAD'!K40</f>
        <v>70</v>
      </c>
      <c r="I13" s="474">
        <f t="shared" si="1"/>
        <v>23263.135593220337</v>
      </c>
      <c r="J13" s="467"/>
      <c r="K13" s="467"/>
    </row>
    <row r="14" spans="2:11" ht="38.25" x14ac:dyDescent="0.25">
      <c r="B14" s="470">
        <v>6</v>
      </c>
      <c r="C14" s="475" t="s">
        <v>799</v>
      </c>
      <c r="D14" s="472" t="s">
        <v>800</v>
      </c>
      <c r="E14" s="473" t="s">
        <v>278</v>
      </c>
      <c r="F14" s="474">
        <f>15*1.15*1.1</f>
        <v>18.975000000000001</v>
      </c>
      <c r="G14" s="474">
        <f>F14</f>
        <v>18.975000000000001</v>
      </c>
      <c r="H14" s="474">
        <f xml:space="preserve"> '[4]Cal- RCC ROAD'!K47</f>
        <v>1312.5</v>
      </c>
      <c r="I14" s="474">
        <f t="shared" si="1"/>
        <v>24904.687500000004</v>
      </c>
      <c r="J14" s="467" t="s">
        <v>801</v>
      </c>
      <c r="K14" s="467"/>
    </row>
    <row r="15" spans="2:11" ht="63.75" x14ac:dyDescent="0.25">
      <c r="B15" s="470">
        <v>7</v>
      </c>
      <c r="C15" s="471" t="s">
        <v>193</v>
      </c>
      <c r="D15" s="472" t="s">
        <v>802</v>
      </c>
      <c r="E15" s="473" t="s">
        <v>195</v>
      </c>
      <c r="F15" s="474">
        <v>107.85</v>
      </c>
      <c r="G15" s="474">
        <f t="shared" si="0"/>
        <v>91.398305084745758</v>
      </c>
      <c r="H15" s="474">
        <f xml:space="preserve"> '[4]Cal- RCC ROAD'!K55</f>
        <v>2633.3333333333335</v>
      </c>
      <c r="I15" s="474">
        <f t="shared" si="1"/>
        <v>240682.20338983051</v>
      </c>
      <c r="J15" s="467"/>
      <c r="K15" s="467"/>
    </row>
    <row r="16" spans="2:11" ht="141" x14ac:dyDescent="0.25">
      <c r="B16" s="470">
        <v>8</v>
      </c>
      <c r="C16" s="471" t="s">
        <v>803</v>
      </c>
      <c r="D16" s="472" t="s">
        <v>804</v>
      </c>
      <c r="E16" s="473" t="s">
        <v>805</v>
      </c>
      <c r="F16" s="474">
        <v>8.65</v>
      </c>
      <c r="G16" s="474">
        <f t="shared" si="0"/>
        <v>7.3305084745762707</v>
      </c>
      <c r="H16" s="474">
        <f xml:space="preserve"> '[4]Cal- RCC ROAD'!K63</f>
        <v>703.125</v>
      </c>
      <c r="I16" s="474">
        <f t="shared" si="1"/>
        <v>5154.26377118644</v>
      </c>
      <c r="J16" s="467"/>
      <c r="K16" s="467"/>
    </row>
    <row r="17" spans="2:13" ht="51" customHeight="1" x14ac:dyDescent="0.25">
      <c r="B17" s="476">
        <v>9</v>
      </c>
      <c r="C17" s="476">
        <v>293</v>
      </c>
      <c r="D17" s="477" t="s">
        <v>806</v>
      </c>
      <c r="E17" s="476" t="s">
        <v>212</v>
      </c>
      <c r="F17" s="478">
        <f>1400*1.15*1.1</f>
        <v>1771</v>
      </c>
      <c r="G17" s="474">
        <f>F17</f>
        <v>1771</v>
      </c>
      <c r="H17" s="478">
        <f>'[4]Cal- RCC ROAD'!K70</f>
        <v>65.625</v>
      </c>
      <c r="I17" s="474">
        <f t="shared" si="1"/>
        <v>116221.875</v>
      </c>
      <c r="J17" s="467" t="s">
        <v>801</v>
      </c>
      <c r="K17" s="467"/>
      <c r="M17" s="479"/>
    </row>
    <row r="18" spans="2:13" ht="51" customHeight="1" x14ac:dyDescent="0.25">
      <c r="B18" s="476">
        <v>10</v>
      </c>
      <c r="C18" s="476">
        <v>296</v>
      </c>
      <c r="D18" s="477" t="s">
        <v>807</v>
      </c>
      <c r="E18" s="476" t="s">
        <v>212</v>
      </c>
      <c r="F18" s="478">
        <f>1400*1.15*1.1</f>
        <v>1771</v>
      </c>
      <c r="G18" s="474">
        <f t="shared" si="0"/>
        <v>1500.8474576271185</v>
      </c>
      <c r="H18" s="478">
        <f>'[4]Cal- RCC ROAD'!K79</f>
        <v>16.40625</v>
      </c>
      <c r="I18" s="474">
        <f t="shared" si="1"/>
        <v>24623.278601694914</v>
      </c>
      <c r="J18" s="467" t="s">
        <v>801</v>
      </c>
      <c r="K18" s="467"/>
    </row>
    <row r="19" spans="2:13" ht="51" customHeight="1" x14ac:dyDescent="0.25">
      <c r="B19" s="476">
        <v>11</v>
      </c>
      <c r="C19" s="476" t="s">
        <v>808</v>
      </c>
      <c r="D19" s="477" t="s">
        <v>809</v>
      </c>
      <c r="E19" s="476" t="s">
        <v>212</v>
      </c>
      <c r="F19" s="478">
        <v>768.25</v>
      </c>
      <c r="G19" s="474">
        <f t="shared" si="0"/>
        <v>651.0593220338983</v>
      </c>
      <c r="H19" s="478">
        <f>'[4]Cal- RCC ROAD'!K88</f>
        <v>16.40625</v>
      </c>
      <c r="I19" s="474">
        <f xml:space="preserve"> G19* H19</f>
        <v>10681.442002118643</v>
      </c>
      <c r="J19" s="467"/>
      <c r="K19" s="467"/>
    </row>
    <row r="20" spans="2:13" ht="22.5" customHeight="1" x14ac:dyDescent="0.25">
      <c r="B20" s="480"/>
      <c r="C20" s="481"/>
      <c r="D20" s="482"/>
      <c r="E20" s="483"/>
      <c r="F20" s="484"/>
      <c r="G20" s="484"/>
      <c r="H20" s="485" t="s">
        <v>775</v>
      </c>
      <c r="I20" s="486">
        <f xml:space="preserve"> SUM(I9:I19)</f>
        <v>2282836.6591631356</v>
      </c>
      <c r="J20" s="467"/>
      <c r="K20" s="467"/>
    </row>
    <row r="21" spans="2:13" x14ac:dyDescent="0.25">
      <c r="B21" s="487"/>
      <c r="C21" s="488"/>
      <c r="D21" s="489"/>
      <c r="E21" s="490"/>
      <c r="F21" s="491"/>
      <c r="G21" s="491"/>
      <c r="H21" s="492" t="s">
        <v>776</v>
      </c>
      <c r="I21" s="493">
        <f xml:space="preserve"> ROUND(I20, 0)</f>
        <v>2282837</v>
      </c>
      <c r="J21" s="467"/>
      <c r="K21" s="494"/>
    </row>
    <row r="22" spans="2:13" x14ac:dyDescent="0.25">
      <c r="B22" s="487"/>
      <c r="C22" s="495"/>
      <c r="D22" s="496"/>
      <c r="E22" s="497"/>
      <c r="F22" s="498"/>
      <c r="G22" s="498"/>
      <c r="H22" s="499" t="s">
        <v>777</v>
      </c>
      <c r="I22" s="500"/>
      <c r="J22" s="467"/>
      <c r="K22" s="467"/>
    </row>
    <row r="23" spans="2:13" x14ac:dyDescent="0.25">
      <c r="B23" s="467"/>
      <c r="C23" s="467"/>
      <c r="D23" s="467"/>
      <c r="E23" s="467"/>
      <c r="F23" s="467"/>
      <c r="G23" s="467"/>
      <c r="H23" s="467"/>
      <c r="I23" s="467"/>
      <c r="J23" s="467"/>
      <c r="K23" s="467"/>
    </row>
  </sheetData>
  <sheetProtection algorithmName="SHA-512" hashValue="mOsYjdA4DVDaRLyJZOOJ0JYMNb8YoIkyd5bP//d7qEVDHx0Xo44npUKhUpUrwZHXheSo/arQXYehyBvcC0896w==" saltValue="IVlv/O/sNAX/w22wxRjsAg==" spinCount="100000" sheet="1" objects="1" scenarios="1" selectLockedCells="1" selectUnlockedCells="1"/>
  <mergeCells count="12">
    <mergeCell ref="H6:H7"/>
    <mergeCell ref="I6:I7"/>
    <mergeCell ref="B2:I2"/>
    <mergeCell ref="B3:I3"/>
    <mergeCell ref="B4:I4"/>
    <mergeCell ref="B5:I5"/>
    <mergeCell ref="B6:B7"/>
    <mergeCell ref="C6:C7"/>
    <mergeCell ref="D6:D7"/>
    <mergeCell ref="E6:E7"/>
    <mergeCell ref="F6:F7"/>
    <mergeCell ref="G6:G7"/>
  </mergeCells>
  <pageMargins left="0.70866141732283472" right="0.23622047244094491" top="0.47244094488188981" bottom="0.43307086614173229" header="0.27559055118110237" footer="0.19685039370078741"/>
  <pageSetup scale="65" orientation="portrait" r:id="rId1"/>
  <headerFooter>
    <oddFooter>Page &amp;P of &amp;N</oddFooter>
  </headerFooter>
  <drawing r:id="rId2"/>
  <legacyDrawing r:id="rId3"/>
  <controls>
    <mc:AlternateContent xmlns:mc="http://schemas.openxmlformats.org/markup-compatibility/2006">
      <mc:Choice Requires="x14">
        <control shapeId="21505" r:id="rId4" name="Control 1">
          <controlPr defaultSize="0" r:id="rId5">
            <anchor moveWithCells="1">
              <from>
                <xdr:col>1</xdr:col>
                <xdr:colOff>19050</xdr:colOff>
                <xdr:row>0</xdr:row>
                <xdr:rowOff>0</xdr:rowOff>
              </from>
              <to>
                <xdr:col>2</xdr:col>
                <xdr:colOff>400050</xdr:colOff>
                <xdr:row>1</xdr:row>
                <xdr:rowOff>38100</xdr:rowOff>
              </to>
            </anchor>
          </controlPr>
        </control>
      </mc:Choice>
      <mc:Fallback>
        <control shapeId="21505" r:id="rId4" name="Control 1"/>
      </mc:Fallback>
    </mc:AlternateContent>
  </control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50EE8-2841-497A-831C-FF1B548EE95C}">
  <sheetPr codeName="Sheet6"/>
  <dimension ref="B2:J15"/>
  <sheetViews>
    <sheetView showGridLines="0" workbookViewId="0">
      <selection activeCell="Q15" sqref="Q15"/>
    </sheetView>
  </sheetViews>
  <sheetFormatPr defaultRowHeight="15" x14ac:dyDescent="0.25"/>
  <cols>
    <col min="2" max="2" width="8" customWidth="1"/>
    <col min="3" max="3" width="51.28515625" customWidth="1"/>
    <col min="4" max="4" width="6.140625" customWidth="1"/>
    <col min="5" max="7" width="11.42578125" customWidth="1"/>
    <col min="8" max="8" width="13.7109375" customWidth="1"/>
    <col min="9" max="9" width="6.28515625" customWidth="1"/>
    <col min="10" max="10" width="5.5703125" customWidth="1"/>
    <col min="11" max="11" width="13.42578125" customWidth="1"/>
    <col min="12" max="12" width="20.85546875" customWidth="1"/>
  </cols>
  <sheetData>
    <row r="2" spans="2:10" ht="23.25" x14ac:dyDescent="0.35">
      <c r="B2" s="972" t="s">
        <v>22</v>
      </c>
      <c r="C2" s="972"/>
      <c r="D2" s="972"/>
      <c r="E2" s="972"/>
      <c r="F2" s="972"/>
      <c r="G2" s="972"/>
      <c r="H2" s="972"/>
      <c r="I2" s="467"/>
      <c r="J2" s="467"/>
    </row>
    <row r="3" spans="2:10" ht="15.75" x14ac:dyDescent="0.25">
      <c r="B3" s="973" t="s">
        <v>748</v>
      </c>
      <c r="C3" s="973"/>
      <c r="D3" s="973"/>
      <c r="E3" s="973"/>
      <c r="F3" s="973"/>
      <c r="G3" s="973"/>
      <c r="H3" s="973"/>
      <c r="I3" s="467"/>
      <c r="J3" s="467"/>
    </row>
    <row r="4" spans="2:10" ht="22.5" x14ac:dyDescent="0.25">
      <c r="B4" s="974" t="s">
        <v>810</v>
      </c>
      <c r="C4" s="974"/>
      <c r="D4" s="974"/>
      <c r="E4" s="974"/>
      <c r="F4" s="974"/>
      <c r="G4" s="974"/>
      <c r="H4" s="974"/>
      <c r="I4" s="467"/>
      <c r="J4" s="467"/>
    </row>
    <row r="5" spans="2:10" ht="36" customHeight="1" x14ac:dyDescent="0.25">
      <c r="B5" s="978" t="s">
        <v>811</v>
      </c>
      <c r="C5" s="975"/>
      <c r="D5" s="975"/>
      <c r="E5" s="975"/>
      <c r="F5" s="975"/>
      <c r="G5" s="975"/>
      <c r="H5" s="975"/>
      <c r="I5" s="467"/>
      <c r="J5" s="467"/>
    </row>
    <row r="6" spans="2:10" ht="9.75" customHeight="1" x14ac:dyDescent="0.25">
      <c r="B6" s="979"/>
      <c r="C6" s="979"/>
      <c r="D6" s="979"/>
      <c r="E6" s="979"/>
      <c r="F6" s="979"/>
      <c r="G6" s="979"/>
      <c r="H6" s="979"/>
      <c r="I6" s="467"/>
      <c r="J6" s="467"/>
    </row>
    <row r="7" spans="2:10" ht="27" customHeight="1" x14ac:dyDescent="0.25">
      <c r="B7" s="980" t="s">
        <v>60</v>
      </c>
      <c r="C7" s="982" t="s">
        <v>752</v>
      </c>
      <c r="D7" s="984" t="s">
        <v>107</v>
      </c>
      <c r="E7" s="977" t="s">
        <v>812</v>
      </c>
      <c r="F7" s="977" t="s">
        <v>813</v>
      </c>
      <c r="G7" s="977" t="s">
        <v>814</v>
      </c>
      <c r="H7" s="977" t="s">
        <v>815</v>
      </c>
      <c r="I7" s="467"/>
      <c r="J7" s="467"/>
    </row>
    <row r="8" spans="2:10" ht="24" customHeight="1" x14ac:dyDescent="0.25">
      <c r="B8" s="981"/>
      <c r="C8" s="983"/>
      <c r="D8" s="985"/>
      <c r="E8" s="971"/>
      <c r="F8" s="971"/>
      <c r="G8" s="971"/>
      <c r="H8" s="971"/>
      <c r="I8" s="467"/>
      <c r="J8" s="467"/>
    </row>
    <row r="9" spans="2:10" x14ac:dyDescent="0.25">
      <c r="B9" s="468">
        <v>1</v>
      </c>
      <c r="C9" s="469">
        <v>2</v>
      </c>
      <c r="D9" s="469">
        <v>3</v>
      </c>
      <c r="E9" s="469">
        <v>4</v>
      </c>
      <c r="F9" s="469">
        <v>5</v>
      </c>
      <c r="G9" s="469">
        <v>6</v>
      </c>
      <c r="H9" s="469">
        <v>7</v>
      </c>
      <c r="I9" s="467"/>
      <c r="J9" s="467"/>
    </row>
    <row r="10" spans="2:10" ht="89.25" x14ac:dyDescent="0.25">
      <c r="B10" s="501">
        <v>1</v>
      </c>
      <c r="C10" s="472" t="s">
        <v>816</v>
      </c>
      <c r="D10" s="473"/>
      <c r="E10" s="474"/>
      <c r="F10" s="474"/>
      <c r="G10" s="474"/>
      <c r="H10" s="474"/>
      <c r="I10" s="467"/>
      <c r="J10" s="467"/>
    </row>
    <row r="11" spans="2:10" ht="24.95" customHeight="1" x14ac:dyDescent="0.25">
      <c r="B11" s="501" t="s">
        <v>26</v>
      </c>
      <c r="C11" s="472" t="s">
        <v>817</v>
      </c>
      <c r="D11" s="473" t="s">
        <v>406</v>
      </c>
      <c r="E11" s="474">
        <v>36</v>
      </c>
      <c r="F11" s="474">
        <f>'[5]BOQ RATE ANALYSIS'!H10</f>
        <v>177778</v>
      </c>
      <c r="G11" s="474">
        <f>E11*F11</f>
        <v>6400008</v>
      </c>
      <c r="H11" s="474"/>
      <c r="I11" s="467"/>
      <c r="J11" s="467"/>
    </row>
    <row r="12" spans="2:10" ht="24.95" customHeight="1" x14ac:dyDescent="0.25">
      <c r="B12" s="501" t="s">
        <v>27</v>
      </c>
      <c r="C12" s="472" t="s">
        <v>818</v>
      </c>
      <c r="D12" s="473" t="s">
        <v>406</v>
      </c>
      <c r="E12" s="474">
        <v>9</v>
      </c>
      <c r="F12" s="474">
        <f>'[5]BOQ RATE ANALYSIS'!H11</f>
        <v>192000.24000000002</v>
      </c>
      <c r="G12" s="474">
        <f t="shared" ref="G12:G13" si="0">E12*F12</f>
        <v>1728002.1600000001</v>
      </c>
      <c r="H12" s="474"/>
      <c r="I12" s="467"/>
      <c r="J12" s="467"/>
    </row>
    <row r="13" spans="2:10" ht="24.95" customHeight="1" x14ac:dyDescent="0.25">
      <c r="B13" s="501" t="s">
        <v>29</v>
      </c>
      <c r="C13" s="472" t="s">
        <v>819</v>
      </c>
      <c r="D13" s="473" t="s">
        <v>406</v>
      </c>
      <c r="E13" s="474">
        <v>1</v>
      </c>
      <c r="F13" s="474">
        <f>'[5]BOQ RATE ANALYSIS'!H12</f>
        <v>450370.93333333335</v>
      </c>
      <c r="G13" s="474">
        <f t="shared" si="0"/>
        <v>450370.93333333335</v>
      </c>
      <c r="H13" s="474"/>
      <c r="I13" s="467"/>
      <c r="J13" s="467"/>
    </row>
    <row r="14" spans="2:10" ht="24.95" customHeight="1" x14ac:dyDescent="0.25">
      <c r="B14" s="501"/>
      <c r="C14" s="502" t="s">
        <v>820</v>
      </c>
      <c r="D14" s="503"/>
      <c r="E14" s="504"/>
      <c r="F14" s="504"/>
      <c r="G14" s="504">
        <f>SUM(G11:G13)</f>
        <v>8578381.0933333337</v>
      </c>
      <c r="H14" s="504"/>
      <c r="I14" s="467"/>
      <c r="J14" s="467"/>
    </row>
    <row r="15" spans="2:10" ht="24.95" customHeight="1" x14ac:dyDescent="0.25">
      <c r="B15" s="501"/>
      <c r="C15" s="502"/>
      <c r="D15" s="503"/>
      <c r="E15" s="504"/>
      <c r="F15" s="504"/>
      <c r="G15" s="504"/>
      <c r="H15" s="504"/>
      <c r="I15" s="467"/>
      <c r="J15" s="467"/>
    </row>
  </sheetData>
  <sheetProtection algorithmName="SHA-512" hashValue="4Bw0nO6Jb8ww1mymMhG/j6l22hBbvl+LX8EfJcxjr4lXodFleiC4ZabNAxIzmHLhUhit8HRJNl+JvIIbn9sH3Q==" saltValue="ok4fWv6IRGLxBohb9GI8/Q==" spinCount="100000" sheet="1" objects="1" scenarios="1" selectLockedCells="1" selectUnlockedCells="1"/>
  <mergeCells count="12">
    <mergeCell ref="G7:G8"/>
    <mergeCell ref="H7:H8"/>
    <mergeCell ref="B2:H2"/>
    <mergeCell ref="B3:H3"/>
    <mergeCell ref="B4:H4"/>
    <mergeCell ref="B5:H5"/>
    <mergeCell ref="B6:H6"/>
    <mergeCell ref="B7:B8"/>
    <mergeCell ref="C7:C8"/>
    <mergeCell ref="D7:D8"/>
    <mergeCell ref="E7:E8"/>
    <mergeCell ref="F7:F8"/>
  </mergeCells>
  <pageMargins left="0.70866141732283472" right="0.23622047244094491" top="0.47244094488188981" bottom="0.43307086614173229" header="0.27559055118110237" footer="0.19685039370078741"/>
  <pageSetup scale="72" orientation="portrait" r:id="rId1"/>
  <headerFooter>
    <oddFooter>Page &amp;P of &amp;N</oddFooter>
  </headerFooter>
  <drawing r:id="rId2"/>
  <legacyDrawing r:id="rId3"/>
  <controls>
    <mc:AlternateContent xmlns:mc="http://schemas.openxmlformats.org/markup-compatibility/2006">
      <mc:Choice Requires="x14">
        <control shapeId="22529" r:id="rId4" name="Control 1">
          <controlPr defaultSize="0" r:id="rId5">
            <anchor moveWithCells="1">
              <from>
                <xdr:col>1</xdr:col>
                <xdr:colOff>0</xdr:colOff>
                <xdr:row>0</xdr:row>
                <xdr:rowOff>0</xdr:rowOff>
              </from>
              <to>
                <xdr:col>2</xdr:col>
                <xdr:colOff>381000</xdr:colOff>
                <xdr:row>1</xdr:row>
                <xdr:rowOff>38100</xdr:rowOff>
              </to>
            </anchor>
          </controlPr>
        </control>
      </mc:Choice>
      <mc:Fallback>
        <control shapeId="22529" r:id="rId4" name="Control 1"/>
      </mc:Fallback>
    </mc:AlternateContent>
  </control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4CB0E-55F6-4CAA-B69F-9202E1EC05C1}">
  <dimension ref="A1:I28"/>
  <sheetViews>
    <sheetView topLeftCell="A15" zoomScale="80" zoomScaleNormal="80" workbookViewId="0">
      <selection activeCell="G28" sqref="G28"/>
    </sheetView>
  </sheetViews>
  <sheetFormatPr defaultRowHeight="15" x14ac:dyDescent="0.25"/>
  <cols>
    <col min="1" max="1" width="14" customWidth="1"/>
    <col min="2" max="2" width="24.85546875" customWidth="1"/>
    <col min="3" max="3" width="44.5703125" customWidth="1"/>
    <col min="5" max="5" width="13.85546875" customWidth="1"/>
    <col min="7" max="7" width="16.7109375" customWidth="1"/>
    <col min="9" max="9" width="12.7109375" customWidth="1"/>
  </cols>
  <sheetData>
    <row r="1" spans="1:7" ht="39.75" customHeight="1" x14ac:dyDescent="0.25">
      <c r="A1" s="986" t="s">
        <v>821</v>
      </c>
      <c r="B1" s="986"/>
      <c r="C1" s="986"/>
      <c r="D1" s="986"/>
      <c r="E1" s="986"/>
      <c r="F1" s="986"/>
      <c r="G1" s="987"/>
    </row>
    <row r="2" spans="1:7" x14ac:dyDescent="0.25">
      <c r="A2" s="988" t="s">
        <v>822</v>
      </c>
      <c r="B2" s="990" t="s">
        <v>823</v>
      </c>
      <c r="C2" s="992" t="s">
        <v>66</v>
      </c>
      <c r="D2" s="993" t="s">
        <v>107</v>
      </c>
      <c r="E2" s="992" t="s">
        <v>824</v>
      </c>
      <c r="F2" s="993" t="s">
        <v>825</v>
      </c>
      <c r="G2" s="993"/>
    </row>
    <row r="3" spans="1:7" ht="38.25" customHeight="1" thickBot="1" x14ac:dyDescent="0.3">
      <c r="A3" s="989"/>
      <c r="B3" s="991"/>
      <c r="C3" s="990"/>
      <c r="D3" s="994"/>
      <c r="E3" s="990"/>
      <c r="F3" s="505" t="s">
        <v>826</v>
      </c>
      <c r="G3" s="505" t="s">
        <v>95</v>
      </c>
    </row>
    <row r="4" spans="1:7" ht="135" x14ac:dyDescent="0.25">
      <c r="A4" s="999">
        <v>1</v>
      </c>
      <c r="B4" s="1002" t="s">
        <v>827</v>
      </c>
      <c r="C4" s="506" t="s">
        <v>828</v>
      </c>
      <c r="D4" s="507" t="s">
        <v>829</v>
      </c>
      <c r="E4" s="1005">
        <f>(360000+3500)*1.2</f>
        <v>436200</v>
      </c>
      <c r="F4" s="1008">
        <v>1</v>
      </c>
      <c r="G4" s="995">
        <f>E4*F4</f>
        <v>436200</v>
      </c>
    </row>
    <row r="5" spans="1:7" ht="30" x14ac:dyDescent="0.25">
      <c r="A5" s="1000"/>
      <c r="B5" s="1003"/>
      <c r="C5" s="508" t="s">
        <v>830</v>
      </c>
      <c r="D5" s="509"/>
      <c r="E5" s="1006"/>
      <c r="F5" s="989"/>
      <c r="G5" s="996"/>
    </row>
    <row r="6" spans="1:7" x14ac:dyDescent="0.25">
      <c r="A6" s="1000"/>
      <c r="B6" s="1003"/>
      <c r="C6" s="508" t="s">
        <v>831</v>
      </c>
      <c r="D6" s="509" t="s">
        <v>832</v>
      </c>
      <c r="E6" s="1006"/>
      <c r="F6" s="989"/>
      <c r="G6" s="996"/>
    </row>
    <row r="7" spans="1:7" ht="43.5" hidden="1" customHeight="1" x14ac:dyDescent="0.25">
      <c r="A7" s="1000"/>
      <c r="B7" s="1003"/>
      <c r="C7" s="508" t="s">
        <v>833</v>
      </c>
      <c r="D7" s="509"/>
      <c r="E7" s="1006"/>
      <c r="F7" s="989"/>
      <c r="G7" s="996"/>
    </row>
    <row r="8" spans="1:7" x14ac:dyDescent="0.25">
      <c r="A8" s="1000"/>
      <c r="B8" s="1003"/>
      <c r="C8" s="508" t="s">
        <v>834</v>
      </c>
      <c r="D8" s="509" t="s">
        <v>835</v>
      </c>
      <c r="E8" s="1006"/>
      <c r="F8" s="989"/>
      <c r="G8" s="996"/>
    </row>
    <row r="9" spans="1:7" ht="60.75" thickBot="1" x14ac:dyDescent="0.3">
      <c r="A9" s="1001"/>
      <c r="B9" s="1004"/>
      <c r="C9" s="510" t="s">
        <v>836</v>
      </c>
      <c r="D9" s="509" t="s">
        <v>837</v>
      </c>
      <c r="E9" s="1007"/>
      <c r="F9" s="1009"/>
      <c r="G9" s="997"/>
    </row>
    <row r="10" spans="1:7" ht="120" x14ac:dyDescent="0.25">
      <c r="A10" s="999">
        <v>2</v>
      </c>
      <c r="B10" s="1002" t="s">
        <v>838</v>
      </c>
      <c r="C10" s="511" t="s">
        <v>839</v>
      </c>
      <c r="D10" s="512" t="s">
        <v>840</v>
      </c>
      <c r="E10" s="1005">
        <f>(33240+1500)*1.2</f>
        <v>41688</v>
      </c>
      <c r="F10" s="1008">
        <v>1</v>
      </c>
      <c r="G10" s="995">
        <f>F10*E10</f>
        <v>41688</v>
      </c>
    </row>
    <row r="11" spans="1:7" x14ac:dyDescent="0.25">
      <c r="A11" s="1000"/>
      <c r="B11" s="1003"/>
      <c r="C11" s="508" t="s">
        <v>841</v>
      </c>
      <c r="D11" s="509"/>
      <c r="E11" s="1006"/>
      <c r="F11" s="989"/>
      <c r="G11" s="996"/>
    </row>
    <row r="12" spans="1:7" x14ac:dyDescent="0.25">
      <c r="A12" s="1000"/>
      <c r="B12" s="1003"/>
      <c r="C12" s="508" t="s">
        <v>842</v>
      </c>
      <c r="D12" s="509" t="s">
        <v>843</v>
      </c>
      <c r="E12" s="1006"/>
      <c r="F12" s="989"/>
      <c r="G12" s="996"/>
    </row>
    <row r="13" spans="1:7" x14ac:dyDescent="0.25">
      <c r="A13" s="1000"/>
      <c r="B13" s="1003"/>
      <c r="C13" s="508" t="s">
        <v>844</v>
      </c>
      <c r="D13" s="509"/>
      <c r="E13" s="1006"/>
      <c r="F13" s="989"/>
      <c r="G13" s="996"/>
    </row>
    <row r="14" spans="1:7" x14ac:dyDescent="0.25">
      <c r="A14" s="1000"/>
      <c r="B14" s="1003"/>
      <c r="C14" s="508" t="s">
        <v>845</v>
      </c>
      <c r="D14" s="509" t="s">
        <v>846</v>
      </c>
      <c r="E14" s="1006"/>
      <c r="F14" s="989"/>
      <c r="G14" s="996"/>
    </row>
    <row r="15" spans="1:7" ht="45" x14ac:dyDescent="0.25">
      <c r="A15" s="1000"/>
      <c r="B15" s="1003"/>
      <c r="C15" s="510" t="s">
        <v>847</v>
      </c>
      <c r="D15" s="509" t="s">
        <v>848</v>
      </c>
      <c r="E15" s="1006"/>
      <c r="F15" s="989"/>
      <c r="G15" s="996"/>
    </row>
    <row r="16" spans="1:7" ht="15.75" thickBot="1" x14ac:dyDescent="0.3">
      <c r="A16" s="1001"/>
      <c r="B16" s="1004"/>
      <c r="C16" s="508" t="s">
        <v>849</v>
      </c>
      <c r="D16" s="509" t="s">
        <v>843</v>
      </c>
      <c r="E16" s="1007"/>
      <c r="F16" s="1009"/>
      <c r="G16" s="997"/>
    </row>
    <row r="17" spans="1:9" ht="120" x14ac:dyDescent="0.25">
      <c r="A17" s="999">
        <v>3</v>
      </c>
      <c r="B17" s="1002" t="s">
        <v>850</v>
      </c>
      <c r="C17" s="511" t="s">
        <v>851</v>
      </c>
      <c r="D17" s="512" t="s">
        <v>840</v>
      </c>
      <c r="E17" s="1005">
        <f>(55680+1500)*1.2</f>
        <v>68616</v>
      </c>
      <c r="F17" s="1008">
        <f>2+2+1</f>
        <v>5</v>
      </c>
      <c r="G17" s="995">
        <f>(E17*F17)</f>
        <v>343080</v>
      </c>
    </row>
    <row r="18" spans="1:9" x14ac:dyDescent="0.25">
      <c r="A18" s="1000"/>
      <c r="B18" s="1003"/>
      <c r="C18" s="508" t="s">
        <v>841</v>
      </c>
      <c r="D18" s="509"/>
      <c r="E18" s="1006"/>
      <c r="F18" s="989"/>
      <c r="G18" s="996"/>
    </row>
    <row r="19" spans="1:9" x14ac:dyDescent="0.25">
      <c r="A19" s="1000"/>
      <c r="B19" s="1003"/>
      <c r="C19" s="508" t="s">
        <v>842</v>
      </c>
      <c r="D19" s="509" t="s">
        <v>832</v>
      </c>
      <c r="E19" s="1006"/>
      <c r="F19" s="989"/>
      <c r="G19" s="996"/>
    </row>
    <row r="20" spans="1:9" x14ac:dyDescent="0.25">
      <c r="A20" s="1000"/>
      <c r="B20" s="1003"/>
      <c r="C20" s="508" t="s">
        <v>844</v>
      </c>
      <c r="D20" s="509"/>
      <c r="E20" s="1006"/>
      <c r="F20" s="989"/>
      <c r="G20" s="996"/>
    </row>
    <row r="21" spans="1:9" x14ac:dyDescent="0.25">
      <c r="A21" s="1000"/>
      <c r="B21" s="1003"/>
      <c r="C21" s="508" t="s">
        <v>852</v>
      </c>
      <c r="D21" s="509" t="s">
        <v>853</v>
      </c>
      <c r="E21" s="1006"/>
      <c r="F21" s="989"/>
      <c r="G21" s="996"/>
    </row>
    <row r="22" spans="1:9" ht="45" x14ac:dyDescent="0.25">
      <c r="A22" s="1000"/>
      <c r="B22" s="1003"/>
      <c r="C22" s="510" t="s">
        <v>854</v>
      </c>
      <c r="D22" s="509" t="s">
        <v>855</v>
      </c>
      <c r="E22" s="1006"/>
      <c r="F22" s="989"/>
      <c r="G22" s="996"/>
    </row>
    <row r="23" spans="1:9" ht="15.75" thickBot="1" x14ac:dyDescent="0.3">
      <c r="A23" s="1001"/>
      <c r="B23" s="1004"/>
      <c r="C23" s="508" t="s">
        <v>856</v>
      </c>
      <c r="D23" s="509" t="s">
        <v>853</v>
      </c>
      <c r="E23" s="1007"/>
      <c r="F23" s="1009"/>
      <c r="G23" s="997"/>
    </row>
    <row r="24" spans="1:9" ht="45" x14ac:dyDescent="0.25">
      <c r="A24" s="513">
        <v>4</v>
      </c>
      <c r="C24" s="514" t="s">
        <v>857</v>
      </c>
      <c r="D24" s="515"/>
      <c r="E24" s="516"/>
      <c r="F24" s="517"/>
      <c r="G24" s="518"/>
    </row>
    <row r="25" spans="1:9" ht="60" x14ac:dyDescent="0.25">
      <c r="A25" s="519" t="s">
        <v>858</v>
      </c>
      <c r="B25" s="520" t="s">
        <v>859</v>
      </c>
      <c r="C25" s="521" t="s">
        <v>860</v>
      </c>
      <c r="D25" s="509" t="s">
        <v>861</v>
      </c>
      <c r="E25" s="522">
        <f>(179+116)*1.2</f>
        <v>354</v>
      </c>
      <c r="F25" s="523">
        <v>500</v>
      </c>
      <c r="G25" s="524">
        <f>E25*F25</f>
        <v>177000</v>
      </c>
      <c r="I25" s="525"/>
    </row>
    <row r="26" spans="1:9" ht="62.25" customHeight="1" x14ac:dyDescent="0.25">
      <c r="A26" s="519" t="s">
        <v>862</v>
      </c>
      <c r="B26" s="520" t="s">
        <v>863</v>
      </c>
      <c r="C26" s="521" t="s">
        <v>864</v>
      </c>
      <c r="D26" s="509" t="s">
        <v>861</v>
      </c>
      <c r="E26" s="522">
        <f>(323+126)*1.2</f>
        <v>538.79999999999995</v>
      </c>
      <c r="F26" s="523">
        <v>500</v>
      </c>
      <c r="G26" s="524">
        <f t="shared" ref="G26" si="0">E26*F26</f>
        <v>269400</v>
      </c>
      <c r="I26" s="525"/>
    </row>
    <row r="27" spans="1:9" x14ac:dyDescent="0.25">
      <c r="B27" s="998" t="s">
        <v>117</v>
      </c>
      <c r="C27" s="998"/>
      <c r="D27" s="998"/>
      <c r="E27" s="998"/>
      <c r="F27" s="998"/>
      <c r="G27" s="526">
        <f>SUM(G4:G26)</f>
        <v>1267368</v>
      </c>
      <c r="I27" s="527"/>
    </row>
    <row r="28" spans="1:9" ht="28.5" customHeight="1" x14ac:dyDescent="0.25">
      <c r="B28" s="1010" t="s">
        <v>865</v>
      </c>
      <c r="C28" s="1010"/>
    </row>
  </sheetData>
  <sheetProtection algorithmName="SHA-512" hashValue="7UNkBO7KqgrzdWu7ZI11x/edESXwEvfsOogPD4HRJr0+Tk6wkwloapqYW9BQm+QRJqhap3hPl98aWdvETlHH0A==" saltValue="Ozi7JzF1KWpzoikDGm+K4Q==" spinCount="100000" sheet="1" objects="1" scenarios="1" selectLockedCells="1" selectUnlockedCells="1"/>
  <mergeCells count="24">
    <mergeCell ref="B28:C28"/>
    <mergeCell ref="A17:A23"/>
    <mergeCell ref="B17:B23"/>
    <mergeCell ref="E17:E23"/>
    <mergeCell ref="F17:F23"/>
    <mergeCell ref="G17:G23"/>
    <mergeCell ref="B27:F27"/>
    <mergeCell ref="A4:A9"/>
    <mergeCell ref="B4:B9"/>
    <mergeCell ref="E4:E9"/>
    <mergeCell ref="F4:F9"/>
    <mergeCell ref="G4:G9"/>
    <mergeCell ref="A10:A16"/>
    <mergeCell ref="B10:B16"/>
    <mergeCell ref="E10:E16"/>
    <mergeCell ref="F10:F16"/>
    <mergeCell ref="G10:G16"/>
    <mergeCell ref="A1:G1"/>
    <mergeCell ref="A2:A3"/>
    <mergeCell ref="B2:B3"/>
    <mergeCell ref="C2:C3"/>
    <mergeCell ref="D2:D3"/>
    <mergeCell ref="E2:E3"/>
    <mergeCell ref="F2:G2"/>
  </mergeCells>
  <printOptions horizontalCentered="1"/>
  <pageMargins left="0.31496062992125984" right="0.31496062992125984" top="0" bottom="0" header="0.31496062992125984" footer="0.31496062992125984"/>
  <pageSetup scale="72" orientation="portrait" r:id="rId1"/>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FB2E4-F60B-427B-963D-C59FAF55AC66}">
  <dimension ref="A1:P1070"/>
  <sheetViews>
    <sheetView topLeftCell="A200" workbookViewId="0">
      <selection activeCell="G202" sqref="G202"/>
    </sheetView>
  </sheetViews>
  <sheetFormatPr defaultRowHeight="12.75" x14ac:dyDescent="0.2"/>
  <cols>
    <col min="1" max="1" width="4.7109375" style="90" customWidth="1"/>
    <col min="2" max="2" width="10" style="90" customWidth="1"/>
    <col min="3" max="3" width="35.140625" style="90" customWidth="1"/>
    <col min="4" max="4" width="5.42578125" style="90" customWidth="1"/>
    <col min="5" max="6" width="8.42578125" style="90" customWidth="1"/>
    <col min="7" max="7" width="26.5703125" style="90" customWidth="1"/>
    <col min="8" max="8" width="15" style="90" customWidth="1"/>
    <col min="9" max="9" width="14" style="90" customWidth="1"/>
    <col min="10" max="16384" width="9.140625" style="90"/>
  </cols>
  <sheetData>
    <row r="1" spans="1:12" ht="15.75" x14ac:dyDescent="0.25">
      <c r="A1" s="528"/>
      <c r="B1" s="528"/>
      <c r="I1" s="528"/>
    </row>
    <row r="2" spans="1:12" ht="15.75" x14ac:dyDescent="0.25">
      <c r="A2" s="528"/>
      <c r="B2" s="528"/>
      <c r="C2" s="1011" t="s">
        <v>866</v>
      </c>
      <c r="D2" s="1011"/>
      <c r="E2" s="1011"/>
      <c r="F2" s="1011"/>
      <c r="G2" s="1011"/>
      <c r="I2" s="528"/>
    </row>
    <row r="3" spans="1:12" ht="15.75" x14ac:dyDescent="0.2">
      <c r="A3" s="529" t="s">
        <v>867</v>
      </c>
      <c r="B3" s="529" t="s">
        <v>868</v>
      </c>
      <c r="C3" s="529" t="s">
        <v>66</v>
      </c>
      <c r="D3" s="529" t="s">
        <v>107</v>
      </c>
      <c r="E3" s="529" t="s">
        <v>106</v>
      </c>
      <c r="F3" s="529" t="s">
        <v>869</v>
      </c>
      <c r="G3" s="530" t="s">
        <v>108</v>
      </c>
      <c r="H3" s="530" t="s">
        <v>870</v>
      </c>
      <c r="I3" s="530" t="s">
        <v>95</v>
      </c>
    </row>
    <row r="4" spans="1:12" ht="15.75" x14ac:dyDescent="0.25">
      <c r="A4" s="531" t="s">
        <v>871</v>
      </c>
      <c r="B4" s="532" t="s">
        <v>872</v>
      </c>
      <c r="C4" s="533"/>
      <c r="D4" s="534"/>
      <c r="E4" s="534"/>
      <c r="F4" s="534"/>
      <c r="G4" s="534"/>
      <c r="H4" s="534"/>
      <c r="I4" s="534"/>
    </row>
    <row r="5" spans="1:12" ht="15.75" x14ac:dyDescent="0.25">
      <c r="A5" s="534"/>
      <c r="B5" s="535" t="s">
        <v>873</v>
      </c>
      <c r="C5" s="533"/>
      <c r="D5" s="534"/>
      <c r="E5" s="534"/>
      <c r="F5" s="534"/>
      <c r="G5" s="534"/>
      <c r="H5" s="534"/>
      <c r="I5" s="536"/>
    </row>
    <row r="6" spans="1:12" ht="184.15" customHeight="1" x14ac:dyDescent="0.25">
      <c r="A6" s="537">
        <v>1</v>
      </c>
      <c r="B6" s="538" t="s">
        <v>874</v>
      </c>
      <c r="C6" s="539" t="s">
        <v>875</v>
      </c>
      <c r="D6" s="540"/>
      <c r="E6" s="541"/>
      <c r="F6" s="541"/>
      <c r="G6" s="536"/>
      <c r="H6" s="536"/>
      <c r="I6" s="536"/>
      <c r="L6" s="103"/>
    </row>
    <row r="7" spans="1:12" ht="31.5" x14ac:dyDescent="0.2">
      <c r="A7" s="542" t="s">
        <v>876</v>
      </c>
      <c r="B7" s="538" t="s">
        <v>877</v>
      </c>
      <c r="C7" s="543" t="s">
        <v>878</v>
      </c>
      <c r="D7" s="544" t="s">
        <v>879</v>
      </c>
      <c r="E7" s="545">
        <v>120</v>
      </c>
      <c r="F7" s="545">
        <f>E7*1.2</f>
        <v>144</v>
      </c>
      <c r="G7" s="545">
        <v>335</v>
      </c>
      <c r="H7" s="545">
        <f>G7*(100/118)</f>
        <v>283.89830508474574</v>
      </c>
      <c r="I7" s="545">
        <f>H7*F7</f>
        <v>40881.355932203383</v>
      </c>
    </row>
    <row r="8" spans="1:12" ht="31.5" x14ac:dyDescent="0.2">
      <c r="A8" s="542" t="s">
        <v>880</v>
      </c>
      <c r="B8" s="538" t="s">
        <v>881</v>
      </c>
      <c r="C8" s="543" t="s">
        <v>882</v>
      </c>
      <c r="D8" s="544" t="s">
        <v>879</v>
      </c>
      <c r="E8" s="545">
        <v>75</v>
      </c>
      <c r="F8" s="545">
        <f t="shared" ref="F8:F71" si="0">E8*1.2</f>
        <v>90</v>
      </c>
      <c r="G8" s="545">
        <v>401.55</v>
      </c>
      <c r="H8" s="545">
        <f t="shared" ref="H8:H71" si="1">G8*(100/118)</f>
        <v>340.29661016949154</v>
      </c>
      <c r="I8" s="545">
        <f t="shared" ref="I8:I71" si="2">H8*F8</f>
        <v>30626.69491525424</v>
      </c>
    </row>
    <row r="9" spans="1:12" ht="31.5" x14ac:dyDescent="0.2">
      <c r="A9" s="542" t="s">
        <v>883</v>
      </c>
      <c r="B9" s="538" t="s">
        <v>884</v>
      </c>
      <c r="C9" s="543" t="s">
        <v>885</v>
      </c>
      <c r="D9" s="544" t="s">
        <v>879</v>
      </c>
      <c r="E9" s="545">
        <v>90</v>
      </c>
      <c r="F9" s="545">
        <f t="shared" si="0"/>
        <v>108</v>
      </c>
      <c r="G9" s="545">
        <v>518.75</v>
      </c>
      <c r="H9" s="545">
        <f t="shared" si="1"/>
        <v>439.61864406779659</v>
      </c>
      <c r="I9" s="545">
        <f t="shared" si="2"/>
        <v>47478.813559322036</v>
      </c>
    </row>
    <row r="10" spans="1:12" ht="31.5" x14ac:dyDescent="0.2">
      <c r="A10" s="542" t="s">
        <v>886</v>
      </c>
      <c r="B10" s="538" t="s">
        <v>887</v>
      </c>
      <c r="C10" s="543" t="s">
        <v>888</v>
      </c>
      <c r="D10" s="544" t="s">
        <v>879</v>
      </c>
      <c r="E10" s="545">
        <v>140</v>
      </c>
      <c r="F10" s="545">
        <f t="shared" si="0"/>
        <v>168</v>
      </c>
      <c r="G10" s="545">
        <v>702.95</v>
      </c>
      <c r="H10" s="545">
        <f t="shared" si="1"/>
        <v>595.72033898305085</v>
      </c>
      <c r="I10" s="545">
        <f t="shared" si="2"/>
        <v>100081.01694915254</v>
      </c>
    </row>
    <row r="11" spans="1:12" ht="31.5" x14ac:dyDescent="0.2">
      <c r="A11" s="542" t="s">
        <v>889</v>
      </c>
      <c r="B11" s="538" t="s">
        <v>890</v>
      </c>
      <c r="C11" s="543" t="s">
        <v>891</v>
      </c>
      <c r="D11" s="544" t="s">
        <v>879</v>
      </c>
      <c r="E11" s="545">
        <v>185</v>
      </c>
      <c r="F11" s="545">
        <f t="shared" si="0"/>
        <v>222</v>
      </c>
      <c r="G11" s="545">
        <v>934.15</v>
      </c>
      <c r="H11" s="545">
        <f t="shared" si="1"/>
        <v>791.65254237288127</v>
      </c>
      <c r="I11" s="545">
        <f t="shared" si="2"/>
        <v>175746.86440677964</v>
      </c>
    </row>
    <row r="12" spans="1:12" ht="189" x14ac:dyDescent="0.25">
      <c r="A12" s="537">
        <v>2</v>
      </c>
      <c r="B12" s="538" t="s">
        <v>892</v>
      </c>
      <c r="C12" s="539" t="s">
        <v>893</v>
      </c>
      <c r="D12" s="540"/>
      <c r="E12" s="536"/>
      <c r="F12" s="545">
        <f t="shared" si="0"/>
        <v>0</v>
      </c>
      <c r="G12" s="536"/>
      <c r="H12" s="545">
        <f t="shared" si="1"/>
        <v>0</v>
      </c>
      <c r="I12" s="545">
        <f t="shared" si="2"/>
        <v>0</v>
      </c>
    </row>
    <row r="13" spans="1:12" ht="31.5" x14ac:dyDescent="0.25">
      <c r="A13" s="537"/>
      <c r="B13" s="538"/>
      <c r="C13" s="539" t="s">
        <v>894</v>
      </c>
      <c r="D13" s="540"/>
      <c r="E13" s="536"/>
      <c r="F13" s="545">
        <f t="shared" si="0"/>
        <v>0</v>
      </c>
      <c r="G13" s="536"/>
      <c r="H13" s="545">
        <f t="shared" si="1"/>
        <v>0</v>
      </c>
      <c r="I13" s="545">
        <f t="shared" si="2"/>
        <v>0</v>
      </c>
    </row>
    <row r="14" spans="1:12" ht="31.5" x14ac:dyDescent="0.2">
      <c r="A14" s="542" t="s">
        <v>876</v>
      </c>
      <c r="B14" s="538" t="s">
        <v>895</v>
      </c>
      <c r="C14" s="543" t="s">
        <v>896</v>
      </c>
      <c r="D14" s="544" t="s">
        <v>879</v>
      </c>
      <c r="E14" s="545">
        <v>430</v>
      </c>
      <c r="F14" s="545">
        <f t="shared" si="0"/>
        <v>516</v>
      </c>
      <c r="G14" s="545">
        <v>497.8</v>
      </c>
      <c r="H14" s="545">
        <f t="shared" si="1"/>
        <v>421.86440677966101</v>
      </c>
      <c r="I14" s="545">
        <f t="shared" si="2"/>
        <v>217682.03389830509</v>
      </c>
    </row>
    <row r="15" spans="1:12" ht="31.5" x14ac:dyDescent="0.2">
      <c r="A15" s="542" t="s">
        <v>880</v>
      </c>
      <c r="B15" s="538" t="s">
        <v>897</v>
      </c>
      <c r="C15" s="543" t="s">
        <v>878</v>
      </c>
      <c r="D15" s="544" t="s">
        <v>879</v>
      </c>
      <c r="E15" s="545">
        <v>230</v>
      </c>
      <c r="F15" s="545">
        <f t="shared" si="0"/>
        <v>276</v>
      </c>
      <c r="G15" s="545">
        <v>537.6</v>
      </c>
      <c r="H15" s="545">
        <f t="shared" si="1"/>
        <v>455.59322033898303</v>
      </c>
      <c r="I15" s="545">
        <f t="shared" si="2"/>
        <v>125743.72881355931</v>
      </c>
    </row>
    <row r="16" spans="1:12" ht="157.5" x14ac:dyDescent="0.25">
      <c r="A16" s="537">
        <v>3</v>
      </c>
      <c r="B16" s="538" t="s">
        <v>898</v>
      </c>
      <c r="C16" s="539" t="s">
        <v>899</v>
      </c>
      <c r="D16" s="540"/>
      <c r="E16" s="540"/>
      <c r="F16" s="545">
        <f t="shared" si="0"/>
        <v>0</v>
      </c>
      <c r="G16" s="540"/>
      <c r="H16" s="545">
        <f t="shared" si="1"/>
        <v>0</v>
      </c>
      <c r="I16" s="545">
        <f t="shared" si="2"/>
        <v>0</v>
      </c>
    </row>
    <row r="17" spans="1:9" ht="31.5" x14ac:dyDescent="0.2">
      <c r="A17" s="542" t="s">
        <v>876</v>
      </c>
      <c r="B17" s="546" t="s">
        <v>900</v>
      </c>
      <c r="C17" s="543" t="s">
        <v>885</v>
      </c>
      <c r="D17" s="544" t="s">
        <v>879</v>
      </c>
      <c r="E17" s="545">
        <v>200</v>
      </c>
      <c r="F17" s="545">
        <f t="shared" si="0"/>
        <v>240</v>
      </c>
      <c r="G17" s="545">
        <v>438.6</v>
      </c>
      <c r="H17" s="545">
        <f t="shared" si="1"/>
        <v>371.69491525423729</v>
      </c>
      <c r="I17" s="545">
        <f t="shared" si="2"/>
        <v>89206.779661016946</v>
      </c>
    </row>
    <row r="18" spans="1:9" ht="31.5" x14ac:dyDescent="0.2">
      <c r="A18" s="542" t="s">
        <v>880</v>
      </c>
      <c r="B18" s="546" t="s">
        <v>901</v>
      </c>
      <c r="C18" s="543" t="s">
        <v>888</v>
      </c>
      <c r="D18" s="544" t="s">
        <v>879</v>
      </c>
      <c r="E18" s="545">
        <v>30</v>
      </c>
      <c r="F18" s="545">
        <f t="shared" si="0"/>
        <v>36</v>
      </c>
      <c r="G18" s="545">
        <v>563.04999999999995</v>
      </c>
      <c r="H18" s="545">
        <f t="shared" si="1"/>
        <v>477.1610169491525</v>
      </c>
      <c r="I18" s="545">
        <f t="shared" si="2"/>
        <v>17177.796610169491</v>
      </c>
    </row>
    <row r="19" spans="1:9" ht="78.75" x14ac:dyDescent="0.2">
      <c r="A19" s="537">
        <v>4</v>
      </c>
      <c r="B19" s="538" t="s">
        <v>902</v>
      </c>
      <c r="C19" s="547" t="s">
        <v>903</v>
      </c>
      <c r="D19" s="548"/>
      <c r="E19" s="549"/>
      <c r="F19" s="545">
        <f t="shared" si="0"/>
        <v>0</v>
      </c>
      <c r="G19" s="549"/>
      <c r="H19" s="545">
        <f t="shared" si="1"/>
        <v>0</v>
      </c>
      <c r="I19" s="545">
        <f t="shared" si="2"/>
        <v>0</v>
      </c>
    </row>
    <row r="20" spans="1:9" ht="31.5" x14ac:dyDescent="0.2">
      <c r="A20" s="550" t="s">
        <v>876</v>
      </c>
      <c r="B20" s="546" t="s">
        <v>904</v>
      </c>
      <c r="C20" s="551" t="s">
        <v>905</v>
      </c>
      <c r="D20" s="544" t="s">
        <v>378</v>
      </c>
      <c r="E20" s="545">
        <v>3</v>
      </c>
      <c r="F20" s="545">
        <f t="shared" si="0"/>
        <v>3.5999999999999996</v>
      </c>
      <c r="G20" s="545">
        <v>911.9</v>
      </c>
      <c r="H20" s="545">
        <f t="shared" si="1"/>
        <v>772.79661016949149</v>
      </c>
      <c r="I20" s="545">
        <f t="shared" si="2"/>
        <v>2782.0677966101689</v>
      </c>
    </row>
    <row r="21" spans="1:9" ht="31.5" x14ac:dyDescent="0.25">
      <c r="A21" s="537">
        <v>5</v>
      </c>
      <c r="B21" s="538" t="s">
        <v>906</v>
      </c>
      <c r="C21" s="539" t="s">
        <v>907</v>
      </c>
      <c r="D21" s="540"/>
      <c r="E21" s="536"/>
      <c r="F21" s="545">
        <f t="shared" si="0"/>
        <v>0</v>
      </c>
      <c r="G21" s="540"/>
      <c r="H21" s="545">
        <f t="shared" si="1"/>
        <v>0</v>
      </c>
      <c r="I21" s="545">
        <f t="shared" si="2"/>
        <v>0</v>
      </c>
    </row>
    <row r="22" spans="1:9" ht="31.5" x14ac:dyDescent="0.2">
      <c r="A22" s="542" t="s">
        <v>876</v>
      </c>
      <c r="B22" s="538" t="s">
        <v>908</v>
      </c>
      <c r="C22" s="543" t="s">
        <v>909</v>
      </c>
      <c r="D22" s="544" t="s">
        <v>910</v>
      </c>
      <c r="E22" s="545">
        <f>55*2.2</f>
        <v>121.00000000000001</v>
      </c>
      <c r="F22" s="545">
        <f t="shared" si="0"/>
        <v>145.20000000000002</v>
      </c>
      <c r="G22" s="545">
        <v>539.95000000000005</v>
      </c>
      <c r="H22" s="545">
        <f t="shared" si="1"/>
        <v>457.58474576271186</v>
      </c>
      <c r="I22" s="545">
        <f t="shared" si="2"/>
        <v>66441.305084745763</v>
      </c>
    </row>
    <row r="23" spans="1:9" ht="31.5" x14ac:dyDescent="0.2">
      <c r="A23" s="542" t="s">
        <v>880</v>
      </c>
      <c r="B23" s="538" t="s">
        <v>911</v>
      </c>
      <c r="C23" s="543" t="s">
        <v>912</v>
      </c>
      <c r="D23" s="544" t="s">
        <v>910</v>
      </c>
      <c r="E23" s="545">
        <v>3</v>
      </c>
      <c r="F23" s="545">
        <f t="shared" si="0"/>
        <v>3.5999999999999996</v>
      </c>
      <c r="G23" s="545">
        <v>622.4</v>
      </c>
      <c r="H23" s="545">
        <f t="shared" si="1"/>
        <v>527.45762711864404</v>
      </c>
      <c r="I23" s="545">
        <f t="shared" si="2"/>
        <v>1898.8474576271183</v>
      </c>
    </row>
    <row r="24" spans="1:9" ht="31.5" x14ac:dyDescent="0.2">
      <c r="A24" s="542" t="s">
        <v>883</v>
      </c>
      <c r="B24" s="538" t="s">
        <v>913</v>
      </c>
      <c r="C24" s="543" t="s">
        <v>914</v>
      </c>
      <c r="D24" s="544" t="s">
        <v>910</v>
      </c>
      <c r="E24" s="545">
        <v>16</v>
      </c>
      <c r="F24" s="545">
        <f t="shared" si="0"/>
        <v>19.2</v>
      </c>
      <c r="G24" s="545">
        <v>689.6</v>
      </c>
      <c r="H24" s="545">
        <f t="shared" si="1"/>
        <v>584.40677966101691</v>
      </c>
      <c r="I24" s="545">
        <f t="shared" si="2"/>
        <v>11220.610169491525</v>
      </c>
    </row>
    <row r="25" spans="1:9" ht="31.5" x14ac:dyDescent="0.2">
      <c r="A25" s="542" t="s">
        <v>883</v>
      </c>
      <c r="B25" s="538" t="s">
        <v>915</v>
      </c>
      <c r="C25" s="543" t="s">
        <v>916</v>
      </c>
      <c r="D25" s="544" t="s">
        <v>910</v>
      </c>
      <c r="E25" s="545">
        <v>5</v>
      </c>
      <c r="F25" s="545">
        <f t="shared" si="0"/>
        <v>6</v>
      </c>
      <c r="G25" s="545">
        <v>826.1</v>
      </c>
      <c r="H25" s="545">
        <f t="shared" si="1"/>
        <v>700.0847457627118</v>
      </c>
      <c r="I25" s="545">
        <f t="shared" si="2"/>
        <v>4200.5084745762706</v>
      </c>
    </row>
    <row r="26" spans="1:9" ht="31.5" x14ac:dyDescent="0.2">
      <c r="A26" s="542" t="s">
        <v>889</v>
      </c>
      <c r="B26" s="538" t="s">
        <v>917</v>
      </c>
      <c r="C26" s="543" t="s">
        <v>918</v>
      </c>
      <c r="D26" s="544" t="s">
        <v>910</v>
      </c>
      <c r="E26" s="545">
        <v>7</v>
      </c>
      <c r="F26" s="545">
        <f t="shared" si="0"/>
        <v>8.4</v>
      </c>
      <c r="G26" s="545">
        <v>1026.6500000000001</v>
      </c>
      <c r="H26" s="545">
        <f t="shared" si="1"/>
        <v>870.04237288135596</v>
      </c>
      <c r="I26" s="545">
        <f t="shared" si="2"/>
        <v>7308.3559322033907</v>
      </c>
    </row>
    <row r="27" spans="1:9" ht="31.5" x14ac:dyDescent="0.25">
      <c r="A27" s="537">
        <v>6</v>
      </c>
      <c r="B27" s="538" t="s">
        <v>919</v>
      </c>
      <c r="C27" s="539" t="s">
        <v>920</v>
      </c>
      <c r="D27" s="540"/>
      <c r="E27" s="540"/>
      <c r="F27" s="545">
        <f t="shared" si="0"/>
        <v>0</v>
      </c>
      <c r="G27" s="540"/>
      <c r="H27" s="545">
        <f t="shared" si="1"/>
        <v>0</v>
      </c>
      <c r="I27" s="545">
        <f t="shared" si="2"/>
        <v>0</v>
      </c>
    </row>
    <row r="28" spans="1:9" ht="31.5" x14ac:dyDescent="0.25">
      <c r="A28" s="537"/>
      <c r="B28" s="538" t="s">
        <v>921</v>
      </c>
      <c r="C28" s="539" t="s">
        <v>922</v>
      </c>
      <c r="D28" s="540"/>
      <c r="E28" s="540"/>
      <c r="F28" s="545">
        <f t="shared" si="0"/>
        <v>0</v>
      </c>
      <c r="G28" s="540"/>
      <c r="H28" s="545">
        <f t="shared" si="1"/>
        <v>0</v>
      </c>
      <c r="I28" s="545">
        <f t="shared" si="2"/>
        <v>0</v>
      </c>
    </row>
    <row r="29" spans="1:9" ht="31.5" x14ac:dyDescent="0.25">
      <c r="A29" s="537"/>
      <c r="B29" s="538" t="s">
        <v>923</v>
      </c>
      <c r="C29" s="539" t="s">
        <v>924</v>
      </c>
      <c r="D29" s="540" t="s">
        <v>910</v>
      </c>
      <c r="E29" s="536">
        <v>5</v>
      </c>
      <c r="F29" s="545">
        <f t="shared" si="0"/>
        <v>6</v>
      </c>
      <c r="G29" s="536">
        <v>791.9</v>
      </c>
      <c r="H29" s="545">
        <f t="shared" si="1"/>
        <v>671.10169491525414</v>
      </c>
      <c r="I29" s="545">
        <f t="shared" si="2"/>
        <v>4026.6101694915251</v>
      </c>
    </row>
    <row r="30" spans="1:9" ht="31.5" x14ac:dyDescent="0.25">
      <c r="A30" s="537"/>
      <c r="B30" s="538" t="s">
        <v>925</v>
      </c>
      <c r="C30" s="539" t="s">
        <v>926</v>
      </c>
      <c r="D30" s="540" t="s">
        <v>910</v>
      </c>
      <c r="E30" s="536">
        <v>5</v>
      </c>
      <c r="F30" s="545">
        <f t="shared" si="0"/>
        <v>6</v>
      </c>
      <c r="G30" s="536">
        <v>850.25</v>
      </c>
      <c r="H30" s="545">
        <f t="shared" si="1"/>
        <v>720.55084745762713</v>
      </c>
      <c r="I30" s="545">
        <f t="shared" si="2"/>
        <v>4323.3050847457625</v>
      </c>
    </row>
    <row r="31" spans="1:9" ht="31.5" x14ac:dyDescent="0.25">
      <c r="A31" s="534"/>
      <c r="B31" s="538" t="s">
        <v>927</v>
      </c>
      <c r="C31" s="539" t="s">
        <v>928</v>
      </c>
      <c r="D31" s="540"/>
      <c r="E31" s="540"/>
      <c r="F31" s="545">
        <f t="shared" si="0"/>
        <v>0</v>
      </c>
      <c r="G31" s="540"/>
      <c r="H31" s="545">
        <f t="shared" si="1"/>
        <v>0</v>
      </c>
      <c r="I31" s="545">
        <f t="shared" si="2"/>
        <v>0</v>
      </c>
    </row>
    <row r="32" spans="1:9" ht="31.5" x14ac:dyDescent="0.25">
      <c r="A32" s="534"/>
      <c r="B32" s="538" t="s">
        <v>929</v>
      </c>
      <c r="C32" s="539" t="s">
        <v>924</v>
      </c>
      <c r="D32" s="540" t="s">
        <v>910</v>
      </c>
      <c r="E32" s="536">
        <v>3</v>
      </c>
      <c r="F32" s="545">
        <f t="shared" si="0"/>
        <v>3.5999999999999996</v>
      </c>
      <c r="G32" s="536">
        <v>952.6</v>
      </c>
      <c r="H32" s="545">
        <f t="shared" si="1"/>
        <v>807.28813559322032</v>
      </c>
      <c r="I32" s="545">
        <f t="shared" si="2"/>
        <v>2906.2372881355927</v>
      </c>
    </row>
    <row r="33" spans="1:9" ht="31.5" x14ac:dyDescent="0.25">
      <c r="A33" s="534"/>
      <c r="B33" s="538" t="s">
        <v>930</v>
      </c>
      <c r="C33" s="539" t="s">
        <v>926</v>
      </c>
      <c r="D33" s="540" t="s">
        <v>910</v>
      </c>
      <c r="E33" s="536">
        <v>3</v>
      </c>
      <c r="F33" s="545">
        <f t="shared" si="0"/>
        <v>3.5999999999999996</v>
      </c>
      <c r="G33" s="536">
        <v>1134.7</v>
      </c>
      <c r="H33" s="545">
        <f t="shared" si="1"/>
        <v>961.61016949152543</v>
      </c>
      <c r="I33" s="545">
        <f t="shared" si="2"/>
        <v>3461.796610169491</v>
      </c>
    </row>
    <row r="34" spans="1:9" ht="15.75" x14ac:dyDescent="0.2">
      <c r="A34" s="236"/>
      <c r="B34" s="236"/>
      <c r="C34" s="236"/>
      <c r="D34" s="236"/>
      <c r="E34" s="236"/>
      <c r="F34" s="545">
        <f t="shared" si="0"/>
        <v>0</v>
      </c>
      <c r="G34" s="236"/>
      <c r="H34" s="545">
        <f t="shared" si="1"/>
        <v>0</v>
      </c>
      <c r="I34" s="545">
        <f t="shared" si="2"/>
        <v>0</v>
      </c>
    </row>
    <row r="35" spans="1:9" ht="63" x14ac:dyDescent="0.25">
      <c r="A35" s="537">
        <v>7</v>
      </c>
      <c r="B35" s="538" t="s">
        <v>931</v>
      </c>
      <c r="C35" s="539" t="s">
        <v>932</v>
      </c>
      <c r="D35" s="540"/>
      <c r="E35" s="540"/>
      <c r="F35" s="545">
        <f t="shared" si="0"/>
        <v>0</v>
      </c>
      <c r="G35" s="536"/>
      <c r="H35" s="545">
        <f t="shared" si="1"/>
        <v>0</v>
      </c>
      <c r="I35" s="545">
        <f t="shared" si="2"/>
        <v>0</v>
      </c>
    </row>
    <row r="36" spans="1:9" ht="31.5" x14ac:dyDescent="0.2">
      <c r="A36" s="542" t="s">
        <v>876</v>
      </c>
      <c r="B36" s="538" t="s">
        <v>933</v>
      </c>
      <c r="C36" s="543" t="s">
        <v>934</v>
      </c>
      <c r="D36" s="544" t="s">
        <v>378</v>
      </c>
      <c r="E36" s="545">
        <f>55*2.2</f>
        <v>121.00000000000001</v>
      </c>
      <c r="F36" s="545">
        <f t="shared" si="0"/>
        <v>145.20000000000002</v>
      </c>
      <c r="G36" s="545">
        <v>346.8</v>
      </c>
      <c r="H36" s="545">
        <f t="shared" si="1"/>
        <v>293.89830508474574</v>
      </c>
      <c r="I36" s="545">
        <f t="shared" si="2"/>
        <v>42674.03389830509</v>
      </c>
    </row>
    <row r="37" spans="1:9" ht="31.5" x14ac:dyDescent="0.2">
      <c r="A37" s="542" t="s">
        <v>880</v>
      </c>
      <c r="B37" s="538" t="s">
        <v>935</v>
      </c>
      <c r="C37" s="543" t="s">
        <v>936</v>
      </c>
      <c r="D37" s="544" t="s">
        <v>378</v>
      </c>
      <c r="E37" s="545">
        <v>29</v>
      </c>
      <c r="F37" s="545">
        <f t="shared" si="0"/>
        <v>34.799999999999997</v>
      </c>
      <c r="G37" s="545">
        <v>439.25</v>
      </c>
      <c r="H37" s="545">
        <f t="shared" si="1"/>
        <v>372.24576271186442</v>
      </c>
      <c r="I37" s="545">
        <f t="shared" si="2"/>
        <v>12954.15254237288</v>
      </c>
    </row>
    <row r="38" spans="1:9" ht="31.5" x14ac:dyDescent="0.2">
      <c r="A38" s="542" t="s">
        <v>883</v>
      </c>
      <c r="B38" s="538" t="s">
        <v>937</v>
      </c>
      <c r="C38" s="543" t="s">
        <v>938</v>
      </c>
      <c r="D38" s="544" t="s">
        <v>378</v>
      </c>
      <c r="E38" s="545">
        <f>15*2.2</f>
        <v>33</v>
      </c>
      <c r="F38" s="545">
        <f t="shared" si="0"/>
        <v>39.6</v>
      </c>
      <c r="G38" s="545">
        <v>489.05</v>
      </c>
      <c r="H38" s="545">
        <f t="shared" si="1"/>
        <v>414.44915254237287</v>
      </c>
      <c r="I38" s="545">
        <f t="shared" si="2"/>
        <v>16412.186440677968</v>
      </c>
    </row>
    <row r="39" spans="1:9" ht="31.5" x14ac:dyDescent="0.2">
      <c r="A39" s="542" t="s">
        <v>886</v>
      </c>
      <c r="B39" s="538" t="s">
        <v>939</v>
      </c>
      <c r="C39" s="543" t="s">
        <v>940</v>
      </c>
      <c r="D39" s="544" t="s">
        <v>378</v>
      </c>
      <c r="E39" s="545">
        <v>25</v>
      </c>
      <c r="F39" s="545">
        <f t="shared" si="0"/>
        <v>30</v>
      </c>
      <c r="G39" s="545">
        <v>631.29999999999995</v>
      </c>
      <c r="H39" s="545">
        <f t="shared" si="1"/>
        <v>534.99999999999989</v>
      </c>
      <c r="I39" s="545">
        <f t="shared" si="2"/>
        <v>16049.999999999996</v>
      </c>
    </row>
    <row r="40" spans="1:9" ht="31.5" x14ac:dyDescent="0.2">
      <c r="A40" s="542" t="s">
        <v>889</v>
      </c>
      <c r="B40" s="538" t="s">
        <v>941</v>
      </c>
      <c r="C40" s="543" t="s">
        <v>942</v>
      </c>
      <c r="D40" s="544" t="s">
        <v>378</v>
      </c>
      <c r="E40" s="545">
        <v>29</v>
      </c>
      <c r="F40" s="545">
        <f t="shared" si="0"/>
        <v>34.799999999999997</v>
      </c>
      <c r="G40" s="545">
        <v>823.8</v>
      </c>
      <c r="H40" s="545">
        <f t="shared" si="1"/>
        <v>698.13559322033893</v>
      </c>
      <c r="I40" s="545">
        <f t="shared" si="2"/>
        <v>24295.118644067792</v>
      </c>
    </row>
    <row r="41" spans="1:9" ht="18" customHeight="1" x14ac:dyDescent="0.25">
      <c r="A41" s="534"/>
      <c r="B41" s="534"/>
      <c r="C41" s="552" t="s">
        <v>943</v>
      </c>
      <c r="D41" s="540"/>
      <c r="E41" s="540"/>
      <c r="F41" s="545">
        <f t="shared" si="0"/>
        <v>0</v>
      </c>
      <c r="G41" s="540"/>
      <c r="H41" s="545"/>
      <c r="I41" s="545">
        <f t="shared" si="2"/>
        <v>0</v>
      </c>
    </row>
    <row r="42" spans="1:9" ht="60.6" customHeight="1" x14ac:dyDescent="0.25">
      <c r="A42" s="537">
        <v>8</v>
      </c>
      <c r="B42" s="538" t="s">
        <v>944</v>
      </c>
      <c r="C42" s="533" t="s">
        <v>945</v>
      </c>
      <c r="D42" s="540"/>
      <c r="E42" s="540"/>
      <c r="F42" s="545">
        <f t="shared" si="0"/>
        <v>0</v>
      </c>
      <c r="G42" s="540"/>
      <c r="H42" s="545"/>
      <c r="I42" s="545">
        <f t="shared" si="2"/>
        <v>0</v>
      </c>
    </row>
    <row r="43" spans="1:9" ht="31.5" x14ac:dyDescent="0.2">
      <c r="A43" s="553"/>
      <c r="B43" s="538" t="s">
        <v>946</v>
      </c>
      <c r="C43" s="554" t="s">
        <v>947</v>
      </c>
      <c r="D43" s="544" t="s">
        <v>948</v>
      </c>
      <c r="E43" s="545">
        <f>45*2.2</f>
        <v>99.000000000000014</v>
      </c>
      <c r="F43" s="545">
        <f t="shared" si="0"/>
        <v>118.80000000000001</v>
      </c>
      <c r="G43" s="555">
        <v>506.8</v>
      </c>
      <c r="H43" s="545">
        <f t="shared" si="1"/>
        <v>429.49152542372883</v>
      </c>
      <c r="I43" s="545">
        <f t="shared" si="2"/>
        <v>51023.593220338989</v>
      </c>
    </row>
    <row r="44" spans="1:9" ht="63" x14ac:dyDescent="0.25">
      <c r="A44" s="537">
        <v>9</v>
      </c>
      <c r="B44" s="537" t="s">
        <v>949</v>
      </c>
      <c r="C44" s="539" t="s">
        <v>950</v>
      </c>
      <c r="D44" s="540"/>
      <c r="E44" s="536"/>
      <c r="F44" s="545">
        <f t="shared" si="0"/>
        <v>0</v>
      </c>
      <c r="G44" s="536"/>
      <c r="H44" s="545">
        <f t="shared" si="1"/>
        <v>0</v>
      </c>
      <c r="I44" s="545">
        <f t="shared" si="2"/>
        <v>0</v>
      </c>
    </row>
    <row r="45" spans="1:9" ht="31.5" x14ac:dyDescent="0.2">
      <c r="A45" s="553"/>
      <c r="B45" s="537" t="s">
        <v>951</v>
      </c>
      <c r="C45" s="553" t="s">
        <v>952</v>
      </c>
      <c r="D45" s="544" t="s">
        <v>948</v>
      </c>
      <c r="E45" s="545">
        <v>113</v>
      </c>
      <c r="F45" s="545">
        <f t="shared" si="0"/>
        <v>135.6</v>
      </c>
      <c r="G45" s="545">
        <v>820.7</v>
      </c>
      <c r="H45" s="545">
        <f t="shared" si="1"/>
        <v>695.50847457627117</v>
      </c>
      <c r="I45" s="545">
        <f t="shared" si="2"/>
        <v>94310.949152542365</v>
      </c>
    </row>
    <row r="46" spans="1:9" ht="63" x14ac:dyDescent="0.25">
      <c r="A46" s="537">
        <v>10</v>
      </c>
      <c r="B46" s="537" t="s">
        <v>953</v>
      </c>
      <c r="C46" s="539" t="s">
        <v>954</v>
      </c>
      <c r="D46" s="540"/>
      <c r="E46" s="536"/>
      <c r="F46" s="545">
        <f t="shared" si="0"/>
        <v>0</v>
      </c>
      <c r="G46" s="545"/>
      <c r="H46" s="545">
        <f t="shared" si="1"/>
        <v>0</v>
      </c>
      <c r="I46" s="545">
        <f t="shared" si="2"/>
        <v>0</v>
      </c>
    </row>
    <row r="47" spans="1:9" ht="31.5" x14ac:dyDescent="0.2">
      <c r="A47" s="553"/>
      <c r="B47" s="537" t="s">
        <v>955</v>
      </c>
      <c r="C47" s="553" t="s">
        <v>952</v>
      </c>
      <c r="D47" s="544" t="s">
        <v>948</v>
      </c>
      <c r="E47" s="545">
        <v>326</v>
      </c>
      <c r="F47" s="545">
        <f t="shared" si="0"/>
        <v>391.2</v>
      </c>
      <c r="G47" s="545">
        <v>670.45</v>
      </c>
      <c r="H47" s="545">
        <f t="shared" si="1"/>
        <v>568.17796610169489</v>
      </c>
      <c r="I47" s="545">
        <f t="shared" si="2"/>
        <v>222271.22033898302</v>
      </c>
    </row>
    <row r="48" spans="1:9" ht="63" x14ac:dyDescent="0.25">
      <c r="A48" s="537">
        <v>11</v>
      </c>
      <c r="B48" s="537" t="s">
        <v>956</v>
      </c>
      <c r="C48" s="539" t="s">
        <v>957</v>
      </c>
      <c r="D48" s="540"/>
      <c r="E48" s="556"/>
      <c r="F48" s="545">
        <f t="shared" si="0"/>
        <v>0</v>
      </c>
      <c r="G48" s="556"/>
      <c r="H48" s="545">
        <f t="shared" si="1"/>
        <v>0</v>
      </c>
      <c r="I48" s="545">
        <f t="shared" si="2"/>
        <v>0</v>
      </c>
    </row>
    <row r="49" spans="1:9" ht="31.5" x14ac:dyDescent="0.25">
      <c r="A49" s="553"/>
      <c r="B49" s="537" t="s">
        <v>958</v>
      </c>
      <c r="C49" s="543" t="s">
        <v>952</v>
      </c>
      <c r="D49" s="540" t="s">
        <v>948</v>
      </c>
      <c r="E49" s="556">
        <v>469</v>
      </c>
      <c r="F49" s="545">
        <f t="shared" si="0"/>
        <v>562.79999999999995</v>
      </c>
      <c r="G49" s="536">
        <v>574.29999999999995</v>
      </c>
      <c r="H49" s="545">
        <f t="shared" si="1"/>
        <v>486.69491525423723</v>
      </c>
      <c r="I49" s="545">
        <f t="shared" si="2"/>
        <v>273911.89830508467</v>
      </c>
    </row>
    <row r="50" spans="1:9" ht="31.5" x14ac:dyDescent="0.25">
      <c r="A50" s="537">
        <v>12</v>
      </c>
      <c r="B50" s="537" t="s">
        <v>959</v>
      </c>
      <c r="C50" s="539" t="s">
        <v>960</v>
      </c>
      <c r="D50" s="540"/>
      <c r="E50" s="536"/>
      <c r="F50" s="545">
        <f t="shared" si="0"/>
        <v>0</v>
      </c>
      <c r="G50" s="540"/>
      <c r="H50" s="545">
        <f t="shared" si="1"/>
        <v>0</v>
      </c>
      <c r="I50" s="545">
        <f t="shared" si="2"/>
        <v>0</v>
      </c>
    </row>
    <row r="51" spans="1:9" ht="31.5" x14ac:dyDescent="0.25">
      <c r="A51" s="534"/>
      <c r="B51" s="537" t="s">
        <v>961</v>
      </c>
      <c r="C51" s="557" t="s">
        <v>962</v>
      </c>
      <c r="D51" s="544" t="s">
        <v>910</v>
      </c>
      <c r="E51" s="545">
        <v>113</v>
      </c>
      <c r="F51" s="545">
        <f t="shared" si="0"/>
        <v>135.6</v>
      </c>
      <c r="G51" s="545">
        <v>222.35</v>
      </c>
      <c r="H51" s="545">
        <f t="shared" si="1"/>
        <v>188.43220338983051</v>
      </c>
      <c r="I51" s="545">
        <f t="shared" si="2"/>
        <v>25551.406779661014</v>
      </c>
    </row>
    <row r="52" spans="1:9" ht="31.5" x14ac:dyDescent="0.25">
      <c r="A52" s="537">
        <v>13</v>
      </c>
      <c r="B52" s="538" t="s">
        <v>963</v>
      </c>
      <c r="C52" s="533" t="s">
        <v>964</v>
      </c>
      <c r="D52" s="540"/>
      <c r="E52" s="536"/>
      <c r="F52" s="545">
        <f t="shared" si="0"/>
        <v>0</v>
      </c>
      <c r="G52" s="536"/>
      <c r="H52" s="545">
        <f t="shared" si="1"/>
        <v>0</v>
      </c>
      <c r="I52" s="545">
        <f t="shared" si="2"/>
        <v>0</v>
      </c>
    </row>
    <row r="53" spans="1:9" ht="31.5" x14ac:dyDescent="0.25">
      <c r="A53" s="553"/>
      <c r="B53" s="538" t="s">
        <v>965</v>
      </c>
      <c r="C53" s="533" t="s">
        <v>966</v>
      </c>
      <c r="D53" s="540"/>
      <c r="E53" s="536"/>
      <c r="F53" s="545">
        <f t="shared" si="0"/>
        <v>0</v>
      </c>
      <c r="G53" s="536"/>
      <c r="H53" s="545">
        <f t="shared" si="1"/>
        <v>0</v>
      </c>
      <c r="I53" s="545">
        <f t="shared" si="2"/>
        <v>0</v>
      </c>
    </row>
    <row r="54" spans="1:9" ht="31.5" x14ac:dyDescent="0.25">
      <c r="A54" s="534"/>
      <c r="B54" s="538" t="s">
        <v>967</v>
      </c>
      <c r="C54" s="554" t="s">
        <v>968</v>
      </c>
      <c r="D54" s="544" t="s">
        <v>948</v>
      </c>
      <c r="E54" s="545">
        <v>185</v>
      </c>
      <c r="F54" s="545">
        <f t="shared" si="0"/>
        <v>222</v>
      </c>
      <c r="G54" s="555">
        <v>37.6</v>
      </c>
      <c r="H54" s="545">
        <f t="shared" si="1"/>
        <v>31.864406779661017</v>
      </c>
      <c r="I54" s="545">
        <f t="shared" si="2"/>
        <v>7073.8983050847455</v>
      </c>
    </row>
    <row r="55" spans="1:9" ht="15.75" x14ac:dyDescent="0.2">
      <c r="A55" s="558" t="s">
        <v>969</v>
      </c>
      <c r="B55" s="559" t="s">
        <v>970</v>
      </c>
      <c r="C55" s="554"/>
      <c r="D55" s="236"/>
      <c r="E55" s="236"/>
      <c r="F55" s="545">
        <f t="shared" si="0"/>
        <v>0</v>
      </c>
      <c r="G55" s="236"/>
      <c r="H55" s="545">
        <f t="shared" si="1"/>
        <v>0</v>
      </c>
      <c r="I55" s="545">
        <f t="shared" si="2"/>
        <v>0</v>
      </c>
    </row>
    <row r="56" spans="1:9" ht="157.5" x14ac:dyDescent="0.2">
      <c r="A56" s="537">
        <v>1</v>
      </c>
      <c r="B56" s="538" t="s">
        <v>971</v>
      </c>
      <c r="C56" s="533" t="s">
        <v>972</v>
      </c>
      <c r="D56" s="236"/>
      <c r="E56" s="236"/>
      <c r="F56" s="545">
        <f t="shared" si="0"/>
        <v>0</v>
      </c>
      <c r="G56" s="236"/>
      <c r="H56" s="545">
        <f t="shared" si="1"/>
        <v>0</v>
      </c>
      <c r="I56" s="545">
        <f t="shared" si="2"/>
        <v>0</v>
      </c>
    </row>
    <row r="57" spans="1:9" ht="47.25" x14ac:dyDescent="0.25">
      <c r="A57" s="236"/>
      <c r="B57" s="538" t="s">
        <v>973</v>
      </c>
      <c r="C57" s="533" t="s">
        <v>974</v>
      </c>
      <c r="D57" s="540" t="s">
        <v>975</v>
      </c>
      <c r="E57" s="536">
        <v>60</v>
      </c>
      <c r="F57" s="545">
        <f t="shared" si="0"/>
        <v>72</v>
      </c>
      <c r="G57" s="536">
        <v>6767.4</v>
      </c>
      <c r="H57" s="545">
        <f t="shared" si="1"/>
        <v>5735.0847457627115</v>
      </c>
      <c r="I57" s="545">
        <f t="shared" si="2"/>
        <v>412926.10169491521</v>
      </c>
    </row>
    <row r="58" spans="1:9" ht="166.15" customHeight="1" x14ac:dyDescent="0.25">
      <c r="A58" s="537">
        <v>2</v>
      </c>
      <c r="B58" s="538" t="s">
        <v>976</v>
      </c>
      <c r="C58" s="533" t="s">
        <v>977</v>
      </c>
      <c r="D58" s="540" t="s">
        <v>975</v>
      </c>
      <c r="E58" s="536">
        <v>64</v>
      </c>
      <c r="F58" s="545">
        <f t="shared" si="0"/>
        <v>76.8</v>
      </c>
      <c r="G58" s="536">
        <v>14999.15</v>
      </c>
      <c r="H58" s="545">
        <f t="shared" si="1"/>
        <v>12711.144067796609</v>
      </c>
      <c r="I58" s="545">
        <f t="shared" si="2"/>
        <v>976215.86440677952</v>
      </c>
    </row>
    <row r="59" spans="1:9" ht="15.75" x14ac:dyDescent="0.2">
      <c r="A59" s="537"/>
      <c r="B59" s="538"/>
      <c r="C59" s="533"/>
      <c r="D59" s="236"/>
      <c r="E59" s="236"/>
      <c r="F59" s="545">
        <f t="shared" si="0"/>
        <v>0</v>
      </c>
      <c r="G59" s="236"/>
      <c r="H59" s="545">
        <f t="shared" si="1"/>
        <v>0</v>
      </c>
      <c r="I59" s="545">
        <f t="shared" si="2"/>
        <v>0</v>
      </c>
    </row>
    <row r="60" spans="1:9" ht="189" x14ac:dyDescent="0.25">
      <c r="A60" s="537">
        <v>3</v>
      </c>
      <c r="B60" s="538" t="s">
        <v>978</v>
      </c>
      <c r="C60" s="533" t="s">
        <v>979</v>
      </c>
      <c r="D60" s="540"/>
      <c r="E60" s="560"/>
      <c r="F60" s="545">
        <f t="shared" si="0"/>
        <v>0</v>
      </c>
      <c r="G60" s="560"/>
      <c r="H60" s="545">
        <f t="shared" si="1"/>
        <v>0</v>
      </c>
      <c r="I60" s="545">
        <f t="shared" si="2"/>
        <v>0</v>
      </c>
    </row>
    <row r="61" spans="1:9" ht="31.5" x14ac:dyDescent="0.25">
      <c r="A61" s="561"/>
      <c r="B61" s="546" t="s">
        <v>980</v>
      </c>
      <c r="C61" s="539" t="s">
        <v>981</v>
      </c>
      <c r="D61" s="540" t="s">
        <v>975</v>
      </c>
      <c r="E61" s="536">
        <v>3</v>
      </c>
      <c r="F61" s="545">
        <f t="shared" si="0"/>
        <v>3.5999999999999996</v>
      </c>
      <c r="G61" s="536">
        <v>6258.75</v>
      </c>
      <c r="H61" s="545">
        <f t="shared" si="1"/>
        <v>5304.0254237288136</v>
      </c>
      <c r="I61" s="545">
        <f t="shared" si="2"/>
        <v>19094.491525423728</v>
      </c>
    </row>
    <row r="62" spans="1:9" ht="115.9" customHeight="1" x14ac:dyDescent="0.25">
      <c r="A62" s="537">
        <v>4</v>
      </c>
      <c r="B62" s="538" t="s">
        <v>982</v>
      </c>
      <c r="C62" s="539" t="s">
        <v>983</v>
      </c>
      <c r="D62" s="540"/>
      <c r="E62" s="540"/>
      <c r="F62" s="545">
        <f t="shared" si="0"/>
        <v>0</v>
      </c>
      <c r="G62" s="540"/>
      <c r="H62" s="545">
        <f t="shared" si="1"/>
        <v>0</v>
      </c>
      <c r="I62" s="545">
        <f t="shared" si="2"/>
        <v>0</v>
      </c>
    </row>
    <row r="63" spans="1:9" ht="52.9" customHeight="1" x14ac:dyDescent="0.25">
      <c r="A63" s="537"/>
      <c r="B63" s="538" t="s">
        <v>984</v>
      </c>
      <c r="C63" s="533" t="s">
        <v>985</v>
      </c>
      <c r="D63" s="540" t="s">
        <v>975</v>
      </c>
      <c r="E63" s="536">
        <f>24*2</f>
        <v>48</v>
      </c>
      <c r="F63" s="545">
        <f t="shared" si="0"/>
        <v>57.599999999999994</v>
      </c>
      <c r="G63" s="536">
        <v>1879.2</v>
      </c>
      <c r="H63" s="545">
        <f t="shared" si="1"/>
        <v>1592.542372881356</v>
      </c>
      <c r="I63" s="545">
        <f t="shared" si="2"/>
        <v>91730.440677966093</v>
      </c>
    </row>
    <row r="64" spans="1:9" ht="49.15" customHeight="1" x14ac:dyDescent="0.25">
      <c r="A64" s="537">
        <v>5</v>
      </c>
      <c r="B64" s="538" t="s">
        <v>986</v>
      </c>
      <c r="C64" s="547" t="s">
        <v>987</v>
      </c>
      <c r="D64" s="534"/>
      <c r="E64" s="560"/>
      <c r="F64" s="545">
        <f t="shared" si="0"/>
        <v>0</v>
      </c>
      <c r="G64" s="560"/>
      <c r="H64" s="545">
        <f t="shared" si="1"/>
        <v>0</v>
      </c>
      <c r="I64" s="545">
        <f t="shared" si="2"/>
        <v>0</v>
      </c>
    </row>
    <row r="65" spans="1:9" ht="34.9" customHeight="1" x14ac:dyDescent="0.25">
      <c r="A65" s="537"/>
      <c r="B65" s="538" t="s">
        <v>988</v>
      </c>
      <c r="C65" s="553" t="s">
        <v>989</v>
      </c>
      <c r="D65" s="534"/>
      <c r="E65" s="540"/>
      <c r="F65" s="545">
        <f t="shared" si="0"/>
        <v>0</v>
      </c>
      <c r="G65" s="540"/>
      <c r="H65" s="545">
        <f t="shared" si="1"/>
        <v>0</v>
      </c>
      <c r="I65" s="545">
        <f t="shared" si="2"/>
        <v>0</v>
      </c>
    </row>
    <row r="66" spans="1:9" ht="31.5" x14ac:dyDescent="0.25">
      <c r="A66" s="534"/>
      <c r="B66" s="538" t="s">
        <v>990</v>
      </c>
      <c r="C66" s="557" t="s">
        <v>991</v>
      </c>
      <c r="D66" s="562" t="s">
        <v>975</v>
      </c>
      <c r="E66" s="545">
        <f>10*2</f>
        <v>20</v>
      </c>
      <c r="F66" s="545">
        <f t="shared" si="0"/>
        <v>24</v>
      </c>
      <c r="G66" s="545">
        <v>6945.6</v>
      </c>
      <c r="H66" s="545">
        <f t="shared" si="1"/>
        <v>5886.1016949152545</v>
      </c>
      <c r="I66" s="545">
        <f t="shared" si="2"/>
        <v>141266.44067796611</v>
      </c>
    </row>
    <row r="67" spans="1:9" ht="47.25" x14ac:dyDescent="0.25">
      <c r="A67" s="537">
        <v>6</v>
      </c>
      <c r="B67" s="538" t="s">
        <v>992</v>
      </c>
      <c r="C67" s="539" t="s">
        <v>993</v>
      </c>
      <c r="D67" s="540"/>
      <c r="E67" s="540"/>
      <c r="F67" s="545">
        <f t="shared" si="0"/>
        <v>0</v>
      </c>
      <c r="G67" s="540"/>
      <c r="H67" s="545">
        <f t="shared" si="1"/>
        <v>0</v>
      </c>
      <c r="I67" s="545">
        <f t="shared" si="2"/>
        <v>0</v>
      </c>
    </row>
    <row r="68" spans="1:9" ht="31.5" x14ac:dyDescent="0.25">
      <c r="A68" s="537"/>
      <c r="B68" s="538" t="s">
        <v>994</v>
      </c>
      <c r="C68" s="539" t="s">
        <v>995</v>
      </c>
      <c r="D68" s="540"/>
      <c r="E68" s="540"/>
      <c r="F68" s="545">
        <f t="shared" si="0"/>
        <v>0</v>
      </c>
      <c r="G68" s="540"/>
      <c r="H68" s="545">
        <f t="shared" si="1"/>
        <v>0</v>
      </c>
      <c r="I68" s="545">
        <f t="shared" si="2"/>
        <v>0</v>
      </c>
    </row>
    <row r="69" spans="1:9" ht="31.15" customHeight="1" x14ac:dyDescent="0.25">
      <c r="A69" s="537"/>
      <c r="B69" s="538" t="s">
        <v>996</v>
      </c>
      <c r="C69" s="539" t="s">
        <v>997</v>
      </c>
      <c r="D69" s="540" t="s">
        <v>948</v>
      </c>
      <c r="E69" s="536">
        <f>10*2.2</f>
        <v>22</v>
      </c>
      <c r="F69" s="545">
        <f t="shared" si="0"/>
        <v>26.4</v>
      </c>
      <c r="G69" s="536">
        <v>119.55</v>
      </c>
      <c r="H69" s="545">
        <f t="shared" si="1"/>
        <v>101.3135593220339</v>
      </c>
      <c r="I69" s="545">
        <f t="shared" si="2"/>
        <v>2674.6779661016949</v>
      </c>
    </row>
    <row r="70" spans="1:9" ht="102" customHeight="1" x14ac:dyDescent="0.25">
      <c r="A70" s="537">
        <v>7</v>
      </c>
      <c r="B70" s="538" t="s">
        <v>998</v>
      </c>
      <c r="C70" s="539" t="s">
        <v>999</v>
      </c>
      <c r="D70" s="540" t="s">
        <v>975</v>
      </c>
      <c r="E70" s="536">
        <v>53</v>
      </c>
      <c r="F70" s="545">
        <f t="shared" si="0"/>
        <v>63.599999999999994</v>
      </c>
      <c r="G70" s="536">
        <v>1607.95</v>
      </c>
      <c r="H70" s="545">
        <f t="shared" si="1"/>
        <v>1362.6694915254236</v>
      </c>
      <c r="I70" s="545">
        <f t="shared" si="2"/>
        <v>86665.779661016932</v>
      </c>
    </row>
    <row r="71" spans="1:9" ht="124.15" customHeight="1" x14ac:dyDescent="0.25">
      <c r="A71" s="537">
        <v>8</v>
      </c>
      <c r="B71" s="538" t="s">
        <v>1000</v>
      </c>
      <c r="C71" s="539" t="s">
        <v>1001</v>
      </c>
      <c r="D71" s="540" t="s">
        <v>975</v>
      </c>
      <c r="E71" s="536">
        <v>53</v>
      </c>
      <c r="F71" s="545">
        <f t="shared" si="0"/>
        <v>63.599999999999994</v>
      </c>
      <c r="G71" s="536">
        <v>1083.5</v>
      </c>
      <c r="H71" s="545">
        <f t="shared" si="1"/>
        <v>918.22033898305085</v>
      </c>
      <c r="I71" s="545">
        <f t="shared" si="2"/>
        <v>58398.813559322029</v>
      </c>
    </row>
    <row r="72" spans="1:9" ht="39.6" customHeight="1" x14ac:dyDescent="0.25">
      <c r="A72" s="537">
        <v>9</v>
      </c>
      <c r="B72" s="538" t="s">
        <v>1002</v>
      </c>
      <c r="C72" s="539" t="s">
        <v>1003</v>
      </c>
      <c r="D72" s="540"/>
      <c r="E72" s="536"/>
      <c r="F72" s="545">
        <f t="shared" ref="F72:F135" si="3">E72*1.2</f>
        <v>0</v>
      </c>
      <c r="G72" s="540"/>
      <c r="H72" s="545">
        <f t="shared" ref="H72:H135" si="4">G72*(100/118)</f>
        <v>0</v>
      </c>
      <c r="I72" s="545">
        <f t="shared" ref="I72:I135" si="5">H72*F72</f>
        <v>0</v>
      </c>
    </row>
    <row r="73" spans="1:9" ht="39" customHeight="1" x14ac:dyDescent="0.2">
      <c r="A73" s="537"/>
      <c r="B73" s="538" t="s">
        <v>1004</v>
      </c>
      <c r="C73" s="554" t="s">
        <v>1005</v>
      </c>
      <c r="D73" s="544" t="s">
        <v>975</v>
      </c>
      <c r="E73" s="545">
        <v>20</v>
      </c>
      <c r="F73" s="545">
        <f t="shared" si="3"/>
        <v>24</v>
      </c>
      <c r="G73" s="545">
        <v>803.7</v>
      </c>
      <c r="H73" s="545">
        <f t="shared" si="4"/>
        <v>681.10169491525426</v>
      </c>
      <c r="I73" s="545">
        <f t="shared" si="5"/>
        <v>16346.440677966102</v>
      </c>
    </row>
    <row r="74" spans="1:9" ht="49.9" customHeight="1" x14ac:dyDescent="0.2">
      <c r="A74" s="537">
        <v>10</v>
      </c>
      <c r="B74" s="538" t="s">
        <v>1006</v>
      </c>
      <c r="C74" s="539" t="s">
        <v>1007</v>
      </c>
      <c r="D74" s="236"/>
      <c r="E74" s="236"/>
      <c r="F74" s="545">
        <f t="shared" si="3"/>
        <v>0</v>
      </c>
      <c r="G74" s="236"/>
      <c r="H74" s="545">
        <f t="shared" si="4"/>
        <v>0</v>
      </c>
      <c r="I74" s="545">
        <f t="shared" si="5"/>
        <v>0</v>
      </c>
    </row>
    <row r="75" spans="1:9" ht="123" customHeight="1" x14ac:dyDescent="0.25">
      <c r="A75" s="236"/>
      <c r="B75" s="538" t="s">
        <v>1008</v>
      </c>
      <c r="C75" s="539" t="s">
        <v>1009</v>
      </c>
      <c r="D75" s="540" t="s">
        <v>975</v>
      </c>
      <c r="E75" s="536">
        <v>53</v>
      </c>
      <c r="F75" s="545">
        <f t="shared" si="3"/>
        <v>63.599999999999994</v>
      </c>
      <c r="G75" s="536">
        <v>375.65</v>
      </c>
      <c r="H75" s="545">
        <f t="shared" si="4"/>
        <v>318.34745762711862</v>
      </c>
      <c r="I75" s="545">
        <f t="shared" si="5"/>
        <v>20246.898305084742</v>
      </c>
    </row>
    <row r="76" spans="1:9" ht="116.45" customHeight="1" x14ac:dyDescent="0.25">
      <c r="A76" s="537">
        <v>11</v>
      </c>
      <c r="B76" s="538" t="s">
        <v>1010</v>
      </c>
      <c r="C76" s="539" t="s">
        <v>1011</v>
      </c>
      <c r="D76" s="540" t="s">
        <v>975</v>
      </c>
      <c r="E76" s="536">
        <v>53</v>
      </c>
      <c r="F76" s="545">
        <f t="shared" si="3"/>
        <v>63.599999999999994</v>
      </c>
      <c r="G76" s="536">
        <v>168.35</v>
      </c>
      <c r="H76" s="545">
        <f t="shared" si="4"/>
        <v>142.66949152542372</v>
      </c>
      <c r="I76" s="545">
        <f t="shared" si="5"/>
        <v>9073.779661016948</v>
      </c>
    </row>
    <row r="77" spans="1:9" ht="85.9" customHeight="1" x14ac:dyDescent="0.25">
      <c r="A77" s="537">
        <v>12</v>
      </c>
      <c r="B77" s="538" t="s">
        <v>1012</v>
      </c>
      <c r="C77" s="539" t="s">
        <v>1013</v>
      </c>
      <c r="D77" s="540"/>
      <c r="E77" s="536"/>
      <c r="F77" s="545">
        <f t="shared" si="3"/>
        <v>0</v>
      </c>
      <c r="G77" s="536"/>
      <c r="H77" s="545">
        <f t="shared" si="4"/>
        <v>0</v>
      </c>
      <c r="I77" s="545">
        <f t="shared" si="5"/>
        <v>0</v>
      </c>
    </row>
    <row r="78" spans="1:9" ht="75" customHeight="1" x14ac:dyDescent="0.25">
      <c r="A78" s="534"/>
      <c r="B78" s="538" t="s">
        <v>1014</v>
      </c>
      <c r="C78" s="539" t="s">
        <v>1015</v>
      </c>
      <c r="D78" s="540" t="s">
        <v>975</v>
      </c>
      <c r="E78" s="536">
        <v>53</v>
      </c>
      <c r="F78" s="545">
        <f t="shared" si="3"/>
        <v>63.599999999999994</v>
      </c>
      <c r="G78" s="536">
        <v>708.95</v>
      </c>
      <c r="H78" s="545">
        <f t="shared" si="4"/>
        <v>600.80508474576277</v>
      </c>
      <c r="I78" s="545">
        <f t="shared" si="5"/>
        <v>38211.203389830509</v>
      </c>
    </row>
    <row r="79" spans="1:9" ht="35.450000000000003" customHeight="1" x14ac:dyDescent="0.25">
      <c r="A79" s="563"/>
      <c r="B79" s="531"/>
      <c r="C79" s="564" t="s">
        <v>1016</v>
      </c>
      <c r="D79" s="534"/>
      <c r="E79" s="545"/>
      <c r="F79" s="545">
        <f t="shared" si="3"/>
        <v>0</v>
      </c>
      <c r="G79" s="545"/>
      <c r="H79" s="545">
        <f t="shared" si="4"/>
        <v>0</v>
      </c>
      <c r="I79" s="545">
        <f t="shared" si="5"/>
        <v>0</v>
      </c>
    </row>
    <row r="80" spans="1:9" ht="99.6" customHeight="1" x14ac:dyDescent="0.25">
      <c r="A80" s="537">
        <v>13</v>
      </c>
      <c r="B80" s="538" t="s">
        <v>1017</v>
      </c>
      <c r="C80" s="533" t="s">
        <v>1018</v>
      </c>
      <c r="D80" s="540"/>
      <c r="E80" s="545"/>
      <c r="F80" s="545">
        <f t="shared" si="3"/>
        <v>0</v>
      </c>
      <c r="G80" s="545"/>
      <c r="H80" s="545">
        <f t="shared" si="4"/>
        <v>0</v>
      </c>
      <c r="I80" s="545">
        <f t="shared" si="5"/>
        <v>0</v>
      </c>
    </row>
    <row r="81" spans="1:9" ht="44.45" customHeight="1" x14ac:dyDescent="0.2">
      <c r="A81" s="537"/>
      <c r="B81" s="546" t="s">
        <v>1019</v>
      </c>
      <c r="C81" s="554" t="s">
        <v>1020</v>
      </c>
      <c r="D81" s="544" t="s">
        <v>879</v>
      </c>
      <c r="E81" s="545">
        <v>300</v>
      </c>
      <c r="F81" s="545">
        <f t="shared" si="3"/>
        <v>360</v>
      </c>
      <c r="G81" s="545">
        <v>248.8</v>
      </c>
      <c r="H81" s="545">
        <f t="shared" si="4"/>
        <v>210.84745762711864</v>
      </c>
      <c r="I81" s="545">
        <f t="shared" si="5"/>
        <v>75905.08474576271</v>
      </c>
    </row>
    <row r="82" spans="1:9" ht="31.5" x14ac:dyDescent="0.25">
      <c r="A82" s="537"/>
      <c r="B82" s="538" t="s">
        <v>1021</v>
      </c>
      <c r="C82" s="554" t="s">
        <v>1022</v>
      </c>
      <c r="D82" s="540" t="s">
        <v>879</v>
      </c>
      <c r="E82" s="536">
        <v>200</v>
      </c>
      <c r="F82" s="545">
        <f t="shared" si="3"/>
        <v>240</v>
      </c>
      <c r="G82" s="536">
        <v>377.4</v>
      </c>
      <c r="H82" s="545">
        <f t="shared" si="4"/>
        <v>319.83050847457622</v>
      </c>
      <c r="I82" s="545">
        <f t="shared" si="5"/>
        <v>76759.322033898294</v>
      </c>
    </row>
    <row r="83" spans="1:9" ht="15.75" x14ac:dyDescent="0.2">
      <c r="A83" s="236"/>
      <c r="B83" s="236"/>
      <c r="C83" s="236"/>
      <c r="D83" s="236"/>
      <c r="E83" s="236"/>
      <c r="F83" s="545">
        <f t="shared" si="3"/>
        <v>0</v>
      </c>
      <c r="G83" s="236"/>
      <c r="H83" s="545">
        <f t="shared" si="4"/>
        <v>0</v>
      </c>
      <c r="I83" s="545">
        <f t="shared" si="5"/>
        <v>0</v>
      </c>
    </row>
    <row r="84" spans="1:9" ht="126" x14ac:dyDescent="0.2">
      <c r="A84" s="537">
        <v>14</v>
      </c>
      <c r="B84" s="538" t="s">
        <v>1023</v>
      </c>
      <c r="C84" s="533" t="s">
        <v>1024</v>
      </c>
      <c r="D84" s="236"/>
      <c r="E84" s="236"/>
      <c r="F84" s="545">
        <f t="shared" si="3"/>
        <v>0</v>
      </c>
      <c r="G84" s="236"/>
      <c r="H84" s="545">
        <f t="shared" si="4"/>
        <v>0</v>
      </c>
      <c r="I84" s="545">
        <f t="shared" si="5"/>
        <v>0</v>
      </c>
    </row>
    <row r="85" spans="1:9" ht="31.5" x14ac:dyDescent="0.25">
      <c r="A85" s="236"/>
      <c r="B85" s="538" t="s">
        <v>1025</v>
      </c>
      <c r="C85" s="554" t="s">
        <v>1026</v>
      </c>
      <c r="D85" s="534"/>
      <c r="E85" s="534"/>
      <c r="F85" s="545">
        <f t="shared" si="3"/>
        <v>0</v>
      </c>
      <c r="G85" s="534"/>
      <c r="H85" s="545">
        <f t="shared" si="4"/>
        <v>0</v>
      </c>
      <c r="I85" s="545">
        <f t="shared" si="5"/>
        <v>0</v>
      </c>
    </row>
    <row r="86" spans="1:9" ht="31.5" x14ac:dyDescent="0.25">
      <c r="A86" s="236"/>
      <c r="B86" s="538" t="s">
        <v>1027</v>
      </c>
      <c r="C86" s="554" t="s">
        <v>1028</v>
      </c>
      <c r="D86" s="540" t="s">
        <v>948</v>
      </c>
      <c r="E86" s="536">
        <v>71</v>
      </c>
      <c r="F86" s="545">
        <f t="shared" si="3"/>
        <v>85.2</v>
      </c>
      <c r="G86" s="565">
        <v>91.7</v>
      </c>
      <c r="H86" s="545">
        <f t="shared" si="4"/>
        <v>77.711864406779654</v>
      </c>
      <c r="I86" s="545">
        <f t="shared" si="5"/>
        <v>6621.0508474576263</v>
      </c>
    </row>
    <row r="87" spans="1:9" ht="31.5" x14ac:dyDescent="0.25">
      <c r="A87" s="534"/>
      <c r="B87" s="538" t="s">
        <v>1029</v>
      </c>
      <c r="C87" s="554" t="s">
        <v>1030</v>
      </c>
      <c r="D87" s="540" t="s">
        <v>948</v>
      </c>
      <c r="E87" s="536">
        <v>49</v>
      </c>
      <c r="F87" s="545">
        <f t="shared" si="3"/>
        <v>58.8</v>
      </c>
      <c r="G87" s="560">
        <v>136.15</v>
      </c>
      <c r="H87" s="545">
        <f t="shared" si="4"/>
        <v>115.38135593220339</v>
      </c>
      <c r="I87" s="545">
        <f t="shared" si="5"/>
        <v>6784.4237288135591</v>
      </c>
    </row>
    <row r="88" spans="1:9" ht="31.5" x14ac:dyDescent="0.25">
      <c r="A88" s="534"/>
      <c r="B88" s="538" t="s">
        <v>1031</v>
      </c>
      <c r="C88" s="554" t="s">
        <v>1032</v>
      </c>
      <c r="D88" s="534"/>
      <c r="E88" s="534"/>
      <c r="F88" s="545">
        <f t="shared" si="3"/>
        <v>0</v>
      </c>
      <c r="G88" s="534"/>
      <c r="H88" s="545">
        <f t="shared" si="4"/>
        <v>0</v>
      </c>
      <c r="I88" s="545">
        <f t="shared" si="5"/>
        <v>0</v>
      </c>
    </row>
    <row r="89" spans="1:9" ht="31.5" x14ac:dyDescent="0.25">
      <c r="A89" s="534"/>
      <c r="B89" s="538" t="s">
        <v>1033</v>
      </c>
      <c r="C89" s="554" t="s">
        <v>1034</v>
      </c>
      <c r="D89" s="540" t="s">
        <v>948</v>
      </c>
      <c r="E89" s="536">
        <v>69</v>
      </c>
      <c r="F89" s="545">
        <f t="shared" si="3"/>
        <v>82.8</v>
      </c>
      <c r="G89" s="565">
        <v>144.30000000000001</v>
      </c>
      <c r="H89" s="545">
        <f t="shared" si="4"/>
        <v>122.28813559322035</v>
      </c>
      <c r="I89" s="545">
        <f t="shared" si="5"/>
        <v>10125.457627118645</v>
      </c>
    </row>
    <row r="90" spans="1:9" ht="31.5" x14ac:dyDescent="0.25">
      <c r="A90" s="534"/>
      <c r="B90" s="538" t="s">
        <v>1035</v>
      </c>
      <c r="C90" s="554" t="s">
        <v>1036</v>
      </c>
      <c r="D90" s="540" t="s">
        <v>948</v>
      </c>
      <c r="E90" s="536">
        <v>40</v>
      </c>
      <c r="F90" s="545">
        <f t="shared" si="3"/>
        <v>48</v>
      </c>
      <c r="G90" s="560">
        <v>221.35</v>
      </c>
      <c r="H90" s="545">
        <f t="shared" si="4"/>
        <v>187.58474576271186</v>
      </c>
      <c r="I90" s="545">
        <f t="shared" si="5"/>
        <v>9004.0677966101684</v>
      </c>
    </row>
    <row r="91" spans="1:9" ht="31.5" x14ac:dyDescent="0.25">
      <c r="A91" s="534"/>
      <c r="B91" s="538" t="s">
        <v>1037</v>
      </c>
      <c r="C91" s="554" t="s">
        <v>1038</v>
      </c>
      <c r="D91" s="540"/>
      <c r="E91" s="536"/>
      <c r="F91" s="545">
        <f t="shared" si="3"/>
        <v>0</v>
      </c>
      <c r="G91" s="560"/>
      <c r="H91" s="545">
        <f t="shared" si="4"/>
        <v>0</v>
      </c>
      <c r="I91" s="545">
        <f t="shared" si="5"/>
        <v>0</v>
      </c>
    </row>
    <row r="92" spans="1:9" ht="31.5" x14ac:dyDescent="0.25">
      <c r="A92" s="534"/>
      <c r="B92" s="538" t="s">
        <v>1039</v>
      </c>
      <c r="C92" s="554" t="s">
        <v>1040</v>
      </c>
      <c r="D92" s="540" t="s">
        <v>948</v>
      </c>
      <c r="E92" s="536">
        <f>40*2.2</f>
        <v>88</v>
      </c>
      <c r="F92" s="545">
        <f t="shared" si="3"/>
        <v>105.6</v>
      </c>
      <c r="G92" s="560">
        <v>105.9</v>
      </c>
      <c r="H92" s="545">
        <f t="shared" si="4"/>
        <v>89.745762711864401</v>
      </c>
      <c r="I92" s="545">
        <f t="shared" si="5"/>
        <v>9477.1525423728799</v>
      </c>
    </row>
    <row r="93" spans="1:9" ht="31.5" x14ac:dyDescent="0.25">
      <c r="A93" s="553"/>
      <c r="B93" s="538" t="s">
        <v>1041</v>
      </c>
      <c r="C93" s="554" t="s">
        <v>1042</v>
      </c>
      <c r="D93" s="540" t="s">
        <v>948</v>
      </c>
      <c r="E93" s="536">
        <v>27</v>
      </c>
      <c r="F93" s="545">
        <f t="shared" si="3"/>
        <v>32.4</v>
      </c>
      <c r="G93" s="560">
        <v>150.35</v>
      </c>
      <c r="H93" s="545">
        <f t="shared" si="4"/>
        <v>127.41525423728812</v>
      </c>
      <c r="I93" s="545">
        <f t="shared" si="5"/>
        <v>4128.2542372881353</v>
      </c>
    </row>
    <row r="94" spans="1:9" ht="31.5" x14ac:dyDescent="0.2">
      <c r="A94" s="553"/>
      <c r="B94" s="538" t="s">
        <v>1043</v>
      </c>
      <c r="C94" s="554" t="s">
        <v>1044</v>
      </c>
      <c r="D94" s="544"/>
      <c r="E94" s="545"/>
      <c r="F94" s="545">
        <f t="shared" si="3"/>
        <v>0</v>
      </c>
      <c r="G94" s="545"/>
      <c r="H94" s="545">
        <f t="shared" si="4"/>
        <v>0</v>
      </c>
      <c r="I94" s="545">
        <f t="shared" si="5"/>
        <v>0</v>
      </c>
    </row>
    <row r="95" spans="1:9" ht="31.5" x14ac:dyDescent="0.25">
      <c r="A95" s="553"/>
      <c r="B95" s="538" t="s">
        <v>1045</v>
      </c>
      <c r="C95" s="554" t="s">
        <v>1046</v>
      </c>
      <c r="D95" s="540" t="s">
        <v>948</v>
      </c>
      <c r="E95" s="536">
        <f>9*2.2</f>
        <v>19.8</v>
      </c>
      <c r="F95" s="545">
        <f t="shared" si="3"/>
        <v>23.76</v>
      </c>
      <c r="G95" s="536">
        <v>93.1</v>
      </c>
      <c r="H95" s="545">
        <f t="shared" si="4"/>
        <v>78.898305084745758</v>
      </c>
      <c r="I95" s="545">
        <f t="shared" si="5"/>
        <v>1874.6237288135594</v>
      </c>
    </row>
    <row r="96" spans="1:9" ht="31.5" x14ac:dyDescent="0.25">
      <c r="A96" s="553"/>
      <c r="B96" s="538" t="s">
        <v>1047</v>
      </c>
      <c r="C96" s="554" t="s">
        <v>1048</v>
      </c>
      <c r="D96" s="540" t="s">
        <v>948</v>
      </c>
      <c r="E96" s="536">
        <f>6*2.2</f>
        <v>13.200000000000001</v>
      </c>
      <c r="F96" s="545">
        <f t="shared" si="3"/>
        <v>15.84</v>
      </c>
      <c r="G96" s="536">
        <v>131.85</v>
      </c>
      <c r="H96" s="545">
        <f t="shared" si="4"/>
        <v>111.7372881355932</v>
      </c>
      <c r="I96" s="545">
        <f t="shared" si="5"/>
        <v>1769.9186440677963</v>
      </c>
    </row>
    <row r="97" spans="1:9" ht="141.75" x14ac:dyDescent="0.25">
      <c r="A97" s="537">
        <v>15</v>
      </c>
      <c r="B97" s="538" t="s">
        <v>1049</v>
      </c>
      <c r="C97" s="533" t="s">
        <v>1050</v>
      </c>
      <c r="D97" s="540"/>
      <c r="E97" s="536"/>
      <c r="F97" s="545">
        <f t="shared" si="3"/>
        <v>0</v>
      </c>
      <c r="G97" s="560"/>
      <c r="H97" s="545">
        <f t="shared" si="4"/>
        <v>0</v>
      </c>
      <c r="I97" s="545">
        <f t="shared" si="5"/>
        <v>0</v>
      </c>
    </row>
    <row r="98" spans="1:9" ht="31.5" x14ac:dyDescent="0.25">
      <c r="A98" s="537"/>
      <c r="B98" s="538" t="s">
        <v>1051</v>
      </c>
      <c r="C98" s="554" t="s">
        <v>1028</v>
      </c>
      <c r="D98" s="540" t="s">
        <v>948</v>
      </c>
      <c r="E98" s="536">
        <f>125*2.2</f>
        <v>275</v>
      </c>
      <c r="F98" s="545">
        <f t="shared" si="3"/>
        <v>330</v>
      </c>
      <c r="G98" s="536">
        <v>369.85</v>
      </c>
      <c r="H98" s="545">
        <f t="shared" si="4"/>
        <v>313.43220338983053</v>
      </c>
      <c r="I98" s="545">
        <f t="shared" si="5"/>
        <v>103432.62711864407</v>
      </c>
    </row>
    <row r="99" spans="1:9" ht="31.5" x14ac:dyDescent="0.25">
      <c r="A99" s="553"/>
      <c r="B99" s="538" t="s">
        <v>1052</v>
      </c>
      <c r="C99" s="554" t="s">
        <v>1053</v>
      </c>
      <c r="D99" s="540" t="s">
        <v>948</v>
      </c>
      <c r="E99" s="536">
        <f>80*2.2</f>
        <v>176</v>
      </c>
      <c r="F99" s="545">
        <f t="shared" si="3"/>
        <v>211.2</v>
      </c>
      <c r="G99" s="536">
        <v>371.3</v>
      </c>
      <c r="H99" s="545">
        <f t="shared" si="4"/>
        <v>314.66101694915255</v>
      </c>
      <c r="I99" s="545">
        <f t="shared" si="5"/>
        <v>66456.406779661018</v>
      </c>
    </row>
    <row r="100" spans="1:9" ht="63" x14ac:dyDescent="0.25">
      <c r="A100" s="537">
        <v>16</v>
      </c>
      <c r="B100" s="538" t="s">
        <v>1054</v>
      </c>
      <c r="C100" s="533" t="s">
        <v>1055</v>
      </c>
      <c r="D100" s="540" t="s">
        <v>948</v>
      </c>
      <c r="E100" s="536">
        <v>14</v>
      </c>
      <c r="F100" s="545">
        <f t="shared" si="3"/>
        <v>16.8</v>
      </c>
      <c r="G100" s="536">
        <v>54.7</v>
      </c>
      <c r="H100" s="545">
        <f t="shared" si="4"/>
        <v>46.355932203389834</v>
      </c>
      <c r="I100" s="545">
        <f t="shared" si="5"/>
        <v>778.77966101694926</v>
      </c>
    </row>
    <row r="101" spans="1:9" ht="15.75" x14ac:dyDescent="0.25">
      <c r="A101" s="558" t="s">
        <v>1056</v>
      </c>
      <c r="B101" s="559" t="s">
        <v>1057</v>
      </c>
      <c r="C101" s="533"/>
      <c r="D101" s="540"/>
      <c r="E101" s="540"/>
      <c r="F101" s="545">
        <f t="shared" si="3"/>
        <v>0</v>
      </c>
      <c r="G101" s="540"/>
      <c r="H101" s="545">
        <f t="shared" si="4"/>
        <v>0</v>
      </c>
      <c r="I101" s="545">
        <f t="shared" si="5"/>
        <v>0</v>
      </c>
    </row>
    <row r="102" spans="1:9" ht="189" x14ac:dyDescent="0.25">
      <c r="A102" s="537">
        <v>1</v>
      </c>
      <c r="B102" s="538" t="s">
        <v>1058</v>
      </c>
      <c r="C102" s="539" t="s">
        <v>1059</v>
      </c>
      <c r="D102" s="534"/>
      <c r="E102" s="540"/>
      <c r="F102" s="545">
        <f t="shared" si="3"/>
        <v>0</v>
      </c>
      <c r="G102" s="540"/>
      <c r="H102" s="545">
        <f t="shared" si="4"/>
        <v>0</v>
      </c>
      <c r="I102" s="545">
        <f t="shared" si="5"/>
        <v>0</v>
      </c>
    </row>
    <row r="103" spans="1:9" ht="32.25" customHeight="1" x14ac:dyDescent="0.2">
      <c r="A103" s="542" t="s">
        <v>876</v>
      </c>
      <c r="B103" s="538" t="s">
        <v>1060</v>
      </c>
      <c r="C103" s="551" t="s">
        <v>1061</v>
      </c>
      <c r="D103" s="544" t="s">
        <v>1062</v>
      </c>
      <c r="E103" s="545">
        <v>750</v>
      </c>
      <c r="F103" s="545">
        <f t="shared" si="3"/>
        <v>900</v>
      </c>
      <c r="G103" s="545">
        <v>352.15</v>
      </c>
      <c r="H103" s="545">
        <f t="shared" si="4"/>
        <v>298.43220338983048</v>
      </c>
      <c r="I103" s="545">
        <f t="shared" si="5"/>
        <v>268588.98305084743</v>
      </c>
    </row>
    <row r="104" spans="1:9" ht="78.75" x14ac:dyDescent="0.25">
      <c r="A104" s="537">
        <v>2</v>
      </c>
      <c r="B104" s="538" t="s">
        <v>1063</v>
      </c>
      <c r="C104" s="539" t="s">
        <v>1064</v>
      </c>
      <c r="D104" s="540"/>
      <c r="E104" s="540"/>
      <c r="F104" s="545">
        <f t="shared" si="3"/>
        <v>0</v>
      </c>
      <c r="G104" s="540"/>
      <c r="H104" s="545">
        <f t="shared" si="4"/>
        <v>0</v>
      </c>
      <c r="I104" s="545">
        <f t="shared" si="5"/>
        <v>0</v>
      </c>
    </row>
    <row r="105" spans="1:9" ht="31.5" x14ac:dyDescent="0.2">
      <c r="A105" s="542" t="s">
        <v>876</v>
      </c>
      <c r="B105" s="538" t="s">
        <v>1065</v>
      </c>
      <c r="C105" s="543" t="s">
        <v>1066</v>
      </c>
      <c r="D105" s="544" t="s">
        <v>1062</v>
      </c>
      <c r="E105" s="545">
        <v>300</v>
      </c>
      <c r="F105" s="545">
        <f t="shared" si="3"/>
        <v>360</v>
      </c>
      <c r="G105" s="545">
        <v>556.45000000000005</v>
      </c>
      <c r="H105" s="545">
        <f t="shared" si="4"/>
        <v>471.56779661016952</v>
      </c>
      <c r="I105" s="545">
        <f t="shared" si="5"/>
        <v>169764.40677966102</v>
      </c>
    </row>
    <row r="106" spans="1:9" ht="31.5" x14ac:dyDescent="0.2">
      <c r="A106" s="542" t="s">
        <v>880</v>
      </c>
      <c r="B106" s="538" t="s">
        <v>1067</v>
      </c>
      <c r="C106" s="543" t="s">
        <v>1068</v>
      </c>
      <c r="D106" s="544" t="s">
        <v>1062</v>
      </c>
      <c r="E106" s="545">
        <v>300</v>
      </c>
      <c r="F106" s="545">
        <f t="shared" si="3"/>
        <v>360</v>
      </c>
      <c r="G106" s="545">
        <v>899.8</v>
      </c>
      <c r="H106" s="545">
        <f t="shared" si="4"/>
        <v>762.54237288135585</v>
      </c>
      <c r="I106" s="545">
        <f t="shared" si="5"/>
        <v>274515.25423728809</v>
      </c>
    </row>
    <row r="107" spans="1:9" ht="252" x14ac:dyDescent="0.2">
      <c r="A107" s="537">
        <v>3</v>
      </c>
      <c r="B107" s="538" t="s">
        <v>1069</v>
      </c>
      <c r="C107" s="539" t="s">
        <v>1070</v>
      </c>
      <c r="D107" s="236"/>
      <c r="E107" s="236"/>
      <c r="F107" s="545">
        <f t="shared" si="3"/>
        <v>0</v>
      </c>
      <c r="G107" s="236"/>
      <c r="H107" s="545">
        <f t="shared" si="4"/>
        <v>0</v>
      </c>
      <c r="I107" s="545">
        <f t="shared" si="5"/>
        <v>0</v>
      </c>
    </row>
    <row r="108" spans="1:9" ht="110.25" x14ac:dyDescent="0.2">
      <c r="A108" s="542" t="s">
        <v>1071</v>
      </c>
      <c r="B108" s="538" t="s">
        <v>1072</v>
      </c>
      <c r="C108" s="539" t="s">
        <v>1073</v>
      </c>
      <c r="D108" s="236"/>
      <c r="E108" s="236"/>
      <c r="F108" s="545">
        <f t="shared" si="3"/>
        <v>0</v>
      </c>
      <c r="G108" s="236"/>
      <c r="H108" s="545">
        <f t="shared" si="4"/>
        <v>0</v>
      </c>
      <c r="I108" s="545">
        <f t="shared" si="5"/>
        <v>0</v>
      </c>
    </row>
    <row r="109" spans="1:9" ht="47.25" x14ac:dyDescent="0.25">
      <c r="A109" s="534"/>
      <c r="B109" s="538" t="s">
        <v>1074</v>
      </c>
      <c r="C109" s="539" t="s">
        <v>1075</v>
      </c>
      <c r="D109" s="540" t="s">
        <v>948</v>
      </c>
      <c r="E109" s="536">
        <v>55</v>
      </c>
      <c r="F109" s="545">
        <f t="shared" si="3"/>
        <v>66</v>
      </c>
      <c r="G109" s="536">
        <v>12770.55</v>
      </c>
      <c r="H109" s="545">
        <f t="shared" si="4"/>
        <v>10822.499999999998</v>
      </c>
      <c r="I109" s="545">
        <f t="shared" si="5"/>
        <v>714284.99999999988</v>
      </c>
    </row>
    <row r="110" spans="1:9" ht="110.25" x14ac:dyDescent="0.25">
      <c r="A110" s="542" t="s">
        <v>1076</v>
      </c>
      <c r="B110" s="538" t="s">
        <v>1077</v>
      </c>
      <c r="C110" s="539" t="s">
        <v>1078</v>
      </c>
      <c r="D110" s="540"/>
      <c r="E110" s="536"/>
      <c r="F110" s="545">
        <f t="shared" si="3"/>
        <v>0</v>
      </c>
      <c r="G110" s="536"/>
      <c r="H110" s="545">
        <f t="shared" si="4"/>
        <v>0</v>
      </c>
      <c r="I110" s="545">
        <f t="shared" si="5"/>
        <v>0</v>
      </c>
    </row>
    <row r="111" spans="1:9" ht="47.25" x14ac:dyDescent="0.25">
      <c r="A111" s="537"/>
      <c r="B111" s="538" t="s">
        <v>1079</v>
      </c>
      <c r="C111" s="539" t="s">
        <v>1075</v>
      </c>
      <c r="D111" s="540" t="s">
        <v>948</v>
      </c>
      <c r="E111" s="536">
        <v>14</v>
      </c>
      <c r="F111" s="545">
        <f t="shared" si="3"/>
        <v>16.8</v>
      </c>
      <c r="G111" s="536">
        <v>26405.5</v>
      </c>
      <c r="H111" s="545">
        <f t="shared" si="4"/>
        <v>22377.542372881355</v>
      </c>
      <c r="I111" s="545">
        <f t="shared" si="5"/>
        <v>375942.71186440677</v>
      </c>
    </row>
    <row r="112" spans="1:9" ht="94.5" x14ac:dyDescent="0.25">
      <c r="A112" s="537">
        <v>4</v>
      </c>
      <c r="B112" s="538" t="s">
        <v>1080</v>
      </c>
      <c r="C112" s="533" t="s">
        <v>1081</v>
      </c>
      <c r="D112" s="540"/>
      <c r="E112" s="536"/>
      <c r="F112" s="545">
        <f t="shared" si="3"/>
        <v>0</v>
      </c>
      <c r="G112" s="536"/>
      <c r="H112" s="545">
        <f t="shared" si="4"/>
        <v>0</v>
      </c>
      <c r="I112" s="545">
        <f t="shared" si="5"/>
        <v>0</v>
      </c>
    </row>
    <row r="113" spans="1:10" ht="47.25" x14ac:dyDescent="0.25">
      <c r="A113" s="553"/>
      <c r="B113" s="538" t="s">
        <v>1082</v>
      </c>
      <c r="C113" s="563" t="s">
        <v>1075</v>
      </c>
      <c r="D113" s="540" t="s">
        <v>948</v>
      </c>
      <c r="E113" s="536">
        <v>50</v>
      </c>
      <c r="F113" s="545">
        <f t="shared" si="3"/>
        <v>60</v>
      </c>
      <c r="G113" s="536">
        <v>6889.8</v>
      </c>
      <c r="H113" s="545">
        <f t="shared" si="4"/>
        <v>5838.8135593220341</v>
      </c>
      <c r="I113" s="545">
        <f t="shared" si="5"/>
        <v>350328.81355932204</v>
      </c>
    </row>
    <row r="114" spans="1:10" ht="94.5" x14ac:dyDescent="0.25">
      <c r="A114" s="537">
        <v>5</v>
      </c>
      <c r="B114" s="537" t="s">
        <v>1083</v>
      </c>
      <c r="C114" s="539" t="s">
        <v>1084</v>
      </c>
      <c r="D114" s="540"/>
      <c r="E114" s="540"/>
      <c r="F114" s="545">
        <f t="shared" si="3"/>
        <v>0</v>
      </c>
      <c r="G114" s="540"/>
      <c r="H114" s="545">
        <f t="shared" si="4"/>
        <v>0</v>
      </c>
      <c r="I114" s="545">
        <f t="shared" si="5"/>
        <v>0</v>
      </c>
    </row>
    <row r="115" spans="1:10" ht="35.450000000000003" customHeight="1" x14ac:dyDescent="0.2">
      <c r="A115" s="553"/>
      <c r="B115" s="542" t="s">
        <v>1085</v>
      </c>
      <c r="C115" s="563" t="s">
        <v>1075</v>
      </c>
      <c r="D115" s="544" t="s">
        <v>948</v>
      </c>
      <c r="E115" s="545">
        <v>5</v>
      </c>
      <c r="F115" s="545">
        <f t="shared" si="3"/>
        <v>6</v>
      </c>
      <c r="G115" s="545">
        <v>26861.9</v>
      </c>
      <c r="H115" s="545">
        <f t="shared" si="4"/>
        <v>22764.322033898305</v>
      </c>
      <c r="I115" s="545">
        <f t="shared" si="5"/>
        <v>136585.93220338982</v>
      </c>
    </row>
    <row r="116" spans="1:10" ht="15.75" x14ac:dyDescent="0.25">
      <c r="A116" s="558" t="s">
        <v>722</v>
      </c>
      <c r="B116" s="559" t="s">
        <v>1086</v>
      </c>
      <c r="C116" s="554"/>
      <c r="D116" s="540"/>
      <c r="E116" s="536"/>
      <c r="F116" s="545">
        <f t="shared" si="3"/>
        <v>0</v>
      </c>
      <c r="G116" s="536"/>
      <c r="H116" s="545">
        <f t="shared" si="4"/>
        <v>0</v>
      </c>
      <c r="I116" s="545">
        <f t="shared" si="5"/>
        <v>0</v>
      </c>
    </row>
    <row r="117" spans="1:10" ht="15.75" x14ac:dyDescent="0.25">
      <c r="A117" s="236"/>
      <c r="B117" s="532" t="s">
        <v>1087</v>
      </c>
      <c r="C117" s="236"/>
      <c r="D117" s="236"/>
      <c r="E117" s="236"/>
      <c r="F117" s="545">
        <f t="shared" si="3"/>
        <v>0</v>
      </c>
      <c r="G117" s="236"/>
      <c r="H117" s="545">
        <f t="shared" si="4"/>
        <v>0</v>
      </c>
      <c r="I117" s="545">
        <f t="shared" si="5"/>
        <v>0</v>
      </c>
      <c r="J117" s="566"/>
    </row>
    <row r="118" spans="1:10" ht="66" customHeight="1" x14ac:dyDescent="0.25">
      <c r="A118" s="567">
        <v>1</v>
      </c>
      <c r="B118" s="568" t="s">
        <v>1088</v>
      </c>
      <c r="C118" s="533" t="s">
        <v>1089</v>
      </c>
      <c r="D118" s="540"/>
      <c r="E118" s="540"/>
      <c r="F118" s="545">
        <f t="shared" si="3"/>
        <v>0</v>
      </c>
      <c r="G118" s="540"/>
      <c r="H118" s="545">
        <f t="shared" si="4"/>
        <v>0</v>
      </c>
      <c r="I118" s="545">
        <f t="shared" si="5"/>
        <v>0</v>
      </c>
    </row>
    <row r="119" spans="1:10" ht="19.899999999999999" customHeight="1" x14ac:dyDescent="0.25">
      <c r="A119" s="534"/>
      <c r="B119" s="568" t="s">
        <v>1090</v>
      </c>
      <c r="C119" s="543" t="s">
        <v>1091</v>
      </c>
      <c r="D119" s="544" t="s">
        <v>1092</v>
      </c>
      <c r="E119" s="545">
        <f>48.88*2</f>
        <v>97.76</v>
      </c>
      <c r="F119" s="545">
        <f t="shared" si="3"/>
        <v>117.312</v>
      </c>
      <c r="G119" s="545">
        <v>260.3</v>
      </c>
      <c r="H119" s="545">
        <f t="shared" si="4"/>
        <v>220.59322033898306</v>
      </c>
      <c r="I119" s="545">
        <f t="shared" si="5"/>
        <v>25878.231864406782</v>
      </c>
    </row>
    <row r="120" spans="1:10" ht="73.150000000000006" customHeight="1" x14ac:dyDescent="0.25">
      <c r="A120" s="567">
        <v>2</v>
      </c>
      <c r="B120" s="568" t="s">
        <v>1093</v>
      </c>
      <c r="C120" s="533" t="s">
        <v>1094</v>
      </c>
      <c r="D120" s="540" t="s">
        <v>1092</v>
      </c>
      <c r="E120" s="536">
        <f>2.03*2</f>
        <v>4.0599999999999996</v>
      </c>
      <c r="F120" s="545">
        <f t="shared" si="3"/>
        <v>4.871999999999999</v>
      </c>
      <c r="G120" s="536">
        <v>2123.75</v>
      </c>
      <c r="H120" s="545">
        <f t="shared" si="4"/>
        <v>1799.7881355932202</v>
      </c>
      <c r="I120" s="545">
        <f t="shared" si="5"/>
        <v>8768.5677966101666</v>
      </c>
    </row>
    <row r="121" spans="1:10" ht="33" customHeight="1" x14ac:dyDescent="0.25">
      <c r="A121" s="567">
        <v>3</v>
      </c>
      <c r="B121" s="568" t="s">
        <v>1095</v>
      </c>
      <c r="C121" s="533" t="s">
        <v>1096</v>
      </c>
      <c r="D121" s="540"/>
      <c r="E121" s="540"/>
      <c r="F121" s="545">
        <f t="shared" si="3"/>
        <v>0</v>
      </c>
      <c r="G121" s="540"/>
      <c r="H121" s="545">
        <f t="shared" si="4"/>
        <v>0</v>
      </c>
      <c r="I121" s="545">
        <f t="shared" si="5"/>
        <v>0</v>
      </c>
    </row>
    <row r="122" spans="1:10" ht="44.45" customHeight="1" x14ac:dyDescent="0.25">
      <c r="A122" s="567"/>
      <c r="B122" s="568" t="s">
        <v>1097</v>
      </c>
      <c r="C122" s="539" t="s">
        <v>1098</v>
      </c>
      <c r="D122" s="540" t="s">
        <v>1092</v>
      </c>
      <c r="E122" s="536">
        <f>2.03*2</f>
        <v>4.0599999999999996</v>
      </c>
      <c r="F122" s="545">
        <f t="shared" si="3"/>
        <v>4.871999999999999</v>
      </c>
      <c r="G122" s="536">
        <v>7878.5</v>
      </c>
      <c r="H122" s="545">
        <f t="shared" si="4"/>
        <v>6676.6949152542365</v>
      </c>
      <c r="I122" s="545">
        <f t="shared" si="5"/>
        <v>32528.857627118632</v>
      </c>
    </row>
    <row r="123" spans="1:10" ht="34.9" customHeight="1" x14ac:dyDescent="0.25">
      <c r="A123" s="567">
        <v>4</v>
      </c>
      <c r="B123" s="568" t="s">
        <v>1099</v>
      </c>
      <c r="C123" s="533" t="s">
        <v>1100</v>
      </c>
      <c r="D123" s="540"/>
      <c r="E123" s="536"/>
      <c r="F123" s="545">
        <f t="shared" si="3"/>
        <v>0</v>
      </c>
      <c r="G123" s="540"/>
      <c r="H123" s="545">
        <f t="shared" si="4"/>
        <v>0</v>
      </c>
      <c r="I123" s="545">
        <f t="shared" si="5"/>
        <v>0</v>
      </c>
    </row>
    <row r="124" spans="1:10" ht="42.6" customHeight="1" x14ac:dyDescent="0.25">
      <c r="A124" s="553"/>
      <c r="B124" s="568" t="s">
        <v>1101</v>
      </c>
      <c r="C124" s="533" t="s">
        <v>1102</v>
      </c>
      <c r="D124" s="540" t="s">
        <v>1092</v>
      </c>
      <c r="E124" s="536">
        <f>11.47*2</f>
        <v>22.94</v>
      </c>
      <c r="F124" s="545">
        <f t="shared" si="3"/>
        <v>27.528000000000002</v>
      </c>
      <c r="G124" s="536">
        <v>7132.25</v>
      </c>
      <c r="H124" s="545">
        <f t="shared" si="4"/>
        <v>6044.2796610169489</v>
      </c>
      <c r="I124" s="545">
        <f t="shared" si="5"/>
        <v>166386.93050847459</v>
      </c>
    </row>
    <row r="125" spans="1:10" ht="37.9" customHeight="1" x14ac:dyDescent="0.25">
      <c r="A125" s="567">
        <v>5</v>
      </c>
      <c r="B125" s="568" t="s">
        <v>1103</v>
      </c>
      <c r="C125" s="533" t="s">
        <v>1104</v>
      </c>
      <c r="D125" s="540"/>
      <c r="E125" s="540"/>
      <c r="F125" s="545">
        <f t="shared" si="3"/>
        <v>0</v>
      </c>
      <c r="G125" s="536"/>
      <c r="H125" s="545">
        <f t="shared" si="4"/>
        <v>0</v>
      </c>
      <c r="I125" s="545">
        <f t="shared" si="5"/>
        <v>0</v>
      </c>
    </row>
    <row r="126" spans="1:10" ht="48.6" customHeight="1" x14ac:dyDescent="0.25">
      <c r="A126" s="534"/>
      <c r="B126" s="568" t="s">
        <v>1105</v>
      </c>
      <c r="C126" s="554" t="s">
        <v>1106</v>
      </c>
      <c r="D126" s="544" t="s">
        <v>1107</v>
      </c>
      <c r="E126" s="545">
        <f>93.28*2</f>
        <v>186.56</v>
      </c>
      <c r="F126" s="545">
        <f t="shared" si="3"/>
        <v>223.87199999999999</v>
      </c>
      <c r="G126" s="545">
        <v>425.55</v>
      </c>
      <c r="H126" s="545">
        <f t="shared" si="4"/>
        <v>360.63559322033899</v>
      </c>
      <c r="I126" s="545">
        <f t="shared" si="5"/>
        <v>80736.211525423729</v>
      </c>
    </row>
    <row r="127" spans="1:10" ht="84" customHeight="1" x14ac:dyDescent="0.25">
      <c r="A127" s="567">
        <v>6</v>
      </c>
      <c r="B127" s="568" t="s">
        <v>1108</v>
      </c>
      <c r="C127" s="533" t="s">
        <v>1109</v>
      </c>
      <c r="D127" s="540" t="s">
        <v>1107</v>
      </c>
      <c r="E127" s="536">
        <f>14.19*2</f>
        <v>28.38</v>
      </c>
      <c r="F127" s="545">
        <f t="shared" si="3"/>
        <v>34.055999999999997</v>
      </c>
      <c r="G127" s="536">
        <f>'[6]DAR 11.2'!F21</f>
        <v>474.89393798373419</v>
      </c>
      <c r="H127" s="545">
        <f t="shared" si="4"/>
        <v>402.45248981672387</v>
      </c>
      <c r="I127" s="545">
        <f t="shared" si="5"/>
        <v>13705.921993198346</v>
      </c>
    </row>
    <row r="128" spans="1:10" ht="160.15" customHeight="1" x14ac:dyDescent="0.25">
      <c r="A128" s="567">
        <v>7</v>
      </c>
      <c r="B128" s="568" t="s">
        <v>1110</v>
      </c>
      <c r="C128" s="533" t="s">
        <v>1111</v>
      </c>
      <c r="D128" s="540" t="s">
        <v>1092</v>
      </c>
      <c r="E128" s="536">
        <f>3.02*2</f>
        <v>6.04</v>
      </c>
      <c r="F128" s="545">
        <f t="shared" si="3"/>
        <v>7.2479999999999993</v>
      </c>
      <c r="G128" s="536">
        <v>11505.5</v>
      </c>
      <c r="H128" s="545">
        <f t="shared" si="4"/>
        <v>9750.4237288135591</v>
      </c>
      <c r="I128" s="545">
        <f t="shared" si="5"/>
        <v>70671.071186440677</v>
      </c>
    </row>
    <row r="129" spans="1:9" ht="65.45" customHeight="1" x14ac:dyDescent="0.25">
      <c r="A129" s="567">
        <v>8</v>
      </c>
      <c r="B129" s="568" t="s">
        <v>1112</v>
      </c>
      <c r="C129" s="533" t="s">
        <v>1113</v>
      </c>
      <c r="D129" s="540"/>
      <c r="E129" s="540"/>
      <c r="F129" s="545">
        <f t="shared" si="3"/>
        <v>0</v>
      </c>
      <c r="G129" s="536"/>
      <c r="H129" s="545">
        <f t="shared" si="4"/>
        <v>0</v>
      </c>
      <c r="I129" s="545">
        <f t="shared" si="5"/>
        <v>0</v>
      </c>
    </row>
    <row r="130" spans="1:9" ht="57" customHeight="1" x14ac:dyDescent="0.25">
      <c r="A130" s="567"/>
      <c r="B130" s="568" t="s">
        <v>1114</v>
      </c>
      <c r="C130" s="533" t="s">
        <v>1115</v>
      </c>
      <c r="D130" s="540" t="s">
        <v>1107</v>
      </c>
      <c r="E130" s="536">
        <f>10.72*2</f>
        <v>21.44</v>
      </c>
      <c r="F130" s="545">
        <f t="shared" si="3"/>
        <v>25.728000000000002</v>
      </c>
      <c r="G130" s="569">
        <v>927.25</v>
      </c>
      <c r="H130" s="545">
        <f t="shared" si="4"/>
        <v>785.80508474576266</v>
      </c>
      <c r="I130" s="545">
        <f t="shared" si="5"/>
        <v>20217.193220338984</v>
      </c>
    </row>
    <row r="131" spans="1:9" ht="36.6" customHeight="1" x14ac:dyDescent="0.25">
      <c r="A131" s="567"/>
      <c r="B131" s="568" t="s">
        <v>1116</v>
      </c>
      <c r="C131" s="570" t="s">
        <v>1117</v>
      </c>
      <c r="D131" s="540" t="s">
        <v>1107</v>
      </c>
      <c r="E131" s="536">
        <f>0.38*2</f>
        <v>0.76</v>
      </c>
      <c r="F131" s="545">
        <f t="shared" si="3"/>
        <v>0.91199999999999992</v>
      </c>
      <c r="G131" s="536">
        <v>736.4</v>
      </c>
      <c r="H131" s="545">
        <f t="shared" si="4"/>
        <v>624.06779661016947</v>
      </c>
      <c r="I131" s="545">
        <f t="shared" si="5"/>
        <v>569.14983050847445</v>
      </c>
    </row>
    <row r="132" spans="1:9" ht="34.9" customHeight="1" x14ac:dyDescent="0.25">
      <c r="A132" s="567"/>
      <c r="B132" s="568" t="s">
        <v>1118</v>
      </c>
      <c r="C132" s="533" t="s">
        <v>1119</v>
      </c>
      <c r="D132" s="540" t="s">
        <v>1107</v>
      </c>
      <c r="E132" s="536">
        <f>6*2</f>
        <v>12</v>
      </c>
      <c r="F132" s="545">
        <f t="shared" si="3"/>
        <v>14.399999999999999</v>
      </c>
      <c r="G132" s="536">
        <v>961.3</v>
      </c>
      <c r="H132" s="545">
        <f t="shared" si="4"/>
        <v>814.66101694915244</v>
      </c>
      <c r="I132" s="545">
        <f t="shared" si="5"/>
        <v>11731.118644067794</v>
      </c>
    </row>
    <row r="133" spans="1:9" ht="72" customHeight="1" x14ac:dyDescent="0.25">
      <c r="A133" s="567">
        <v>9</v>
      </c>
      <c r="B133" s="568" t="s">
        <v>1120</v>
      </c>
      <c r="C133" s="533" t="s">
        <v>1121</v>
      </c>
      <c r="D133" s="540"/>
      <c r="E133" s="540"/>
      <c r="F133" s="545">
        <f t="shared" si="3"/>
        <v>0</v>
      </c>
      <c r="G133" s="536"/>
      <c r="H133" s="545">
        <f t="shared" si="4"/>
        <v>0</v>
      </c>
      <c r="I133" s="545">
        <f t="shared" si="5"/>
        <v>0</v>
      </c>
    </row>
    <row r="134" spans="1:9" ht="43.9" customHeight="1" x14ac:dyDescent="0.25">
      <c r="A134" s="567"/>
      <c r="B134" s="568" t="s">
        <v>1122</v>
      </c>
      <c r="C134" s="533" t="s">
        <v>194</v>
      </c>
      <c r="D134" s="540" t="s">
        <v>195</v>
      </c>
      <c r="E134" s="536">
        <f>190*2</f>
        <v>380</v>
      </c>
      <c r="F134" s="545">
        <f t="shared" si="3"/>
        <v>456</v>
      </c>
      <c r="G134" s="536">
        <v>107.85</v>
      </c>
      <c r="H134" s="545">
        <f t="shared" si="4"/>
        <v>91.398305084745758</v>
      </c>
      <c r="I134" s="545">
        <f t="shared" si="5"/>
        <v>41677.627118644064</v>
      </c>
    </row>
    <row r="135" spans="1:9" ht="34.9" customHeight="1" x14ac:dyDescent="0.25">
      <c r="A135" s="567">
        <v>10</v>
      </c>
      <c r="B135" s="568" t="s">
        <v>1123</v>
      </c>
      <c r="C135" s="533" t="s">
        <v>1124</v>
      </c>
      <c r="D135" s="540"/>
      <c r="E135" s="540"/>
      <c r="F135" s="545">
        <f t="shared" si="3"/>
        <v>0</v>
      </c>
      <c r="G135" s="540"/>
      <c r="H135" s="545">
        <f t="shared" si="4"/>
        <v>0</v>
      </c>
      <c r="I135" s="545">
        <f t="shared" si="5"/>
        <v>0</v>
      </c>
    </row>
    <row r="136" spans="1:9" ht="54" customHeight="1" x14ac:dyDescent="0.25">
      <c r="A136" s="567"/>
      <c r="B136" s="568" t="s">
        <v>1125</v>
      </c>
      <c r="C136" s="533" t="s">
        <v>1126</v>
      </c>
      <c r="D136" s="540" t="s">
        <v>948</v>
      </c>
      <c r="E136" s="536">
        <f>2*2</f>
        <v>4</v>
      </c>
      <c r="F136" s="545">
        <f t="shared" ref="F136:F199" si="6">E136*1.2</f>
        <v>4.8</v>
      </c>
      <c r="G136" s="536">
        <v>3441.2</v>
      </c>
      <c r="H136" s="545">
        <f t="shared" ref="H136:H195" si="7">G136*(100/118)</f>
        <v>2916.2711864406779</v>
      </c>
      <c r="I136" s="545">
        <f t="shared" ref="I136:I199" si="8">H136*F136</f>
        <v>13998.101694915253</v>
      </c>
    </row>
    <row r="137" spans="1:9" ht="94.5" x14ac:dyDescent="0.25">
      <c r="A137" s="567">
        <v>11</v>
      </c>
      <c r="B137" s="568" t="s">
        <v>1127</v>
      </c>
      <c r="C137" s="533" t="s">
        <v>1128</v>
      </c>
      <c r="D137" s="540"/>
      <c r="E137" s="540"/>
      <c r="F137" s="545">
        <f t="shared" si="6"/>
        <v>0</v>
      </c>
      <c r="G137" s="540"/>
      <c r="H137" s="545">
        <f t="shared" si="7"/>
        <v>0</v>
      </c>
      <c r="I137" s="545">
        <f t="shared" si="8"/>
        <v>0</v>
      </c>
    </row>
    <row r="138" spans="1:9" ht="33.6" customHeight="1" x14ac:dyDescent="0.25">
      <c r="A138" s="534"/>
      <c r="B138" s="568" t="s">
        <v>1129</v>
      </c>
      <c r="C138" s="554" t="s">
        <v>1130</v>
      </c>
      <c r="D138" s="540" t="s">
        <v>948</v>
      </c>
      <c r="E138" s="536">
        <f>18*2</f>
        <v>36</v>
      </c>
      <c r="F138" s="545">
        <f t="shared" si="6"/>
        <v>43.199999999999996</v>
      </c>
      <c r="G138" s="536">
        <v>544.70000000000005</v>
      </c>
      <c r="H138" s="545">
        <f t="shared" si="7"/>
        <v>461.61016949152543</v>
      </c>
      <c r="I138" s="545">
        <f t="shared" si="8"/>
        <v>19941.559322033896</v>
      </c>
    </row>
    <row r="139" spans="1:9" ht="23.45" customHeight="1" x14ac:dyDescent="0.25">
      <c r="A139" s="534"/>
      <c r="B139" s="568"/>
      <c r="C139" s="554"/>
      <c r="D139" s="540"/>
      <c r="E139" s="536"/>
      <c r="F139" s="545">
        <f t="shared" si="6"/>
        <v>0</v>
      </c>
      <c r="G139" s="536"/>
      <c r="H139" s="545">
        <f t="shared" si="7"/>
        <v>0</v>
      </c>
      <c r="I139" s="545">
        <f t="shared" si="8"/>
        <v>0</v>
      </c>
    </row>
    <row r="140" spans="1:9" ht="20.45" customHeight="1" x14ac:dyDescent="0.25">
      <c r="A140" s="531" t="s">
        <v>1131</v>
      </c>
      <c r="B140" s="571" t="s">
        <v>1132</v>
      </c>
      <c r="C140" s="533"/>
      <c r="D140" s="540"/>
      <c r="E140" s="536"/>
      <c r="F140" s="545">
        <f t="shared" si="6"/>
        <v>0</v>
      </c>
      <c r="G140" s="536"/>
      <c r="H140" s="545">
        <f t="shared" si="7"/>
        <v>0</v>
      </c>
      <c r="I140" s="545">
        <f t="shared" si="8"/>
        <v>0</v>
      </c>
    </row>
    <row r="141" spans="1:9" ht="27" customHeight="1" x14ac:dyDescent="0.25">
      <c r="A141" s="531"/>
      <c r="B141" s="572" t="s">
        <v>1133</v>
      </c>
      <c r="C141" s="573"/>
      <c r="D141" s="540"/>
      <c r="E141" s="536"/>
      <c r="F141" s="545">
        <f t="shared" si="6"/>
        <v>0</v>
      </c>
      <c r="G141" s="536"/>
      <c r="H141" s="545">
        <f t="shared" si="7"/>
        <v>0</v>
      </c>
      <c r="I141" s="545">
        <f t="shared" si="8"/>
        <v>0</v>
      </c>
    </row>
    <row r="142" spans="1:9" ht="191.45" customHeight="1" x14ac:dyDescent="0.2">
      <c r="A142" s="574">
        <v>1</v>
      </c>
      <c r="B142" s="575" t="s">
        <v>1134</v>
      </c>
      <c r="C142" s="576" t="s">
        <v>1135</v>
      </c>
      <c r="D142" s="577"/>
      <c r="E142" s="577"/>
      <c r="F142" s="545">
        <f t="shared" si="6"/>
        <v>0</v>
      </c>
      <c r="G142" s="578"/>
      <c r="H142" s="545">
        <f t="shared" si="7"/>
        <v>0</v>
      </c>
      <c r="I142" s="545">
        <f t="shared" si="8"/>
        <v>0</v>
      </c>
    </row>
    <row r="143" spans="1:9" ht="33.6" customHeight="1" x14ac:dyDescent="0.25">
      <c r="A143" s="579"/>
      <c r="B143" s="575" t="s">
        <v>1136</v>
      </c>
      <c r="C143" s="580" t="s">
        <v>1137</v>
      </c>
      <c r="D143" s="577"/>
      <c r="E143" s="577"/>
      <c r="F143" s="545">
        <f t="shared" si="6"/>
        <v>0</v>
      </c>
      <c r="G143" s="578"/>
      <c r="H143" s="545">
        <f t="shared" si="7"/>
        <v>0</v>
      </c>
      <c r="I143" s="545">
        <f t="shared" si="8"/>
        <v>0</v>
      </c>
    </row>
    <row r="144" spans="1:9" ht="33.6" customHeight="1" x14ac:dyDescent="0.25">
      <c r="A144" s="579"/>
      <c r="B144" s="575" t="s">
        <v>1138</v>
      </c>
      <c r="C144" s="580" t="s">
        <v>1139</v>
      </c>
      <c r="D144" s="581" t="s">
        <v>1140</v>
      </c>
      <c r="E144" s="582">
        <v>150</v>
      </c>
      <c r="F144" s="545">
        <f t="shared" si="6"/>
        <v>180</v>
      </c>
      <c r="G144" s="582">
        <v>707.75</v>
      </c>
      <c r="H144" s="545">
        <f t="shared" si="7"/>
        <v>599.78813559322032</v>
      </c>
      <c r="I144" s="545">
        <f t="shared" si="8"/>
        <v>107961.86440677966</v>
      </c>
    </row>
    <row r="145" spans="1:9" ht="198.6" customHeight="1" x14ac:dyDescent="0.2">
      <c r="A145" s="574">
        <v>2</v>
      </c>
      <c r="B145" s="575" t="s">
        <v>1141</v>
      </c>
      <c r="C145" s="576" t="s">
        <v>1135</v>
      </c>
      <c r="D145" s="577"/>
      <c r="E145" s="577"/>
      <c r="F145" s="545">
        <f t="shared" si="6"/>
        <v>0</v>
      </c>
      <c r="G145" s="578"/>
      <c r="H145" s="545">
        <f t="shared" si="7"/>
        <v>0</v>
      </c>
      <c r="I145" s="545">
        <f t="shared" si="8"/>
        <v>0</v>
      </c>
    </row>
    <row r="146" spans="1:9" ht="33.6" customHeight="1" x14ac:dyDescent="0.25">
      <c r="A146" s="579"/>
      <c r="B146" s="575" t="s">
        <v>1142</v>
      </c>
      <c r="C146" s="580" t="s">
        <v>1137</v>
      </c>
      <c r="D146" s="577"/>
      <c r="E146" s="577"/>
      <c r="F146" s="545">
        <f t="shared" si="6"/>
        <v>0</v>
      </c>
      <c r="G146" s="578"/>
      <c r="H146" s="545">
        <f t="shared" si="7"/>
        <v>0</v>
      </c>
      <c r="I146" s="545">
        <f t="shared" si="8"/>
        <v>0</v>
      </c>
    </row>
    <row r="147" spans="1:9" ht="33.6" customHeight="1" x14ac:dyDescent="0.25">
      <c r="A147" s="579"/>
      <c r="B147" s="575" t="s">
        <v>1143</v>
      </c>
      <c r="C147" s="580" t="s">
        <v>1139</v>
      </c>
      <c r="D147" s="581" t="s">
        <v>1140</v>
      </c>
      <c r="E147" s="582">
        <v>50</v>
      </c>
      <c r="F147" s="545">
        <f t="shared" si="6"/>
        <v>60</v>
      </c>
      <c r="G147" s="582">
        <v>825.7</v>
      </c>
      <c r="H147" s="545">
        <f t="shared" si="7"/>
        <v>699.74576271186436</v>
      </c>
      <c r="I147" s="545">
        <f t="shared" si="8"/>
        <v>41984.745762711864</v>
      </c>
    </row>
    <row r="148" spans="1:9" ht="145.9" customHeight="1" x14ac:dyDescent="0.2">
      <c r="A148" s="575">
        <v>3</v>
      </c>
      <c r="B148" s="575" t="s">
        <v>1144</v>
      </c>
      <c r="C148" s="576" t="s">
        <v>1145</v>
      </c>
      <c r="D148" s="577"/>
      <c r="E148" s="577"/>
      <c r="F148" s="545">
        <f t="shared" si="6"/>
        <v>0</v>
      </c>
      <c r="G148" s="578"/>
      <c r="H148" s="545">
        <f t="shared" si="7"/>
        <v>0</v>
      </c>
      <c r="I148" s="545">
        <f t="shared" si="8"/>
        <v>0</v>
      </c>
    </row>
    <row r="149" spans="1:9" ht="33.6" customHeight="1" x14ac:dyDescent="0.2">
      <c r="A149" s="575"/>
      <c r="B149" s="575" t="s">
        <v>1146</v>
      </c>
      <c r="C149" s="580" t="s">
        <v>1147</v>
      </c>
      <c r="D149" s="581" t="s">
        <v>1140</v>
      </c>
      <c r="E149" s="581">
        <v>80</v>
      </c>
      <c r="F149" s="545">
        <f t="shared" si="6"/>
        <v>96</v>
      </c>
      <c r="G149" s="582">
        <v>672.3</v>
      </c>
      <c r="H149" s="545">
        <f t="shared" si="7"/>
        <v>569.74576271186436</v>
      </c>
      <c r="I149" s="545">
        <f t="shared" si="8"/>
        <v>54695.593220338982</v>
      </c>
    </row>
    <row r="150" spans="1:9" ht="33.6" customHeight="1" x14ac:dyDescent="0.25">
      <c r="A150" s="579"/>
      <c r="B150" s="575" t="s">
        <v>1148</v>
      </c>
      <c r="C150" s="580" t="s">
        <v>1149</v>
      </c>
      <c r="D150" s="581" t="s">
        <v>1140</v>
      </c>
      <c r="E150" s="581">
        <v>50</v>
      </c>
      <c r="F150" s="545">
        <f t="shared" si="6"/>
        <v>60</v>
      </c>
      <c r="G150" s="582">
        <v>793.25</v>
      </c>
      <c r="H150" s="545">
        <f t="shared" si="7"/>
        <v>672.24576271186436</v>
      </c>
      <c r="I150" s="545">
        <f t="shared" si="8"/>
        <v>40334.745762711864</v>
      </c>
    </row>
    <row r="151" spans="1:9" ht="145.15" customHeight="1" x14ac:dyDescent="0.2">
      <c r="A151" s="575">
        <v>4</v>
      </c>
      <c r="B151" s="575" t="s">
        <v>1150</v>
      </c>
      <c r="C151" s="576" t="s">
        <v>1151</v>
      </c>
      <c r="D151" s="577"/>
      <c r="E151" s="577"/>
      <c r="F151" s="545">
        <f t="shared" si="6"/>
        <v>0</v>
      </c>
      <c r="G151" s="578"/>
      <c r="H151" s="545">
        <f t="shared" si="7"/>
        <v>0</v>
      </c>
      <c r="I151" s="545">
        <f t="shared" si="8"/>
        <v>0</v>
      </c>
    </row>
    <row r="152" spans="1:9" ht="33.6" customHeight="1" x14ac:dyDescent="0.2">
      <c r="A152" s="575"/>
      <c r="B152" s="575" t="s">
        <v>1152</v>
      </c>
      <c r="C152" s="580" t="s">
        <v>1147</v>
      </c>
      <c r="D152" s="581" t="s">
        <v>879</v>
      </c>
      <c r="E152" s="581">
        <v>50</v>
      </c>
      <c r="F152" s="545">
        <f t="shared" si="6"/>
        <v>60</v>
      </c>
      <c r="G152" s="582">
        <v>686.55</v>
      </c>
      <c r="H152" s="545">
        <f t="shared" si="7"/>
        <v>581.82203389830499</v>
      </c>
      <c r="I152" s="545">
        <f t="shared" si="8"/>
        <v>34909.322033898301</v>
      </c>
    </row>
    <row r="153" spans="1:9" ht="117.6" customHeight="1" x14ac:dyDescent="0.25">
      <c r="A153" s="575">
        <v>5</v>
      </c>
      <c r="B153" s="575" t="s">
        <v>1153</v>
      </c>
      <c r="C153" s="583" t="s">
        <v>1154</v>
      </c>
      <c r="D153" s="584" t="s">
        <v>1155</v>
      </c>
      <c r="E153" s="584">
        <f>7.08*2</f>
        <v>14.16</v>
      </c>
      <c r="F153" s="545">
        <f t="shared" si="6"/>
        <v>16.992000000000001</v>
      </c>
      <c r="G153" s="585">
        <v>2024.5</v>
      </c>
      <c r="H153" s="545">
        <f t="shared" si="7"/>
        <v>1715.6779661016949</v>
      </c>
      <c r="I153" s="545">
        <f t="shared" si="8"/>
        <v>29152.800000000003</v>
      </c>
    </row>
    <row r="154" spans="1:9" ht="304.89999999999998" customHeight="1" x14ac:dyDescent="0.25">
      <c r="A154" s="575">
        <v>6</v>
      </c>
      <c r="B154" s="575" t="s">
        <v>1156</v>
      </c>
      <c r="C154" s="576" t="s">
        <v>1157</v>
      </c>
      <c r="D154" s="584" t="s">
        <v>1158</v>
      </c>
      <c r="E154" s="584">
        <f>48*2</f>
        <v>96</v>
      </c>
      <c r="F154" s="545">
        <f t="shared" si="6"/>
        <v>115.19999999999999</v>
      </c>
      <c r="G154" s="585">
        <v>1085.05</v>
      </c>
      <c r="H154" s="545">
        <f t="shared" si="7"/>
        <v>919.53389830508468</v>
      </c>
      <c r="I154" s="545">
        <f t="shared" si="8"/>
        <v>105930.30508474575</v>
      </c>
    </row>
    <row r="155" spans="1:9" ht="100.9" customHeight="1" x14ac:dyDescent="0.2">
      <c r="A155" s="575">
        <v>7</v>
      </c>
      <c r="B155" s="575" t="s">
        <v>1159</v>
      </c>
      <c r="C155" s="583" t="s">
        <v>1160</v>
      </c>
      <c r="D155" s="577"/>
      <c r="E155" s="577"/>
      <c r="F155" s="545">
        <f t="shared" si="6"/>
        <v>0</v>
      </c>
      <c r="G155" s="578"/>
      <c r="H155" s="545"/>
      <c r="I155" s="545">
        <f t="shared" si="8"/>
        <v>0</v>
      </c>
    </row>
    <row r="156" spans="1:9" ht="33.6" customHeight="1" x14ac:dyDescent="0.25">
      <c r="A156" s="579"/>
      <c r="B156" s="575" t="s">
        <v>1161</v>
      </c>
      <c r="C156" s="580" t="s">
        <v>1162</v>
      </c>
      <c r="D156" s="581" t="s">
        <v>378</v>
      </c>
      <c r="E156" s="581">
        <v>2</v>
      </c>
      <c r="F156" s="545">
        <f t="shared" si="6"/>
        <v>2.4</v>
      </c>
      <c r="G156" s="582">
        <v>246.45</v>
      </c>
      <c r="H156" s="545">
        <f t="shared" si="7"/>
        <v>208.85593220338981</v>
      </c>
      <c r="I156" s="545">
        <f t="shared" si="8"/>
        <v>501.25423728813553</v>
      </c>
    </row>
    <row r="157" spans="1:9" ht="106.9" customHeight="1" x14ac:dyDescent="0.25">
      <c r="A157" s="575">
        <v>8</v>
      </c>
      <c r="B157" s="575" t="s">
        <v>1163</v>
      </c>
      <c r="C157" s="583" t="s">
        <v>1164</v>
      </c>
      <c r="D157" s="586"/>
      <c r="E157" s="587"/>
      <c r="F157" s="545">
        <f t="shared" si="6"/>
        <v>0</v>
      </c>
      <c r="G157" s="587"/>
      <c r="H157" s="545"/>
      <c r="I157" s="545">
        <f t="shared" si="8"/>
        <v>0</v>
      </c>
    </row>
    <row r="158" spans="1:9" ht="33.6" customHeight="1" x14ac:dyDescent="0.25">
      <c r="A158" s="579"/>
      <c r="B158" s="575" t="s">
        <v>1165</v>
      </c>
      <c r="C158" s="580" t="s">
        <v>1162</v>
      </c>
      <c r="D158" s="581" t="s">
        <v>378</v>
      </c>
      <c r="E158" s="581">
        <v>2</v>
      </c>
      <c r="F158" s="545">
        <f t="shared" si="6"/>
        <v>2.4</v>
      </c>
      <c r="G158" s="582">
        <v>2019.05</v>
      </c>
      <c r="H158" s="545">
        <f t="shared" si="7"/>
        <v>1711.0593220338983</v>
      </c>
      <c r="I158" s="545">
        <f t="shared" si="8"/>
        <v>4106.5423728813557</v>
      </c>
    </row>
    <row r="159" spans="1:9" ht="55.9" customHeight="1" x14ac:dyDescent="0.25">
      <c r="A159" s="575">
        <v>9</v>
      </c>
      <c r="B159" s="575" t="s">
        <v>1166</v>
      </c>
      <c r="C159" s="583" t="s">
        <v>1167</v>
      </c>
      <c r="D159" s="586"/>
      <c r="E159" s="587"/>
      <c r="F159" s="545">
        <f t="shared" si="6"/>
        <v>0</v>
      </c>
      <c r="G159" s="587"/>
      <c r="H159" s="545"/>
      <c r="I159" s="545">
        <f t="shared" si="8"/>
        <v>0</v>
      </c>
    </row>
    <row r="160" spans="1:9" ht="33.6" customHeight="1" x14ac:dyDescent="0.25">
      <c r="A160" s="579"/>
      <c r="B160" s="575" t="s">
        <v>1168</v>
      </c>
      <c r="C160" s="580" t="s">
        <v>1169</v>
      </c>
      <c r="D160" s="581" t="s">
        <v>378</v>
      </c>
      <c r="E160" s="581">
        <v>2</v>
      </c>
      <c r="F160" s="545">
        <f t="shared" si="6"/>
        <v>2.4</v>
      </c>
      <c r="G160" s="582">
        <v>265.10000000000002</v>
      </c>
      <c r="H160" s="545">
        <f t="shared" si="7"/>
        <v>224.66101694915255</v>
      </c>
      <c r="I160" s="545">
        <f t="shared" si="8"/>
        <v>539.18644067796606</v>
      </c>
    </row>
    <row r="161" spans="1:9" ht="27" customHeight="1" x14ac:dyDescent="0.25">
      <c r="A161" s="579"/>
      <c r="B161" s="575"/>
      <c r="C161" s="580"/>
      <c r="D161" s="581"/>
      <c r="E161" s="581"/>
      <c r="F161" s="545">
        <f t="shared" si="6"/>
        <v>0</v>
      </c>
      <c r="G161" s="582"/>
      <c r="H161" s="545"/>
      <c r="I161" s="545">
        <f t="shared" si="8"/>
        <v>0</v>
      </c>
    </row>
    <row r="162" spans="1:9" ht="22.15" customHeight="1" x14ac:dyDescent="0.2">
      <c r="A162" s="531" t="s">
        <v>1170</v>
      </c>
      <c r="B162" s="571" t="s">
        <v>1171</v>
      </c>
      <c r="C162" s="533"/>
      <c r="D162" s="236"/>
      <c r="E162" s="236"/>
      <c r="F162" s="545">
        <f t="shared" si="6"/>
        <v>0</v>
      </c>
      <c r="G162" s="236"/>
      <c r="H162" s="545"/>
      <c r="I162" s="545">
        <f t="shared" si="8"/>
        <v>0</v>
      </c>
    </row>
    <row r="163" spans="1:9" ht="19.899999999999999" customHeight="1" x14ac:dyDescent="0.25">
      <c r="A163" s="588"/>
      <c r="B163" s="532" t="s">
        <v>1172</v>
      </c>
      <c r="C163" s="533"/>
      <c r="D163" s="589"/>
      <c r="E163" s="589"/>
      <c r="F163" s="545">
        <f t="shared" si="6"/>
        <v>0</v>
      </c>
      <c r="G163" s="560"/>
      <c r="H163" s="545"/>
      <c r="I163" s="545">
        <f t="shared" si="8"/>
        <v>0</v>
      </c>
    </row>
    <row r="164" spans="1:9" ht="177" customHeight="1" x14ac:dyDescent="0.25">
      <c r="A164" s="567">
        <v>1</v>
      </c>
      <c r="B164" s="568" t="s">
        <v>1088</v>
      </c>
      <c r="C164" s="533" t="s">
        <v>1089</v>
      </c>
      <c r="D164" s="540"/>
      <c r="E164" s="536"/>
      <c r="F164" s="545">
        <f t="shared" si="6"/>
        <v>0</v>
      </c>
      <c r="G164" s="536"/>
      <c r="H164" s="545"/>
      <c r="I164" s="545">
        <f t="shared" si="8"/>
        <v>0</v>
      </c>
    </row>
    <row r="165" spans="1:9" ht="33.6" customHeight="1" x14ac:dyDescent="0.25">
      <c r="A165" s="567"/>
      <c r="B165" s="568" t="s">
        <v>1090</v>
      </c>
      <c r="C165" s="543" t="s">
        <v>1091</v>
      </c>
      <c r="D165" s="540" t="s">
        <v>1092</v>
      </c>
      <c r="E165" s="536">
        <v>111.5</v>
      </c>
      <c r="F165" s="545">
        <f t="shared" si="6"/>
        <v>133.79999999999998</v>
      </c>
      <c r="G165" s="536">
        <v>260.3</v>
      </c>
      <c r="H165" s="545">
        <f t="shared" si="7"/>
        <v>220.59322033898306</v>
      </c>
      <c r="I165" s="545">
        <f t="shared" si="8"/>
        <v>29515.372881355928</v>
      </c>
    </row>
    <row r="166" spans="1:9" ht="70.900000000000006" customHeight="1" x14ac:dyDescent="0.25">
      <c r="A166" s="567">
        <v>2</v>
      </c>
      <c r="B166" s="568" t="s">
        <v>1093</v>
      </c>
      <c r="C166" s="533" t="s">
        <v>1094</v>
      </c>
      <c r="D166" s="540" t="s">
        <v>1092</v>
      </c>
      <c r="E166" s="536">
        <v>1.78</v>
      </c>
      <c r="F166" s="545">
        <f t="shared" si="6"/>
        <v>2.1360000000000001</v>
      </c>
      <c r="G166" s="536">
        <v>2123.75</v>
      </c>
      <c r="H166" s="545">
        <f t="shared" si="7"/>
        <v>1799.7881355932202</v>
      </c>
      <c r="I166" s="545">
        <f t="shared" si="8"/>
        <v>3844.3474576271187</v>
      </c>
    </row>
    <row r="167" spans="1:9" ht="81.599999999999994" customHeight="1" x14ac:dyDescent="0.25">
      <c r="A167" s="567">
        <v>3</v>
      </c>
      <c r="B167" s="568" t="s">
        <v>1173</v>
      </c>
      <c r="C167" s="533" t="s">
        <v>1109</v>
      </c>
      <c r="D167" s="540" t="s">
        <v>334</v>
      </c>
      <c r="E167" s="536">
        <v>14.3</v>
      </c>
      <c r="F167" s="545">
        <f t="shared" si="6"/>
        <v>17.16</v>
      </c>
      <c r="G167" s="536">
        <v>472.63</v>
      </c>
      <c r="H167" s="545">
        <f t="shared" si="7"/>
        <v>400.53389830508473</v>
      </c>
      <c r="I167" s="545">
        <f t="shared" si="8"/>
        <v>6873.161694915254</v>
      </c>
    </row>
    <row r="168" spans="1:9" ht="64.900000000000006" customHeight="1" x14ac:dyDescent="0.25">
      <c r="A168" s="567">
        <v>4</v>
      </c>
      <c r="B168" s="568" t="s">
        <v>1095</v>
      </c>
      <c r="C168" s="533" t="s">
        <v>1096</v>
      </c>
      <c r="D168" s="534"/>
      <c r="E168" s="236"/>
      <c r="F168" s="545">
        <f t="shared" si="6"/>
        <v>0</v>
      </c>
      <c r="G168" s="534"/>
      <c r="H168" s="545">
        <f t="shared" si="7"/>
        <v>0</v>
      </c>
      <c r="I168" s="545">
        <f t="shared" si="8"/>
        <v>0</v>
      </c>
    </row>
    <row r="169" spans="1:9" ht="33.6" customHeight="1" x14ac:dyDescent="0.25">
      <c r="A169" s="534"/>
      <c r="B169" s="568" t="s">
        <v>1097</v>
      </c>
      <c r="C169" s="539" t="s">
        <v>1098</v>
      </c>
      <c r="D169" s="540" t="s">
        <v>1092</v>
      </c>
      <c r="E169" s="536">
        <v>1.9</v>
      </c>
      <c r="F169" s="545">
        <f t="shared" si="6"/>
        <v>2.2799999999999998</v>
      </c>
      <c r="G169" s="536">
        <v>7878.5</v>
      </c>
      <c r="H169" s="545">
        <f t="shared" si="7"/>
        <v>6676.6949152542365</v>
      </c>
      <c r="I169" s="545">
        <f t="shared" si="8"/>
        <v>15222.864406779658</v>
      </c>
    </row>
    <row r="170" spans="1:9" ht="52.9" customHeight="1" x14ac:dyDescent="0.25">
      <c r="A170" s="567">
        <v>5</v>
      </c>
      <c r="B170" s="568" t="s">
        <v>1099</v>
      </c>
      <c r="C170" s="533" t="s">
        <v>1100</v>
      </c>
      <c r="D170" s="534"/>
      <c r="E170" s="236"/>
      <c r="F170" s="545">
        <f t="shared" si="6"/>
        <v>0</v>
      </c>
      <c r="G170" s="534"/>
      <c r="H170" s="545">
        <f t="shared" si="7"/>
        <v>0</v>
      </c>
      <c r="I170" s="545">
        <f t="shared" si="8"/>
        <v>0</v>
      </c>
    </row>
    <row r="171" spans="1:9" ht="33.6" customHeight="1" x14ac:dyDescent="0.25">
      <c r="A171" s="567"/>
      <c r="B171" s="568" t="s">
        <v>1101</v>
      </c>
      <c r="C171" s="533" t="s">
        <v>1102</v>
      </c>
      <c r="D171" s="540" t="s">
        <v>1092</v>
      </c>
      <c r="E171" s="536">
        <v>17.88</v>
      </c>
      <c r="F171" s="545">
        <f t="shared" si="6"/>
        <v>21.456</v>
      </c>
      <c r="G171" s="536">
        <v>7132.25</v>
      </c>
      <c r="H171" s="545">
        <f t="shared" si="7"/>
        <v>6044.2796610169489</v>
      </c>
      <c r="I171" s="545">
        <f t="shared" si="8"/>
        <v>129686.06440677965</v>
      </c>
    </row>
    <row r="172" spans="1:9" ht="33.6" customHeight="1" x14ac:dyDescent="0.25">
      <c r="A172" s="567">
        <v>6</v>
      </c>
      <c r="B172" s="568" t="s">
        <v>1103</v>
      </c>
      <c r="C172" s="533" t="s">
        <v>1104</v>
      </c>
      <c r="D172" s="534"/>
      <c r="E172" s="236"/>
      <c r="F172" s="545">
        <f t="shared" si="6"/>
        <v>0</v>
      </c>
      <c r="G172" s="534"/>
      <c r="H172" s="545">
        <f t="shared" si="7"/>
        <v>0</v>
      </c>
      <c r="I172" s="545">
        <f t="shared" si="8"/>
        <v>0</v>
      </c>
    </row>
    <row r="173" spans="1:9" ht="33.6" customHeight="1" x14ac:dyDescent="0.25">
      <c r="A173" s="567"/>
      <c r="B173" s="568" t="s">
        <v>1105</v>
      </c>
      <c r="C173" s="554" t="s">
        <v>1106</v>
      </c>
      <c r="D173" s="540" t="s">
        <v>1107</v>
      </c>
      <c r="E173" s="536">
        <v>63.6</v>
      </c>
      <c r="F173" s="545">
        <f t="shared" si="6"/>
        <v>76.319999999999993</v>
      </c>
      <c r="G173" s="536">
        <v>425.55</v>
      </c>
      <c r="H173" s="545">
        <f t="shared" si="7"/>
        <v>360.63559322033899</v>
      </c>
      <c r="I173" s="545">
        <f t="shared" si="8"/>
        <v>27523.70847457627</v>
      </c>
    </row>
    <row r="174" spans="1:9" ht="144" customHeight="1" x14ac:dyDescent="0.25">
      <c r="A174" s="567">
        <v>7</v>
      </c>
      <c r="B174" s="568" t="s">
        <v>1110</v>
      </c>
      <c r="C174" s="533" t="s">
        <v>1111</v>
      </c>
      <c r="D174" s="540" t="s">
        <v>1092</v>
      </c>
      <c r="E174" s="536">
        <v>2.3199999999999998</v>
      </c>
      <c r="F174" s="545">
        <f t="shared" si="6"/>
        <v>2.7839999999999998</v>
      </c>
      <c r="G174" s="536">
        <v>11505.5</v>
      </c>
      <c r="H174" s="545">
        <f t="shared" si="7"/>
        <v>9750.4237288135591</v>
      </c>
      <c r="I174" s="545">
        <f t="shared" si="8"/>
        <v>27145.179661016948</v>
      </c>
    </row>
    <row r="175" spans="1:9" ht="70.900000000000006" customHeight="1" x14ac:dyDescent="0.25">
      <c r="A175" s="567">
        <v>8</v>
      </c>
      <c r="B175" s="568" t="s">
        <v>1120</v>
      </c>
      <c r="C175" s="533" t="s">
        <v>1121</v>
      </c>
      <c r="D175" s="540"/>
      <c r="E175" s="540"/>
      <c r="F175" s="545">
        <f t="shared" si="6"/>
        <v>0</v>
      </c>
      <c r="G175" s="536"/>
      <c r="H175" s="545">
        <f t="shared" si="7"/>
        <v>0</v>
      </c>
      <c r="I175" s="545">
        <f t="shared" si="8"/>
        <v>0</v>
      </c>
    </row>
    <row r="176" spans="1:9" ht="37.9" customHeight="1" x14ac:dyDescent="0.25">
      <c r="A176" s="534"/>
      <c r="B176" s="568" t="s">
        <v>1122</v>
      </c>
      <c r="C176" s="533" t="s">
        <v>194</v>
      </c>
      <c r="D176" s="540" t="s">
        <v>195</v>
      </c>
      <c r="E176" s="536">
        <v>56</v>
      </c>
      <c r="F176" s="545">
        <f t="shared" si="6"/>
        <v>67.2</v>
      </c>
      <c r="G176" s="536">
        <v>107.85</v>
      </c>
      <c r="H176" s="545">
        <f t="shared" si="7"/>
        <v>91.398305084745758</v>
      </c>
      <c r="I176" s="545">
        <f t="shared" si="8"/>
        <v>6141.9661016949149</v>
      </c>
    </row>
    <row r="177" spans="1:9" ht="37.15" customHeight="1" x14ac:dyDescent="0.25">
      <c r="A177" s="567">
        <v>9</v>
      </c>
      <c r="B177" s="568" t="s">
        <v>1123</v>
      </c>
      <c r="C177" s="533" t="s">
        <v>1124</v>
      </c>
      <c r="D177" s="540"/>
      <c r="E177" s="540"/>
      <c r="F177" s="545">
        <f t="shared" si="6"/>
        <v>0</v>
      </c>
      <c r="G177" s="540"/>
      <c r="H177" s="545">
        <f t="shared" si="7"/>
        <v>0</v>
      </c>
      <c r="I177" s="545">
        <f t="shared" si="8"/>
        <v>0</v>
      </c>
    </row>
    <row r="178" spans="1:9" ht="33.6" customHeight="1" x14ac:dyDescent="0.25">
      <c r="A178" s="567"/>
      <c r="B178" s="568" t="s">
        <v>1125</v>
      </c>
      <c r="C178" s="533" t="s">
        <v>1126</v>
      </c>
      <c r="D178" s="540" t="s">
        <v>948</v>
      </c>
      <c r="E178" s="536">
        <v>2</v>
      </c>
      <c r="F178" s="545">
        <f t="shared" si="6"/>
        <v>2.4</v>
      </c>
      <c r="G178" s="536">
        <v>3441.2</v>
      </c>
      <c r="H178" s="545">
        <f t="shared" si="7"/>
        <v>2916.2711864406779</v>
      </c>
      <c r="I178" s="545">
        <f t="shared" si="8"/>
        <v>6999.0508474576263</v>
      </c>
    </row>
    <row r="179" spans="1:9" ht="187.9" customHeight="1" x14ac:dyDescent="0.2">
      <c r="A179" s="567">
        <v>10</v>
      </c>
      <c r="B179" s="575" t="s">
        <v>1134</v>
      </c>
      <c r="C179" s="576" t="s">
        <v>1135</v>
      </c>
      <c r="D179" s="236"/>
      <c r="E179" s="236"/>
      <c r="F179" s="545">
        <f t="shared" si="6"/>
        <v>0</v>
      </c>
      <c r="G179" s="236"/>
      <c r="H179" s="545">
        <f t="shared" si="7"/>
        <v>0</v>
      </c>
      <c r="I179" s="545">
        <f t="shared" si="8"/>
        <v>0</v>
      </c>
    </row>
    <row r="180" spans="1:9" ht="33.6" customHeight="1" x14ac:dyDescent="0.2">
      <c r="A180" s="236"/>
      <c r="B180" s="575" t="s">
        <v>1136</v>
      </c>
      <c r="C180" s="580" t="s">
        <v>1137</v>
      </c>
      <c r="D180" s="236"/>
      <c r="E180" s="236"/>
      <c r="F180" s="545">
        <f t="shared" si="6"/>
        <v>0</v>
      </c>
      <c r="G180" s="236"/>
      <c r="H180" s="545">
        <f t="shared" si="7"/>
        <v>0</v>
      </c>
      <c r="I180" s="545">
        <f t="shared" si="8"/>
        <v>0</v>
      </c>
    </row>
    <row r="181" spans="1:9" ht="33.6" customHeight="1" x14ac:dyDescent="0.25">
      <c r="A181" s="236"/>
      <c r="B181" s="575" t="s">
        <v>1138</v>
      </c>
      <c r="C181" s="580" t="s">
        <v>1139</v>
      </c>
      <c r="D181" s="590" t="s">
        <v>774</v>
      </c>
      <c r="E181" s="536">
        <v>70</v>
      </c>
      <c r="F181" s="545">
        <f t="shared" si="6"/>
        <v>84</v>
      </c>
      <c r="G181" s="585">
        <v>707.75</v>
      </c>
      <c r="H181" s="545">
        <f t="shared" si="7"/>
        <v>599.78813559322032</v>
      </c>
      <c r="I181" s="545">
        <f t="shared" si="8"/>
        <v>50382.203389830509</v>
      </c>
    </row>
    <row r="182" spans="1:9" ht="145.9" customHeight="1" x14ac:dyDescent="0.25">
      <c r="A182" s="567">
        <v>11</v>
      </c>
      <c r="B182" s="575" t="s">
        <v>1144</v>
      </c>
      <c r="C182" s="576" t="s">
        <v>1145</v>
      </c>
      <c r="D182" s="534"/>
      <c r="E182" s="540"/>
      <c r="F182" s="545">
        <f t="shared" si="6"/>
        <v>0</v>
      </c>
      <c r="G182" s="540"/>
      <c r="H182" s="545">
        <f t="shared" si="7"/>
        <v>0</v>
      </c>
      <c r="I182" s="545">
        <f t="shared" si="8"/>
        <v>0</v>
      </c>
    </row>
    <row r="183" spans="1:9" ht="33.6" customHeight="1" x14ac:dyDescent="0.25">
      <c r="A183" s="534"/>
      <c r="B183" s="575" t="s">
        <v>1146</v>
      </c>
      <c r="C183" s="580" t="s">
        <v>1147</v>
      </c>
      <c r="D183" s="590" t="s">
        <v>774</v>
      </c>
      <c r="E183" s="536">
        <v>70</v>
      </c>
      <c r="F183" s="545">
        <f t="shared" si="6"/>
        <v>84</v>
      </c>
      <c r="G183" s="585">
        <v>672.3</v>
      </c>
      <c r="H183" s="545">
        <f t="shared" si="7"/>
        <v>569.74576271186436</v>
      </c>
      <c r="I183" s="545">
        <f t="shared" si="8"/>
        <v>47858.644067796609</v>
      </c>
    </row>
    <row r="184" spans="1:9" ht="150" customHeight="1" x14ac:dyDescent="0.25">
      <c r="A184" s="567">
        <v>12</v>
      </c>
      <c r="B184" s="575" t="s">
        <v>1150</v>
      </c>
      <c r="C184" s="576" t="s">
        <v>1151</v>
      </c>
      <c r="D184" s="534"/>
      <c r="E184" s="540"/>
      <c r="F184" s="545">
        <f t="shared" si="6"/>
        <v>0</v>
      </c>
      <c r="G184" s="540"/>
      <c r="H184" s="545">
        <f t="shared" si="7"/>
        <v>0</v>
      </c>
      <c r="I184" s="545">
        <f t="shared" si="8"/>
        <v>0</v>
      </c>
    </row>
    <row r="185" spans="1:9" ht="33.6" customHeight="1" x14ac:dyDescent="0.25">
      <c r="A185" s="534"/>
      <c r="B185" s="575" t="s">
        <v>1152</v>
      </c>
      <c r="C185" s="580" t="s">
        <v>1147</v>
      </c>
      <c r="D185" s="590" t="s">
        <v>774</v>
      </c>
      <c r="E185" s="536">
        <v>6</v>
      </c>
      <c r="F185" s="545">
        <f t="shared" si="6"/>
        <v>7.1999999999999993</v>
      </c>
      <c r="G185" s="585">
        <v>686.55</v>
      </c>
      <c r="H185" s="545">
        <f t="shared" si="7"/>
        <v>581.82203389830499</v>
      </c>
      <c r="I185" s="545">
        <f t="shared" si="8"/>
        <v>4189.1186440677957</v>
      </c>
    </row>
    <row r="186" spans="1:9" ht="99.6" customHeight="1" x14ac:dyDescent="0.25">
      <c r="A186" s="567">
        <v>13</v>
      </c>
      <c r="B186" s="591" t="s">
        <v>1174</v>
      </c>
      <c r="C186" s="563" t="s">
        <v>1175</v>
      </c>
      <c r="D186" s="590" t="s">
        <v>1176</v>
      </c>
      <c r="E186" s="536">
        <v>6.36</v>
      </c>
      <c r="F186" s="545">
        <f t="shared" si="6"/>
        <v>7.6319999999999997</v>
      </c>
      <c r="G186" s="536">
        <v>1509.8</v>
      </c>
      <c r="H186" s="545">
        <f t="shared" si="7"/>
        <v>1279.4915254237287</v>
      </c>
      <c r="I186" s="545">
        <f t="shared" si="8"/>
        <v>9765.0793220338965</v>
      </c>
    </row>
    <row r="187" spans="1:9" ht="121.15" customHeight="1" x14ac:dyDescent="0.25">
      <c r="A187" s="567">
        <v>14</v>
      </c>
      <c r="B187" s="591" t="s">
        <v>1177</v>
      </c>
      <c r="C187" s="563" t="s">
        <v>1178</v>
      </c>
      <c r="D187" s="590" t="s">
        <v>1176</v>
      </c>
      <c r="E187" s="536">
        <v>6</v>
      </c>
      <c r="F187" s="545">
        <f t="shared" si="6"/>
        <v>7.1999999999999993</v>
      </c>
      <c r="G187" s="536">
        <v>1538.25</v>
      </c>
      <c r="H187" s="545">
        <f t="shared" si="7"/>
        <v>1303.6016949152543</v>
      </c>
      <c r="I187" s="545">
        <f t="shared" si="8"/>
        <v>9385.9322033898297</v>
      </c>
    </row>
    <row r="188" spans="1:9" ht="115.9" customHeight="1" x14ac:dyDescent="0.25">
      <c r="A188" s="567">
        <v>15</v>
      </c>
      <c r="B188" s="591" t="s">
        <v>1179</v>
      </c>
      <c r="C188" s="563" t="s">
        <v>1180</v>
      </c>
      <c r="D188" s="590" t="s">
        <v>1176</v>
      </c>
      <c r="E188" s="536">
        <v>6</v>
      </c>
      <c r="F188" s="545">
        <f t="shared" si="6"/>
        <v>7.1999999999999993</v>
      </c>
      <c r="G188" s="536">
        <v>1538.25</v>
      </c>
      <c r="H188" s="545">
        <f t="shared" si="7"/>
        <v>1303.6016949152543</v>
      </c>
      <c r="I188" s="545">
        <f t="shared" si="8"/>
        <v>9385.9322033898297</v>
      </c>
    </row>
    <row r="189" spans="1:9" ht="33.6" customHeight="1" x14ac:dyDescent="0.25">
      <c r="A189" s="567">
        <v>16</v>
      </c>
      <c r="B189" s="591" t="s">
        <v>1181</v>
      </c>
      <c r="C189" s="563" t="s">
        <v>1182</v>
      </c>
      <c r="D189" s="590"/>
      <c r="E189" s="536"/>
      <c r="F189" s="545">
        <f t="shared" si="6"/>
        <v>0</v>
      </c>
      <c r="G189" s="536"/>
      <c r="H189" s="545">
        <f t="shared" si="7"/>
        <v>0</v>
      </c>
      <c r="I189" s="545">
        <f t="shared" si="8"/>
        <v>0</v>
      </c>
    </row>
    <row r="190" spans="1:9" ht="33.6" customHeight="1" x14ac:dyDescent="0.2">
      <c r="A190" s="567"/>
      <c r="B190" s="591" t="s">
        <v>1183</v>
      </c>
      <c r="C190" s="551" t="s">
        <v>1184</v>
      </c>
      <c r="D190" s="562" t="s">
        <v>378</v>
      </c>
      <c r="E190" s="545">
        <v>2</v>
      </c>
      <c r="F190" s="545">
        <f t="shared" si="6"/>
        <v>2.4</v>
      </c>
      <c r="G190" s="545">
        <v>224.1</v>
      </c>
      <c r="H190" s="545">
        <f t="shared" si="7"/>
        <v>189.91525423728811</v>
      </c>
      <c r="I190" s="545">
        <f t="shared" si="8"/>
        <v>455.79661016949143</v>
      </c>
    </row>
    <row r="191" spans="1:9" ht="102" customHeight="1" x14ac:dyDescent="0.25">
      <c r="A191" s="567">
        <v>17</v>
      </c>
      <c r="B191" s="591" t="s">
        <v>1185</v>
      </c>
      <c r="C191" s="563" t="s">
        <v>1164</v>
      </c>
      <c r="D191" s="590"/>
      <c r="E191" s="545"/>
      <c r="F191" s="545">
        <f t="shared" si="6"/>
        <v>0</v>
      </c>
      <c r="G191" s="536"/>
      <c r="H191" s="545">
        <f t="shared" si="7"/>
        <v>0</v>
      </c>
      <c r="I191" s="545">
        <f t="shared" si="8"/>
        <v>0</v>
      </c>
    </row>
    <row r="192" spans="1:9" ht="33.6" customHeight="1" x14ac:dyDescent="0.2">
      <c r="A192" s="567"/>
      <c r="B192" s="591" t="s">
        <v>1186</v>
      </c>
      <c r="C192" s="551" t="s">
        <v>1187</v>
      </c>
      <c r="D192" s="562" t="s">
        <v>378</v>
      </c>
      <c r="E192" s="545">
        <v>2</v>
      </c>
      <c r="F192" s="545">
        <f t="shared" si="6"/>
        <v>2.4</v>
      </c>
      <c r="G192" s="545">
        <v>1911.4</v>
      </c>
      <c r="H192" s="545">
        <f t="shared" si="7"/>
        <v>1619.8305084745762</v>
      </c>
      <c r="I192" s="545">
        <f t="shared" si="8"/>
        <v>3887.5932203389825</v>
      </c>
    </row>
    <row r="193" spans="1:9" ht="52.9" customHeight="1" x14ac:dyDescent="0.25">
      <c r="A193" s="567">
        <v>18</v>
      </c>
      <c r="B193" s="591" t="s">
        <v>1166</v>
      </c>
      <c r="C193" s="563" t="s">
        <v>1167</v>
      </c>
      <c r="D193" s="590"/>
      <c r="E193" s="545"/>
      <c r="F193" s="545">
        <f t="shared" si="6"/>
        <v>0</v>
      </c>
      <c r="G193" s="536"/>
      <c r="H193" s="545">
        <f t="shared" si="7"/>
        <v>0</v>
      </c>
      <c r="I193" s="545">
        <f t="shared" si="8"/>
        <v>0</v>
      </c>
    </row>
    <row r="194" spans="1:9" ht="33.6" customHeight="1" x14ac:dyDescent="0.2">
      <c r="A194" s="567"/>
      <c r="B194" s="591" t="s">
        <v>1188</v>
      </c>
      <c r="C194" s="551" t="s">
        <v>1184</v>
      </c>
      <c r="D194" s="562" t="s">
        <v>378</v>
      </c>
      <c r="E194" s="545">
        <v>2</v>
      </c>
      <c r="F194" s="545">
        <f t="shared" si="6"/>
        <v>2.4</v>
      </c>
      <c r="G194" s="545">
        <v>265.10000000000002</v>
      </c>
      <c r="H194" s="545">
        <f t="shared" si="7"/>
        <v>224.66101694915255</v>
      </c>
      <c r="I194" s="545">
        <f t="shared" si="8"/>
        <v>539.18644067796606</v>
      </c>
    </row>
    <row r="195" spans="1:9" ht="20.45" customHeight="1" x14ac:dyDescent="0.25">
      <c r="A195" s="567"/>
      <c r="B195" s="532" t="s">
        <v>1189</v>
      </c>
      <c r="C195" s="551"/>
      <c r="D195" s="562"/>
      <c r="E195" s="545"/>
      <c r="F195" s="545">
        <f t="shared" si="6"/>
        <v>0</v>
      </c>
      <c r="G195" s="545"/>
      <c r="H195" s="545">
        <f t="shared" si="7"/>
        <v>0</v>
      </c>
      <c r="I195" s="545">
        <f t="shared" si="8"/>
        <v>0</v>
      </c>
    </row>
    <row r="196" spans="1:9" ht="83.45" customHeight="1" x14ac:dyDescent="0.2">
      <c r="A196" s="567"/>
      <c r="B196" s="592" t="s">
        <v>1190</v>
      </c>
      <c r="C196" s="593" t="s">
        <v>1191</v>
      </c>
      <c r="D196" s="562" t="s">
        <v>378</v>
      </c>
      <c r="E196" s="545">
        <v>2</v>
      </c>
      <c r="F196" s="545">
        <f t="shared" si="6"/>
        <v>2.4</v>
      </c>
      <c r="G196" s="545">
        <f>'[6]underground water tank'!L35</f>
        <v>150234.86966725226</v>
      </c>
      <c r="H196" s="545">
        <f>G196</f>
        <v>150234.86966725226</v>
      </c>
      <c r="I196" s="545">
        <f t="shared" si="8"/>
        <v>360563.68720140541</v>
      </c>
    </row>
    <row r="197" spans="1:9" ht="24.6" customHeight="1" x14ac:dyDescent="0.2">
      <c r="A197" s="594" t="s">
        <v>1192</v>
      </c>
      <c r="B197" s="595" t="s">
        <v>1193</v>
      </c>
      <c r="C197" s="596"/>
      <c r="D197" s="577"/>
      <c r="E197" s="577"/>
      <c r="F197" s="545">
        <f t="shared" si="6"/>
        <v>0</v>
      </c>
      <c r="G197" s="578"/>
      <c r="H197" s="545"/>
      <c r="I197" s="545">
        <f t="shared" si="8"/>
        <v>0</v>
      </c>
    </row>
    <row r="198" spans="1:9" ht="24.6" customHeight="1" x14ac:dyDescent="0.2">
      <c r="A198" s="597"/>
      <c r="B198" s="559" t="s">
        <v>1194</v>
      </c>
      <c r="C198" s="596"/>
      <c r="D198" s="577"/>
      <c r="E198" s="577"/>
      <c r="F198" s="545">
        <f t="shared" si="6"/>
        <v>0</v>
      </c>
      <c r="G198" s="578"/>
      <c r="H198" s="545"/>
      <c r="I198" s="545">
        <f t="shared" si="8"/>
        <v>0</v>
      </c>
    </row>
    <row r="199" spans="1:9" ht="40.15" customHeight="1" x14ac:dyDescent="0.25">
      <c r="A199" s="236"/>
      <c r="B199" s="598" t="s">
        <v>1195</v>
      </c>
      <c r="C199" s="580" t="s">
        <v>1196</v>
      </c>
      <c r="D199" s="584" t="s">
        <v>378</v>
      </c>
      <c r="E199" s="584">
        <v>1</v>
      </c>
      <c r="F199" s="545">
        <f t="shared" si="6"/>
        <v>1.2</v>
      </c>
      <c r="G199" s="585">
        <v>66334</v>
      </c>
      <c r="H199" s="545">
        <f>66334</f>
        <v>66334</v>
      </c>
      <c r="I199" s="545">
        <f t="shared" si="8"/>
        <v>79600.800000000003</v>
      </c>
    </row>
    <row r="200" spans="1:9" ht="54.75" customHeight="1" x14ac:dyDescent="0.25">
      <c r="A200" s="236"/>
      <c r="B200" s="598" t="s">
        <v>1197</v>
      </c>
      <c r="C200" s="580" t="s">
        <v>1198</v>
      </c>
      <c r="D200" s="584" t="s">
        <v>378</v>
      </c>
      <c r="E200" s="584">
        <v>2</v>
      </c>
      <c r="F200" s="545">
        <f t="shared" ref="F200:F216" si="9">E200*1.2</f>
        <v>2.4</v>
      </c>
      <c r="G200" s="585">
        <v>44389</v>
      </c>
      <c r="H200" s="545">
        <f t="shared" ref="H200:H216" si="10">G200*(100/118)</f>
        <v>37617.796610169491</v>
      </c>
      <c r="I200" s="545">
        <f t="shared" ref="I200:I216" si="11">H200*F200</f>
        <v>90282.711864406781</v>
      </c>
    </row>
    <row r="201" spans="1:9" ht="31.15" customHeight="1" x14ac:dyDescent="0.25">
      <c r="A201" s="588"/>
      <c r="B201" s="532" t="s">
        <v>1199</v>
      </c>
      <c r="C201" s="534"/>
      <c r="D201" s="534"/>
      <c r="E201" s="534"/>
      <c r="F201" s="545">
        <f t="shared" si="9"/>
        <v>0</v>
      </c>
      <c r="G201" s="534"/>
      <c r="H201" s="545"/>
      <c r="I201" s="545">
        <f t="shared" si="11"/>
        <v>0</v>
      </c>
    </row>
    <row r="202" spans="1:9" ht="39.6" customHeight="1" x14ac:dyDescent="0.25">
      <c r="A202" s="534"/>
      <c r="B202" s="592" t="s">
        <v>1200</v>
      </c>
      <c r="C202" s="539" t="s">
        <v>1201</v>
      </c>
      <c r="D202" s="540"/>
      <c r="E202" s="540"/>
      <c r="F202" s="545">
        <f t="shared" si="9"/>
        <v>0</v>
      </c>
      <c r="G202" s="540"/>
      <c r="H202" s="545"/>
      <c r="I202" s="545">
        <f t="shared" si="11"/>
        <v>0</v>
      </c>
    </row>
    <row r="203" spans="1:9" ht="25.5" x14ac:dyDescent="0.25">
      <c r="A203" s="534"/>
      <c r="B203" s="592" t="s">
        <v>1202</v>
      </c>
      <c r="C203" s="543" t="s">
        <v>1203</v>
      </c>
      <c r="D203" s="544" t="s">
        <v>774</v>
      </c>
      <c r="E203" s="545">
        <v>400</v>
      </c>
      <c r="F203" s="545">
        <f t="shared" si="9"/>
        <v>480</v>
      </c>
      <c r="G203" s="545">
        <f>'[6]PHE analysis'!F23</f>
        <v>931</v>
      </c>
      <c r="H203" s="545">
        <f t="shared" si="10"/>
        <v>788.98305084745755</v>
      </c>
      <c r="I203" s="545">
        <f t="shared" si="11"/>
        <v>378711.86440677964</v>
      </c>
    </row>
    <row r="204" spans="1:9" ht="15.75" x14ac:dyDescent="0.25">
      <c r="A204" s="588"/>
      <c r="B204" s="532" t="s">
        <v>1204</v>
      </c>
      <c r="C204" s="533"/>
      <c r="D204" s="534"/>
      <c r="E204" s="534"/>
      <c r="F204" s="545">
        <f t="shared" si="9"/>
        <v>0</v>
      </c>
      <c r="G204" s="534"/>
      <c r="H204" s="545">
        <f t="shared" si="10"/>
        <v>0</v>
      </c>
      <c r="I204" s="545">
        <f t="shared" si="11"/>
        <v>0</v>
      </c>
    </row>
    <row r="205" spans="1:9" ht="15.75" x14ac:dyDescent="0.25">
      <c r="A205" s="534"/>
      <c r="B205" s="588" t="s">
        <v>1205</v>
      </c>
      <c r="C205" s="552" t="s">
        <v>1206</v>
      </c>
      <c r="D205" s="540"/>
      <c r="E205" s="540"/>
      <c r="F205" s="545">
        <f t="shared" si="9"/>
        <v>0</v>
      </c>
      <c r="G205" s="540"/>
      <c r="H205" s="545">
        <f t="shared" si="10"/>
        <v>0</v>
      </c>
      <c r="I205" s="545">
        <f t="shared" si="11"/>
        <v>0</v>
      </c>
    </row>
    <row r="206" spans="1:9" ht="15.75" x14ac:dyDescent="0.25">
      <c r="A206" s="534"/>
      <c r="B206" s="592" t="s">
        <v>1190</v>
      </c>
      <c r="C206" s="539" t="s">
        <v>1203</v>
      </c>
      <c r="D206" s="540" t="s">
        <v>378</v>
      </c>
      <c r="E206" s="536">
        <v>66</v>
      </c>
      <c r="F206" s="545">
        <f t="shared" si="9"/>
        <v>79.2</v>
      </c>
      <c r="G206" s="536">
        <f>'[6]PHE analysis'!F35</f>
        <v>328</v>
      </c>
      <c r="H206" s="545">
        <f t="shared" si="10"/>
        <v>277.96610169491527</v>
      </c>
      <c r="I206" s="545">
        <f t="shared" si="11"/>
        <v>22014.91525423729</v>
      </c>
    </row>
    <row r="207" spans="1:9" ht="18" customHeight="1" x14ac:dyDescent="0.25">
      <c r="A207" s="534"/>
      <c r="B207" s="588" t="s">
        <v>1207</v>
      </c>
      <c r="C207" s="552" t="s">
        <v>1208</v>
      </c>
      <c r="D207" s="540"/>
      <c r="E207" s="540"/>
      <c r="F207" s="545">
        <f t="shared" si="9"/>
        <v>0</v>
      </c>
      <c r="G207" s="540"/>
      <c r="H207" s="545">
        <f t="shared" si="10"/>
        <v>0</v>
      </c>
      <c r="I207" s="545">
        <f t="shared" si="11"/>
        <v>0</v>
      </c>
    </row>
    <row r="208" spans="1:9" ht="15.75" x14ac:dyDescent="0.25">
      <c r="A208" s="534"/>
      <c r="B208" s="592" t="s">
        <v>1190</v>
      </c>
      <c r="C208" s="539" t="s">
        <v>1203</v>
      </c>
      <c r="D208" s="540" t="s">
        <v>378</v>
      </c>
      <c r="E208" s="536">
        <v>7</v>
      </c>
      <c r="F208" s="545">
        <f t="shared" si="9"/>
        <v>8.4</v>
      </c>
      <c r="G208" s="536">
        <f>'[6]PHE analysis'!F57</f>
        <v>266</v>
      </c>
      <c r="H208" s="545">
        <f t="shared" si="10"/>
        <v>225.42372881355931</v>
      </c>
      <c r="I208" s="545">
        <f t="shared" si="11"/>
        <v>1893.5593220338983</v>
      </c>
    </row>
    <row r="209" spans="1:10" ht="18" customHeight="1" x14ac:dyDescent="0.25">
      <c r="A209" s="534"/>
      <c r="B209" s="588" t="s">
        <v>1209</v>
      </c>
      <c r="C209" s="552" t="s">
        <v>1210</v>
      </c>
      <c r="D209" s="540"/>
      <c r="E209" s="540"/>
      <c r="F209" s="545">
        <f t="shared" si="9"/>
        <v>0</v>
      </c>
      <c r="G209" s="540"/>
      <c r="H209" s="545">
        <f t="shared" si="10"/>
        <v>0</v>
      </c>
      <c r="I209" s="545">
        <f t="shared" si="11"/>
        <v>0</v>
      </c>
    </row>
    <row r="210" spans="1:10" ht="24" customHeight="1" x14ac:dyDescent="0.25">
      <c r="A210" s="534"/>
      <c r="B210" s="592" t="s">
        <v>1190</v>
      </c>
      <c r="C210" s="539" t="s">
        <v>1203</v>
      </c>
      <c r="D210" s="540" t="s">
        <v>378</v>
      </c>
      <c r="E210" s="536">
        <v>34</v>
      </c>
      <c r="F210" s="545">
        <f t="shared" si="9"/>
        <v>40.799999999999997</v>
      </c>
      <c r="G210" s="536">
        <f>'[6]PHE analysis'!F68</f>
        <v>171</v>
      </c>
      <c r="H210" s="545">
        <f t="shared" si="10"/>
        <v>144.91525423728814</v>
      </c>
      <c r="I210" s="545">
        <f t="shared" si="11"/>
        <v>5912.5423728813557</v>
      </c>
    </row>
    <row r="211" spans="1:10" ht="19.899999999999999" customHeight="1" x14ac:dyDescent="0.25">
      <c r="A211" s="534"/>
      <c r="B211" s="588" t="s">
        <v>1211</v>
      </c>
      <c r="C211" s="552" t="s">
        <v>1212</v>
      </c>
      <c r="D211" s="540"/>
      <c r="E211" s="536"/>
      <c r="F211" s="545">
        <f t="shared" si="9"/>
        <v>0</v>
      </c>
      <c r="G211" s="536"/>
      <c r="H211" s="545">
        <f t="shared" si="10"/>
        <v>0</v>
      </c>
      <c r="I211" s="545">
        <f t="shared" si="11"/>
        <v>0</v>
      </c>
    </row>
    <row r="212" spans="1:10" ht="26.45" customHeight="1" x14ac:dyDescent="0.25">
      <c r="A212" s="588"/>
      <c r="B212" s="592" t="s">
        <v>1213</v>
      </c>
      <c r="C212" s="539" t="s">
        <v>1184</v>
      </c>
      <c r="D212" s="540" t="s">
        <v>378</v>
      </c>
      <c r="E212" s="536">
        <v>23</v>
      </c>
      <c r="F212" s="545">
        <f t="shared" si="9"/>
        <v>27.599999999999998</v>
      </c>
      <c r="G212" s="536">
        <f>280*1.15*1.1</f>
        <v>354.20000000000005</v>
      </c>
      <c r="H212" s="545">
        <f>G212</f>
        <v>354.20000000000005</v>
      </c>
      <c r="I212" s="545">
        <f t="shared" si="11"/>
        <v>9775.92</v>
      </c>
      <c r="J212" s="90" t="s">
        <v>1214</v>
      </c>
    </row>
    <row r="213" spans="1:10" ht="18.600000000000001" customHeight="1" x14ac:dyDescent="0.25">
      <c r="A213" s="588"/>
      <c r="B213" s="588" t="s">
        <v>1215</v>
      </c>
      <c r="C213" s="552" t="s">
        <v>1216</v>
      </c>
      <c r="D213" s="540"/>
      <c r="E213" s="540"/>
      <c r="F213" s="545">
        <f t="shared" si="9"/>
        <v>0</v>
      </c>
      <c r="G213" s="540"/>
      <c r="H213" s="545">
        <f t="shared" si="10"/>
        <v>0</v>
      </c>
      <c r="I213" s="545">
        <f t="shared" si="11"/>
        <v>0</v>
      </c>
    </row>
    <row r="214" spans="1:10" ht="21" customHeight="1" x14ac:dyDescent="0.25">
      <c r="A214" s="588"/>
      <c r="B214" s="592" t="s">
        <v>1217</v>
      </c>
      <c r="C214" s="539" t="s">
        <v>1203</v>
      </c>
      <c r="D214" s="540" t="s">
        <v>378</v>
      </c>
      <c r="E214" s="536">
        <v>284</v>
      </c>
      <c r="F214" s="545">
        <f t="shared" si="9"/>
        <v>340.8</v>
      </c>
      <c r="G214" s="536">
        <f>'[6]PHE analysis'!F101</f>
        <v>52</v>
      </c>
      <c r="H214" s="545">
        <f t="shared" si="10"/>
        <v>44.067796610169488</v>
      </c>
      <c r="I214" s="545">
        <f t="shared" si="11"/>
        <v>15018.305084745762</v>
      </c>
      <c r="J214" s="90" t="s">
        <v>1214</v>
      </c>
    </row>
    <row r="215" spans="1:10" ht="15.75" x14ac:dyDescent="0.25">
      <c r="A215" s="534"/>
      <c r="B215" s="588" t="s">
        <v>1218</v>
      </c>
      <c r="C215" s="552" t="s">
        <v>1219</v>
      </c>
      <c r="D215" s="540"/>
      <c r="E215" s="540"/>
      <c r="F215" s="545">
        <f t="shared" si="9"/>
        <v>0</v>
      </c>
      <c r="G215" s="540"/>
      <c r="H215" s="545">
        <f t="shared" si="10"/>
        <v>0</v>
      </c>
      <c r="I215" s="545">
        <f t="shared" si="11"/>
        <v>0</v>
      </c>
    </row>
    <row r="216" spans="1:10" ht="15.75" x14ac:dyDescent="0.25">
      <c r="A216" s="534"/>
      <c r="B216" s="592" t="s">
        <v>1190</v>
      </c>
      <c r="C216" s="539" t="s">
        <v>1220</v>
      </c>
      <c r="D216" s="540" t="s">
        <v>378</v>
      </c>
      <c r="E216" s="536">
        <v>38</v>
      </c>
      <c r="F216" s="545">
        <f t="shared" si="9"/>
        <v>45.6</v>
      </c>
      <c r="G216" s="536">
        <f>'[6]PHE analysis'!F112</f>
        <v>428</v>
      </c>
      <c r="H216" s="545">
        <f t="shared" si="10"/>
        <v>362.71186440677963</v>
      </c>
      <c r="I216" s="545">
        <f t="shared" si="11"/>
        <v>16539.661016949151</v>
      </c>
    </row>
    <row r="217" spans="1:10" ht="15.75" x14ac:dyDescent="0.25">
      <c r="A217" s="534"/>
      <c r="B217" s="588"/>
      <c r="C217" s="552"/>
      <c r="D217" s="540"/>
      <c r="E217" s="540"/>
      <c r="F217" s="540"/>
      <c r="G217" s="540"/>
      <c r="H217" s="540"/>
      <c r="I217" s="545"/>
    </row>
    <row r="218" spans="1:10" ht="15.75" x14ac:dyDescent="0.25">
      <c r="A218" s="534"/>
      <c r="B218" s="592"/>
      <c r="C218" s="539"/>
      <c r="D218" s="540"/>
      <c r="E218" s="536"/>
      <c r="F218" s="536"/>
      <c r="G218" s="536"/>
      <c r="H218" s="536"/>
      <c r="I218" s="545"/>
    </row>
    <row r="219" spans="1:10" ht="15.75" x14ac:dyDescent="0.25">
      <c r="A219" s="534"/>
      <c r="B219" s="588"/>
      <c r="C219" s="236"/>
      <c r="D219" s="236"/>
      <c r="E219" s="236"/>
      <c r="F219" s="236"/>
      <c r="G219" s="236"/>
      <c r="H219" s="236"/>
      <c r="I219" s="545"/>
    </row>
    <row r="220" spans="1:10" ht="15.75" x14ac:dyDescent="0.25">
      <c r="A220" s="534"/>
      <c r="B220" s="592"/>
      <c r="C220" s="599" t="s">
        <v>1221</v>
      </c>
      <c r="D220" s="236"/>
      <c r="E220" s="236"/>
      <c r="F220" s="236"/>
      <c r="G220" s="236"/>
      <c r="H220" s="236"/>
      <c r="I220" s="545">
        <f>SUM(I7:I219)</f>
        <v>8571744.4600420576</v>
      </c>
    </row>
    <row r="221" spans="1:10" x14ac:dyDescent="0.2">
      <c r="A221" s="236"/>
      <c r="B221" s="236"/>
      <c r="C221" s="600" t="s">
        <v>1222</v>
      </c>
      <c r="D221" s="236"/>
      <c r="E221" s="236"/>
      <c r="F221" s="236"/>
      <c r="G221" s="236"/>
      <c r="H221" s="236"/>
      <c r="I221" s="236">
        <f>I220*0.18</f>
        <v>1542914.0028075704</v>
      </c>
    </row>
    <row r="222" spans="1:10" x14ac:dyDescent="0.2">
      <c r="A222" s="236"/>
      <c r="B222" s="236"/>
      <c r="C222" s="351" t="s">
        <v>1223</v>
      </c>
      <c r="D222" s="236"/>
      <c r="E222" s="236"/>
      <c r="F222" s="236"/>
      <c r="G222" s="236"/>
      <c r="H222" s="236"/>
      <c r="I222" s="601">
        <f>I220+I221</f>
        <v>10114658.462849628</v>
      </c>
    </row>
    <row r="223" spans="1:10" x14ac:dyDescent="0.2">
      <c r="I223" s="602"/>
    </row>
    <row r="237" spans="1:9" ht="15.75" x14ac:dyDescent="0.25">
      <c r="A237" s="603"/>
      <c r="B237" s="603"/>
      <c r="C237" s="604"/>
      <c r="D237" s="605"/>
      <c r="E237" s="605"/>
      <c r="F237" s="605"/>
      <c r="G237" s="606"/>
      <c r="H237" s="606"/>
      <c r="I237" s="607"/>
    </row>
    <row r="238" spans="1:9" ht="15.75" x14ac:dyDescent="0.2">
      <c r="A238" s="603"/>
      <c r="B238" s="603"/>
      <c r="C238" s="608"/>
      <c r="D238" s="609"/>
      <c r="E238" s="609"/>
      <c r="F238" s="609"/>
      <c r="G238" s="610"/>
      <c r="H238" s="610"/>
      <c r="I238" s="611"/>
    </row>
    <row r="239" spans="1:9" ht="15.75" x14ac:dyDescent="0.25">
      <c r="A239" s="603"/>
      <c r="B239" s="603"/>
      <c r="C239" s="612"/>
      <c r="D239" s="613"/>
      <c r="E239" s="613"/>
      <c r="F239" s="613"/>
      <c r="G239" s="614"/>
      <c r="H239" s="614"/>
      <c r="I239" s="607"/>
    </row>
    <row r="240" spans="1:9" ht="15.75" x14ac:dyDescent="0.25">
      <c r="A240" s="603"/>
      <c r="B240" s="603"/>
      <c r="C240" s="604"/>
      <c r="D240" s="613"/>
      <c r="E240" s="613"/>
      <c r="F240" s="613"/>
      <c r="G240" s="614"/>
      <c r="H240" s="614"/>
      <c r="I240" s="607"/>
    </row>
    <row r="241" spans="1:9" ht="15.75" x14ac:dyDescent="0.25">
      <c r="A241" s="603"/>
      <c r="B241" s="603"/>
      <c r="C241" s="612"/>
      <c r="D241" s="605"/>
      <c r="E241" s="605"/>
      <c r="F241" s="605"/>
      <c r="G241" s="606"/>
      <c r="H241" s="606"/>
      <c r="I241" s="607"/>
    </row>
    <row r="242" spans="1:9" ht="15.75" x14ac:dyDescent="0.25">
      <c r="A242" s="615"/>
      <c r="B242" s="603"/>
      <c r="C242" s="608"/>
      <c r="D242" s="609"/>
      <c r="E242" s="609"/>
      <c r="F242" s="609"/>
      <c r="G242" s="610"/>
      <c r="H242" s="610"/>
      <c r="I242" s="611"/>
    </row>
    <row r="243" spans="1:9" ht="15.75" x14ac:dyDescent="0.25">
      <c r="A243" s="603"/>
      <c r="B243" s="603"/>
      <c r="C243" s="612"/>
      <c r="D243" s="616"/>
      <c r="E243" s="607"/>
      <c r="F243" s="607"/>
      <c r="G243" s="607"/>
      <c r="H243" s="607"/>
      <c r="I243" s="607"/>
    </row>
    <row r="244" spans="1:9" ht="15.75" x14ac:dyDescent="0.25">
      <c r="A244" s="615"/>
      <c r="B244" s="603"/>
      <c r="C244" s="608"/>
      <c r="D244" s="609"/>
      <c r="E244" s="609"/>
      <c r="F244" s="609"/>
      <c r="G244" s="610"/>
      <c r="H244" s="610"/>
      <c r="I244" s="611"/>
    </row>
    <row r="245" spans="1:9" ht="15.75" x14ac:dyDescent="0.25">
      <c r="A245" s="603"/>
      <c r="B245" s="603"/>
      <c r="C245" s="612"/>
      <c r="D245" s="616"/>
      <c r="E245" s="607"/>
      <c r="F245" s="607"/>
      <c r="G245" s="607"/>
      <c r="H245" s="607"/>
      <c r="I245" s="607"/>
    </row>
    <row r="246" spans="1:9" ht="15.75" x14ac:dyDescent="0.25">
      <c r="A246" s="615"/>
      <c r="B246" s="603"/>
      <c r="C246" s="608"/>
      <c r="D246" s="609"/>
      <c r="E246" s="609"/>
      <c r="F246" s="609"/>
      <c r="G246" s="610"/>
      <c r="H246" s="610"/>
      <c r="I246" s="611"/>
    </row>
    <row r="247" spans="1:9" ht="15.75" x14ac:dyDescent="0.2">
      <c r="A247" s="617"/>
      <c r="B247" s="618"/>
      <c r="C247" s="619"/>
    </row>
    <row r="248" spans="1:9" ht="15.75" x14ac:dyDescent="0.25">
      <c r="A248" s="620"/>
      <c r="B248" s="621"/>
      <c r="C248" s="619"/>
      <c r="D248" s="622"/>
      <c r="E248" s="622"/>
      <c r="F248" s="622"/>
      <c r="G248" s="623"/>
      <c r="H248" s="623"/>
      <c r="I248" s="623"/>
    </row>
    <row r="249" spans="1:9" ht="15.75" x14ac:dyDescent="0.25">
      <c r="A249" s="624"/>
      <c r="B249" s="625"/>
      <c r="C249" s="619"/>
      <c r="D249" s="626"/>
      <c r="E249" s="627"/>
      <c r="F249" s="627"/>
      <c r="G249" s="627"/>
      <c r="H249" s="627"/>
      <c r="I249" s="627"/>
    </row>
    <row r="250" spans="1:9" ht="15.75" x14ac:dyDescent="0.25">
      <c r="A250" s="624"/>
      <c r="B250" s="625"/>
      <c r="C250" s="628"/>
      <c r="D250" s="626"/>
      <c r="E250" s="627"/>
      <c r="F250" s="627"/>
      <c r="G250" s="627"/>
      <c r="H250" s="627"/>
      <c r="I250" s="627"/>
    </row>
    <row r="251" spans="1:9" ht="15.75" x14ac:dyDescent="0.25">
      <c r="A251" s="624"/>
      <c r="B251" s="625"/>
      <c r="C251" s="619"/>
      <c r="D251" s="626"/>
      <c r="E251" s="627"/>
      <c r="F251" s="627"/>
      <c r="G251" s="627"/>
      <c r="H251" s="627"/>
      <c r="I251" s="627"/>
    </row>
    <row r="252" spans="1:9" ht="15.75" x14ac:dyDescent="0.25">
      <c r="A252" s="624"/>
      <c r="B252" s="625"/>
      <c r="C252" s="619"/>
      <c r="D252" s="626"/>
      <c r="E252" s="627"/>
      <c r="F252" s="627"/>
      <c r="G252" s="627"/>
      <c r="H252" s="627"/>
      <c r="I252" s="627"/>
    </row>
    <row r="253" spans="1:9" ht="15.75" x14ac:dyDescent="0.25">
      <c r="A253" s="624"/>
      <c r="B253" s="625"/>
      <c r="C253" s="619"/>
      <c r="D253" s="528"/>
      <c r="E253" s="528"/>
      <c r="F253" s="528"/>
      <c r="G253" s="528"/>
      <c r="H253" s="528"/>
      <c r="I253" s="528"/>
    </row>
    <row r="254" spans="1:9" ht="15.75" x14ac:dyDescent="0.25">
      <c r="A254" s="528"/>
      <c r="B254" s="625"/>
      <c r="C254" s="629"/>
      <c r="D254" s="626"/>
      <c r="E254" s="627"/>
      <c r="F254" s="627"/>
      <c r="G254" s="627"/>
      <c r="H254" s="627"/>
      <c r="I254" s="627"/>
    </row>
    <row r="255" spans="1:9" ht="15.75" x14ac:dyDescent="0.25">
      <c r="A255" s="624"/>
      <c r="B255" s="625"/>
      <c r="C255" s="619"/>
      <c r="D255" s="528"/>
      <c r="E255" s="528"/>
      <c r="F255" s="528"/>
      <c r="G255" s="528"/>
      <c r="H255" s="528"/>
      <c r="I255" s="528"/>
    </row>
    <row r="256" spans="1:9" ht="15.75" x14ac:dyDescent="0.25">
      <c r="A256" s="624"/>
      <c r="B256" s="625"/>
      <c r="C256" s="619"/>
      <c r="D256" s="626"/>
      <c r="E256" s="627"/>
      <c r="F256" s="627"/>
      <c r="G256" s="627"/>
      <c r="H256" s="627"/>
      <c r="I256" s="627"/>
    </row>
    <row r="257" spans="1:9" ht="15.75" x14ac:dyDescent="0.25">
      <c r="A257" s="624"/>
      <c r="B257" s="625"/>
      <c r="C257" s="619"/>
      <c r="D257" s="528"/>
      <c r="E257" s="528"/>
      <c r="F257" s="528"/>
      <c r="G257" s="528"/>
      <c r="H257" s="528"/>
      <c r="I257" s="528"/>
    </row>
    <row r="258" spans="1:9" ht="15.75" x14ac:dyDescent="0.25">
      <c r="A258" s="624"/>
      <c r="B258" s="625"/>
      <c r="C258" s="630"/>
      <c r="D258" s="626"/>
      <c r="E258" s="627"/>
      <c r="F258" s="627"/>
      <c r="G258" s="627"/>
      <c r="H258" s="627"/>
      <c r="I258" s="627"/>
    </row>
    <row r="259" spans="1:9" ht="15.75" x14ac:dyDescent="0.25">
      <c r="A259" s="624"/>
      <c r="B259" s="625"/>
      <c r="C259" s="619"/>
      <c r="D259" s="626"/>
      <c r="E259" s="627"/>
      <c r="F259" s="627"/>
      <c r="G259" s="627"/>
      <c r="H259" s="627"/>
      <c r="I259" s="627"/>
    </row>
    <row r="260" spans="1:9" ht="15.75" x14ac:dyDescent="0.25">
      <c r="A260" s="624"/>
      <c r="B260" s="625"/>
      <c r="C260" s="619"/>
      <c r="D260" s="626"/>
      <c r="E260" s="626"/>
      <c r="F260" s="626"/>
      <c r="G260" s="627"/>
      <c r="H260" s="627"/>
      <c r="I260" s="627"/>
    </row>
    <row r="261" spans="1:9" ht="15.75" x14ac:dyDescent="0.25">
      <c r="A261" s="528"/>
      <c r="B261" s="625"/>
      <c r="C261" s="619"/>
      <c r="D261" s="626"/>
      <c r="E261" s="627"/>
      <c r="F261" s="627"/>
      <c r="G261" s="627"/>
      <c r="H261" s="627"/>
      <c r="I261" s="627"/>
    </row>
    <row r="262" spans="1:9" ht="15.75" x14ac:dyDescent="0.25">
      <c r="A262" s="624"/>
      <c r="B262" s="625"/>
      <c r="C262" s="619"/>
      <c r="D262" s="626"/>
      <c r="E262" s="626"/>
      <c r="F262" s="626"/>
      <c r="G262" s="626"/>
      <c r="H262" s="626"/>
      <c r="I262" s="627"/>
    </row>
    <row r="263" spans="1:9" ht="15.75" x14ac:dyDescent="0.25">
      <c r="A263" s="624"/>
      <c r="B263" s="625"/>
      <c r="C263" s="619"/>
      <c r="D263" s="626"/>
      <c r="E263" s="627"/>
      <c r="F263" s="627"/>
      <c r="G263" s="627"/>
      <c r="H263" s="627"/>
      <c r="I263" s="627"/>
    </row>
    <row r="264" spans="1:9" ht="15.75" x14ac:dyDescent="0.2">
      <c r="A264" s="624"/>
      <c r="B264" s="603"/>
      <c r="C264" s="604"/>
    </row>
    <row r="265" spans="1:9" ht="15.75" x14ac:dyDescent="0.2">
      <c r="B265" s="603"/>
      <c r="C265" s="608"/>
    </row>
    <row r="266" spans="1:9" ht="33" customHeight="1" x14ac:dyDescent="0.25">
      <c r="B266" s="603"/>
      <c r="C266" s="608"/>
      <c r="D266" s="631"/>
      <c r="E266" s="627"/>
      <c r="F266" s="627"/>
      <c r="G266" s="614"/>
      <c r="H266" s="614"/>
      <c r="I266" s="627"/>
    </row>
    <row r="267" spans="1:9" ht="15.75" x14ac:dyDescent="0.25">
      <c r="A267" s="624"/>
      <c r="B267" s="603"/>
      <c r="C267" s="604"/>
      <c r="D267" s="528"/>
      <c r="E267" s="626"/>
      <c r="F267" s="626"/>
      <c r="G267" s="626"/>
      <c r="H267" s="626"/>
      <c r="I267" s="627"/>
    </row>
    <row r="268" spans="1:9" ht="15.75" x14ac:dyDescent="0.25">
      <c r="A268" s="528"/>
      <c r="B268" s="603"/>
      <c r="C268" s="608"/>
      <c r="D268" s="631"/>
      <c r="E268" s="627"/>
      <c r="F268" s="627"/>
      <c r="G268" s="614"/>
      <c r="H268" s="614"/>
      <c r="I268" s="627"/>
    </row>
    <row r="269" spans="1:9" ht="15.75" x14ac:dyDescent="0.25">
      <c r="A269" s="624"/>
      <c r="B269" s="603"/>
      <c r="C269" s="604"/>
      <c r="D269" s="528"/>
      <c r="E269" s="626"/>
      <c r="F269" s="626"/>
      <c r="G269" s="626"/>
      <c r="H269" s="626"/>
      <c r="I269" s="627"/>
    </row>
    <row r="270" spans="1:9" ht="15.75" x14ac:dyDescent="0.25">
      <c r="A270" s="528"/>
      <c r="B270" s="603"/>
      <c r="C270" s="608"/>
      <c r="D270" s="631"/>
      <c r="E270" s="627"/>
      <c r="F270" s="627"/>
      <c r="G270" s="614"/>
      <c r="H270" s="614"/>
      <c r="I270" s="627"/>
    </row>
    <row r="271" spans="1:9" ht="15.75" x14ac:dyDescent="0.25">
      <c r="A271" s="624"/>
      <c r="B271" s="632"/>
      <c r="C271" s="633"/>
      <c r="D271" s="631"/>
      <c r="E271" s="627"/>
      <c r="F271" s="627"/>
      <c r="G271" s="627"/>
      <c r="H271" s="627"/>
      <c r="I271" s="627"/>
    </row>
    <row r="272" spans="1:9" ht="15.75" x14ac:dyDescent="0.25">
      <c r="A272" s="624"/>
      <c r="B272" s="632"/>
      <c r="C272" s="633"/>
      <c r="D272" s="631"/>
      <c r="E272" s="627"/>
      <c r="F272" s="627"/>
      <c r="G272" s="627"/>
      <c r="H272" s="627"/>
      <c r="I272" s="627"/>
    </row>
    <row r="273" spans="1:12" ht="15.75" x14ac:dyDescent="0.25">
      <c r="A273" s="624"/>
      <c r="B273" s="632"/>
      <c r="C273" s="633"/>
      <c r="D273" s="631"/>
      <c r="E273" s="627"/>
      <c r="F273" s="627"/>
      <c r="G273" s="627"/>
      <c r="H273" s="627"/>
      <c r="I273" s="627"/>
    </row>
    <row r="274" spans="1:12" ht="15.75" x14ac:dyDescent="0.25">
      <c r="A274" s="624"/>
      <c r="B274" s="632"/>
      <c r="C274" s="633"/>
      <c r="D274" s="631"/>
      <c r="E274" s="627"/>
      <c r="F274" s="627"/>
      <c r="G274" s="627"/>
      <c r="H274" s="627"/>
      <c r="I274" s="627"/>
    </row>
    <row r="275" spans="1:12" ht="15.75" x14ac:dyDescent="0.2">
      <c r="A275" s="624"/>
      <c r="B275" s="632"/>
      <c r="C275" s="634"/>
      <c r="D275" s="635"/>
      <c r="E275" s="636"/>
      <c r="F275" s="636"/>
      <c r="G275" s="636"/>
      <c r="H275" s="636"/>
      <c r="I275" s="636"/>
    </row>
    <row r="276" spans="1:12" ht="15.75" x14ac:dyDescent="0.25">
      <c r="A276" s="624"/>
      <c r="B276" s="632"/>
      <c r="C276" s="633"/>
      <c r="D276" s="631"/>
      <c r="E276" s="627"/>
      <c r="F276" s="627"/>
      <c r="G276" s="627"/>
      <c r="H276" s="627"/>
      <c r="I276" s="627"/>
    </row>
    <row r="277" spans="1:12" ht="15.75" x14ac:dyDescent="0.2">
      <c r="A277" s="624"/>
      <c r="B277" s="632"/>
      <c r="C277" s="634"/>
      <c r="D277" s="635"/>
      <c r="E277" s="636"/>
      <c r="F277" s="636"/>
      <c r="G277" s="636"/>
      <c r="H277" s="636"/>
      <c r="I277" s="636"/>
    </row>
    <row r="278" spans="1:12" ht="15.75" x14ac:dyDescent="0.25">
      <c r="A278" s="624"/>
      <c r="B278" s="632"/>
      <c r="C278" s="633"/>
      <c r="D278" s="631"/>
      <c r="E278" s="627"/>
      <c r="F278" s="627"/>
      <c r="G278" s="627"/>
      <c r="H278" s="627"/>
      <c r="I278" s="627"/>
    </row>
    <row r="279" spans="1:12" ht="15.75" x14ac:dyDescent="0.2">
      <c r="A279" s="624"/>
      <c r="B279" s="632"/>
      <c r="C279" s="634"/>
      <c r="D279" s="635"/>
      <c r="E279" s="636"/>
      <c r="F279" s="636"/>
      <c r="G279" s="636"/>
      <c r="H279" s="636"/>
      <c r="I279" s="636"/>
    </row>
    <row r="284" spans="1:12" ht="37.15" customHeight="1" x14ac:dyDescent="0.2"/>
    <row r="286" spans="1:12" ht="22.9" customHeight="1" x14ac:dyDescent="0.2"/>
    <row r="287" spans="1:12" ht="15.6" customHeight="1" x14ac:dyDescent="0.2">
      <c r="L287" s="637"/>
    </row>
    <row r="288" spans="1:12" ht="19.149999999999999" customHeight="1" x14ac:dyDescent="0.2">
      <c r="L288" s="637"/>
    </row>
    <row r="289" spans="12:12" ht="15.6" customHeight="1" x14ac:dyDescent="0.2">
      <c r="L289" s="637"/>
    </row>
    <row r="290" spans="12:12" ht="21" customHeight="1" x14ac:dyDescent="0.2">
      <c r="L290" s="637"/>
    </row>
    <row r="291" spans="12:12" ht="18" customHeight="1" x14ac:dyDescent="0.2">
      <c r="L291" s="637"/>
    </row>
    <row r="292" spans="12:12" ht="15.6" customHeight="1" x14ac:dyDescent="0.2">
      <c r="L292" s="637"/>
    </row>
    <row r="293" spans="12:12" ht="15.6" customHeight="1" x14ac:dyDescent="0.2">
      <c r="L293" s="637"/>
    </row>
    <row r="294" spans="12:12" ht="15.6" customHeight="1" x14ac:dyDescent="0.2">
      <c r="L294" s="637"/>
    </row>
    <row r="295" spans="12:12" ht="15.6" customHeight="1" x14ac:dyDescent="0.2">
      <c r="L295" s="637"/>
    </row>
    <row r="301" spans="12:12" ht="18" customHeight="1" x14ac:dyDescent="0.2"/>
    <row r="302" spans="12:12" ht="24.6" customHeight="1" x14ac:dyDescent="0.2"/>
    <row r="305" spans="1:9" ht="36.6" customHeight="1" x14ac:dyDescent="0.25">
      <c r="A305" s="624"/>
      <c r="B305" s="625"/>
      <c r="C305" s="619"/>
      <c r="D305" s="626"/>
      <c r="E305" s="627"/>
      <c r="F305" s="627"/>
      <c r="G305" s="627"/>
      <c r="H305" s="627"/>
      <c r="I305" s="627"/>
    </row>
    <row r="317" spans="1:9" ht="21" customHeight="1" x14ac:dyDescent="0.2"/>
    <row r="329" spans="1:9" ht="15.75" x14ac:dyDescent="0.25">
      <c r="A329" s="624"/>
      <c r="B329" s="625"/>
      <c r="C329" s="619"/>
      <c r="D329" s="626"/>
      <c r="E329" s="626"/>
      <c r="F329" s="626"/>
      <c r="G329" s="627"/>
      <c r="H329" s="627"/>
      <c r="I329" s="627"/>
    </row>
    <row r="330" spans="1:9" ht="15.75" x14ac:dyDescent="0.25">
      <c r="B330" s="625"/>
      <c r="C330" s="619"/>
      <c r="D330" s="626"/>
      <c r="E330" s="627"/>
      <c r="F330" s="627"/>
      <c r="G330" s="627"/>
      <c r="H330" s="627"/>
      <c r="I330" s="627"/>
    </row>
    <row r="331" spans="1:9" ht="15.75" x14ac:dyDescent="0.25">
      <c r="B331" s="625"/>
      <c r="C331" s="619"/>
      <c r="D331" s="626"/>
      <c r="E331" s="627"/>
      <c r="F331" s="627"/>
      <c r="G331" s="627"/>
      <c r="H331" s="627"/>
      <c r="I331" s="627"/>
    </row>
    <row r="332" spans="1:9" ht="15.75" x14ac:dyDescent="0.25">
      <c r="A332" s="624"/>
      <c r="B332" s="625"/>
      <c r="C332" s="619"/>
      <c r="D332" s="626"/>
      <c r="E332" s="626"/>
      <c r="F332" s="626"/>
      <c r="G332" s="626"/>
      <c r="H332" s="626"/>
      <c r="I332" s="627"/>
    </row>
    <row r="333" spans="1:9" ht="15.75" x14ac:dyDescent="0.25">
      <c r="A333" s="624"/>
      <c r="B333" s="625"/>
      <c r="C333" s="638"/>
      <c r="D333" s="626"/>
      <c r="E333" s="627"/>
      <c r="F333" s="627"/>
      <c r="G333" s="627"/>
      <c r="H333" s="627"/>
      <c r="I333" s="627"/>
    </row>
    <row r="334" spans="1:9" ht="15.75" x14ac:dyDescent="0.25">
      <c r="A334" s="624"/>
      <c r="B334" s="603"/>
      <c r="C334" s="604"/>
      <c r="D334" s="631"/>
      <c r="E334" s="528"/>
      <c r="F334" s="528"/>
      <c r="G334" s="528"/>
      <c r="H334" s="528"/>
      <c r="I334" s="627"/>
    </row>
    <row r="335" spans="1:9" ht="15.75" x14ac:dyDescent="0.25">
      <c r="A335" s="528"/>
      <c r="B335" s="603"/>
      <c r="C335" s="604"/>
      <c r="D335" s="528"/>
      <c r="E335" s="528"/>
      <c r="F335" s="528"/>
      <c r="G335" s="528"/>
      <c r="H335" s="528"/>
      <c r="I335" s="528"/>
    </row>
    <row r="336" spans="1:9" ht="15.75" x14ac:dyDescent="0.25">
      <c r="A336" s="528"/>
      <c r="B336" s="603"/>
      <c r="C336" s="604"/>
      <c r="D336" s="635"/>
      <c r="E336" s="636"/>
      <c r="F336" s="636"/>
      <c r="G336" s="606"/>
      <c r="H336" s="606"/>
      <c r="I336" s="636"/>
    </row>
    <row r="337" spans="1:9" ht="15.75" x14ac:dyDescent="0.25">
      <c r="A337" s="624"/>
      <c r="B337" s="603"/>
      <c r="C337" s="604"/>
      <c r="D337" s="528"/>
      <c r="E337" s="626"/>
      <c r="F337" s="626"/>
      <c r="G337" s="626"/>
      <c r="H337" s="626"/>
      <c r="I337" s="627"/>
    </row>
    <row r="338" spans="1:9" ht="15.75" x14ac:dyDescent="0.25">
      <c r="A338" s="528"/>
      <c r="B338" s="603"/>
      <c r="C338" s="604"/>
      <c r="D338" s="635"/>
      <c r="E338" s="636"/>
      <c r="F338" s="636"/>
      <c r="G338" s="606"/>
      <c r="H338" s="606"/>
      <c r="I338" s="636"/>
    </row>
    <row r="339" spans="1:9" ht="15.75" x14ac:dyDescent="0.25">
      <c r="A339" s="624"/>
      <c r="B339" s="603"/>
      <c r="C339" s="604"/>
      <c r="D339" s="528"/>
      <c r="E339" s="626"/>
      <c r="F339" s="626"/>
      <c r="G339" s="626"/>
      <c r="H339" s="626"/>
      <c r="I339" s="627"/>
    </row>
    <row r="340" spans="1:9" ht="15.75" x14ac:dyDescent="0.25">
      <c r="A340" s="528"/>
      <c r="B340" s="603"/>
      <c r="C340" s="604"/>
      <c r="D340" s="635"/>
      <c r="E340" s="636"/>
      <c r="F340" s="636"/>
      <c r="G340" s="606"/>
      <c r="H340" s="606"/>
      <c r="I340" s="636"/>
    </row>
    <row r="341" spans="1:9" ht="15.75" x14ac:dyDescent="0.25">
      <c r="A341" s="624"/>
      <c r="B341" s="632"/>
      <c r="C341" s="633"/>
      <c r="D341" s="631"/>
      <c r="E341" s="627"/>
      <c r="F341" s="627"/>
      <c r="G341" s="627"/>
      <c r="H341" s="627"/>
      <c r="I341" s="627"/>
    </row>
    <row r="342" spans="1:9" ht="15.75" x14ac:dyDescent="0.25">
      <c r="A342" s="624"/>
      <c r="B342" s="632"/>
      <c r="C342" s="633"/>
      <c r="D342" s="631"/>
      <c r="E342" s="627"/>
      <c r="F342" s="627"/>
      <c r="G342" s="627"/>
      <c r="H342" s="627"/>
      <c r="I342" s="627"/>
    </row>
    <row r="343" spans="1:9" ht="15.75" x14ac:dyDescent="0.25">
      <c r="A343" s="624"/>
      <c r="B343" s="632"/>
      <c r="C343" s="633"/>
      <c r="D343" s="631"/>
      <c r="E343" s="627"/>
      <c r="F343" s="627"/>
      <c r="G343" s="627"/>
      <c r="H343" s="627"/>
      <c r="I343" s="627"/>
    </row>
    <row r="344" spans="1:9" ht="84" customHeight="1" x14ac:dyDescent="0.25">
      <c r="A344" s="624"/>
      <c r="B344" s="632"/>
      <c r="C344" s="633"/>
      <c r="D344" s="631"/>
      <c r="E344" s="627"/>
      <c r="F344" s="627"/>
      <c r="G344" s="627"/>
      <c r="H344" s="627"/>
      <c r="I344" s="627"/>
    </row>
    <row r="345" spans="1:9" ht="15.75" x14ac:dyDescent="0.2">
      <c r="A345" s="624"/>
      <c r="B345" s="632"/>
      <c r="C345" s="634"/>
      <c r="D345" s="635"/>
      <c r="E345" s="636"/>
      <c r="F345" s="636"/>
      <c r="G345" s="636"/>
      <c r="H345" s="636"/>
      <c r="I345" s="636"/>
    </row>
    <row r="346" spans="1:9" ht="15.75" x14ac:dyDescent="0.25">
      <c r="A346" s="624"/>
      <c r="B346" s="632"/>
      <c r="C346" s="633"/>
      <c r="D346" s="631"/>
      <c r="E346" s="627"/>
      <c r="F346" s="627"/>
      <c r="G346" s="627"/>
      <c r="H346" s="627"/>
      <c r="I346" s="627"/>
    </row>
    <row r="347" spans="1:9" ht="15.75" x14ac:dyDescent="0.2">
      <c r="A347" s="624"/>
      <c r="B347" s="632"/>
      <c r="C347" s="634"/>
      <c r="D347" s="635"/>
      <c r="E347" s="636"/>
      <c r="F347" s="636"/>
      <c r="G347" s="636"/>
      <c r="H347" s="636"/>
      <c r="I347" s="636"/>
    </row>
    <row r="348" spans="1:9" ht="15.75" x14ac:dyDescent="0.25">
      <c r="A348" s="624"/>
      <c r="B348" s="632"/>
      <c r="C348" s="633"/>
      <c r="D348" s="631"/>
      <c r="E348" s="627"/>
      <c r="F348" s="627"/>
      <c r="G348" s="627"/>
      <c r="H348" s="627"/>
      <c r="I348" s="627"/>
    </row>
    <row r="349" spans="1:9" ht="15.75" x14ac:dyDescent="0.2">
      <c r="A349" s="624"/>
      <c r="B349" s="632"/>
      <c r="C349" s="634"/>
      <c r="D349" s="635"/>
      <c r="E349" s="636"/>
      <c r="F349" s="636"/>
      <c r="G349" s="636"/>
      <c r="H349" s="636"/>
      <c r="I349" s="636"/>
    </row>
    <row r="355" ht="20.25" customHeight="1" x14ac:dyDescent="0.2"/>
    <row r="369" ht="17.25" customHeight="1" x14ac:dyDescent="0.2"/>
    <row r="384" ht="99.75" customHeight="1" x14ac:dyDescent="0.2"/>
    <row r="386" ht="68.25" customHeight="1" x14ac:dyDescent="0.2"/>
    <row r="388" ht="66" customHeight="1" x14ac:dyDescent="0.2"/>
    <row r="390" ht="53.25" customHeight="1" x14ac:dyDescent="0.2"/>
    <row r="395" ht="129.75" customHeight="1" x14ac:dyDescent="0.2"/>
    <row r="396" ht="69" customHeight="1" x14ac:dyDescent="0.2"/>
    <row r="401" ht="177.75" customHeight="1" x14ac:dyDescent="0.2"/>
    <row r="409" ht="99" customHeight="1" x14ac:dyDescent="0.2"/>
    <row r="411" ht="81" customHeight="1" x14ac:dyDescent="0.2"/>
    <row r="415" ht="81" customHeight="1" x14ac:dyDescent="0.2"/>
    <row r="417" spans="1:14" ht="15.75" x14ac:dyDescent="0.25">
      <c r="A417" s="528"/>
      <c r="B417" s="528"/>
      <c r="C417" s="528"/>
      <c r="D417" s="528"/>
      <c r="E417" s="528"/>
      <c r="F417" s="528"/>
      <c r="G417" s="528"/>
      <c r="H417" s="528"/>
      <c r="I417" s="627"/>
    </row>
    <row r="418" spans="1:14" ht="15.75" x14ac:dyDescent="0.2">
      <c r="A418" s="639"/>
      <c r="B418" s="640"/>
      <c r="C418" s="619"/>
      <c r="D418" s="641"/>
      <c r="E418" s="641"/>
      <c r="F418" s="641"/>
      <c r="G418" s="642"/>
      <c r="H418" s="642"/>
      <c r="I418" s="643"/>
    </row>
    <row r="423" spans="1:14" ht="15.75" x14ac:dyDescent="0.25">
      <c r="A423" s="528"/>
      <c r="B423" s="528"/>
      <c r="C423" s="528"/>
      <c r="D423" s="528"/>
      <c r="E423" s="528"/>
      <c r="F423" s="528"/>
      <c r="G423" s="528"/>
      <c r="H423" s="528"/>
      <c r="I423" s="528"/>
    </row>
    <row r="425" spans="1:14" ht="15.75" x14ac:dyDescent="0.25">
      <c r="A425" s="624"/>
      <c r="B425" s="625"/>
      <c r="C425" s="619"/>
      <c r="D425" s="626"/>
      <c r="E425" s="626"/>
      <c r="F425" s="626"/>
      <c r="G425" s="626"/>
      <c r="H425" s="626"/>
      <c r="I425" s="627"/>
    </row>
    <row r="426" spans="1:14" ht="15.75" x14ac:dyDescent="0.25">
      <c r="A426" s="528"/>
      <c r="B426" s="625"/>
      <c r="C426" s="628"/>
      <c r="D426" s="644"/>
      <c r="E426" s="636"/>
      <c r="F426" s="636"/>
      <c r="G426" s="636"/>
      <c r="H426" s="636"/>
      <c r="I426" s="636"/>
    </row>
    <row r="427" spans="1:14" ht="15.75" x14ac:dyDescent="0.25">
      <c r="A427" s="624"/>
      <c r="B427" s="625"/>
      <c r="C427" s="619"/>
      <c r="D427" s="626"/>
      <c r="E427" s="627"/>
      <c r="F427" s="627"/>
      <c r="G427" s="627"/>
      <c r="H427" s="627"/>
      <c r="I427" s="627"/>
    </row>
    <row r="428" spans="1:14" ht="15.75" x14ac:dyDescent="0.25">
      <c r="A428" s="624"/>
      <c r="B428" s="625"/>
      <c r="C428" s="619"/>
      <c r="D428" s="626"/>
      <c r="E428" s="626"/>
      <c r="F428" s="626"/>
      <c r="G428" s="626"/>
      <c r="H428" s="626"/>
      <c r="I428" s="627"/>
    </row>
    <row r="429" spans="1:14" ht="15.75" x14ac:dyDescent="0.25">
      <c r="A429" s="624"/>
      <c r="B429" s="625"/>
      <c r="C429" s="629"/>
      <c r="D429" s="626"/>
      <c r="E429" s="627"/>
      <c r="F429" s="627"/>
      <c r="G429" s="627"/>
      <c r="H429" s="627"/>
      <c r="I429" s="627"/>
    </row>
    <row r="430" spans="1:14" ht="15.75" x14ac:dyDescent="0.25">
      <c r="A430" s="624"/>
      <c r="B430" s="625"/>
      <c r="C430" s="619"/>
      <c r="D430" s="626"/>
      <c r="E430" s="627"/>
      <c r="F430" s="627"/>
      <c r="G430" s="626"/>
      <c r="H430" s="626"/>
      <c r="I430" s="627"/>
      <c r="N430" s="645"/>
    </row>
    <row r="431" spans="1:14" ht="15.75" x14ac:dyDescent="0.25">
      <c r="A431" s="646"/>
      <c r="B431" s="625"/>
      <c r="C431" s="619"/>
      <c r="D431" s="626"/>
      <c r="E431" s="627"/>
      <c r="F431" s="627"/>
      <c r="G431" s="627"/>
      <c r="H431" s="627"/>
      <c r="I431" s="627"/>
    </row>
    <row r="432" spans="1:14" ht="15.75" x14ac:dyDescent="0.25">
      <c r="A432" s="624"/>
      <c r="B432" s="625"/>
      <c r="C432" s="619"/>
      <c r="D432" s="626"/>
      <c r="E432" s="626"/>
      <c r="F432" s="626"/>
      <c r="G432" s="627"/>
      <c r="H432" s="627"/>
      <c r="I432" s="627"/>
    </row>
    <row r="433" spans="1:9" ht="15.75" x14ac:dyDescent="0.25">
      <c r="A433" s="528"/>
      <c r="B433" s="625"/>
      <c r="C433" s="619"/>
      <c r="D433" s="626"/>
      <c r="E433" s="627"/>
      <c r="F433" s="627"/>
      <c r="G433" s="627"/>
      <c r="H433" s="627"/>
      <c r="I433" s="627"/>
    </row>
    <row r="434" spans="1:9" ht="15.75" x14ac:dyDescent="0.25">
      <c r="A434" s="624"/>
      <c r="B434" s="625"/>
      <c r="C434" s="619"/>
      <c r="D434" s="626"/>
      <c r="E434" s="627"/>
      <c r="F434" s="627"/>
      <c r="G434" s="627"/>
      <c r="H434" s="627"/>
      <c r="I434" s="627"/>
    </row>
    <row r="435" spans="1:9" ht="15.75" x14ac:dyDescent="0.25">
      <c r="A435" s="624"/>
      <c r="B435" s="625"/>
      <c r="C435" s="619"/>
      <c r="D435" s="626"/>
      <c r="E435" s="627"/>
      <c r="F435" s="627"/>
      <c r="G435" s="627"/>
      <c r="H435" s="627"/>
      <c r="I435" s="627"/>
    </row>
    <row r="436" spans="1:9" ht="15.75" x14ac:dyDescent="0.25">
      <c r="A436" s="624"/>
      <c r="B436" s="625"/>
      <c r="C436" s="619"/>
      <c r="D436" s="626"/>
      <c r="E436" s="627"/>
      <c r="F436" s="627"/>
      <c r="G436" s="627"/>
      <c r="H436" s="627"/>
      <c r="I436" s="627"/>
    </row>
    <row r="437" spans="1:9" ht="15.75" x14ac:dyDescent="0.25">
      <c r="A437" s="624"/>
      <c r="B437" s="625"/>
      <c r="C437" s="619"/>
      <c r="D437" s="626"/>
      <c r="E437" s="626"/>
      <c r="F437" s="626"/>
      <c r="G437" s="627"/>
      <c r="H437" s="627"/>
      <c r="I437" s="627"/>
    </row>
    <row r="438" spans="1:9" ht="15.75" x14ac:dyDescent="0.25">
      <c r="A438" s="624"/>
      <c r="B438" s="625"/>
      <c r="C438" s="619"/>
      <c r="D438" s="626"/>
      <c r="E438" s="627"/>
      <c r="F438" s="627"/>
      <c r="G438" s="627"/>
      <c r="H438" s="627"/>
      <c r="I438" s="627"/>
    </row>
    <row r="439" spans="1:9" ht="15.75" x14ac:dyDescent="0.25">
      <c r="A439" s="624"/>
      <c r="B439" s="625"/>
      <c r="C439" s="619"/>
      <c r="D439" s="626"/>
      <c r="E439" s="627"/>
      <c r="F439" s="627"/>
      <c r="G439" s="627"/>
      <c r="H439" s="627"/>
      <c r="I439" s="627"/>
    </row>
    <row r="440" spans="1:9" ht="15.75" x14ac:dyDescent="0.25">
      <c r="A440" s="624"/>
      <c r="B440" s="625"/>
      <c r="C440" s="619"/>
      <c r="D440" s="626"/>
      <c r="E440" s="627"/>
      <c r="F440" s="627"/>
      <c r="G440" s="627"/>
      <c r="H440" s="627"/>
      <c r="I440" s="627"/>
    </row>
    <row r="441" spans="1:9" ht="15.75" x14ac:dyDescent="0.25">
      <c r="A441" s="624"/>
      <c r="B441" s="625"/>
      <c r="C441" s="619"/>
      <c r="D441" s="626"/>
      <c r="E441" s="626"/>
      <c r="F441" s="626"/>
      <c r="G441" s="627"/>
      <c r="H441" s="627"/>
      <c r="I441" s="627"/>
    </row>
    <row r="442" spans="1:9" ht="15.75" x14ac:dyDescent="0.25">
      <c r="A442" s="624"/>
      <c r="B442" s="625"/>
      <c r="C442" s="619"/>
      <c r="D442" s="626"/>
      <c r="E442" s="627"/>
      <c r="F442" s="627"/>
      <c r="G442" s="627"/>
      <c r="H442" s="627"/>
      <c r="I442" s="627"/>
    </row>
    <row r="443" spans="1:9" ht="15.75" x14ac:dyDescent="0.25">
      <c r="A443" s="624"/>
      <c r="B443" s="625"/>
      <c r="C443" s="619"/>
      <c r="D443" s="626"/>
      <c r="E443" s="627"/>
      <c r="F443" s="627"/>
      <c r="G443" s="627"/>
      <c r="H443" s="627"/>
      <c r="I443" s="627"/>
    </row>
    <row r="444" spans="1:9" ht="15.75" x14ac:dyDescent="0.2">
      <c r="A444" s="647"/>
    </row>
    <row r="445" spans="1:9" ht="15.75" x14ac:dyDescent="0.25">
      <c r="A445" s="615"/>
    </row>
    <row r="446" spans="1:9" ht="15.75" x14ac:dyDescent="0.25">
      <c r="A446" s="615"/>
    </row>
    <row r="447" spans="1:9" ht="15.75" x14ac:dyDescent="0.25">
      <c r="A447" s="647"/>
      <c r="B447" s="603"/>
      <c r="C447" s="604"/>
      <c r="D447" s="605"/>
      <c r="E447" s="605"/>
      <c r="F447" s="605"/>
      <c r="G447" s="606"/>
      <c r="H447" s="606"/>
      <c r="I447" s="607"/>
    </row>
    <row r="448" spans="1:9" ht="15.75" x14ac:dyDescent="0.25">
      <c r="A448" s="615"/>
      <c r="B448" s="603"/>
      <c r="C448" s="604"/>
      <c r="D448" s="605"/>
      <c r="E448" s="605"/>
      <c r="F448" s="605"/>
      <c r="G448" s="606"/>
      <c r="H448" s="606"/>
      <c r="I448" s="607"/>
    </row>
    <row r="449" spans="1:9" ht="15.75" x14ac:dyDescent="0.25">
      <c r="A449" s="615"/>
      <c r="B449" s="603"/>
      <c r="C449" s="604"/>
      <c r="D449" s="605"/>
      <c r="E449" s="606"/>
      <c r="F449" s="606"/>
      <c r="G449" s="606"/>
      <c r="H449" s="606"/>
      <c r="I449" s="607"/>
    </row>
    <row r="450" spans="1:9" ht="15.75" x14ac:dyDescent="0.2">
      <c r="A450" s="603"/>
    </row>
    <row r="451" spans="1:9" ht="15.75" x14ac:dyDescent="0.2">
      <c r="A451" s="603"/>
    </row>
    <row r="452" spans="1:9" ht="15.75" x14ac:dyDescent="0.25">
      <c r="A452" s="615"/>
      <c r="B452" s="603"/>
      <c r="C452" s="604"/>
      <c r="D452" s="605"/>
      <c r="E452" s="605"/>
      <c r="F452" s="605"/>
      <c r="G452" s="606"/>
      <c r="H452" s="606"/>
      <c r="I452" s="607"/>
    </row>
    <row r="453" spans="1:9" ht="15.75" x14ac:dyDescent="0.2">
      <c r="A453" s="603"/>
    </row>
    <row r="454" spans="1:9" ht="15.75" x14ac:dyDescent="0.2">
      <c r="A454" s="603"/>
    </row>
    <row r="455" spans="1:9" ht="15.75" x14ac:dyDescent="0.25">
      <c r="A455" s="603"/>
      <c r="B455" s="603"/>
      <c r="C455" s="612"/>
      <c r="D455" s="613"/>
      <c r="E455" s="613"/>
      <c r="F455" s="613"/>
      <c r="G455" s="614"/>
      <c r="H455" s="614"/>
      <c r="I455" s="607"/>
    </row>
    <row r="456" spans="1:9" ht="15.75" x14ac:dyDescent="0.25">
      <c r="A456" s="603"/>
      <c r="B456" s="603"/>
      <c r="C456" s="604"/>
      <c r="D456" s="613"/>
      <c r="E456" s="613"/>
      <c r="F456" s="613"/>
      <c r="G456" s="614"/>
      <c r="H456" s="614"/>
      <c r="I456" s="607"/>
    </row>
    <row r="457" spans="1:9" ht="15.75" x14ac:dyDescent="0.25">
      <c r="A457" s="603"/>
      <c r="B457" s="603"/>
      <c r="C457" s="612"/>
      <c r="D457" s="605"/>
      <c r="E457" s="605"/>
      <c r="F457" s="605"/>
      <c r="G457" s="606"/>
      <c r="H457" s="606"/>
      <c r="I457" s="607"/>
    </row>
    <row r="458" spans="1:9" ht="15.75" x14ac:dyDescent="0.25">
      <c r="A458" s="615"/>
      <c r="B458" s="603"/>
      <c r="C458" s="604"/>
      <c r="D458" s="605"/>
      <c r="E458" s="605"/>
      <c r="F458" s="605"/>
      <c r="G458" s="606"/>
      <c r="H458" s="606"/>
      <c r="I458" s="607"/>
    </row>
    <row r="459" spans="1:9" ht="15.75" x14ac:dyDescent="0.25">
      <c r="A459" s="603"/>
      <c r="B459" s="603"/>
      <c r="C459" s="612"/>
      <c r="D459" s="616"/>
      <c r="E459" s="607"/>
      <c r="F459" s="607"/>
      <c r="G459" s="607"/>
      <c r="H459" s="607"/>
      <c r="I459" s="607"/>
    </row>
    <row r="460" spans="1:9" ht="15.75" x14ac:dyDescent="0.25">
      <c r="A460" s="615"/>
      <c r="B460" s="603"/>
      <c r="C460" s="604"/>
      <c r="D460" s="605"/>
      <c r="E460" s="605"/>
      <c r="F460" s="605"/>
      <c r="G460" s="606"/>
      <c r="H460" s="606"/>
      <c r="I460" s="607"/>
    </row>
    <row r="461" spans="1:9" ht="15.75" x14ac:dyDescent="0.25">
      <c r="A461" s="603"/>
      <c r="B461" s="603"/>
      <c r="C461" s="612"/>
      <c r="D461" s="616"/>
      <c r="E461" s="607"/>
      <c r="F461" s="607"/>
      <c r="G461" s="607"/>
      <c r="H461" s="607"/>
      <c r="I461" s="607"/>
    </row>
    <row r="462" spans="1:9" ht="15.75" x14ac:dyDescent="0.25">
      <c r="A462" s="615"/>
      <c r="B462" s="603"/>
      <c r="C462" s="604"/>
      <c r="D462" s="605"/>
      <c r="E462" s="605"/>
      <c r="F462" s="605"/>
      <c r="G462" s="606"/>
      <c r="H462" s="606"/>
      <c r="I462" s="607"/>
    </row>
    <row r="463" spans="1:9" ht="15.75" x14ac:dyDescent="0.25">
      <c r="A463" s="528"/>
      <c r="B463" s="648"/>
      <c r="C463" s="646"/>
      <c r="D463" s="626"/>
      <c r="E463" s="627"/>
      <c r="F463" s="627"/>
      <c r="G463" s="627"/>
      <c r="H463" s="627"/>
      <c r="I463" s="627"/>
    </row>
    <row r="464" spans="1:9" ht="15.75" x14ac:dyDescent="0.25">
      <c r="A464" s="528"/>
      <c r="B464" s="648"/>
      <c r="C464" s="646"/>
      <c r="D464" s="626"/>
      <c r="E464" s="627"/>
      <c r="F464" s="627"/>
      <c r="G464" s="627"/>
      <c r="H464" s="627"/>
      <c r="I464" s="627"/>
    </row>
    <row r="465" spans="1:13" ht="15.75" x14ac:dyDescent="0.25">
      <c r="A465" s="615"/>
      <c r="B465" s="620"/>
      <c r="C465" s="649"/>
      <c r="D465" s="528"/>
      <c r="E465" s="528"/>
      <c r="F465" s="528"/>
      <c r="G465" s="528"/>
      <c r="H465" s="528"/>
      <c r="I465" s="528"/>
    </row>
    <row r="472" spans="1:13" ht="15.75" x14ac:dyDescent="0.25">
      <c r="J472" s="528"/>
      <c r="M472" s="90" t="s">
        <v>356</v>
      </c>
    </row>
    <row r="473" spans="1:13" ht="15.75" x14ac:dyDescent="0.25">
      <c r="J473" s="528"/>
    </row>
    <row r="474" spans="1:13" ht="15.75" x14ac:dyDescent="0.25">
      <c r="J474" s="627"/>
    </row>
    <row r="484" spans="1:9" ht="15.75" x14ac:dyDescent="0.25">
      <c r="A484" s="620"/>
      <c r="B484" s="650"/>
      <c r="C484" s="619"/>
      <c r="D484" s="631"/>
      <c r="E484" s="631"/>
      <c r="F484" s="631"/>
      <c r="G484" s="651"/>
      <c r="H484" s="651"/>
      <c r="I484" s="627"/>
    </row>
    <row r="485" spans="1:9" ht="15.75" x14ac:dyDescent="0.25">
      <c r="A485" s="641"/>
      <c r="B485" s="652"/>
      <c r="C485" s="619"/>
      <c r="D485" s="626"/>
      <c r="E485" s="627"/>
      <c r="F485" s="627"/>
      <c r="G485" s="627"/>
      <c r="H485" s="627"/>
      <c r="I485" s="627"/>
    </row>
    <row r="486" spans="1:9" ht="15.75" x14ac:dyDescent="0.25">
      <c r="A486" s="528"/>
      <c r="B486" s="620"/>
      <c r="C486" s="528"/>
      <c r="D486" s="528"/>
      <c r="E486" s="528"/>
      <c r="F486" s="528"/>
      <c r="G486" s="528"/>
      <c r="H486" s="528"/>
      <c r="I486" s="528"/>
    </row>
    <row r="487" spans="1:9" ht="15.75" x14ac:dyDescent="0.25">
      <c r="A487" s="528"/>
      <c r="B487" s="650"/>
    </row>
    <row r="488" spans="1:9" ht="15.75" x14ac:dyDescent="0.25">
      <c r="A488" s="653"/>
      <c r="B488" s="620"/>
      <c r="D488" s="626"/>
      <c r="E488" s="626"/>
      <c r="F488" s="626"/>
      <c r="G488" s="626"/>
      <c r="H488" s="626"/>
      <c r="I488" s="627"/>
    </row>
    <row r="489" spans="1:9" ht="15.75" x14ac:dyDescent="0.25">
      <c r="A489" s="653"/>
      <c r="B489" s="650"/>
      <c r="C489" s="629"/>
      <c r="D489" s="626"/>
      <c r="E489" s="627"/>
      <c r="F489" s="627"/>
      <c r="I489" s="654"/>
    </row>
    <row r="490" spans="1:9" ht="15.75" x14ac:dyDescent="0.25">
      <c r="B490" s="655"/>
      <c r="D490" s="626"/>
      <c r="E490" s="627"/>
      <c r="F490" s="627"/>
      <c r="G490" s="627"/>
      <c r="H490" s="627"/>
      <c r="I490" s="627"/>
    </row>
    <row r="491" spans="1:9" ht="15.75" x14ac:dyDescent="0.25">
      <c r="B491" s="656"/>
      <c r="C491" s="657"/>
      <c r="D491" s="626"/>
      <c r="E491" s="627"/>
      <c r="F491" s="627"/>
      <c r="G491" s="627"/>
      <c r="H491" s="627"/>
      <c r="I491" s="627"/>
    </row>
    <row r="492" spans="1:9" ht="15.75" x14ac:dyDescent="0.25">
      <c r="B492" s="655"/>
      <c r="C492" s="619"/>
      <c r="D492" s="626"/>
      <c r="E492" s="627"/>
      <c r="F492" s="627"/>
      <c r="G492" s="627"/>
      <c r="H492" s="627"/>
      <c r="I492" s="627"/>
    </row>
    <row r="493" spans="1:9" ht="15.75" x14ac:dyDescent="0.25">
      <c r="B493" s="656"/>
      <c r="C493" s="657"/>
      <c r="D493" s="626"/>
      <c r="E493" s="627"/>
      <c r="F493" s="627"/>
      <c r="G493" s="627"/>
      <c r="H493" s="627"/>
      <c r="I493" s="627"/>
    </row>
    <row r="494" spans="1:9" ht="15.75" x14ac:dyDescent="0.25">
      <c r="B494" s="656"/>
      <c r="C494" s="619"/>
      <c r="D494" s="626"/>
      <c r="E494" s="627"/>
      <c r="F494" s="627"/>
      <c r="G494" s="627"/>
      <c r="H494" s="627"/>
      <c r="I494" s="627"/>
    </row>
    <row r="495" spans="1:9" ht="15.75" x14ac:dyDescent="0.25">
      <c r="B495" s="656"/>
      <c r="C495" s="657"/>
      <c r="D495" s="626"/>
      <c r="E495" s="627"/>
      <c r="F495" s="627"/>
      <c r="G495" s="627"/>
      <c r="H495" s="627"/>
      <c r="I495" s="627"/>
    </row>
    <row r="496" spans="1:9" ht="15.75" x14ac:dyDescent="0.25">
      <c r="A496" s="653"/>
      <c r="B496" s="656"/>
      <c r="C496" s="619"/>
      <c r="D496" s="615"/>
      <c r="E496" s="615"/>
      <c r="F496" s="615"/>
      <c r="G496" s="615"/>
      <c r="H496" s="615"/>
      <c r="I496" s="615"/>
    </row>
    <row r="497" spans="1:9" ht="15.75" x14ac:dyDescent="0.25">
      <c r="A497" s="653"/>
      <c r="B497" s="656"/>
      <c r="C497" s="657"/>
      <c r="D497" s="626"/>
      <c r="E497" s="627"/>
      <c r="F497" s="627"/>
      <c r="G497" s="627"/>
      <c r="H497" s="627"/>
      <c r="I497" s="627"/>
    </row>
    <row r="498" spans="1:9" ht="22.5" customHeight="1" x14ac:dyDescent="0.25">
      <c r="C498" s="619"/>
      <c r="D498" s="626"/>
      <c r="E498" s="627"/>
      <c r="F498" s="627"/>
      <c r="G498" s="627"/>
      <c r="H498" s="627"/>
      <c r="I498" s="627"/>
    </row>
    <row r="499" spans="1:9" ht="15.75" x14ac:dyDescent="0.25">
      <c r="A499" s="620"/>
      <c r="B499" s="658"/>
      <c r="C499" s="659"/>
      <c r="D499" s="626"/>
      <c r="E499" s="627"/>
      <c r="F499" s="627"/>
      <c r="G499" s="627"/>
      <c r="H499" s="627"/>
      <c r="I499" s="627"/>
    </row>
    <row r="500" spans="1:9" ht="15.75" x14ac:dyDescent="0.25">
      <c r="B500" s="640"/>
      <c r="C500" s="619"/>
      <c r="D500" s="626"/>
      <c r="E500" s="627"/>
      <c r="F500" s="627"/>
      <c r="G500" s="627"/>
      <c r="H500" s="627"/>
      <c r="I500" s="627"/>
    </row>
    <row r="501" spans="1:9" ht="15.75" x14ac:dyDescent="0.25">
      <c r="G501" s="660"/>
      <c r="H501" s="660"/>
      <c r="I501" s="661"/>
    </row>
    <row r="502" spans="1:9" ht="15.75" x14ac:dyDescent="0.25">
      <c r="G502" s="662"/>
      <c r="H502" s="662"/>
      <c r="I502" s="661"/>
    </row>
    <row r="504" spans="1:9" ht="14.25" x14ac:dyDescent="0.2">
      <c r="D504" s="663"/>
    </row>
    <row r="509" spans="1:9" ht="15.75" x14ac:dyDescent="0.25">
      <c r="A509" s="653"/>
      <c r="B509" s="653"/>
      <c r="C509" s="629"/>
      <c r="D509" s="626"/>
      <c r="E509" s="626"/>
      <c r="F509" s="626"/>
      <c r="G509" s="626"/>
      <c r="H509" s="626"/>
      <c r="I509" s="528"/>
    </row>
    <row r="510" spans="1:9" ht="15.75" x14ac:dyDescent="0.2">
      <c r="A510" s="646"/>
      <c r="B510" s="639"/>
      <c r="C510" s="633"/>
      <c r="D510" s="644"/>
      <c r="E510" s="636"/>
      <c r="F510" s="636"/>
      <c r="G510" s="636"/>
      <c r="H510" s="636"/>
      <c r="I510" s="636"/>
    </row>
    <row r="511" spans="1:9" ht="15.75" x14ac:dyDescent="0.2">
      <c r="A511" s="646"/>
      <c r="B511" s="639"/>
      <c r="C511" s="633"/>
      <c r="D511" s="644"/>
      <c r="E511" s="636"/>
      <c r="F511" s="636"/>
      <c r="G511" s="636"/>
      <c r="H511" s="636"/>
      <c r="I511" s="636"/>
    </row>
    <row r="512" spans="1:9" ht="15.75" x14ac:dyDescent="0.25">
      <c r="A512" s="664"/>
      <c r="B512" s="665"/>
      <c r="C512" s="646"/>
      <c r="D512" s="626"/>
      <c r="E512" s="627"/>
      <c r="F512" s="627"/>
      <c r="G512" s="627"/>
      <c r="H512" s="627"/>
      <c r="I512" s="528"/>
    </row>
    <row r="513" spans="1:11" ht="15.75" x14ac:dyDescent="0.25">
      <c r="A513" s="664"/>
      <c r="B513" s="665"/>
      <c r="I513" s="528"/>
    </row>
    <row r="514" spans="1:11" ht="15.75" x14ac:dyDescent="0.25">
      <c r="A514" s="624"/>
      <c r="B514" s="625"/>
      <c r="C514" s="619"/>
      <c r="D514" s="528"/>
      <c r="E514" s="626"/>
      <c r="F514" s="626"/>
      <c r="G514" s="626"/>
      <c r="H514" s="626"/>
      <c r="I514" s="654"/>
    </row>
    <row r="515" spans="1:11" ht="15.75" x14ac:dyDescent="0.25">
      <c r="A515" s="528"/>
      <c r="B515" s="625"/>
      <c r="C515" s="634"/>
      <c r="D515" s="644"/>
      <c r="E515" s="636"/>
      <c r="F515" s="636"/>
      <c r="G515" s="636"/>
      <c r="H515" s="636"/>
      <c r="I515" s="636"/>
    </row>
    <row r="516" spans="1:11" ht="15.75" x14ac:dyDescent="0.25">
      <c r="A516" s="528"/>
      <c r="B516" s="625"/>
      <c r="C516" s="634"/>
      <c r="D516" s="644"/>
      <c r="E516" s="636"/>
      <c r="F516" s="636"/>
      <c r="G516" s="636"/>
      <c r="H516" s="636"/>
      <c r="I516" s="636"/>
    </row>
    <row r="517" spans="1:11" ht="15.75" x14ac:dyDescent="0.2">
      <c r="A517" s="624"/>
      <c r="B517" s="625"/>
      <c r="C517" s="619"/>
      <c r="D517" s="644"/>
      <c r="E517" s="636"/>
      <c r="F517" s="636"/>
      <c r="G517" s="636"/>
      <c r="H517" s="636"/>
      <c r="I517" s="636"/>
    </row>
    <row r="518" spans="1:11" ht="15.75" x14ac:dyDescent="0.2">
      <c r="A518" s="624"/>
      <c r="B518" s="625"/>
      <c r="C518" s="619"/>
      <c r="D518" s="644"/>
      <c r="E518" s="636"/>
      <c r="F518" s="636"/>
      <c r="G518" s="636"/>
      <c r="H518" s="636"/>
      <c r="I518" s="636"/>
    </row>
    <row r="519" spans="1:11" ht="15.75" x14ac:dyDescent="0.25">
      <c r="A519" s="624"/>
      <c r="B519" s="625"/>
      <c r="C519" s="619"/>
      <c r="D519" s="528"/>
      <c r="E519" s="636"/>
      <c r="F519" s="636"/>
      <c r="G519" s="666"/>
      <c r="H519" s="666"/>
      <c r="I519" s="654"/>
    </row>
    <row r="520" spans="1:11" ht="15.75" x14ac:dyDescent="0.2">
      <c r="A520" s="624"/>
      <c r="B520" s="625"/>
      <c r="C520" s="633"/>
      <c r="D520" s="644"/>
      <c r="E520" s="636"/>
      <c r="F520" s="636"/>
      <c r="G520" s="636"/>
      <c r="H520" s="636"/>
      <c r="I520" s="636"/>
      <c r="J520" s="667"/>
      <c r="K520" s="667"/>
    </row>
    <row r="521" spans="1:11" ht="15.75" x14ac:dyDescent="0.2">
      <c r="A521" s="624"/>
      <c r="B521" s="625"/>
      <c r="C521" s="633"/>
      <c r="D521" s="644"/>
      <c r="E521" s="636"/>
      <c r="F521" s="636"/>
      <c r="G521" s="636"/>
      <c r="H521" s="636"/>
      <c r="I521" s="636"/>
      <c r="J521" s="667"/>
      <c r="K521" s="667"/>
    </row>
    <row r="522" spans="1:11" ht="15.75" x14ac:dyDescent="0.25">
      <c r="A522" s="624"/>
      <c r="B522" s="625"/>
      <c r="C522" s="619"/>
      <c r="D522" s="666"/>
      <c r="E522" s="636"/>
      <c r="F522" s="636"/>
      <c r="G522" s="666"/>
      <c r="H522" s="666"/>
      <c r="I522" s="654"/>
    </row>
    <row r="523" spans="1:11" ht="15.75" x14ac:dyDescent="0.2">
      <c r="A523" s="646"/>
      <c r="B523" s="625"/>
      <c r="C523" s="619"/>
      <c r="D523" s="644"/>
      <c r="E523" s="636"/>
      <c r="F523" s="636"/>
      <c r="G523" s="636"/>
      <c r="H523" s="636"/>
      <c r="I523" s="636"/>
    </row>
    <row r="524" spans="1:11" ht="15.75" x14ac:dyDescent="0.2">
      <c r="A524" s="646"/>
      <c r="B524" s="625"/>
      <c r="C524" s="619"/>
      <c r="D524" s="644"/>
      <c r="E524" s="636"/>
      <c r="F524" s="636"/>
      <c r="G524" s="636"/>
      <c r="H524" s="636"/>
      <c r="I524" s="636"/>
    </row>
    <row r="525" spans="1:11" ht="15.75" x14ac:dyDescent="0.25">
      <c r="A525" s="624"/>
      <c r="B525" s="625"/>
      <c r="C525" s="619"/>
      <c r="D525" s="644"/>
      <c r="E525" s="636"/>
      <c r="F525" s="636"/>
      <c r="G525" s="636"/>
      <c r="H525" s="636"/>
      <c r="I525" s="654"/>
    </row>
    <row r="526" spans="1:11" ht="15.75" x14ac:dyDescent="0.25">
      <c r="A526" s="528"/>
      <c r="B526" s="625"/>
      <c r="C526" s="630"/>
      <c r="D526" s="644"/>
      <c r="E526" s="636"/>
      <c r="F526" s="636"/>
      <c r="G526" s="636"/>
      <c r="H526" s="636"/>
      <c r="I526" s="636"/>
    </row>
    <row r="527" spans="1:11" ht="15.75" x14ac:dyDescent="0.25">
      <c r="A527" s="528"/>
      <c r="B527" s="625"/>
      <c r="C527" s="630"/>
      <c r="D527" s="644"/>
      <c r="E527" s="636"/>
      <c r="F527" s="636"/>
      <c r="G527" s="636"/>
      <c r="H527" s="636"/>
      <c r="I527" s="636"/>
    </row>
    <row r="528" spans="1:11" ht="15.75" x14ac:dyDescent="0.2">
      <c r="A528" s="624"/>
      <c r="B528" s="625"/>
      <c r="C528" s="630"/>
      <c r="D528" s="644"/>
      <c r="E528" s="636"/>
      <c r="F528" s="636"/>
      <c r="G528" s="636"/>
      <c r="H528" s="636"/>
      <c r="I528" s="636"/>
    </row>
    <row r="529" spans="1:9" ht="15.75" x14ac:dyDescent="0.2">
      <c r="A529" s="624"/>
      <c r="B529" s="625"/>
      <c r="C529" s="630"/>
      <c r="D529" s="644"/>
      <c r="E529" s="636"/>
      <c r="F529" s="636"/>
      <c r="G529" s="636"/>
      <c r="H529" s="636"/>
      <c r="I529" s="636"/>
    </row>
    <row r="530" spans="1:9" ht="15.75" x14ac:dyDescent="0.2">
      <c r="A530" s="624"/>
      <c r="B530" s="625"/>
      <c r="C530" s="668"/>
      <c r="D530" s="644"/>
      <c r="E530" s="636"/>
      <c r="F530" s="636"/>
      <c r="G530" s="636"/>
      <c r="H530" s="636"/>
      <c r="I530" s="636"/>
    </row>
    <row r="531" spans="1:9" ht="15.75" x14ac:dyDescent="0.2">
      <c r="A531" s="624"/>
      <c r="B531" s="625"/>
      <c r="C531" s="668"/>
      <c r="D531" s="644"/>
      <c r="E531" s="636"/>
      <c r="F531" s="636"/>
      <c r="G531" s="636"/>
      <c r="H531" s="636"/>
      <c r="I531" s="636"/>
    </row>
    <row r="532" spans="1:9" ht="15.75" x14ac:dyDescent="0.25">
      <c r="A532" s="624"/>
      <c r="B532" s="625"/>
      <c r="C532" s="619"/>
      <c r="D532" s="626"/>
      <c r="E532" s="627"/>
      <c r="F532" s="627"/>
      <c r="G532" s="627"/>
      <c r="H532" s="627"/>
      <c r="I532" s="627"/>
    </row>
    <row r="533" spans="1:9" ht="15.75" x14ac:dyDescent="0.25">
      <c r="A533" s="624"/>
      <c r="B533" s="625"/>
      <c r="C533" s="619"/>
      <c r="D533" s="626"/>
      <c r="E533" s="627"/>
      <c r="F533" s="627"/>
      <c r="G533" s="627"/>
      <c r="H533" s="627"/>
      <c r="I533" s="627"/>
    </row>
    <row r="534" spans="1:9" ht="15.75" x14ac:dyDescent="0.2">
      <c r="A534" s="624"/>
      <c r="B534" s="625"/>
      <c r="C534" s="619"/>
      <c r="D534" s="644"/>
      <c r="E534" s="636"/>
      <c r="F534" s="636"/>
      <c r="G534" s="636"/>
      <c r="H534" s="636"/>
      <c r="I534" s="669"/>
    </row>
    <row r="535" spans="1:9" ht="15.75" x14ac:dyDescent="0.2">
      <c r="A535" s="624"/>
      <c r="B535" s="625"/>
      <c r="C535" s="619"/>
      <c r="D535" s="644"/>
      <c r="E535" s="636"/>
      <c r="F535" s="636"/>
      <c r="G535" s="636"/>
      <c r="H535" s="636"/>
      <c r="I535" s="636"/>
    </row>
    <row r="536" spans="1:9" ht="15.75" x14ac:dyDescent="0.2">
      <c r="A536" s="624"/>
      <c r="B536" s="625"/>
      <c r="C536" s="619"/>
      <c r="D536" s="644"/>
      <c r="E536" s="636"/>
      <c r="F536" s="636"/>
      <c r="G536" s="636"/>
      <c r="H536" s="636"/>
      <c r="I536" s="636"/>
    </row>
    <row r="537" spans="1:9" ht="15.75" x14ac:dyDescent="0.2">
      <c r="A537" s="624"/>
      <c r="B537" s="625"/>
      <c r="C537" s="619"/>
      <c r="D537" s="644"/>
      <c r="E537" s="636"/>
      <c r="F537" s="636"/>
      <c r="G537" s="636"/>
      <c r="H537" s="636"/>
      <c r="I537" s="636"/>
    </row>
    <row r="538" spans="1:9" ht="15.75" x14ac:dyDescent="0.2">
      <c r="A538" s="624"/>
      <c r="B538" s="625"/>
      <c r="C538" s="619"/>
      <c r="D538" s="644"/>
      <c r="E538" s="636"/>
      <c r="F538" s="636"/>
      <c r="G538" s="636"/>
      <c r="H538" s="636"/>
      <c r="I538" s="636"/>
    </row>
    <row r="539" spans="1:9" ht="15.75" x14ac:dyDescent="0.2">
      <c r="A539" s="624"/>
      <c r="B539" s="625"/>
      <c r="C539" s="668"/>
      <c r="D539" s="666"/>
      <c r="E539" s="636"/>
      <c r="F539" s="636"/>
      <c r="G539" s="636"/>
      <c r="H539" s="636"/>
      <c r="I539" s="670"/>
    </row>
    <row r="540" spans="1:9" ht="15.75" x14ac:dyDescent="0.2">
      <c r="A540" s="624"/>
      <c r="B540" s="625"/>
      <c r="C540" s="625"/>
      <c r="D540" s="644"/>
      <c r="E540" s="636"/>
      <c r="F540" s="636"/>
      <c r="G540" s="636"/>
      <c r="H540" s="636"/>
      <c r="I540" s="636"/>
    </row>
    <row r="541" spans="1:9" ht="15.75" x14ac:dyDescent="0.2">
      <c r="A541" s="624"/>
      <c r="B541" s="625"/>
      <c r="C541" s="671"/>
      <c r="D541" s="644"/>
      <c r="E541" s="636"/>
      <c r="F541" s="636"/>
      <c r="G541" s="636"/>
      <c r="H541" s="636"/>
      <c r="I541" s="636"/>
    </row>
    <row r="542" spans="1:9" ht="15.75" x14ac:dyDescent="0.2">
      <c r="A542" s="624"/>
      <c r="B542" s="625"/>
      <c r="C542" s="671"/>
      <c r="D542" s="644"/>
      <c r="E542" s="636"/>
      <c r="F542" s="636"/>
      <c r="G542" s="636"/>
      <c r="H542" s="636"/>
      <c r="I542" s="636"/>
    </row>
    <row r="543" spans="1:9" ht="15.75" x14ac:dyDescent="0.2">
      <c r="A543" s="624"/>
      <c r="B543" s="625"/>
      <c r="C543" s="619"/>
      <c r="D543" s="666"/>
      <c r="E543" s="636"/>
      <c r="F543" s="636"/>
      <c r="G543" s="666"/>
      <c r="H543" s="666"/>
      <c r="I543" s="670"/>
    </row>
    <row r="544" spans="1:9" ht="15.75" x14ac:dyDescent="0.2">
      <c r="A544" s="624"/>
      <c r="B544" s="625"/>
      <c r="C544" s="619"/>
      <c r="D544" s="644"/>
      <c r="E544" s="636"/>
      <c r="F544" s="636"/>
      <c r="G544" s="636"/>
      <c r="H544" s="636"/>
      <c r="I544" s="636"/>
    </row>
    <row r="545" spans="1:9" ht="15.75" x14ac:dyDescent="0.2">
      <c r="A545" s="624"/>
      <c r="B545" s="625"/>
      <c r="C545" s="619"/>
      <c r="D545" s="644"/>
      <c r="E545" s="636"/>
      <c r="F545" s="636"/>
      <c r="G545" s="636"/>
      <c r="H545" s="636"/>
      <c r="I545" s="636"/>
    </row>
    <row r="546" spans="1:9" ht="15.75" x14ac:dyDescent="0.2">
      <c r="A546" s="624"/>
      <c r="B546" s="625"/>
      <c r="C546" s="619"/>
      <c r="D546" s="666"/>
      <c r="E546" s="636"/>
      <c r="F546" s="636"/>
      <c r="G546" s="666"/>
      <c r="H546" s="666"/>
      <c r="I546" s="670"/>
    </row>
    <row r="547" spans="1:9" ht="15.75" x14ac:dyDescent="0.25">
      <c r="A547" s="528"/>
      <c r="B547" s="625"/>
      <c r="C547" s="619"/>
      <c r="D547" s="644"/>
      <c r="E547" s="636"/>
      <c r="F547" s="636"/>
      <c r="G547" s="636"/>
      <c r="H547" s="636"/>
      <c r="I547" s="636"/>
    </row>
    <row r="548" spans="1:9" ht="15.75" x14ac:dyDescent="0.25">
      <c r="A548" s="528"/>
      <c r="B548" s="528"/>
      <c r="C548" s="528"/>
      <c r="D548" s="528"/>
      <c r="E548" s="528"/>
      <c r="F548" s="528"/>
      <c r="G548" s="528"/>
      <c r="H548" s="528"/>
      <c r="I548" s="528"/>
    </row>
    <row r="549" spans="1:9" ht="15.75" x14ac:dyDescent="0.25">
      <c r="A549" s="528"/>
      <c r="B549" s="528"/>
      <c r="C549" s="528"/>
      <c r="D549" s="528"/>
      <c r="E549" s="528"/>
      <c r="F549" s="528"/>
      <c r="I549" s="661"/>
    </row>
    <row r="550" spans="1:9" ht="15.75" x14ac:dyDescent="0.25">
      <c r="A550" s="528"/>
      <c r="B550" s="528"/>
      <c r="C550" s="528"/>
      <c r="D550" s="528"/>
      <c r="E550" s="528"/>
      <c r="F550" s="528"/>
      <c r="I550" s="672"/>
    </row>
    <row r="551" spans="1:9" ht="15.75" x14ac:dyDescent="0.25">
      <c r="A551" s="528"/>
      <c r="B551" s="528"/>
      <c r="C551" s="528"/>
      <c r="D551" s="528"/>
      <c r="E551" s="528"/>
      <c r="F551" s="528"/>
      <c r="I551" s="654"/>
    </row>
    <row r="552" spans="1:9" ht="15.75" x14ac:dyDescent="0.25">
      <c r="A552" s="639"/>
      <c r="B552" s="640"/>
      <c r="C552" s="673"/>
      <c r="D552" s="528"/>
      <c r="E552" s="528"/>
      <c r="F552" s="528"/>
      <c r="G552" s="528"/>
      <c r="H552" s="528"/>
      <c r="I552" s="627"/>
    </row>
    <row r="553" spans="1:9" ht="15.75" x14ac:dyDescent="0.25">
      <c r="A553" s="528"/>
      <c r="B553" s="640"/>
      <c r="C553" s="633"/>
      <c r="E553" s="627"/>
      <c r="F553" s="627"/>
      <c r="G553" s="627"/>
      <c r="H553" s="627"/>
      <c r="I553" s="627"/>
    </row>
    <row r="559" spans="1:9" ht="15.75" x14ac:dyDescent="0.25">
      <c r="A559" s="639"/>
      <c r="B559" s="640"/>
      <c r="C559" s="629"/>
      <c r="D559" s="626"/>
      <c r="E559" s="627"/>
      <c r="F559" s="627"/>
      <c r="G559" s="627"/>
      <c r="H559" s="627"/>
      <c r="I559" s="627"/>
    </row>
    <row r="573" spans="1:9" ht="15.75" x14ac:dyDescent="0.25">
      <c r="A573" s="653"/>
      <c r="B573" s="674"/>
      <c r="C573" s="673"/>
      <c r="D573" s="626"/>
      <c r="E573" s="627"/>
      <c r="F573" s="627"/>
      <c r="G573" s="627"/>
      <c r="H573" s="627"/>
      <c r="I573" s="627"/>
    </row>
    <row r="575" spans="1:9" ht="15.75" x14ac:dyDescent="0.25">
      <c r="A575" s="624"/>
      <c r="B575" s="640"/>
      <c r="C575" s="629"/>
      <c r="D575" s="626"/>
      <c r="E575" s="627"/>
      <c r="F575" s="627"/>
      <c r="G575" s="627"/>
      <c r="H575" s="627"/>
      <c r="I575" s="627"/>
    </row>
    <row r="576" spans="1:9" ht="15.75" x14ac:dyDescent="0.25">
      <c r="A576" s="653"/>
      <c r="B576" s="675"/>
      <c r="C576" s="673"/>
      <c r="D576" s="662"/>
      <c r="E576" s="676"/>
      <c r="F576" s="676"/>
      <c r="G576" s="676"/>
      <c r="H576" s="676"/>
      <c r="I576" s="676"/>
    </row>
    <row r="578" spans="1:9" ht="15.75" x14ac:dyDescent="0.25">
      <c r="B578" s="528"/>
      <c r="C578" s="677"/>
    </row>
    <row r="579" spans="1:9" ht="15.75" x14ac:dyDescent="0.2">
      <c r="B579" s="664"/>
      <c r="C579" s="665"/>
      <c r="D579" s="665"/>
    </row>
    <row r="580" spans="1:9" ht="15.75" x14ac:dyDescent="0.25">
      <c r="A580" s="624"/>
      <c r="B580" s="625"/>
      <c r="C580" s="619"/>
      <c r="D580" s="528"/>
      <c r="E580" s="528"/>
      <c r="F580" s="528"/>
      <c r="G580" s="528"/>
      <c r="H580" s="528"/>
      <c r="I580" s="528"/>
    </row>
    <row r="581" spans="1:9" ht="15.75" x14ac:dyDescent="0.25">
      <c r="A581" s="528"/>
      <c r="B581" s="625"/>
      <c r="C581" s="633"/>
      <c r="D581" s="626"/>
      <c r="E581" s="627"/>
      <c r="F581" s="627"/>
      <c r="G581" s="627"/>
      <c r="H581" s="627"/>
      <c r="I581" s="627"/>
    </row>
    <row r="582" spans="1:9" ht="15.75" x14ac:dyDescent="0.25">
      <c r="A582" s="624"/>
      <c r="B582" s="625"/>
      <c r="C582" s="619"/>
      <c r="D582" s="626"/>
      <c r="E582" s="627"/>
      <c r="F582" s="627"/>
      <c r="G582" s="627"/>
      <c r="H582" s="627"/>
      <c r="I582" s="627"/>
    </row>
    <row r="583" spans="1:9" ht="15.75" x14ac:dyDescent="0.25">
      <c r="A583" s="624"/>
      <c r="B583" s="625"/>
      <c r="C583" s="619"/>
      <c r="D583" s="528"/>
      <c r="E583" s="528"/>
      <c r="F583" s="528"/>
      <c r="G583" s="528"/>
      <c r="H583" s="528"/>
      <c r="I583" s="528"/>
    </row>
    <row r="584" spans="1:9" ht="15.75" x14ac:dyDescent="0.25">
      <c r="A584" s="624"/>
      <c r="B584" s="625"/>
      <c r="C584" s="633"/>
      <c r="D584" s="626"/>
      <c r="E584" s="627"/>
      <c r="F584" s="627"/>
      <c r="G584" s="627"/>
      <c r="H584" s="627"/>
      <c r="I584" s="627"/>
    </row>
    <row r="585" spans="1:9" ht="15.75" x14ac:dyDescent="0.25">
      <c r="A585" s="624"/>
      <c r="B585" s="625"/>
      <c r="C585" s="619"/>
      <c r="D585" s="528"/>
      <c r="E585" s="528"/>
      <c r="F585" s="528"/>
      <c r="G585" s="528"/>
      <c r="H585" s="528"/>
      <c r="I585" s="528"/>
    </row>
    <row r="586" spans="1:9" ht="15.75" x14ac:dyDescent="0.25">
      <c r="A586" s="646"/>
      <c r="B586" s="625"/>
      <c r="C586" s="619"/>
      <c r="D586" s="626"/>
      <c r="E586" s="627"/>
      <c r="F586" s="627"/>
      <c r="G586" s="627"/>
      <c r="H586" s="627"/>
      <c r="I586" s="627"/>
    </row>
    <row r="587" spans="1:9" ht="15.75" x14ac:dyDescent="0.25">
      <c r="A587" s="624"/>
      <c r="B587" s="625"/>
      <c r="C587" s="619"/>
      <c r="D587" s="626"/>
      <c r="E587" s="627"/>
      <c r="F587" s="627"/>
      <c r="G587" s="627"/>
      <c r="H587" s="627"/>
      <c r="I587" s="627"/>
    </row>
    <row r="588" spans="1:9" ht="15.75" x14ac:dyDescent="0.25">
      <c r="A588" s="528"/>
      <c r="B588" s="625"/>
      <c r="C588" s="619"/>
      <c r="D588" s="626"/>
      <c r="E588" s="627"/>
      <c r="F588" s="627"/>
      <c r="G588" s="627"/>
      <c r="H588" s="627"/>
      <c r="I588" s="627"/>
    </row>
    <row r="589" spans="1:9" ht="15.75" x14ac:dyDescent="0.25">
      <c r="A589" s="624"/>
      <c r="B589" s="625"/>
      <c r="C589" s="619"/>
      <c r="D589" s="626"/>
      <c r="E589" s="627"/>
      <c r="F589" s="627"/>
      <c r="G589" s="627"/>
      <c r="H589" s="627"/>
      <c r="I589" s="627"/>
    </row>
    <row r="590" spans="1:9" ht="15.75" x14ac:dyDescent="0.25">
      <c r="A590" s="624"/>
      <c r="B590" s="625"/>
      <c r="C590" s="619"/>
      <c r="D590" s="528"/>
      <c r="E590" s="528"/>
      <c r="F590" s="528"/>
      <c r="G590" s="528"/>
      <c r="H590" s="528"/>
      <c r="I590" s="528"/>
    </row>
    <row r="591" spans="1:9" ht="15.75" x14ac:dyDescent="0.25">
      <c r="A591" s="624"/>
      <c r="B591" s="625"/>
      <c r="C591" s="619"/>
      <c r="D591" s="626"/>
      <c r="E591" s="627"/>
      <c r="F591" s="627"/>
      <c r="G591" s="627"/>
      <c r="H591" s="627"/>
      <c r="I591" s="627"/>
    </row>
    <row r="592" spans="1:9" ht="15.75" x14ac:dyDescent="0.25">
      <c r="A592" s="624"/>
      <c r="B592" s="625"/>
      <c r="C592" s="619"/>
      <c r="D592" s="626"/>
      <c r="E592" s="627"/>
      <c r="F592" s="627"/>
      <c r="G592" s="627"/>
      <c r="H592" s="627"/>
      <c r="I592" s="627"/>
    </row>
    <row r="593" spans="1:9" ht="15.75" x14ac:dyDescent="0.25">
      <c r="A593" s="624"/>
      <c r="B593" s="625"/>
      <c r="C593" s="619"/>
      <c r="D593" s="626"/>
      <c r="E593" s="627"/>
      <c r="F593" s="627"/>
      <c r="G593" s="627"/>
      <c r="H593" s="627"/>
      <c r="I593" s="627"/>
    </row>
    <row r="594" spans="1:9" ht="15.75" x14ac:dyDescent="0.25">
      <c r="A594" s="624"/>
      <c r="B594" s="625"/>
      <c r="C594" s="619"/>
      <c r="D594" s="626"/>
      <c r="E594" s="627"/>
      <c r="F594" s="627"/>
      <c r="G594" s="627"/>
      <c r="H594" s="627"/>
      <c r="I594" s="627"/>
    </row>
    <row r="595" spans="1:9" ht="15.75" x14ac:dyDescent="0.25">
      <c r="A595" s="624"/>
      <c r="B595" s="625"/>
      <c r="C595" s="619"/>
      <c r="D595" s="626"/>
      <c r="E595" s="627"/>
      <c r="F595" s="627"/>
      <c r="G595" s="627"/>
      <c r="H595" s="627"/>
      <c r="I595" s="627"/>
    </row>
    <row r="596" spans="1:9" ht="15.75" x14ac:dyDescent="0.25">
      <c r="A596" s="624"/>
      <c r="B596" s="625"/>
      <c r="C596" s="619"/>
      <c r="D596" s="626"/>
      <c r="E596" s="627"/>
      <c r="F596" s="627"/>
      <c r="G596" s="627"/>
      <c r="H596" s="627"/>
      <c r="I596" s="627"/>
    </row>
    <row r="597" spans="1:9" ht="15.75" x14ac:dyDescent="0.25">
      <c r="A597" s="624"/>
      <c r="B597" s="625"/>
      <c r="C597" s="619"/>
      <c r="D597" s="528"/>
      <c r="E597" s="528"/>
      <c r="F597" s="528"/>
      <c r="G597" s="528"/>
      <c r="H597" s="528"/>
      <c r="I597" s="661"/>
    </row>
    <row r="598" spans="1:9" ht="15.75" x14ac:dyDescent="0.25">
      <c r="A598" s="624"/>
      <c r="B598" s="625"/>
      <c r="C598" s="619"/>
      <c r="D598" s="626"/>
      <c r="E598" s="627"/>
      <c r="F598" s="627"/>
      <c r="G598" s="627"/>
      <c r="H598" s="627"/>
      <c r="I598" s="627"/>
    </row>
    <row r="599" spans="1:9" ht="15.75" x14ac:dyDescent="0.25">
      <c r="A599" s="624"/>
      <c r="B599" s="625"/>
      <c r="C599" s="619"/>
      <c r="D599" s="528"/>
      <c r="E599" s="528"/>
      <c r="F599" s="528"/>
      <c r="G599" s="528"/>
      <c r="H599" s="528"/>
      <c r="I599" s="528"/>
    </row>
    <row r="600" spans="1:9" ht="15.75" x14ac:dyDescent="0.25">
      <c r="A600" s="528"/>
      <c r="B600" s="625"/>
      <c r="C600" s="619"/>
      <c r="D600" s="626"/>
      <c r="E600" s="627"/>
      <c r="F600" s="627"/>
      <c r="G600" s="627"/>
      <c r="H600" s="627"/>
      <c r="I600" s="627"/>
    </row>
    <row r="602" spans="1:9" ht="15.75" x14ac:dyDescent="0.25">
      <c r="C602" s="678"/>
      <c r="I602" s="672"/>
    </row>
    <row r="604" spans="1:9" ht="14.25" x14ac:dyDescent="0.2">
      <c r="D604" s="663"/>
    </row>
    <row r="606" spans="1:9" ht="15.75" x14ac:dyDescent="0.25">
      <c r="A606" s="624"/>
      <c r="B606" s="625"/>
      <c r="C606" s="619"/>
      <c r="D606" s="626"/>
      <c r="E606" s="627"/>
      <c r="F606" s="627"/>
      <c r="G606" s="627"/>
      <c r="H606" s="627"/>
      <c r="I606" s="627"/>
    </row>
    <row r="609" spans="1:9" ht="15.75" x14ac:dyDescent="0.25">
      <c r="A609" s="624"/>
      <c r="B609" s="625"/>
      <c r="C609" s="619"/>
      <c r="D609" s="626"/>
      <c r="E609" s="627"/>
      <c r="F609" s="627"/>
      <c r="G609" s="627"/>
      <c r="H609" s="627"/>
      <c r="I609" s="627"/>
    </row>
    <row r="612" spans="1:9" ht="15.75" x14ac:dyDescent="0.25">
      <c r="A612" s="528"/>
      <c r="B612" s="528"/>
      <c r="C612" s="528"/>
      <c r="D612" s="528"/>
      <c r="E612" s="528"/>
      <c r="F612" s="528"/>
      <c r="G612" s="528"/>
      <c r="H612" s="528"/>
      <c r="I612" s="528"/>
    </row>
    <row r="613" spans="1:9" ht="15.75" x14ac:dyDescent="0.25">
      <c r="A613" s="624"/>
      <c r="B613" s="625"/>
      <c r="C613" s="619"/>
      <c r="D613" s="528"/>
      <c r="E613" s="627"/>
      <c r="F613" s="627"/>
      <c r="G613" s="528"/>
      <c r="H613" s="528"/>
      <c r="I613" s="528"/>
    </row>
    <row r="614" spans="1:9" ht="15.75" x14ac:dyDescent="0.25">
      <c r="A614" s="528"/>
      <c r="B614" s="625"/>
      <c r="C614" s="619"/>
      <c r="D614" s="626"/>
      <c r="E614" s="627"/>
      <c r="F614" s="627"/>
      <c r="G614" s="627"/>
      <c r="H614" s="627"/>
      <c r="I614" s="627"/>
    </row>
    <row r="615" spans="1:9" ht="15.75" x14ac:dyDescent="0.25">
      <c r="A615" s="624"/>
      <c r="B615" s="625"/>
      <c r="C615" s="678"/>
      <c r="D615" s="528"/>
      <c r="E615" s="528"/>
      <c r="F615" s="528"/>
      <c r="G615" s="528"/>
      <c r="H615" s="528"/>
      <c r="I615" s="654"/>
    </row>
    <row r="617" spans="1:9" ht="15.75" x14ac:dyDescent="0.25">
      <c r="A617" s="528"/>
      <c r="B617" s="625"/>
      <c r="C617" s="678"/>
      <c r="D617" s="626"/>
      <c r="E617" s="627"/>
      <c r="F617" s="627"/>
      <c r="G617" s="627"/>
      <c r="H617" s="627"/>
      <c r="I617" s="627"/>
    </row>
    <row r="618" spans="1:9" ht="15.75" x14ac:dyDescent="0.2">
      <c r="A618" s="679"/>
      <c r="B618" s="679"/>
      <c r="C618" s="677"/>
      <c r="E618" s="641"/>
      <c r="F618" s="641"/>
      <c r="G618" s="680"/>
      <c r="H618" s="680"/>
      <c r="I618" s="670"/>
    </row>
    <row r="619" spans="1:9" ht="15.75" x14ac:dyDescent="0.2">
      <c r="A619" s="679"/>
      <c r="B619" s="679"/>
      <c r="C619" s="677"/>
      <c r="D619" s="641"/>
      <c r="E619" s="641"/>
      <c r="F619" s="641"/>
      <c r="G619" s="680"/>
      <c r="H619" s="680"/>
      <c r="I619" s="670"/>
    </row>
    <row r="620" spans="1:9" ht="15.75" x14ac:dyDescent="0.2">
      <c r="A620" s="679"/>
      <c r="B620" s="679"/>
      <c r="C620" s="677"/>
      <c r="D620" s="641"/>
      <c r="E620" s="641"/>
      <c r="F620" s="641"/>
      <c r="G620" s="680"/>
      <c r="H620" s="680"/>
      <c r="I620" s="670"/>
    </row>
    <row r="621" spans="1:9" ht="15.75" x14ac:dyDescent="0.25">
      <c r="A621" s="528"/>
      <c r="B621" s="617"/>
      <c r="C621" s="681"/>
      <c r="D621" s="528"/>
      <c r="E621" s="528"/>
      <c r="F621" s="528"/>
      <c r="G621" s="528"/>
      <c r="H621" s="528"/>
      <c r="I621" s="528"/>
    </row>
    <row r="622" spans="1:9" ht="15.75" x14ac:dyDescent="0.2">
      <c r="A622" s="679"/>
      <c r="B622" s="679"/>
      <c r="C622" s="677"/>
      <c r="D622" s="641"/>
      <c r="E622" s="641"/>
      <c r="F622" s="641"/>
      <c r="G622" s="680"/>
      <c r="H622" s="680"/>
      <c r="I622" s="670"/>
    </row>
    <row r="623" spans="1:9" ht="15.75" x14ac:dyDescent="0.25">
      <c r="A623" s="682"/>
      <c r="B623" s="653"/>
      <c r="C623" s="646"/>
      <c r="D623" s="626"/>
      <c r="E623" s="627"/>
      <c r="F623" s="627"/>
      <c r="G623" s="627"/>
      <c r="H623" s="627"/>
      <c r="I623" s="627"/>
    </row>
    <row r="625" spans="1:16" ht="15.75" x14ac:dyDescent="0.2">
      <c r="B625" s="679"/>
      <c r="C625" s="677"/>
    </row>
    <row r="626" spans="1:16" ht="15.75" x14ac:dyDescent="0.2">
      <c r="B626" s="617"/>
      <c r="C626" s="618"/>
    </row>
    <row r="627" spans="1:16" ht="15.75" x14ac:dyDescent="0.2">
      <c r="A627" s="679"/>
      <c r="B627" s="679"/>
      <c r="C627" s="677"/>
      <c r="D627" s="641"/>
      <c r="E627" s="641"/>
      <c r="F627" s="641"/>
      <c r="G627" s="680"/>
      <c r="H627" s="680"/>
      <c r="I627" s="670"/>
    </row>
    <row r="628" spans="1:16" ht="15.75" x14ac:dyDescent="0.25">
      <c r="B628" s="658"/>
      <c r="C628" s="619"/>
      <c r="D628" s="626"/>
      <c r="E628" s="627"/>
      <c r="F628" s="627"/>
      <c r="G628" s="627"/>
      <c r="H628" s="627"/>
      <c r="I628" s="627"/>
    </row>
    <row r="629" spans="1:16" x14ac:dyDescent="0.2">
      <c r="P629" s="683"/>
    </row>
    <row r="630" spans="1:16" ht="15.75" x14ac:dyDescent="0.2">
      <c r="A630" s="679"/>
      <c r="B630" s="679"/>
      <c r="C630" s="677"/>
      <c r="D630" s="641"/>
      <c r="E630" s="641"/>
      <c r="F630" s="641"/>
      <c r="G630" s="680"/>
      <c r="H630" s="680"/>
      <c r="I630" s="680"/>
    </row>
    <row r="631" spans="1:16" ht="15.75" x14ac:dyDescent="0.25">
      <c r="A631" s="528"/>
      <c r="B631" s="664"/>
      <c r="C631" s="681"/>
      <c r="D631" s="641"/>
      <c r="E631" s="641"/>
      <c r="F631" s="641"/>
      <c r="G631" s="680"/>
      <c r="H631" s="680"/>
      <c r="I631" s="670"/>
    </row>
    <row r="632" spans="1:16" ht="15.75" x14ac:dyDescent="0.25">
      <c r="A632" s="684"/>
      <c r="B632" s="653"/>
      <c r="C632" s="629"/>
      <c r="D632" s="626"/>
      <c r="E632" s="627"/>
      <c r="F632" s="627"/>
      <c r="G632" s="627"/>
      <c r="H632" s="627"/>
      <c r="I632" s="627"/>
    </row>
    <row r="633" spans="1:16" ht="15.75" x14ac:dyDescent="0.25">
      <c r="A633" s="646"/>
      <c r="B633" s="639"/>
      <c r="C633" s="633"/>
      <c r="D633" s="626"/>
      <c r="E633" s="627"/>
      <c r="F633" s="627"/>
      <c r="G633" s="627"/>
      <c r="H633" s="627"/>
      <c r="I633" s="627"/>
    </row>
    <row r="635" spans="1:16" ht="15.75" x14ac:dyDescent="0.25">
      <c r="A635" s="684"/>
      <c r="B635" s="639"/>
      <c r="C635" s="629"/>
      <c r="D635" s="626"/>
      <c r="E635" s="627"/>
      <c r="F635" s="627"/>
      <c r="G635" s="627"/>
      <c r="H635" s="627"/>
      <c r="I635" s="627"/>
    </row>
    <row r="636" spans="1:16" ht="15.75" x14ac:dyDescent="0.25">
      <c r="A636" s="646"/>
      <c r="B636" s="639"/>
      <c r="C636" s="633"/>
      <c r="D636" s="528"/>
      <c r="E636" s="528"/>
      <c r="F636" s="528"/>
      <c r="G636" s="528"/>
      <c r="H636" s="528"/>
      <c r="I636" s="528"/>
    </row>
    <row r="637" spans="1:16" ht="15.75" x14ac:dyDescent="0.25">
      <c r="A637" s="653"/>
      <c r="B637" s="639"/>
      <c r="C637" s="633"/>
      <c r="D637" s="626"/>
      <c r="E637" s="627"/>
      <c r="F637" s="627"/>
      <c r="G637" s="627"/>
      <c r="H637" s="627"/>
      <c r="I637" s="627"/>
    </row>
    <row r="639" spans="1:16" ht="15.75" x14ac:dyDescent="0.25">
      <c r="C639" s="660"/>
      <c r="D639" s="637"/>
      <c r="E639" s="637"/>
      <c r="F639" s="637"/>
      <c r="G639" s="637"/>
      <c r="H639" s="637"/>
      <c r="I639" s="654"/>
    </row>
    <row r="640" spans="1:16" ht="15.75" x14ac:dyDescent="0.25">
      <c r="C640" s="660"/>
      <c r="D640" s="637"/>
      <c r="E640" s="637"/>
      <c r="F640" s="637"/>
      <c r="G640" s="637"/>
      <c r="H640" s="637"/>
      <c r="I640" s="626"/>
    </row>
    <row r="641" spans="1:9" ht="15.75" x14ac:dyDescent="0.25">
      <c r="C641" s="637"/>
      <c r="D641" s="637"/>
      <c r="E641" s="637"/>
      <c r="F641" s="637"/>
      <c r="G641" s="637"/>
      <c r="H641" s="637"/>
      <c r="I641" s="528"/>
    </row>
    <row r="642" spans="1:9" ht="15.75" x14ac:dyDescent="0.25">
      <c r="C642" s="678"/>
      <c r="D642" s="637"/>
      <c r="E642" s="637"/>
      <c r="F642" s="637"/>
      <c r="G642" s="637"/>
      <c r="H642" s="637"/>
      <c r="I642" s="654"/>
    </row>
    <row r="643" spans="1:9" ht="15.75" x14ac:dyDescent="0.25">
      <c r="C643" s="633"/>
      <c r="D643" s="637"/>
      <c r="E643" s="637"/>
      <c r="F643" s="637"/>
      <c r="G643" s="637"/>
      <c r="H643" s="637"/>
      <c r="I643" s="528"/>
    </row>
    <row r="644" spans="1:9" ht="15.75" x14ac:dyDescent="0.25">
      <c r="C644" s="678"/>
      <c r="D644" s="637"/>
      <c r="E644" s="637"/>
      <c r="F644" s="637"/>
      <c r="G644" s="637"/>
      <c r="H644" s="637"/>
      <c r="I644" s="654"/>
    </row>
    <row r="645" spans="1:9" ht="15.75" x14ac:dyDescent="0.25">
      <c r="C645" s="637"/>
      <c r="D645" s="637"/>
      <c r="E645" s="637"/>
      <c r="F645" s="637"/>
      <c r="G645" s="678"/>
      <c r="H645" s="678"/>
      <c r="I645" s="685"/>
    </row>
    <row r="646" spans="1:9" ht="15.75" x14ac:dyDescent="0.25">
      <c r="A646" s="528"/>
      <c r="B646" s="617"/>
      <c r="C646" s="685"/>
      <c r="E646" s="641"/>
      <c r="F646" s="641"/>
      <c r="G646" s="680"/>
      <c r="H646" s="680"/>
      <c r="I646" s="680"/>
    </row>
    <row r="647" spans="1:9" ht="14.25" x14ac:dyDescent="0.2">
      <c r="D647" s="663"/>
    </row>
    <row r="655" spans="1:9" ht="15.75" x14ac:dyDescent="0.25">
      <c r="A655" s="528"/>
      <c r="B655" s="528"/>
      <c r="I655" s="528"/>
    </row>
    <row r="658" spans="1:9" ht="15.75" x14ac:dyDescent="0.25">
      <c r="A658" s="646"/>
      <c r="B658" s="639"/>
      <c r="C658" s="633"/>
      <c r="D658" s="626"/>
      <c r="E658" s="627"/>
      <c r="F658" s="627"/>
      <c r="G658" s="627"/>
      <c r="H658" s="627"/>
      <c r="I658" s="627"/>
    </row>
    <row r="667" spans="1:9" ht="15.75" x14ac:dyDescent="0.2">
      <c r="A667" s="679"/>
      <c r="B667" s="679"/>
      <c r="D667" s="686"/>
      <c r="E667" s="686"/>
      <c r="F667" s="686"/>
      <c r="G667" s="687"/>
      <c r="H667" s="687"/>
      <c r="I667" s="687"/>
    </row>
    <row r="668" spans="1:9" ht="15.75" x14ac:dyDescent="0.2">
      <c r="D668" s="641"/>
      <c r="E668" s="641"/>
      <c r="F668" s="641"/>
      <c r="G668" s="680"/>
      <c r="H668" s="680"/>
      <c r="I668" s="670"/>
    </row>
    <row r="669" spans="1:9" ht="15.75" x14ac:dyDescent="0.2">
      <c r="B669" s="679"/>
      <c r="C669" s="646"/>
      <c r="D669" s="641"/>
      <c r="E669" s="641"/>
      <c r="F669" s="641"/>
      <c r="G669" s="680"/>
      <c r="H669" s="680"/>
      <c r="I669" s="670"/>
    </row>
    <row r="670" spans="1:9" ht="15.75" x14ac:dyDescent="0.2">
      <c r="C670" s="686"/>
      <c r="D670" s="686"/>
      <c r="E670" s="686"/>
      <c r="F670" s="686"/>
      <c r="G670" s="680"/>
      <c r="H670" s="680"/>
      <c r="I670" s="680"/>
    </row>
    <row r="671" spans="1:9" ht="15.75" x14ac:dyDescent="0.2">
      <c r="C671" s="688"/>
      <c r="D671" s="686"/>
      <c r="E671" s="686"/>
      <c r="F671" s="686"/>
      <c r="G671" s="680"/>
      <c r="H671" s="680"/>
      <c r="I671" s="680"/>
    </row>
    <row r="672" spans="1:9" ht="15.75" x14ac:dyDescent="0.2">
      <c r="C672" s="686"/>
      <c r="D672" s="686"/>
      <c r="E672" s="686"/>
      <c r="F672" s="686"/>
      <c r="G672" s="687"/>
      <c r="H672" s="687"/>
      <c r="I672" s="680"/>
    </row>
    <row r="673" spans="1:9" ht="15.75" x14ac:dyDescent="0.25">
      <c r="C673" s="660"/>
      <c r="D673" s="686"/>
      <c r="E673" s="686"/>
      <c r="F673" s="686"/>
      <c r="G673" s="689"/>
      <c r="H673" s="689"/>
      <c r="I673" s="689"/>
    </row>
    <row r="674" spans="1:9" ht="15.75" x14ac:dyDescent="0.25">
      <c r="C674" s="660"/>
    </row>
    <row r="676" spans="1:9" ht="15.75" x14ac:dyDescent="0.2">
      <c r="C676" s="678"/>
    </row>
    <row r="680" spans="1:9" ht="18.75" x14ac:dyDescent="0.2">
      <c r="A680" s="1012"/>
      <c r="B680" s="1013"/>
      <c r="C680" s="1013"/>
      <c r="D680" s="1013"/>
      <c r="E680" s="1013"/>
      <c r="F680" s="1013"/>
      <c r="G680" s="1013"/>
      <c r="H680" s="1013"/>
      <c r="I680" s="1013"/>
    </row>
    <row r="682" spans="1:9" ht="15.75" x14ac:dyDescent="0.2">
      <c r="A682" s="679"/>
      <c r="B682" s="679"/>
      <c r="C682" s="633"/>
      <c r="D682" s="686"/>
      <c r="E682" s="686"/>
      <c r="F682" s="686"/>
      <c r="G682" s="687"/>
      <c r="H682" s="687"/>
      <c r="I682" s="687"/>
    </row>
    <row r="683" spans="1:9" ht="15.75" x14ac:dyDescent="0.2">
      <c r="C683" s="646"/>
      <c r="D683" s="641"/>
      <c r="E683" s="641"/>
      <c r="F683" s="641"/>
      <c r="G683" s="680"/>
      <c r="H683" s="680"/>
      <c r="I683" s="670"/>
    </row>
    <row r="684" spans="1:9" ht="15.75" x14ac:dyDescent="0.2">
      <c r="C684" s="633"/>
      <c r="D684" s="641"/>
      <c r="E684" s="641"/>
      <c r="F684" s="641"/>
      <c r="G684" s="680"/>
      <c r="H684" s="680"/>
      <c r="I684" s="670"/>
    </row>
    <row r="685" spans="1:9" ht="15.75" x14ac:dyDescent="0.2">
      <c r="C685" s="646"/>
      <c r="D685" s="641"/>
      <c r="E685" s="641"/>
      <c r="F685" s="641"/>
      <c r="G685" s="689"/>
      <c r="H685" s="689"/>
      <c r="I685" s="690"/>
    </row>
    <row r="709" spans="1:9" ht="15.75" x14ac:dyDescent="0.2">
      <c r="C709" s="691"/>
    </row>
    <row r="710" spans="1:9" ht="15.75" x14ac:dyDescent="0.2">
      <c r="C710" s="618"/>
      <c r="D710" s="686"/>
      <c r="E710" s="686"/>
      <c r="F710" s="686"/>
      <c r="G710" s="687"/>
      <c r="H710" s="687"/>
      <c r="I710" s="687"/>
    </row>
    <row r="711" spans="1:9" ht="15.75" x14ac:dyDescent="0.2">
      <c r="A711" s="692"/>
      <c r="B711" s="692"/>
      <c r="C711" s="629"/>
      <c r="D711" s="641"/>
      <c r="E711" s="641"/>
      <c r="F711" s="641"/>
      <c r="G711" s="680"/>
      <c r="H711" s="680"/>
      <c r="I711" s="679"/>
    </row>
    <row r="712" spans="1:9" ht="15.75" x14ac:dyDescent="0.2">
      <c r="A712" s="692"/>
      <c r="B712" s="692"/>
      <c r="C712" s="646"/>
      <c r="D712" s="641"/>
      <c r="E712" s="641"/>
      <c r="F712" s="641"/>
      <c r="G712" s="680"/>
      <c r="H712" s="680"/>
      <c r="I712" s="670"/>
    </row>
    <row r="713" spans="1:9" ht="15.75" x14ac:dyDescent="0.2">
      <c r="C713" s="646"/>
      <c r="D713" s="641"/>
      <c r="E713" s="641"/>
      <c r="F713" s="641"/>
      <c r="G713" s="680"/>
      <c r="H713" s="680"/>
      <c r="I713" s="670"/>
    </row>
    <row r="714" spans="1:9" ht="15.75" x14ac:dyDescent="0.2">
      <c r="A714" s="692"/>
      <c r="B714" s="692"/>
      <c r="C714" s="646"/>
      <c r="D714" s="641"/>
      <c r="E714" s="641"/>
      <c r="F714" s="641"/>
      <c r="G714" s="680"/>
      <c r="H714" s="680"/>
      <c r="I714" s="670"/>
    </row>
    <row r="715" spans="1:9" ht="15.75" x14ac:dyDescent="0.2">
      <c r="C715" s="646"/>
      <c r="D715" s="641"/>
      <c r="E715" s="641"/>
      <c r="F715" s="641"/>
      <c r="G715" s="680"/>
      <c r="H715" s="680"/>
      <c r="I715" s="670"/>
    </row>
    <row r="716" spans="1:9" ht="15.75" x14ac:dyDescent="0.2">
      <c r="A716" s="692"/>
      <c r="B716" s="692"/>
      <c r="C716" s="646"/>
      <c r="D716" s="641"/>
      <c r="E716" s="641"/>
      <c r="F716" s="641"/>
      <c r="G716" s="680"/>
      <c r="H716" s="680"/>
      <c r="I716" s="670"/>
    </row>
    <row r="717" spans="1:9" ht="15.75" x14ac:dyDescent="0.2">
      <c r="C717" s="646"/>
      <c r="D717" s="641"/>
      <c r="E717" s="641"/>
      <c r="F717" s="641"/>
      <c r="G717" s="680"/>
      <c r="H717" s="680"/>
      <c r="I717" s="670"/>
    </row>
    <row r="718" spans="1:9" ht="15.75" x14ac:dyDescent="0.2">
      <c r="A718" s="692"/>
      <c r="B718" s="692"/>
      <c r="C718" s="629"/>
      <c r="D718" s="686"/>
      <c r="E718" s="686"/>
      <c r="F718" s="686"/>
      <c r="G718" s="687"/>
      <c r="H718" s="687"/>
      <c r="I718" s="687"/>
    </row>
    <row r="719" spans="1:9" x14ac:dyDescent="0.2">
      <c r="C719" s="686"/>
      <c r="D719" s="686"/>
      <c r="E719" s="686"/>
      <c r="F719" s="686"/>
      <c r="G719" s="687"/>
      <c r="H719" s="687"/>
      <c r="I719" s="687"/>
    </row>
    <row r="720" spans="1:9" ht="15.75" x14ac:dyDescent="0.2">
      <c r="A720" s="692"/>
      <c r="B720" s="692"/>
      <c r="C720" s="629"/>
      <c r="D720" s="641"/>
      <c r="E720" s="641"/>
      <c r="F720" s="641"/>
      <c r="G720" s="680"/>
      <c r="H720" s="680"/>
      <c r="I720" s="670"/>
    </row>
    <row r="721" spans="1:9" ht="15.75" x14ac:dyDescent="0.2">
      <c r="C721" s="633"/>
      <c r="D721" s="641"/>
      <c r="E721" s="641"/>
      <c r="F721" s="641"/>
      <c r="G721" s="680"/>
      <c r="H721" s="680"/>
      <c r="I721" s="670"/>
    </row>
    <row r="722" spans="1:9" x14ac:dyDescent="0.2">
      <c r="C722" s="686"/>
      <c r="D722" s="686"/>
      <c r="E722" s="686"/>
      <c r="F722" s="686"/>
      <c r="G722" s="687"/>
      <c r="H722" s="687"/>
      <c r="I722" s="687"/>
    </row>
    <row r="723" spans="1:9" ht="15.75" x14ac:dyDescent="0.2">
      <c r="A723" s="692"/>
      <c r="B723" s="692"/>
      <c r="C723" s="629"/>
      <c r="D723" s="641"/>
      <c r="E723" s="641"/>
      <c r="F723" s="641"/>
      <c r="G723" s="680"/>
      <c r="H723" s="680"/>
      <c r="I723" s="679"/>
    </row>
    <row r="724" spans="1:9" ht="15.75" x14ac:dyDescent="0.2">
      <c r="C724" s="633"/>
      <c r="D724" s="641"/>
      <c r="E724" s="641"/>
      <c r="F724" s="641"/>
      <c r="G724" s="680"/>
      <c r="H724" s="680"/>
      <c r="I724" s="670"/>
    </row>
    <row r="725" spans="1:9" ht="15.75" x14ac:dyDescent="0.2">
      <c r="C725" s="686"/>
      <c r="D725" s="641"/>
      <c r="E725" s="641"/>
      <c r="F725" s="641"/>
      <c r="G725" s="680"/>
      <c r="H725" s="680"/>
      <c r="I725" s="679"/>
    </row>
    <row r="726" spans="1:9" ht="15.75" x14ac:dyDescent="0.2">
      <c r="A726" s="692"/>
      <c r="B726" s="692"/>
      <c r="C726" s="619"/>
      <c r="D726" s="686"/>
      <c r="E726" s="686"/>
      <c r="F726" s="686"/>
      <c r="G726" s="687"/>
      <c r="H726" s="687"/>
      <c r="I726" s="687"/>
    </row>
    <row r="727" spans="1:9" ht="15.75" x14ac:dyDescent="0.2">
      <c r="C727" s="633"/>
      <c r="D727" s="686"/>
      <c r="E727" s="686"/>
      <c r="F727" s="686"/>
      <c r="G727" s="687"/>
      <c r="H727" s="687"/>
      <c r="I727" s="687"/>
    </row>
    <row r="728" spans="1:9" ht="15.75" x14ac:dyDescent="0.2">
      <c r="C728" s="633"/>
      <c r="D728" s="641"/>
      <c r="E728" s="641"/>
      <c r="F728" s="641"/>
      <c r="G728" s="680"/>
      <c r="H728" s="680"/>
      <c r="I728" s="670"/>
    </row>
    <row r="729" spans="1:9" x14ac:dyDescent="0.2">
      <c r="C729" s="686"/>
      <c r="D729" s="686"/>
      <c r="E729" s="686"/>
      <c r="F729" s="686"/>
      <c r="G729" s="687"/>
      <c r="H729" s="687"/>
      <c r="I729" s="687"/>
    </row>
    <row r="730" spans="1:9" ht="15.75" x14ac:dyDescent="0.2">
      <c r="A730" s="692"/>
      <c r="B730" s="679"/>
      <c r="C730" s="619"/>
      <c r="D730" s="686"/>
      <c r="E730" s="686"/>
      <c r="F730" s="686"/>
      <c r="G730" s="687"/>
      <c r="H730" s="687"/>
      <c r="I730" s="687"/>
    </row>
    <row r="731" spans="1:9" ht="15.75" x14ac:dyDescent="0.2">
      <c r="C731" s="633"/>
      <c r="D731" s="641"/>
      <c r="E731" s="641"/>
      <c r="F731" s="641"/>
      <c r="G731" s="680"/>
      <c r="H731" s="680"/>
      <c r="I731" s="670"/>
    </row>
    <row r="732" spans="1:9" ht="15.75" x14ac:dyDescent="0.2">
      <c r="C732" s="686"/>
      <c r="D732" s="686"/>
      <c r="E732" s="686"/>
      <c r="F732" s="686"/>
      <c r="G732" s="680"/>
      <c r="H732" s="680"/>
      <c r="I732" s="670"/>
    </row>
    <row r="733" spans="1:9" ht="15.75" x14ac:dyDescent="0.2">
      <c r="C733" s="688"/>
      <c r="D733" s="686"/>
      <c r="E733" s="686"/>
      <c r="F733" s="686"/>
      <c r="G733" s="680"/>
      <c r="H733" s="680"/>
      <c r="I733" s="670"/>
    </row>
    <row r="734" spans="1:9" ht="15.75" x14ac:dyDescent="0.2">
      <c r="C734" s="686"/>
      <c r="D734" s="686"/>
      <c r="E734" s="686"/>
      <c r="F734" s="686"/>
      <c r="G734" s="687"/>
      <c r="H734" s="687"/>
      <c r="I734" s="670"/>
    </row>
    <row r="735" spans="1:9" ht="15.75" x14ac:dyDescent="0.2">
      <c r="C735" s="686"/>
      <c r="D735" s="686"/>
      <c r="E735" s="686"/>
      <c r="F735" s="686"/>
      <c r="G735" s="689"/>
      <c r="H735" s="689"/>
      <c r="I735" s="690"/>
    </row>
    <row r="740" spans="1:9" x14ac:dyDescent="0.2">
      <c r="C740" s="686"/>
      <c r="D740" s="686"/>
      <c r="E740" s="686"/>
      <c r="F740" s="686"/>
      <c r="G740" s="687"/>
      <c r="H740" s="687"/>
      <c r="I740" s="687"/>
    </row>
    <row r="741" spans="1:9" x14ac:dyDescent="0.2">
      <c r="C741" s="686"/>
      <c r="D741" s="686"/>
      <c r="E741" s="686"/>
      <c r="F741" s="686"/>
      <c r="G741" s="687"/>
      <c r="H741" s="687"/>
      <c r="I741" s="687"/>
    </row>
    <row r="742" spans="1:9" ht="15.75" x14ac:dyDescent="0.2">
      <c r="C742" s="691"/>
    </row>
    <row r="743" spans="1:9" ht="15.75" x14ac:dyDescent="0.2">
      <c r="C743" s="618"/>
      <c r="D743" s="686"/>
      <c r="E743" s="686"/>
      <c r="F743" s="686"/>
      <c r="G743" s="687"/>
      <c r="H743" s="687"/>
      <c r="I743" s="687"/>
    </row>
    <row r="744" spans="1:9" ht="15.75" x14ac:dyDescent="0.2">
      <c r="C744" s="646"/>
      <c r="D744" s="686"/>
      <c r="E744" s="686"/>
      <c r="F744" s="686"/>
      <c r="G744" s="687"/>
      <c r="H744" s="687"/>
      <c r="I744" s="687"/>
    </row>
    <row r="745" spans="1:9" ht="15.75" x14ac:dyDescent="0.2">
      <c r="A745" s="692"/>
      <c r="B745" s="692"/>
      <c r="C745" s="619"/>
      <c r="D745" s="641"/>
      <c r="E745" s="641"/>
      <c r="F745" s="641"/>
      <c r="G745" s="680"/>
      <c r="H745" s="680"/>
      <c r="I745" s="680"/>
    </row>
    <row r="746" spans="1:9" ht="15.75" x14ac:dyDescent="0.25">
      <c r="C746" s="633"/>
      <c r="D746" s="626"/>
      <c r="E746" s="627"/>
      <c r="F746" s="627"/>
      <c r="G746" s="627"/>
      <c r="H746" s="627"/>
      <c r="I746" s="627"/>
    </row>
    <row r="747" spans="1:9" ht="15.75" x14ac:dyDescent="0.25">
      <c r="C747" s="633"/>
      <c r="D747" s="626"/>
      <c r="E747" s="627"/>
      <c r="F747" s="627"/>
      <c r="G747" s="627"/>
      <c r="H747" s="627"/>
      <c r="I747" s="627"/>
    </row>
    <row r="748" spans="1:9" ht="15.75" x14ac:dyDescent="0.25">
      <c r="A748" s="692"/>
      <c r="B748" s="679"/>
      <c r="C748" s="619"/>
      <c r="D748" s="626"/>
      <c r="E748" s="627"/>
      <c r="F748" s="627"/>
      <c r="G748" s="627"/>
      <c r="H748" s="627"/>
      <c r="I748" s="627"/>
    </row>
    <row r="749" spans="1:9" ht="15.75" x14ac:dyDescent="0.25">
      <c r="C749" s="619"/>
      <c r="D749" s="626"/>
      <c r="E749" s="627"/>
      <c r="F749" s="627"/>
      <c r="G749" s="627"/>
      <c r="H749" s="627"/>
      <c r="I749" s="627"/>
    </row>
    <row r="750" spans="1:9" ht="15.75" x14ac:dyDescent="0.25">
      <c r="A750" s="692"/>
      <c r="B750" s="692"/>
      <c r="C750" s="619"/>
      <c r="D750" s="528"/>
      <c r="E750" s="528"/>
      <c r="F750" s="528"/>
      <c r="G750" s="528"/>
      <c r="H750" s="528"/>
      <c r="I750" s="528"/>
    </row>
    <row r="751" spans="1:9" ht="15.75" x14ac:dyDescent="0.25">
      <c r="C751" s="633"/>
      <c r="D751" s="626"/>
      <c r="E751" s="627"/>
      <c r="F751" s="627"/>
      <c r="G751" s="627"/>
      <c r="H751" s="627"/>
      <c r="I751" s="627"/>
    </row>
    <row r="752" spans="1:9" ht="15.75" x14ac:dyDescent="0.25">
      <c r="C752" s="633"/>
      <c r="D752" s="626"/>
      <c r="E752" s="627"/>
      <c r="F752" s="627"/>
      <c r="G752" s="627"/>
      <c r="H752" s="627"/>
      <c r="I752" s="627"/>
    </row>
    <row r="753" spans="1:9" ht="15.75" x14ac:dyDescent="0.25">
      <c r="A753" s="692"/>
      <c r="B753" s="692"/>
      <c r="C753" s="619"/>
      <c r="D753" s="528"/>
      <c r="E753" s="528"/>
      <c r="F753" s="528"/>
      <c r="G753" s="528"/>
      <c r="H753" s="528"/>
      <c r="I753" s="528"/>
    </row>
    <row r="754" spans="1:9" ht="15.75" x14ac:dyDescent="0.25">
      <c r="C754" s="619"/>
      <c r="D754" s="626"/>
      <c r="E754" s="627"/>
      <c r="F754" s="627"/>
      <c r="G754" s="627"/>
      <c r="H754" s="627"/>
      <c r="I754" s="627"/>
    </row>
    <row r="755" spans="1:9" ht="15.75" x14ac:dyDescent="0.25">
      <c r="C755" s="619"/>
      <c r="D755" s="626"/>
      <c r="E755" s="627"/>
      <c r="F755" s="627"/>
      <c r="G755" s="627"/>
      <c r="H755" s="627"/>
      <c r="I755" s="627"/>
    </row>
    <row r="756" spans="1:9" ht="15.75" x14ac:dyDescent="0.25">
      <c r="A756" s="692"/>
      <c r="B756" s="692"/>
      <c r="C756" s="619"/>
      <c r="D756" s="626"/>
      <c r="E756" s="627"/>
      <c r="F756" s="627"/>
      <c r="G756" s="627"/>
      <c r="H756" s="627"/>
      <c r="I756" s="627"/>
    </row>
    <row r="757" spans="1:9" ht="15.75" x14ac:dyDescent="0.25">
      <c r="C757" s="619"/>
      <c r="D757" s="626"/>
      <c r="E757" s="627"/>
      <c r="F757" s="627"/>
      <c r="G757" s="627"/>
      <c r="H757" s="627"/>
      <c r="I757" s="627"/>
    </row>
    <row r="758" spans="1:9" ht="15.75" x14ac:dyDescent="0.25">
      <c r="C758" s="619"/>
      <c r="D758" s="626"/>
      <c r="E758" s="627"/>
      <c r="F758" s="627"/>
      <c r="G758" s="627"/>
      <c r="H758" s="627"/>
      <c r="I758" s="627"/>
    </row>
    <row r="759" spans="1:9" ht="15.75" x14ac:dyDescent="0.25">
      <c r="A759" s="692"/>
      <c r="B759" s="692"/>
      <c r="C759" s="619"/>
      <c r="D759" s="528"/>
      <c r="E759" s="528"/>
      <c r="F759" s="528"/>
      <c r="G759" s="528"/>
      <c r="H759" s="528"/>
      <c r="I759" s="528"/>
    </row>
    <row r="760" spans="1:9" ht="15.75" x14ac:dyDescent="0.25">
      <c r="C760" s="619"/>
      <c r="D760" s="626"/>
      <c r="E760" s="627"/>
      <c r="F760" s="627"/>
      <c r="G760" s="627"/>
      <c r="H760" s="627"/>
      <c r="I760" s="627"/>
    </row>
    <row r="761" spans="1:9" ht="15.75" x14ac:dyDescent="0.25">
      <c r="C761" s="619"/>
      <c r="D761" s="626"/>
      <c r="E761" s="627"/>
      <c r="F761" s="627"/>
      <c r="G761" s="627"/>
      <c r="H761" s="627"/>
      <c r="I761" s="627"/>
    </row>
    <row r="762" spans="1:9" ht="15.75" x14ac:dyDescent="0.25">
      <c r="A762" s="692"/>
      <c r="B762" s="692"/>
      <c r="C762" s="619"/>
      <c r="D762" s="626"/>
      <c r="E762" s="627"/>
      <c r="F762" s="627"/>
      <c r="G762" s="627"/>
      <c r="H762" s="627"/>
      <c r="I762" s="627"/>
    </row>
    <row r="763" spans="1:9" ht="15.75" x14ac:dyDescent="0.25">
      <c r="C763" s="619"/>
      <c r="D763" s="626"/>
      <c r="E763" s="627"/>
      <c r="F763" s="627"/>
      <c r="G763" s="627"/>
      <c r="H763" s="627"/>
      <c r="I763" s="627"/>
    </row>
    <row r="764" spans="1:9" ht="15.75" x14ac:dyDescent="0.25">
      <c r="A764" s="692"/>
      <c r="B764" s="692"/>
      <c r="C764" s="619"/>
      <c r="D764" s="626"/>
      <c r="E764" s="627"/>
      <c r="F764" s="627"/>
      <c r="G764" s="627"/>
      <c r="H764" s="627"/>
      <c r="I764" s="627"/>
    </row>
    <row r="765" spans="1:9" ht="15.75" x14ac:dyDescent="0.25">
      <c r="A765" s="692"/>
      <c r="B765" s="692"/>
      <c r="C765" s="619"/>
      <c r="D765" s="626"/>
      <c r="E765" s="627"/>
      <c r="F765" s="627"/>
      <c r="G765" s="627"/>
      <c r="H765" s="627"/>
      <c r="I765" s="627"/>
    </row>
    <row r="766" spans="1:9" ht="15.75" x14ac:dyDescent="0.25">
      <c r="A766" s="692"/>
      <c r="B766" s="692"/>
      <c r="C766" s="619"/>
      <c r="D766" s="626"/>
      <c r="E766" s="627"/>
      <c r="F766" s="627"/>
      <c r="G766" s="627"/>
      <c r="H766" s="627"/>
      <c r="I766" s="627"/>
    </row>
    <row r="767" spans="1:9" ht="15.75" x14ac:dyDescent="0.25">
      <c r="A767" s="692"/>
      <c r="B767" s="692"/>
      <c r="C767" s="619"/>
      <c r="D767" s="626"/>
      <c r="E767" s="627"/>
      <c r="F767" s="627"/>
      <c r="G767" s="627"/>
      <c r="H767" s="627"/>
      <c r="I767" s="627"/>
    </row>
    <row r="768" spans="1:9" ht="15.75" x14ac:dyDescent="0.25">
      <c r="C768" s="619"/>
      <c r="D768" s="626"/>
      <c r="E768" s="627"/>
      <c r="F768" s="627"/>
      <c r="G768" s="627"/>
      <c r="H768" s="627"/>
      <c r="I768" s="627"/>
    </row>
    <row r="769" spans="1:9" ht="15.75" x14ac:dyDescent="0.25">
      <c r="A769" s="692"/>
      <c r="B769" s="679"/>
      <c r="C769" s="619"/>
      <c r="D769" s="528"/>
      <c r="E769" s="528"/>
      <c r="F769" s="528"/>
      <c r="G769" s="528"/>
      <c r="H769" s="528"/>
      <c r="I769" s="661"/>
    </row>
    <row r="770" spans="1:9" ht="15.75" x14ac:dyDescent="0.25">
      <c r="C770" s="619"/>
      <c r="D770" s="626"/>
      <c r="E770" s="627"/>
      <c r="F770" s="627"/>
      <c r="G770" s="627"/>
      <c r="H770" s="627"/>
      <c r="I770" s="627"/>
    </row>
    <row r="771" spans="1:9" ht="15.75" x14ac:dyDescent="0.25">
      <c r="C771" s="619"/>
      <c r="D771" s="626"/>
      <c r="E771" s="627"/>
      <c r="F771" s="627"/>
      <c r="G771" s="627"/>
      <c r="H771" s="627"/>
      <c r="I771" s="627"/>
    </row>
    <row r="772" spans="1:9" ht="15.75" x14ac:dyDescent="0.25">
      <c r="A772" s="679"/>
      <c r="B772" s="679"/>
      <c r="C772" s="619"/>
      <c r="D772" s="528"/>
      <c r="E772" s="528"/>
      <c r="F772" s="528"/>
      <c r="G772" s="528"/>
      <c r="H772" s="528"/>
      <c r="I772" s="528"/>
    </row>
    <row r="773" spans="1:9" ht="15.75" x14ac:dyDescent="0.25">
      <c r="C773" s="619"/>
      <c r="D773" s="626"/>
      <c r="E773" s="627"/>
      <c r="F773" s="627"/>
      <c r="G773" s="627"/>
      <c r="H773" s="627"/>
      <c r="I773" s="627"/>
    </row>
    <row r="774" spans="1:9" ht="15.75" x14ac:dyDescent="0.25">
      <c r="C774" s="619"/>
      <c r="D774" s="626"/>
      <c r="E774" s="627"/>
      <c r="F774" s="627"/>
      <c r="G774" s="627"/>
      <c r="H774" s="627"/>
      <c r="I774" s="627"/>
    </row>
    <row r="775" spans="1:9" ht="15.75" x14ac:dyDescent="0.25">
      <c r="A775" s="679"/>
      <c r="B775" s="679"/>
      <c r="C775" s="619"/>
      <c r="D775" s="528"/>
      <c r="E775" s="528"/>
      <c r="F775" s="528"/>
      <c r="G775" s="528"/>
      <c r="H775" s="528"/>
      <c r="I775" s="528"/>
    </row>
    <row r="776" spans="1:9" ht="15.75" x14ac:dyDescent="0.25">
      <c r="C776" s="619"/>
      <c r="D776" s="626"/>
      <c r="E776" s="627"/>
      <c r="F776" s="627"/>
      <c r="G776" s="627"/>
      <c r="H776" s="627"/>
      <c r="I776" s="627"/>
    </row>
    <row r="777" spans="1:9" ht="15.75" x14ac:dyDescent="0.2">
      <c r="C777" s="641"/>
      <c r="D777" s="641"/>
      <c r="E777" s="641"/>
      <c r="F777" s="641"/>
      <c r="G777" s="680"/>
      <c r="H777" s="680"/>
      <c r="I777" s="680"/>
    </row>
    <row r="778" spans="1:9" ht="15.75" x14ac:dyDescent="0.2">
      <c r="C778" s="686"/>
      <c r="D778" s="686"/>
      <c r="E778" s="686"/>
      <c r="F778" s="686"/>
      <c r="G778" s="680"/>
      <c r="H778" s="680"/>
      <c r="I778" s="642"/>
    </row>
    <row r="779" spans="1:9" ht="15.75" x14ac:dyDescent="0.2">
      <c r="C779" s="688"/>
      <c r="D779" s="686"/>
      <c r="E779" s="686"/>
      <c r="F779" s="686"/>
      <c r="G779" s="680"/>
      <c r="H779" s="680"/>
      <c r="I779" s="679"/>
    </row>
    <row r="780" spans="1:9" ht="15.75" x14ac:dyDescent="0.2">
      <c r="C780" s="686"/>
      <c r="D780" s="686"/>
      <c r="E780" s="686"/>
      <c r="F780" s="686"/>
      <c r="G780" s="687"/>
      <c r="H780" s="687"/>
      <c r="I780" s="670"/>
    </row>
    <row r="781" spans="1:9" ht="15.75" x14ac:dyDescent="0.2">
      <c r="C781" s="686"/>
      <c r="D781" s="686"/>
      <c r="E781" s="686"/>
      <c r="F781" s="686"/>
      <c r="G781" s="689"/>
      <c r="H781" s="689"/>
      <c r="I781" s="642"/>
    </row>
    <row r="782" spans="1:9" ht="15.75" x14ac:dyDescent="0.25">
      <c r="C782" s="693"/>
      <c r="D782" s="641"/>
      <c r="E782" s="641"/>
      <c r="F782" s="641"/>
      <c r="G782" s="689"/>
      <c r="H782" s="689"/>
      <c r="I782" s="642"/>
    </row>
    <row r="783" spans="1:9" ht="15.75" x14ac:dyDescent="0.2">
      <c r="C783" s="646"/>
      <c r="D783" s="641"/>
      <c r="E783" s="641"/>
      <c r="F783" s="641"/>
      <c r="G783" s="689"/>
      <c r="H783" s="689"/>
      <c r="I783" s="642"/>
    </row>
    <row r="817" spans="1:9" ht="15.75" x14ac:dyDescent="0.2">
      <c r="C817" s="691"/>
    </row>
    <row r="818" spans="1:9" ht="15.75" x14ac:dyDescent="0.2">
      <c r="C818" s="694"/>
    </row>
    <row r="819" spans="1:9" ht="18.75" x14ac:dyDescent="0.2">
      <c r="A819" s="1012"/>
      <c r="B819" s="1013"/>
      <c r="C819" s="1013"/>
      <c r="D819" s="1013"/>
      <c r="E819" s="1013"/>
      <c r="F819" s="1013"/>
      <c r="G819" s="1013"/>
      <c r="H819" s="1013"/>
      <c r="I819" s="1013"/>
    </row>
    <row r="820" spans="1:9" ht="18.75" x14ac:dyDescent="0.2">
      <c r="A820" s="692"/>
      <c r="B820" s="679"/>
      <c r="C820" s="619"/>
      <c r="D820" s="695"/>
      <c r="E820" s="696"/>
      <c r="F820" s="696"/>
      <c r="G820" s="697"/>
      <c r="H820" s="697"/>
      <c r="I820" s="697"/>
    </row>
    <row r="821" spans="1:9" ht="15.75" x14ac:dyDescent="0.2">
      <c r="C821" s="619"/>
      <c r="D821" s="644"/>
      <c r="E821" s="698"/>
      <c r="F821" s="698"/>
      <c r="G821" s="699"/>
      <c r="H821" s="699"/>
      <c r="I821" s="699"/>
    </row>
    <row r="822" spans="1:9" ht="15.75" x14ac:dyDescent="0.2">
      <c r="A822" s="692"/>
      <c r="C822" s="700"/>
      <c r="D822" s="641"/>
      <c r="E822" s="641"/>
      <c r="F822" s="641"/>
      <c r="G822" s="680"/>
      <c r="H822" s="680"/>
      <c r="I822" s="679"/>
    </row>
    <row r="823" spans="1:9" ht="15.75" x14ac:dyDescent="0.2">
      <c r="C823" s="619"/>
      <c r="D823" s="644"/>
      <c r="E823" s="698"/>
      <c r="F823" s="698"/>
      <c r="G823" s="699"/>
      <c r="H823" s="699"/>
      <c r="I823" s="699"/>
    </row>
    <row r="824" spans="1:9" ht="15.75" x14ac:dyDescent="0.2">
      <c r="C824" s="619"/>
      <c r="D824" s="644"/>
      <c r="E824" s="698"/>
      <c r="F824" s="698"/>
      <c r="G824" s="699"/>
      <c r="H824" s="699"/>
      <c r="I824" s="699"/>
    </row>
    <row r="825" spans="1:9" ht="15.75" x14ac:dyDescent="0.2">
      <c r="C825" s="619"/>
      <c r="D825" s="698"/>
      <c r="E825" s="698"/>
      <c r="F825" s="698"/>
      <c r="G825" s="699"/>
      <c r="H825" s="699"/>
      <c r="I825" s="699"/>
    </row>
    <row r="828" spans="1:9" ht="15.75" x14ac:dyDescent="0.2">
      <c r="A828" s="692"/>
      <c r="C828" s="700"/>
      <c r="D828" s="701"/>
      <c r="E828" s="698"/>
      <c r="F828" s="698"/>
      <c r="G828" s="699"/>
      <c r="H828" s="699"/>
      <c r="I828" s="699"/>
    </row>
    <row r="829" spans="1:9" ht="15.75" x14ac:dyDescent="0.2">
      <c r="C829" s="619"/>
      <c r="D829" s="644"/>
      <c r="E829" s="698"/>
      <c r="F829" s="698"/>
      <c r="G829" s="699"/>
      <c r="H829" s="699"/>
      <c r="I829" s="699"/>
    </row>
    <row r="830" spans="1:9" ht="15.75" x14ac:dyDescent="0.2">
      <c r="C830" s="619"/>
      <c r="D830" s="644"/>
      <c r="E830" s="698"/>
      <c r="F830" s="698"/>
      <c r="G830" s="699"/>
      <c r="H830" s="699"/>
      <c r="I830" s="699"/>
    </row>
    <row r="831" spans="1:9" ht="15.75" x14ac:dyDescent="0.2">
      <c r="C831" s="619"/>
      <c r="D831" s="698"/>
      <c r="E831" s="698"/>
      <c r="F831" s="698"/>
      <c r="G831" s="699"/>
      <c r="H831" s="699"/>
      <c r="I831" s="699"/>
    </row>
    <row r="834" spans="1:9" ht="15.75" x14ac:dyDescent="0.2">
      <c r="A834" s="692"/>
      <c r="C834" s="700"/>
    </row>
    <row r="835" spans="1:9" ht="15.75" x14ac:dyDescent="0.2">
      <c r="C835" s="619"/>
      <c r="D835" s="644"/>
      <c r="E835" s="698"/>
      <c r="F835" s="698"/>
      <c r="G835" s="699"/>
      <c r="H835" s="699"/>
      <c r="I835" s="699"/>
    </row>
    <row r="836" spans="1:9" ht="15.75" x14ac:dyDescent="0.2">
      <c r="C836" s="619"/>
      <c r="D836" s="644"/>
      <c r="E836" s="698"/>
      <c r="F836" s="698"/>
      <c r="G836" s="699"/>
      <c r="H836" s="699"/>
      <c r="I836" s="699"/>
    </row>
    <row r="837" spans="1:9" ht="15.75" x14ac:dyDescent="0.2">
      <c r="C837" s="619"/>
      <c r="D837" s="698"/>
      <c r="E837" s="698"/>
      <c r="F837" s="698"/>
      <c r="G837" s="699"/>
      <c r="H837" s="699"/>
      <c r="I837" s="699"/>
    </row>
    <row r="840" spans="1:9" ht="18.75" x14ac:dyDescent="0.2">
      <c r="A840" s="692"/>
      <c r="B840" s="637"/>
      <c r="C840" s="702"/>
      <c r="D840" s="637"/>
      <c r="E840" s="637"/>
      <c r="F840" s="637"/>
      <c r="G840" s="637"/>
      <c r="H840" s="637"/>
      <c r="I840" s="637"/>
    </row>
    <row r="841" spans="1:9" ht="15.75" x14ac:dyDescent="0.2">
      <c r="B841" s="637"/>
      <c r="C841" s="619"/>
      <c r="D841" s="637"/>
      <c r="E841" s="637"/>
      <c r="F841" s="637"/>
      <c r="G841" s="637"/>
      <c r="H841" s="637"/>
      <c r="I841" s="637"/>
    </row>
    <row r="842" spans="1:9" ht="15.75" x14ac:dyDescent="0.25">
      <c r="B842" s="637"/>
      <c r="C842" s="619"/>
      <c r="D842" s="626"/>
      <c r="E842" s="627"/>
      <c r="F842" s="627"/>
      <c r="G842" s="627"/>
      <c r="H842" s="627"/>
      <c r="I842" s="627"/>
    </row>
    <row r="843" spans="1:9" ht="18.75" x14ac:dyDescent="0.3">
      <c r="C843" s="703"/>
      <c r="I843" s="704"/>
    </row>
    <row r="844" spans="1:9" ht="15.75" x14ac:dyDescent="0.2">
      <c r="D844" s="644"/>
      <c r="E844" s="698"/>
      <c r="F844" s="698"/>
      <c r="G844" s="699"/>
      <c r="H844" s="699"/>
      <c r="I844" s="699"/>
    </row>
    <row r="845" spans="1:9" ht="15.75" x14ac:dyDescent="0.2">
      <c r="C845" s="691"/>
      <c r="D845" s="644"/>
      <c r="E845" s="698"/>
      <c r="F845" s="698"/>
      <c r="G845" s="699"/>
      <c r="H845" s="699"/>
      <c r="I845" s="699"/>
    </row>
    <row r="846" spans="1:9" ht="15.75" x14ac:dyDescent="0.2">
      <c r="C846" s="691"/>
      <c r="D846" s="644"/>
      <c r="E846" s="698"/>
      <c r="F846" s="698"/>
      <c r="G846" s="699"/>
      <c r="H846" s="699"/>
      <c r="I846" s="699"/>
    </row>
    <row r="847" spans="1:9" ht="15.75" x14ac:dyDescent="0.2">
      <c r="C847" s="694"/>
      <c r="D847" s="701"/>
      <c r="E847" s="698"/>
      <c r="F847" s="698"/>
      <c r="G847" s="699"/>
      <c r="H847" s="699"/>
      <c r="I847" s="699"/>
    </row>
    <row r="848" spans="1:9" ht="15.75" x14ac:dyDescent="0.2">
      <c r="A848" s="692"/>
      <c r="B848" s="679"/>
      <c r="C848" s="619"/>
      <c r="D848" s="641"/>
      <c r="E848" s="641"/>
      <c r="F848" s="641"/>
      <c r="G848" s="680"/>
      <c r="H848" s="680"/>
      <c r="I848" s="679"/>
    </row>
    <row r="849" spans="1:9" ht="15.75" x14ac:dyDescent="0.2">
      <c r="A849" s="692"/>
      <c r="B849" s="679"/>
      <c r="C849" s="619"/>
      <c r="D849" s="705"/>
      <c r="E849" s="705"/>
      <c r="F849" s="705"/>
      <c r="G849" s="706"/>
      <c r="H849" s="706"/>
      <c r="I849" s="699"/>
    </row>
    <row r="850" spans="1:9" ht="15.75" x14ac:dyDescent="0.2">
      <c r="C850" s="619"/>
      <c r="D850" s="705"/>
      <c r="E850" s="705"/>
      <c r="F850" s="705"/>
      <c r="G850" s="706"/>
      <c r="H850" s="706"/>
      <c r="I850" s="699"/>
    </row>
    <row r="852" spans="1:9" ht="15.75" x14ac:dyDescent="0.2">
      <c r="C852" s="619"/>
      <c r="D852" s="705"/>
      <c r="E852" s="705"/>
      <c r="F852" s="705"/>
      <c r="G852" s="706"/>
      <c r="H852" s="706"/>
      <c r="I852" s="699"/>
    </row>
    <row r="853" spans="1:9" ht="15.75" x14ac:dyDescent="0.2">
      <c r="C853" s="619"/>
      <c r="D853" s="671"/>
      <c r="E853" s="671"/>
      <c r="F853" s="671"/>
      <c r="G853" s="699"/>
      <c r="H853" s="699"/>
      <c r="I853" s="699"/>
    </row>
    <row r="854" spans="1:9" ht="15.75" x14ac:dyDescent="0.2">
      <c r="C854" s="703"/>
      <c r="D854" s="705"/>
      <c r="E854" s="705"/>
      <c r="F854" s="705"/>
      <c r="G854" s="706"/>
      <c r="H854" s="706"/>
      <c r="I854" s="706"/>
    </row>
    <row r="855" spans="1:9" ht="15.75" x14ac:dyDescent="0.2">
      <c r="C855" s="619"/>
      <c r="D855" s="707"/>
      <c r="E855" s="708"/>
      <c r="F855" s="708"/>
      <c r="G855" s="709"/>
      <c r="H855" s="709"/>
      <c r="I855" s="709"/>
    </row>
    <row r="856" spans="1:9" ht="15.75" x14ac:dyDescent="0.2">
      <c r="C856" s="619"/>
      <c r="D856" s="707"/>
      <c r="E856" s="708"/>
      <c r="F856" s="708"/>
      <c r="G856" s="709"/>
      <c r="H856" s="709"/>
      <c r="I856" s="709"/>
    </row>
    <row r="857" spans="1:9" ht="15.75" x14ac:dyDescent="0.2">
      <c r="C857" s="619"/>
      <c r="D857" s="707"/>
      <c r="E857" s="708"/>
      <c r="F857" s="708"/>
      <c r="G857" s="709"/>
      <c r="H857" s="709"/>
      <c r="I857" s="709"/>
    </row>
    <row r="858" spans="1:9" ht="15.75" x14ac:dyDescent="0.2">
      <c r="C858" s="619"/>
      <c r="D858" s="701"/>
      <c r="E858" s="708"/>
      <c r="F858" s="708"/>
      <c r="G858" s="709"/>
      <c r="H858" s="709"/>
      <c r="I858" s="709"/>
    </row>
    <row r="859" spans="1:9" ht="15.75" x14ac:dyDescent="0.2">
      <c r="C859" s="619"/>
      <c r="D859" s="701"/>
      <c r="E859" s="708"/>
      <c r="F859" s="708"/>
      <c r="G859" s="709"/>
      <c r="H859" s="709"/>
      <c r="I859" s="709"/>
    </row>
    <row r="860" spans="1:9" ht="15.75" x14ac:dyDescent="0.2">
      <c r="C860" s="619"/>
      <c r="D860" s="701"/>
      <c r="E860" s="708"/>
      <c r="F860" s="708"/>
      <c r="G860" s="709"/>
      <c r="H860" s="709"/>
      <c r="I860" s="709"/>
    </row>
    <row r="861" spans="1:9" ht="15.75" x14ac:dyDescent="0.2">
      <c r="C861" s="619"/>
      <c r="D861" s="644"/>
      <c r="E861" s="708"/>
      <c r="F861" s="708"/>
      <c r="G861" s="709"/>
      <c r="H861" s="709"/>
      <c r="I861" s="709"/>
    </row>
    <row r="862" spans="1:9" ht="15.75" x14ac:dyDescent="0.2">
      <c r="C862" s="619"/>
      <c r="D862" s="701"/>
      <c r="E862" s="708"/>
      <c r="F862" s="708"/>
      <c r="G862" s="709"/>
      <c r="H862" s="709"/>
      <c r="I862" s="709"/>
    </row>
    <row r="863" spans="1:9" ht="15.75" x14ac:dyDescent="0.2">
      <c r="A863" s="692"/>
      <c r="B863" s="679"/>
      <c r="C863" s="700"/>
    </row>
    <row r="864" spans="1:9" ht="15.75" x14ac:dyDescent="0.2">
      <c r="C864" s="619"/>
      <c r="D864" s="701"/>
      <c r="E864" s="708"/>
      <c r="F864" s="708"/>
      <c r="G864" s="709"/>
      <c r="H864" s="709"/>
      <c r="I864" s="709"/>
    </row>
    <row r="865" spans="1:9" ht="15.75" x14ac:dyDescent="0.2">
      <c r="C865" s="619"/>
      <c r="D865" s="644"/>
      <c r="E865" s="708"/>
      <c r="F865" s="708"/>
      <c r="G865" s="709"/>
      <c r="H865" s="709"/>
      <c r="I865" s="709"/>
    </row>
    <row r="866" spans="1:9" ht="15.75" x14ac:dyDescent="0.2">
      <c r="C866" s="619"/>
      <c r="D866" s="701"/>
      <c r="E866" s="708"/>
      <c r="F866" s="708"/>
      <c r="G866" s="709"/>
      <c r="H866" s="709"/>
      <c r="I866" s="709"/>
    </row>
    <row r="867" spans="1:9" ht="15.75" x14ac:dyDescent="0.2">
      <c r="C867" s="619"/>
      <c r="D867" s="701"/>
      <c r="E867" s="708"/>
      <c r="F867" s="708"/>
      <c r="G867" s="709"/>
      <c r="H867" s="709"/>
      <c r="I867" s="709"/>
    </row>
    <row r="868" spans="1:9" ht="15.75" x14ac:dyDescent="0.2">
      <c r="C868" s="619"/>
      <c r="D868" s="707"/>
      <c r="E868" s="708"/>
      <c r="F868" s="708"/>
      <c r="G868" s="709"/>
      <c r="H868" s="709"/>
      <c r="I868" s="709"/>
    </row>
    <row r="869" spans="1:9" ht="15.75" x14ac:dyDescent="0.2">
      <c r="C869" s="619"/>
      <c r="D869" s="644"/>
      <c r="E869" s="698"/>
      <c r="F869" s="698"/>
      <c r="G869" s="699"/>
      <c r="H869" s="699"/>
      <c r="I869" s="699"/>
    </row>
    <row r="870" spans="1:9" ht="15.75" x14ac:dyDescent="0.2">
      <c r="A870" s="692"/>
      <c r="B870" s="679"/>
      <c r="C870" s="619"/>
      <c r="D870" s="644"/>
      <c r="E870" s="698"/>
      <c r="F870" s="698"/>
      <c r="G870" s="699"/>
      <c r="H870" s="699"/>
      <c r="I870" s="699"/>
    </row>
    <row r="871" spans="1:9" ht="15.75" x14ac:dyDescent="0.2">
      <c r="A871" s="692"/>
      <c r="C871" s="619"/>
      <c r="D871" s="644"/>
      <c r="E871" s="698"/>
      <c r="F871" s="698"/>
      <c r="G871" s="699"/>
      <c r="H871" s="699"/>
      <c r="I871" s="699"/>
    </row>
    <row r="872" spans="1:9" ht="15.75" x14ac:dyDescent="0.2">
      <c r="A872" s="692"/>
      <c r="C872" s="619"/>
      <c r="D872" s="644"/>
      <c r="E872" s="698"/>
      <c r="F872" s="698"/>
      <c r="G872" s="699"/>
      <c r="H872" s="699"/>
      <c r="I872" s="709"/>
    </row>
    <row r="873" spans="1:9" ht="15.75" x14ac:dyDescent="0.2">
      <c r="C873" s="619"/>
      <c r="D873" s="644"/>
      <c r="E873" s="698"/>
      <c r="F873" s="698"/>
      <c r="G873" s="699"/>
      <c r="H873" s="699"/>
      <c r="I873" s="699"/>
    </row>
    <row r="874" spans="1:9" ht="15.75" x14ac:dyDescent="0.2">
      <c r="A874" s="692"/>
      <c r="B874" s="679"/>
      <c r="C874" s="619"/>
      <c r="D874" s="644"/>
      <c r="E874" s="698"/>
      <c r="F874" s="698"/>
      <c r="G874" s="699"/>
      <c r="H874" s="699"/>
      <c r="I874" s="699"/>
    </row>
    <row r="875" spans="1:9" ht="15.75" x14ac:dyDescent="0.2">
      <c r="A875" s="692"/>
      <c r="C875" s="619"/>
      <c r="D875" s="644"/>
      <c r="E875" s="698"/>
      <c r="F875" s="698"/>
      <c r="G875" s="699"/>
      <c r="H875" s="699"/>
      <c r="I875" s="699"/>
    </row>
    <row r="876" spans="1:9" ht="15.75" x14ac:dyDescent="0.2">
      <c r="A876" s="692"/>
      <c r="C876" s="619"/>
      <c r="D876" s="644"/>
      <c r="E876" s="698"/>
      <c r="F876" s="698"/>
      <c r="G876" s="699"/>
      <c r="H876" s="699"/>
      <c r="I876" s="709"/>
    </row>
    <row r="877" spans="1:9" ht="15.75" x14ac:dyDescent="0.2">
      <c r="C877" s="619"/>
      <c r="D877" s="644"/>
      <c r="E877" s="698"/>
      <c r="F877" s="698"/>
      <c r="G877" s="699"/>
      <c r="H877" s="699"/>
      <c r="I877" s="699"/>
    </row>
    <row r="878" spans="1:9" ht="15.75" x14ac:dyDescent="0.2">
      <c r="A878" s="692"/>
      <c r="B878" s="679"/>
      <c r="C878" s="619"/>
      <c r="D878" s="644"/>
      <c r="E878" s="698"/>
      <c r="F878" s="698"/>
      <c r="G878" s="699"/>
      <c r="H878" s="699"/>
      <c r="I878" s="699"/>
    </row>
    <row r="879" spans="1:9" ht="15.75" x14ac:dyDescent="0.2">
      <c r="C879" s="619"/>
      <c r="D879" s="644"/>
      <c r="E879" s="698"/>
      <c r="F879" s="698"/>
      <c r="G879" s="699"/>
      <c r="H879" s="699"/>
      <c r="I879" s="699"/>
    </row>
    <row r="880" spans="1:9" ht="15.75" x14ac:dyDescent="0.2">
      <c r="C880" s="619"/>
      <c r="D880" s="644"/>
      <c r="E880" s="698"/>
      <c r="F880" s="698"/>
      <c r="G880" s="699"/>
      <c r="H880" s="699"/>
      <c r="I880" s="699"/>
    </row>
    <row r="881" spans="3:9" ht="15.75" x14ac:dyDescent="0.2">
      <c r="C881" s="705"/>
      <c r="D881" s="705"/>
      <c r="E881" s="705"/>
      <c r="F881" s="705"/>
      <c r="G881" s="706"/>
      <c r="H881" s="706"/>
      <c r="I881" s="699"/>
    </row>
    <row r="882" spans="3:9" ht="15.75" x14ac:dyDescent="0.2">
      <c r="D882" s="705"/>
      <c r="E882" s="705"/>
      <c r="F882" s="705"/>
      <c r="G882" s="706"/>
      <c r="H882" s="706"/>
      <c r="I882" s="699"/>
    </row>
    <row r="890" spans="3:9" ht="12.75" customHeight="1" x14ac:dyDescent="0.2"/>
    <row r="895" spans="3:9" ht="15.75" x14ac:dyDescent="0.2">
      <c r="C895" s="691"/>
    </row>
    <row r="896" spans="3:9" ht="15.75" x14ac:dyDescent="0.2">
      <c r="C896" s="694"/>
    </row>
    <row r="897" spans="1:9" ht="18.75" x14ac:dyDescent="0.2">
      <c r="A897" s="1012"/>
      <c r="B897" s="1012"/>
      <c r="C897" s="1012"/>
      <c r="D897" s="1012"/>
      <c r="E897" s="1012"/>
      <c r="F897" s="1012"/>
      <c r="G897" s="1012"/>
      <c r="H897" s="1012"/>
      <c r="I897" s="1012"/>
    </row>
    <row r="899" spans="1:9" ht="15.75" x14ac:dyDescent="0.2">
      <c r="A899" s="692"/>
      <c r="B899" s="679"/>
      <c r="C899" s="619"/>
      <c r="D899" s="686"/>
      <c r="E899" s="686"/>
      <c r="F899" s="686"/>
      <c r="G899" s="687"/>
      <c r="H899" s="687"/>
      <c r="I899" s="687"/>
    </row>
    <row r="900" spans="1:9" ht="15.75" x14ac:dyDescent="0.2">
      <c r="A900" s="692"/>
      <c r="C900" s="630"/>
      <c r="D900" s="630"/>
      <c r="E900" s="698"/>
      <c r="F900" s="698"/>
      <c r="G900" s="710"/>
      <c r="H900" s="710"/>
      <c r="I900" s="699"/>
    </row>
    <row r="901" spans="1:9" ht="15.75" x14ac:dyDescent="0.2">
      <c r="A901" s="692"/>
      <c r="C901" s="630"/>
      <c r="D901" s="619"/>
      <c r="E901" s="619"/>
      <c r="F901" s="619"/>
      <c r="G901" s="699"/>
      <c r="H901" s="699"/>
      <c r="I901" s="699"/>
    </row>
    <row r="902" spans="1:9" ht="15.75" x14ac:dyDescent="0.2">
      <c r="A902" s="692"/>
      <c r="C902" s="619"/>
      <c r="D902" s="619"/>
      <c r="E902" s="619"/>
      <c r="F902" s="619"/>
      <c r="G902" s="699"/>
      <c r="H902" s="699"/>
      <c r="I902" s="699"/>
    </row>
    <row r="903" spans="1:9" ht="15.75" x14ac:dyDescent="0.2">
      <c r="A903" s="692"/>
      <c r="C903" s="619"/>
      <c r="D903" s="619"/>
      <c r="E903" s="619"/>
      <c r="F903" s="619"/>
      <c r="G903" s="699"/>
      <c r="H903" s="699"/>
      <c r="I903" s="699"/>
    </row>
    <row r="904" spans="1:9" ht="15.75" x14ac:dyDescent="0.2">
      <c r="A904" s="692"/>
      <c r="C904" s="619"/>
      <c r="D904" s="619"/>
      <c r="E904" s="619"/>
      <c r="F904" s="619"/>
      <c r="G904" s="699"/>
      <c r="H904" s="699"/>
      <c r="I904" s="699"/>
    </row>
    <row r="905" spans="1:9" ht="15.75" x14ac:dyDescent="0.2">
      <c r="A905" s="692"/>
      <c r="C905" s="619"/>
      <c r="D905" s="619"/>
      <c r="E905" s="619"/>
      <c r="F905" s="619"/>
      <c r="G905" s="699"/>
      <c r="H905" s="699"/>
      <c r="I905" s="699"/>
    </row>
    <row r="906" spans="1:9" ht="15.75" x14ac:dyDescent="0.2">
      <c r="A906" s="692"/>
      <c r="C906" s="619"/>
      <c r="D906" s="619"/>
      <c r="E906" s="619"/>
      <c r="F906" s="619"/>
      <c r="G906" s="699"/>
      <c r="H906" s="699"/>
      <c r="I906" s="699"/>
    </row>
    <row r="907" spans="1:9" ht="15.75" x14ac:dyDescent="0.2">
      <c r="A907" s="692"/>
      <c r="C907" s="619"/>
      <c r="D907" s="619"/>
      <c r="E907" s="619"/>
      <c r="F907" s="619"/>
      <c r="G907" s="699"/>
      <c r="H907" s="699"/>
      <c r="I907" s="699"/>
    </row>
    <row r="908" spans="1:9" ht="15.75" x14ac:dyDescent="0.2">
      <c r="A908" s="692"/>
      <c r="C908" s="619"/>
      <c r="D908" s="619"/>
      <c r="E908" s="619"/>
      <c r="F908" s="619"/>
      <c r="G908" s="699"/>
      <c r="H908" s="699"/>
      <c r="I908" s="699"/>
    </row>
    <row r="910" spans="1:9" ht="15.75" x14ac:dyDescent="0.2">
      <c r="A910" s="692"/>
      <c r="C910" s="619"/>
      <c r="D910" s="630"/>
      <c r="E910" s="630"/>
      <c r="F910" s="630"/>
      <c r="G910" s="699"/>
      <c r="H910" s="699"/>
      <c r="I910" s="699"/>
    </row>
    <row r="911" spans="1:9" ht="15.75" x14ac:dyDescent="0.2">
      <c r="C911" s="619"/>
      <c r="D911" s="630"/>
      <c r="E911" s="630"/>
      <c r="F911" s="630"/>
      <c r="G911" s="699"/>
      <c r="H911" s="699"/>
      <c r="I911" s="699"/>
    </row>
    <row r="912" spans="1:9" ht="15.75" x14ac:dyDescent="0.2">
      <c r="A912" s="692"/>
      <c r="C912" s="703"/>
      <c r="D912" s="619"/>
      <c r="E912" s="619"/>
      <c r="F912" s="619"/>
      <c r="G912" s="699"/>
      <c r="H912" s="699"/>
      <c r="I912" s="706"/>
    </row>
    <row r="913" spans="1:9" ht="15.75" x14ac:dyDescent="0.2">
      <c r="A913" s="692"/>
      <c r="C913" s="619"/>
      <c r="D913" s="619"/>
      <c r="E913" s="619"/>
      <c r="F913" s="619"/>
      <c r="G913" s="699"/>
      <c r="H913" s="699"/>
      <c r="I913" s="699"/>
    </row>
    <row r="916" spans="1:9" ht="12.75" customHeight="1" x14ac:dyDescent="0.2"/>
    <row r="919" spans="1:9" ht="15.75" x14ac:dyDescent="0.2">
      <c r="C919" s="691"/>
    </row>
    <row r="920" spans="1:9" ht="15.75" x14ac:dyDescent="0.2">
      <c r="C920" s="694"/>
    </row>
    <row r="921" spans="1:9" ht="18.75" x14ac:dyDescent="0.2">
      <c r="A921" s="1012"/>
      <c r="B921" s="1012"/>
      <c r="C921" s="1012"/>
      <c r="D921" s="1012"/>
      <c r="E921" s="1012"/>
      <c r="F921" s="1012"/>
      <c r="G921" s="1012"/>
      <c r="H921" s="1012"/>
      <c r="I921" s="1012"/>
    </row>
    <row r="923" spans="1:9" ht="15.75" x14ac:dyDescent="0.2">
      <c r="A923" s="692"/>
      <c r="B923" s="679"/>
      <c r="C923" s="711"/>
    </row>
    <row r="924" spans="1:9" ht="15.75" x14ac:dyDescent="0.2">
      <c r="C924" s="711"/>
      <c r="D924" s="644"/>
      <c r="E924" s="698"/>
      <c r="F924" s="698"/>
      <c r="G924" s="699"/>
      <c r="H924" s="699"/>
      <c r="I924" s="699"/>
    </row>
    <row r="925" spans="1:9" ht="15.75" x14ac:dyDescent="0.25">
      <c r="C925" s="528"/>
    </row>
    <row r="926" spans="1:9" ht="15.75" x14ac:dyDescent="0.25">
      <c r="A926" s="692"/>
      <c r="B926" s="679"/>
      <c r="C926" s="711"/>
      <c r="D926" s="528"/>
      <c r="E926" s="626"/>
      <c r="F926" s="626"/>
      <c r="G926" s="661"/>
      <c r="H926" s="661"/>
      <c r="I926" s="712"/>
    </row>
    <row r="927" spans="1:9" ht="15.75" x14ac:dyDescent="0.25">
      <c r="C927" s="528"/>
    </row>
    <row r="928" spans="1:9" ht="15.75" x14ac:dyDescent="0.25">
      <c r="A928" s="692"/>
      <c r="B928" s="679"/>
      <c r="C928" s="711"/>
      <c r="D928" s="528"/>
      <c r="E928" s="626"/>
      <c r="F928" s="626"/>
      <c r="G928" s="661"/>
      <c r="H928" s="661"/>
      <c r="I928" s="712"/>
    </row>
    <row r="929" spans="1:9" ht="15.75" x14ac:dyDescent="0.25">
      <c r="C929" s="528"/>
    </row>
    <row r="930" spans="1:9" ht="15.75" x14ac:dyDescent="0.25">
      <c r="A930" s="692"/>
      <c r="B930" s="679"/>
      <c r="C930" s="711"/>
      <c r="D930" s="528"/>
      <c r="E930" s="626"/>
      <c r="F930" s="626"/>
      <c r="G930" s="661"/>
      <c r="H930" s="661"/>
      <c r="I930" s="712"/>
    </row>
    <row r="931" spans="1:9" ht="15.75" x14ac:dyDescent="0.2">
      <c r="C931" s="711"/>
    </row>
    <row r="932" spans="1:9" ht="15.75" x14ac:dyDescent="0.25">
      <c r="A932" s="692"/>
      <c r="B932" s="679"/>
      <c r="C932" s="711"/>
      <c r="D932" s="528"/>
      <c r="E932" s="626"/>
      <c r="F932" s="626"/>
      <c r="G932" s="661"/>
      <c r="H932" s="661"/>
      <c r="I932" s="712"/>
    </row>
    <row r="933" spans="1:9" ht="15.75" x14ac:dyDescent="0.2">
      <c r="C933" s="711"/>
    </row>
    <row r="934" spans="1:9" ht="15.75" x14ac:dyDescent="0.25">
      <c r="A934" s="692"/>
      <c r="B934" s="679"/>
      <c r="C934" s="711"/>
      <c r="D934" s="528"/>
      <c r="E934" s="626"/>
      <c r="F934" s="626"/>
      <c r="G934" s="661"/>
      <c r="H934" s="661"/>
      <c r="I934" s="712"/>
    </row>
    <row r="936" spans="1:9" ht="15.75" x14ac:dyDescent="0.25">
      <c r="A936" s="692"/>
      <c r="B936" s="679"/>
      <c r="C936" s="711"/>
      <c r="D936" s="528"/>
      <c r="E936" s="626"/>
      <c r="F936" s="626"/>
      <c r="G936" s="661"/>
      <c r="H936" s="661"/>
      <c r="I936" s="712"/>
    </row>
    <row r="938" spans="1:9" ht="15.75" x14ac:dyDescent="0.25">
      <c r="A938" s="692"/>
      <c r="C938" s="711"/>
      <c r="D938" s="528"/>
      <c r="E938" s="626"/>
      <c r="F938" s="626"/>
      <c r="G938" s="661"/>
      <c r="H938" s="661"/>
      <c r="I938" s="712"/>
    </row>
    <row r="940" spans="1:9" ht="15.75" x14ac:dyDescent="0.25">
      <c r="A940" s="692"/>
      <c r="B940" s="679"/>
      <c r="C940" s="711"/>
      <c r="D940" s="528"/>
      <c r="E940" s="626"/>
      <c r="F940" s="626"/>
      <c r="G940" s="661"/>
      <c r="H940" s="661"/>
      <c r="I940" s="712"/>
    </row>
    <row r="941" spans="1:9" ht="15.75" x14ac:dyDescent="0.25">
      <c r="A941" s="692"/>
      <c r="C941" s="528"/>
      <c r="D941" s="528"/>
      <c r="E941" s="626"/>
      <c r="F941" s="626"/>
      <c r="G941" s="661"/>
      <c r="H941" s="661"/>
      <c r="I941" s="712"/>
    </row>
    <row r="942" spans="1:9" ht="15.75" x14ac:dyDescent="0.25">
      <c r="A942" s="679"/>
      <c r="B942" s="679"/>
      <c r="C942" s="711"/>
      <c r="D942" s="528"/>
      <c r="E942" s="626"/>
      <c r="F942" s="626"/>
      <c r="G942" s="661"/>
      <c r="H942" s="661"/>
      <c r="I942" s="712"/>
    </row>
    <row r="943" spans="1:9" ht="15.75" x14ac:dyDescent="0.2">
      <c r="A943" s="692"/>
    </row>
    <row r="944" spans="1:9" ht="15.75" x14ac:dyDescent="0.2">
      <c r="A944" s="679"/>
      <c r="C944" s="713"/>
      <c r="D944" s="619"/>
      <c r="E944" s="619"/>
      <c r="F944" s="619"/>
      <c r="G944" s="699"/>
      <c r="H944" s="699"/>
      <c r="I944" s="699"/>
    </row>
    <row r="945" spans="1:9" ht="15.75" x14ac:dyDescent="0.2">
      <c r="A945" s="679"/>
      <c r="C945" s="713"/>
      <c r="D945" s="619"/>
      <c r="E945" s="619"/>
      <c r="F945" s="619"/>
      <c r="G945" s="699"/>
      <c r="H945" s="699"/>
      <c r="I945" s="699"/>
    </row>
    <row r="946" spans="1:9" ht="15.75" x14ac:dyDescent="0.2">
      <c r="A946" s="679"/>
      <c r="C946" s="713"/>
      <c r="D946" s="619"/>
      <c r="E946" s="619"/>
      <c r="F946" s="619"/>
      <c r="G946" s="699"/>
      <c r="H946" s="699"/>
      <c r="I946" s="699"/>
    </row>
    <row r="948" spans="1:9" ht="15.75" x14ac:dyDescent="0.25">
      <c r="A948" s="679"/>
      <c r="B948" s="679"/>
      <c r="C948" s="711"/>
      <c r="D948" s="528"/>
      <c r="E948" s="626"/>
      <c r="F948" s="626"/>
      <c r="G948" s="661"/>
      <c r="H948" s="661"/>
      <c r="I948" s="712"/>
    </row>
    <row r="949" spans="1:9" ht="15.75" x14ac:dyDescent="0.25">
      <c r="A949" s="679"/>
      <c r="C949" s="713"/>
      <c r="D949" s="528"/>
      <c r="E949" s="626"/>
      <c r="F949" s="626"/>
      <c r="G949" s="661"/>
      <c r="H949" s="661"/>
      <c r="I949" s="712"/>
    </row>
    <row r="950" spans="1:9" ht="15.75" x14ac:dyDescent="0.25">
      <c r="D950" s="528"/>
      <c r="E950" s="626"/>
      <c r="F950" s="626"/>
      <c r="G950" s="661"/>
      <c r="H950" s="661"/>
      <c r="I950" s="712"/>
    </row>
    <row r="951" spans="1:9" ht="15.75" x14ac:dyDescent="0.25">
      <c r="A951" s="679"/>
      <c r="C951" s="713"/>
      <c r="D951" s="528"/>
      <c r="E951" s="626"/>
      <c r="F951" s="626"/>
      <c r="G951" s="661"/>
      <c r="H951" s="661"/>
      <c r="I951" s="712"/>
    </row>
    <row r="952" spans="1:9" ht="15.75" x14ac:dyDescent="0.2">
      <c r="A952" s="679"/>
      <c r="B952" s="679"/>
    </row>
    <row r="953" spans="1:9" ht="15.75" x14ac:dyDescent="0.25">
      <c r="A953" s="679"/>
      <c r="C953" s="713"/>
      <c r="D953" s="528"/>
      <c r="E953" s="626"/>
      <c r="F953" s="626"/>
      <c r="G953" s="661"/>
      <c r="H953" s="661"/>
      <c r="I953" s="712"/>
    </row>
    <row r="954" spans="1:9" ht="15.75" x14ac:dyDescent="0.25">
      <c r="C954" s="528"/>
    </row>
    <row r="955" spans="1:9" ht="15.75" x14ac:dyDescent="0.2">
      <c r="C955" s="714"/>
    </row>
    <row r="956" spans="1:9" ht="15.75" x14ac:dyDescent="0.2">
      <c r="C956" s="711"/>
    </row>
    <row r="957" spans="1:9" ht="15.75" x14ac:dyDescent="0.2">
      <c r="A957" s="679"/>
      <c r="B957" s="679"/>
      <c r="C957" s="711"/>
    </row>
    <row r="958" spans="1:9" ht="15.75" x14ac:dyDescent="0.25">
      <c r="C958" s="711"/>
      <c r="D958" s="528"/>
      <c r="E958" s="626"/>
      <c r="F958" s="626"/>
      <c r="G958" s="661"/>
      <c r="H958" s="661"/>
      <c r="I958" s="712"/>
    </row>
    <row r="959" spans="1:9" ht="15.75" x14ac:dyDescent="0.2">
      <c r="C959" s="711"/>
    </row>
    <row r="960" spans="1:9" ht="15.75" x14ac:dyDescent="0.25">
      <c r="C960" s="711"/>
      <c r="D960" s="528"/>
    </row>
    <row r="961" spans="1:9" ht="15.75" x14ac:dyDescent="0.25">
      <c r="C961" s="711"/>
      <c r="E961" s="626"/>
      <c r="F961" s="626"/>
      <c r="G961" s="661"/>
      <c r="H961" s="661"/>
      <c r="I961" s="712"/>
    </row>
    <row r="962" spans="1:9" ht="15.75" x14ac:dyDescent="0.25">
      <c r="C962" s="711"/>
      <c r="D962" s="528"/>
    </row>
    <row r="963" spans="1:9" ht="15.75" x14ac:dyDescent="0.25">
      <c r="C963" s="711"/>
      <c r="D963" s="528"/>
    </row>
    <row r="964" spans="1:9" ht="15.75" x14ac:dyDescent="0.2">
      <c r="C964" s="714"/>
    </row>
    <row r="965" spans="1:9" ht="15.75" x14ac:dyDescent="0.2">
      <c r="A965" s="679"/>
      <c r="B965" s="679"/>
      <c r="C965" s="711"/>
    </row>
    <row r="966" spans="1:9" ht="15.75" x14ac:dyDescent="0.2">
      <c r="A966" s="679"/>
      <c r="C966" s="713"/>
      <c r="D966" s="619"/>
      <c r="E966" s="619"/>
      <c r="F966" s="619"/>
      <c r="G966" s="699"/>
      <c r="H966" s="699"/>
      <c r="I966" s="699"/>
    </row>
    <row r="967" spans="1:9" ht="15.75" x14ac:dyDescent="0.2">
      <c r="C967" s="711"/>
    </row>
    <row r="968" spans="1:9" ht="15.75" x14ac:dyDescent="0.2">
      <c r="A968" s="679"/>
      <c r="C968" s="713"/>
      <c r="D968" s="619"/>
      <c r="E968" s="619"/>
      <c r="F968" s="619"/>
      <c r="G968" s="699"/>
      <c r="H968" s="699"/>
      <c r="I968" s="699"/>
    </row>
    <row r="969" spans="1:9" ht="15.75" x14ac:dyDescent="0.2">
      <c r="A969" s="679"/>
      <c r="B969" s="679"/>
      <c r="C969" s="713"/>
    </row>
    <row r="970" spans="1:9" ht="15.75" x14ac:dyDescent="0.2">
      <c r="A970" s="679"/>
      <c r="C970" s="713"/>
      <c r="D970" s="619"/>
      <c r="E970" s="619"/>
      <c r="F970" s="619"/>
      <c r="G970" s="699"/>
      <c r="H970" s="699"/>
      <c r="I970" s="699"/>
    </row>
    <row r="971" spans="1:9" ht="15.75" x14ac:dyDescent="0.2">
      <c r="C971" s="713"/>
    </row>
    <row r="972" spans="1:9" ht="15.75" x14ac:dyDescent="0.2">
      <c r="A972" s="679"/>
      <c r="C972" s="713"/>
      <c r="D972" s="619"/>
      <c r="E972" s="619"/>
      <c r="F972" s="619"/>
      <c r="G972" s="699"/>
      <c r="H972" s="699"/>
      <c r="I972" s="699"/>
    </row>
    <row r="974" spans="1:9" ht="15.75" x14ac:dyDescent="0.2">
      <c r="A974" s="679"/>
      <c r="B974" s="679"/>
      <c r="C974" s="711"/>
    </row>
    <row r="975" spans="1:9" ht="15.75" x14ac:dyDescent="0.2">
      <c r="A975" s="679"/>
      <c r="C975" s="713"/>
      <c r="D975" s="619"/>
      <c r="E975" s="619"/>
      <c r="F975" s="619"/>
      <c r="G975" s="699"/>
      <c r="H975" s="699"/>
      <c r="I975" s="699"/>
    </row>
    <row r="976" spans="1:9" ht="15.75" x14ac:dyDescent="0.2">
      <c r="A976" s="679"/>
      <c r="B976" s="679"/>
    </row>
    <row r="977" spans="1:9" ht="15.75" x14ac:dyDescent="0.2">
      <c r="A977" s="679"/>
      <c r="C977" s="713"/>
      <c r="D977" s="619"/>
      <c r="E977" s="619"/>
      <c r="F977" s="619"/>
      <c r="G977" s="699"/>
      <c r="H977" s="699"/>
      <c r="I977" s="699"/>
    </row>
    <row r="978" spans="1:9" ht="15.75" x14ac:dyDescent="0.25">
      <c r="D978" s="528"/>
      <c r="E978" s="626"/>
      <c r="F978" s="626"/>
      <c r="G978" s="661"/>
      <c r="H978" s="661"/>
      <c r="I978" s="712"/>
    </row>
    <row r="979" spans="1:9" ht="15.75" x14ac:dyDescent="0.2">
      <c r="A979" s="679"/>
      <c r="B979" s="679"/>
      <c r="C979" s="713"/>
      <c r="D979" s="619"/>
      <c r="E979" s="619"/>
      <c r="F979" s="619"/>
      <c r="G979" s="699"/>
      <c r="H979" s="699"/>
      <c r="I979" s="699"/>
    </row>
    <row r="981" spans="1:9" ht="15.75" x14ac:dyDescent="0.2">
      <c r="A981" s="679"/>
      <c r="C981" s="713"/>
      <c r="D981" s="619"/>
      <c r="E981" s="619"/>
      <c r="F981" s="619"/>
      <c r="G981" s="699"/>
      <c r="H981" s="699"/>
      <c r="I981" s="699"/>
    </row>
    <row r="982" spans="1:9" ht="15.75" x14ac:dyDescent="0.2">
      <c r="C982" s="713"/>
      <c r="D982" s="619"/>
      <c r="E982" s="619"/>
      <c r="F982" s="619"/>
      <c r="G982" s="699"/>
      <c r="H982" s="699"/>
      <c r="I982" s="699"/>
    </row>
    <row r="983" spans="1:9" ht="15.75" x14ac:dyDescent="0.2">
      <c r="A983" s="679"/>
      <c r="B983" s="679"/>
      <c r="C983" s="713"/>
      <c r="D983" s="619"/>
      <c r="E983" s="619"/>
      <c r="F983" s="619"/>
      <c r="G983" s="699"/>
      <c r="H983" s="699"/>
      <c r="I983" s="699"/>
    </row>
    <row r="985" spans="1:9" ht="15.75" x14ac:dyDescent="0.2">
      <c r="A985" s="679"/>
      <c r="B985" s="679"/>
      <c r="C985" s="711"/>
    </row>
    <row r="986" spans="1:9" ht="15.75" x14ac:dyDescent="0.25">
      <c r="A986" s="679"/>
      <c r="C986" s="713"/>
      <c r="D986" s="528"/>
      <c r="E986" s="626"/>
      <c r="F986" s="626"/>
      <c r="G986" s="661"/>
      <c r="H986" s="661"/>
      <c r="I986" s="712"/>
    </row>
    <row r="987" spans="1:9" ht="15.75" x14ac:dyDescent="0.2">
      <c r="C987" s="713"/>
    </row>
    <row r="988" spans="1:9" ht="15.75" x14ac:dyDescent="0.25">
      <c r="A988" s="679"/>
      <c r="C988" s="713"/>
      <c r="D988" s="528"/>
      <c r="E988" s="626"/>
      <c r="F988" s="626"/>
      <c r="G988" s="661"/>
      <c r="H988" s="661"/>
      <c r="I988" s="712"/>
    </row>
    <row r="989" spans="1:9" ht="15.75" x14ac:dyDescent="0.2">
      <c r="A989" s="679"/>
    </row>
    <row r="990" spans="1:9" ht="15.75" x14ac:dyDescent="0.25">
      <c r="A990" s="679"/>
      <c r="B990" s="679"/>
      <c r="C990" s="711"/>
      <c r="D990" s="528"/>
      <c r="E990" s="626"/>
      <c r="F990" s="626"/>
      <c r="G990" s="661"/>
      <c r="H990" s="661"/>
      <c r="I990" s="712"/>
    </row>
    <row r="991" spans="1:9" ht="15.75" x14ac:dyDescent="0.25">
      <c r="A991" s="679"/>
      <c r="B991" s="679"/>
      <c r="C991" s="713"/>
      <c r="D991" s="528"/>
      <c r="E991" s="626"/>
      <c r="F991" s="626"/>
      <c r="G991" s="661"/>
      <c r="H991" s="661"/>
      <c r="I991" s="712"/>
    </row>
    <row r="992" spans="1:9" ht="15.75" x14ac:dyDescent="0.25">
      <c r="A992" s="679"/>
      <c r="B992" s="679"/>
      <c r="C992" s="713"/>
      <c r="D992" s="528"/>
      <c r="E992" s="626"/>
      <c r="F992" s="626"/>
      <c r="G992" s="661"/>
      <c r="H992" s="661"/>
      <c r="I992" s="712"/>
    </row>
    <row r="993" spans="1:9" ht="15.75" x14ac:dyDescent="0.25">
      <c r="A993" s="679"/>
      <c r="B993" s="679"/>
      <c r="C993" s="713"/>
      <c r="D993" s="528"/>
      <c r="E993" s="626"/>
      <c r="F993" s="626"/>
      <c r="G993" s="661"/>
      <c r="H993" s="661"/>
      <c r="I993" s="712"/>
    </row>
    <row r="994" spans="1:9" ht="15.75" x14ac:dyDescent="0.2">
      <c r="C994" s="713"/>
    </row>
    <row r="995" spans="1:9" ht="15.75" x14ac:dyDescent="0.25">
      <c r="A995" s="679"/>
      <c r="B995" s="679"/>
      <c r="C995" s="713"/>
      <c r="D995" s="528"/>
      <c r="E995" s="626"/>
      <c r="F995" s="626"/>
      <c r="G995" s="661"/>
      <c r="H995" s="661"/>
      <c r="I995" s="712"/>
    </row>
    <row r="997" spans="1:9" ht="15.75" x14ac:dyDescent="0.25">
      <c r="A997" s="679"/>
      <c r="B997" s="679"/>
      <c r="C997" s="711"/>
      <c r="I997" s="672"/>
    </row>
    <row r="998" spans="1:9" ht="15.75" x14ac:dyDescent="0.25">
      <c r="C998" s="713"/>
      <c r="D998" s="528"/>
      <c r="E998" s="626"/>
      <c r="F998" s="626"/>
      <c r="G998" s="661"/>
      <c r="H998" s="661"/>
      <c r="I998" s="712"/>
    </row>
    <row r="1000" spans="1:9" ht="15.75" x14ac:dyDescent="0.25">
      <c r="A1000" s="679"/>
      <c r="B1000" s="679"/>
      <c r="C1000" s="711"/>
      <c r="D1000" s="528"/>
      <c r="E1000" s="626"/>
      <c r="F1000" s="626"/>
      <c r="G1000" s="661"/>
      <c r="H1000" s="661"/>
      <c r="I1000" s="712"/>
    </row>
    <row r="1001" spans="1:9" ht="15.75" x14ac:dyDescent="0.25">
      <c r="C1001" s="528"/>
    </row>
    <row r="1002" spans="1:9" ht="15.75" x14ac:dyDescent="0.25">
      <c r="A1002" s="679"/>
      <c r="B1002" s="679"/>
      <c r="C1002" s="711"/>
      <c r="D1002" s="528"/>
      <c r="E1002" s="626"/>
      <c r="F1002" s="626"/>
      <c r="G1002" s="661"/>
      <c r="H1002" s="661"/>
      <c r="I1002" s="712"/>
    </row>
    <row r="1009" spans="1:9" ht="15.75" x14ac:dyDescent="0.2">
      <c r="C1009" s="715"/>
    </row>
    <row r="1010" spans="1:9" ht="15.75" x14ac:dyDescent="0.2">
      <c r="C1010" s="711"/>
    </row>
    <row r="1011" spans="1:9" ht="15.75" x14ac:dyDescent="0.25">
      <c r="A1011" s="679"/>
      <c r="B1011" s="679"/>
      <c r="C1011" s="711"/>
      <c r="D1011" s="528"/>
      <c r="E1011" s="626"/>
      <c r="F1011" s="626"/>
      <c r="G1011" s="661"/>
      <c r="H1011" s="661"/>
      <c r="I1011" s="712"/>
    </row>
    <row r="1013" spans="1:9" ht="15.75" x14ac:dyDescent="0.2">
      <c r="A1013" s="679"/>
      <c r="B1013" s="679"/>
      <c r="C1013" s="711"/>
    </row>
    <row r="1014" spans="1:9" ht="15.75" x14ac:dyDescent="0.25">
      <c r="C1014" s="713"/>
      <c r="D1014" s="528"/>
      <c r="E1014" s="626"/>
      <c r="F1014" s="626"/>
      <c r="G1014" s="661"/>
      <c r="H1014" s="661"/>
      <c r="I1014" s="712"/>
    </row>
    <row r="1015" spans="1:9" ht="15.75" x14ac:dyDescent="0.2">
      <c r="C1015" s="716"/>
    </row>
    <row r="1016" spans="1:9" ht="15.75" x14ac:dyDescent="0.25">
      <c r="A1016" s="679"/>
      <c r="B1016" s="679"/>
      <c r="C1016" s="717"/>
      <c r="D1016" s="528"/>
      <c r="E1016" s="626"/>
      <c r="F1016" s="626"/>
      <c r="G1016" s="661"/>
      <c r="H1016" s="661"/>
      <c r="I1016" s="712"/>
    </row>
    <row r="1018" spans="1:9" ht="15.75" x14ac:dyDescent="0.25">
      <c r="A1018" s="718"/>
      <c r="B1018" s="679"/>
      <c r="C1018" s="711"/>
      <c r="D1018" s="528"/>
      <c r="E1018" s="626"/>
      <c r="F1018" s="626"/>
      <c r="G1018" s="661"/>
      <c r="H1018" s="661"/>
      <c r="I1018" s="712"/>
    </row>
    <row r="1020" spans="1:9" ht="15.75" x14ac:dyDescent="0.2">
      <c r="C1020" s="719"/>
    </row>
    <row r="1021" spans="1:9" ht="15.75" x14ac:dyDescent="0.2">
      <c r="C1021" s="711"/>
    </row>
    <row r="1022" spans="1:9" ht="15.75" x14ac:dyDescent="0.2">
      <c r="A1022" s="679"/>
      <c r="B1022" s="679"/>
      <c r="C1022" s="711"/>
    </row>
    <row r="1023" spans="1:9" ht="15.75" x14ac:dyDescent="0.2">
      <c r="C1023" s="711"/>
    </row>
    <row r="1024" spans="1:9" ht="15.75" x14ac:dyDescent="0.2">
      <c r="C1024" s="711"/>
    </row>
    <row r="1025" spans="1:9" ht="15.75" x14ac:dyDescent="0.2">
      <c r="C1025" s="711"/>
    </row>
    <row r="1026" spans="1:9" ht="15.75" x14ac:dyDescent="0.25">
      <c r="C1026" s="711"/>
      <c r="D1026" s="528"/>
      <c r="E1026" s="626"/>
      <c r="F1026" s="626"/>
      <c r="G1026" s="661"/>
      <c r="H1026" s="661"/>
      <c r="I1026" s="712"/>
    </row>
    <row r="1027" spans="1:9" ht="15.75" x14ac:dyDescent="0.2">
      <c r="A1027" s="679"/>
      <c r="B1027" s="679"/>
      <c r="C1027" s="711"/>
    </row>
    <row r="1028" spans="1:9" ht="15.75" x14ac:dyDescent="0.2">
      <c r="C1028" s="711"/>
    </row>
    <row r="1029" spans="1:9" ht="15.75" x14ac:dyDescent="0.2">
      <c r="C1029" s="711"/>
    </row>
    <row r="1030" spans="1:9" ht="15.75" x14ac:dyDescent="0.2">
      <c r="C1030" s="711"/>
    </row>
    <row r="1031" spans="1:9" ht="15.75" x14ac:dyDescent="0.25">
      <c r="C1031" s="711"/>
      <c r="D1031" s="528"/>
      <c r="E1031" s="626"/>
      <c r="F1031" s="626"/>
      <c r="G1031" s="661"/>
      <c r="H1031" s="661"/>
      <c r="I1031" s="712"/>
    </row>
    <row r="1032" spans="1:9" ht="15.75" x14ac:dyDescent="0.25">
      <c r="A1032" s="679"/>
      <c r="B1032" s="679"/>
      <c r="D1032" s="528"/>
      <c r="E1032" s="626"/>
      <c r="F1032" s="626"/>
      <c r="G1032" s="661"/>
      <c r="H1032" s="661"/>
      <c r="I1032" s="712"/>
    </row>
    <row r="1033" spans="1:9" ht="15.75" x14ac:dyDescent="0.2">
      <c r="C1033" s="711"/>
    </row>
    <row r="1034" spans="1:9" ht="15.75" x14ac:dyDescent="0.2">
      <c r="A1034" s="679"/>
      <c r="B1034" s="679"/>
      <c r="C1034" s="711"/>
    </row>
    <row r="1035" spans="1:9" ht="15.75" x14ac:dyDescent="0.2">
      <c r="A1035" s="679"/>
      <c r="B1035" s="679"/>
      <c r="C1035" s="711"/>
    </row>
    <row r="1036" spans="1:9" ht="15.75" x14ac:dyDescent="0.2">
      <c r="C1036" s="711"/>
    </row>
    <row r="1037" spans="1:9" ht="15.75" x14ac:dyDescent="0.25">
      <c r="C1037" s="711"/>
      <c r="D1037" s="528"/>
      <c r="E1037" s="626"/>
      <c r="F1037" s="626"/>
      <c r="G1037" s="661"/>
      <c r="H1037" s="661"/>
      <c r="I1037" s="712"/>
    </row>
    <row r="1039" spans="1:9" ht="15.75" x14ac:dyDescent="0.2">
      <c r="A1039" s="679"/>
      <c r="B1039" s="679"/>
      <c r="C1039" s="711"/>
    </row>
    <row r="1040" spans="1:9" ht="15.75" x14ac:dyDescent="0.2">
      <c r="C1040" s="719"/>
    </row>
    <row r="1041" spans="1:9" ht="15.75" x14ac:dyDescent="0.2">
      <c r="C1041" s="711"/>
    </row>
    <row r="1042" spans="1:9" ht="15.75" x14ac:dyDescent="0.2">
      <c r="C1042" s="711"/>
    </row>
    <row r="1043" spans="1:9" ht="15.75" x14ac:dyDescent="0.2">
      <c r="C1043" s="711"/>
    </row>
    <row r="1044" spans="1:9" ht="15.75" x14ac:dyDescent="0.2">
      <c r="C1044" s="715"/>
    </row>
    <row r="1045" spans="1:9" ht="15.75" x14ac:dyDescent="0.2">
      <c r="C1045" s="711"/>
    </row>
    <row r="1046" spans="1:9" ht="15.75" x14ac:dyDescent="0.2">
      <c r="C1046" s="711"/>
    </row>
    <row r="1047" spans="1:9" ht="15.75" x14ac:dyDescent="0.2">
      <c r="C1047" s="711"/>
    </row>
    <row r="1048" spans="1:9" ht="15.75" x14ac:dyDescent="0.2">
      <c r="C1048" s="711"/>
    </row>
    <row r="1049" spans="1:9" ht="15.75" x14ac:dyDescent="0.2">
      <c r="C1049" s="711"/>
    </row>
    <row r="1050" spans="1:9" ht="15.75" x14ac:dyDescent="0.2">
      <c r="C1050" s="711"/>
    </row>
    <row r="1051" spans="1:9" ht="15.75" x14ac:dyDescent="0.2">
      <c r="C1051" s="711"/>
    </row>
    <row r="1052" spans="1:9" ht="15.75" x14ac:dyDescent="0.2">
      <c r="C1052" s="711"/>
    </row>
    <row r="1053" spans="1:9" ht="15.75" x14ac:dyDescent="0.25">
      <c r="C1053" s="619"/>
      <c r="D1053" s="528"/>
      <c r="E1053" s="626"/>
      <c r="F1053" s="626"/>
      <c r="G1053" s="661"/>
      <c r="H1053" s="661"/>
      <c r="I1053" s="712"/>
    </row>
    <row r="1055" spans="1:9" ht="15.75" x14ac:dyDescent="0.25">
      <c r="A1055" s="679"/>
      <c r="B1055" s="679"/>
      <c r="C1055" s="619"/>
      <c r="D1055" s="528"/>
      <c r="E1055" s="626"/>
      <c r="F1055" s="626"/>
      <c r="G1055" s="661"/>
      <c r="H1055" s="661"/>
      <c r="I1055" s="712"/>
    </row>
    <row r="1058" spans="1:9" ht="15.75" x14ac:dyDescent="0.25">
      <c r="C1058" s="716"/>
      <c r="I1058" s="672"/>
    </row>
    <row r="1060" spans="1:9" ht="15.75" x14ac:dyDescent="0.25">
      <c r="A1060" s="679"/>
      <c r="B1060" s="679"/>
      <c r="C1060" s="711"/>
      <c r="D1060" s="528"/>
      <c r="E1060" s="626"/>
      <c r="F1060" s="626"/>
      <c r="G1060" s="661"/>
      <c r="H1060" s="661"/>
      <c r="I1060" s="720"/>
    </row>
    <row r="1061" spans="1:9" ht="15.75" x14ac:dyDescent="0.25">
      <c r="C1061" s="528"/>
    </row>
    <row r="1062" spans="1:9" ht="15.75" x14ac:dyDescent="0.25">
      <c r="A1062" s="679"/>
      <c r="B1062" s="679"/>
      <c r="C1062" s="711"/>
      <c r="D1062" s="528"/>
      <c r="E1062" s="626"/>
      <c r="F1062" s="626"/>
      <c r="G1062" s="661"/>
      <c r="H1062" s="661"/>
      <c r="I1062" s="720"/>
    </row>
    <row r="1063" spans="1:9" ht="15.75" x14ac:dyDescent="0.25">
      <c r="C1063" s="528"/>
    </row>
    <row r="1064" spans="1:9" ht="15.75" x14ac:dyDescent="0.25">
      <c r="C1064" s="528"/>
    </row>
    <row r="1065" spans="1:9" ht="15.75" x14ac:dyDescent="0.2">
      <c r="A1065" s="679"/>
      <c r="B1065" s="679"/>
      <c r="C1065" s="711"/>
    </row>
    <row r="1066" spans="1:9" ht="15.75" x14ac:dyDescent="0.25">
      <c r="C1066" s="528"/>
      <c r="D1066" s="528"/>
      <c r="E1066" s="626"/>
      <c r="F1066" s="626"/>
      <c r="G1066" s="661"/>
      <c r="H1066" s="661"/>
      <c r="I1066" s="720"/>
    </row>
    <row r="1067" spans="1:9" ht="15.75" x14ac:dyDescent="0.2">
      <c r="C1067" s="711"/>
    </row>
    <row r="1068" spans="1:9" ht="15.75" x14ac:dyDescent="0.25">
      <c r="A1068" s="679"/>
      <c r="B1068" s="679"/>
      <c r="C1068" s="619"/>
      <c r="D1068" s="528"/>
      <c r="E1068" s="626"/>
      <c r="F1068" s="626"/>
      <c r="G1068" s="661"/>
      <c r="H1068" s="661"/>
      <c r="I1068" s="720"/>
    </row>
    <row r="1069" spans="1:9" ht="15.75" x14ac:dyDescent="0.2">
      <c r="C1069" s="711"/>
    </row>
    <row r="1070" spans="1:9" ht="15.75" x14ac:dyDescent="0.25">
      <c r="C1070" s="694"/>
      <c r="I1070" s="721"/>
    </row>
  </sheetData>
  <sheetProtection algorithmName="SHA-512" hashValue="oh25Yn+NkCq8/iiozraQSQBP95ae9uBQHLqkezJb9fXN5Sgov7CFmG+gbooUdKLsL8gzn7wPajslinoyru/Deg==" saltValue="o/u0Zl+TtieI0QQSirHxqQ==" spinCount="100000" sheet="1" objects="1" scenarios="1" selectLockedCells="1" selectUnlockedCells="1"/>
  <mergeCells count="5">
    <mergeCell ref="C2:G2"/>
    <mergeCell ref="A680:I680"/>
    <mergeCell ref="A819:I819"/>
    <mergeCell ref="A897:I897"/>
    <mergeCell ref="A921:I921"/>
  </mergeCells>
  <hyperlinks>
    <hyperlink ref="C221" r:id="rId1" xr:uid="{F20F8E9D-06A1-4DF2-8671-CB0AEA628D15}"/>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B6193-B12F-4CA4-954A-49396871FFF1}">
  <dimension ref="A1:IT131"/>
  <sheetViews>
    <sheetView topLeftCell="A89" workbookViewId="0">
      <selection activeCell="H98" sqref="H98"/>
    </sheetView>
  </sheetViews>
  <sheetFormatPr defaultColWidth="61.140625" defaultRowHeight="14.25" x14ac:dyDescent="0.2"/>
  <cols>
    <col min="1" max="1" width="5.5703125" style="566" customWidth="1"/>
    <col min="2" max="2" width="43.85546875" style="566" customWidth="1"/>
    <col min="3" max="3" width="5.42578125" style="839" customWidth="1"/>
    <col min="4" max="4" width="7.5703125" style="811" customWidth="1"/>
    <col min="5" max="5" width="9.5703125" style="811" customWidth="1"/>
    <col min="6" max="6" width="11.7109375" style="811" customWidth="1"/>
    <col min="7" max="7" width="16.28515625" style="811" customWidth="1"/>
    <col min="8" max="8" width="13.5703125" style="811" customWidth="1"/>
    <col min="9" max="9" width="15.140625" style="566" customWidth="1"/>
    <col min="10" max="16384" width="61.140625" style="566"/>
  </cols>
  <sheetData>
    <row r="1" spans="1:12" s="724" customFormat="1" ht="33.75" customHeight="1" x14ac:dyDescent="0.25">
      <c r="A1" s="1017"/>
      <c r="B1" s="1018"/>
      <c r="C1" s="1018"/>
      <c r="D1" s="1018"/>
      <c r="E1" s="1018"/>
      <c r="F1" s="1018"/>
      <c r="G1" s="1018"/>
      <c r="H1" s="722"/>
      <c r="I1" s="723"/>
    </row>
    <row r="2" spans="1:12" s="724" customFormat="1" x14ac:dyDescent="0.25">
      <c r="A2" s="725" t="s">
        <v>1224</v>
      </c>
      <c r="B2" s="726"/>
      <c r="C2" s="726"/>
      <c r="D2" s="727"/>
      <c r="E2" s="727"/>
      <c r="F2" s="727"/>
      <c r="G2" s="727"/>
      <c r="H2" s="727"/>
      <c r="I2" s="726"/>
    </row>
    <row r="3" spans="1:12" s="730" customFormat="1" ht="18" customHeight="1" x14ac:dyDescent="0.25">
      <c r="A3" s="728" t="s">
        <v>822</v>
      </c>
      <c r="B3" s="728" t="s">
        <v>1225</v>
      </c>
      <c r="C3" s="728" t="s">
        <v>1226</v>
      </c>
      <c r="D3" s="728" t="s">
        <v>826</v>
      </c>
      <c r="E3" s="729" t="s">
        <v>1227</v>
      </c>
      <c r="F3" s="728" t="s">
        <v>1228</v>
      </c>
      <c r="G3" s="728" t="s">
        <v>1229</v>
      </c>
      <c r="H3" s="728" t="s">
        <v>1230</v>
      </c>
      <c r="I3" s="728" t="s">
        <v>815</v>
      </c>
    </row>
    <row r="4" spans="1:12" s="738" customFormat="1" ht="15.75" customHeight="1" x14ac:dyDescent="0.25">
      <c r="A4" s="731"/>
      <c r="B4" s="732" t="s">
        <v>1231</v>
      </c>
      <c r="C4" s="733"/>
      <c r="D4" s="734"/>
      <c r="E4" s="734"/>
      <c r="F4" s="735"/>
      <c r="G4" s="735"/>
      <c r="H4" s="735"/>
      <c r="I4" s="736" t="s">
        <v>1232</v>
      </c>
      <c r="J4" s="737"/>
      <c r="K4" s="737"/>
      <c r="L4" s="737"/>
    </row>
    <row r="5" spans="1:12" s="90" customFormat="1" ht="76.5" x14ac:dyDescent="0.2">
      <c r="A5" s="739">
        <v>1</v>
      </c>
      <c r="B5" s="740" t="s">
        <v>1233</v>
      </c>
      <c r="C5" s="741" t="s">
        <v>1234</v>
      </c>
      <c r="D5" s="742">
        <v>1500</v>
      </c>
      <c r="E5" s="742">
        <f>D5*2.4</f>
        <v>3600</v>
      </c>
      <c r="F5" s="743">
        <v>275</v>
      </c>
      <c r="G5" s="743">
        <f>F5*(100/112)</f>
        <v>245.53571428571431</v>
      </c>
      <c r="H5" s="743">
        <f>E5*G5</f>
        <v>883928.57142857148</v>
      </c>
      <c r="I5" s="741" t="s">
        <v>1235</v>
      </c>
    </row>
    <row r="6" spans="1:12" s="90" customFormat="1" ht="76.5" x14ac:dyDescent="0.2">
      <c r="A6" s="739">
        <v>2</v>
      </c>
      <c r="B6" s="744" t="s">
        <v>1236</v>
      </c>
      <c r="C6" s="741" t="s">
        <v>1237</v>
      </c>
      <c r="D6" s="742">
        <v>1500</v>
      </c>
      <c r="E6" s="742">
        <f t="shared" ref="E6:E69" si="0">D6*2.4</f>
        <v>3600</v>
      </c>
      <c r="F6" s="743">
        <v>334</v>
      </c>
      <c r="G6" s="743">
        <f t="shared" ref="G6:G69" si="1">F6*(100/112)</f>
        <v>298.21428571428572</v>
      </c>
      <c r="H6" s="743">
        <f t="shared" ref="H6:H69" si="2">E6*G6</f>
        <v>1073571.4285714286</v>
      </c>
      <c r="I6" s="741">
        <v>1.1200000000000001</v>
      </c>
    </row>
    <row r="7" spans="1:12" s="90" customFormat="1" ht="54.75" customHeight="1" x14ac:dyDescent="0.2">
      <c r="A7" s="739">
        <v>3</v>
      </c>
      <c r="B7" s="744" t="s">
        <v>1238</v>
      </c>
      <c r="C7" s="741" t="s">
        <v>1234</v>
      </c>
      <c r="D7" s="742">
        <v>300</v>
      </c>
      <c r="E7" s="742">
        <f t="shared" si="0"/>
        <v>720</v>
      </c>
      <c r="F7" s="743">
        <v>570</v>
      </c>
      <c r="G7" s="743">
        <f t="shared" si="1"/>
        <v>508.92857142857144</v>
      </c>
      <c r="H7" s="743">
        <f t="shared" si="2"/>
        <v>366428.57142857142</v>
      </c>
      <c r="I7" s="741" t="s">
        <v>1239</v>
      </c>
    </row>
    <row r="8" spans="1:12" s="90" customFormat="1" ht="63.75" x14ac:dyDescent="0.2">
      <c r="A8" s="739">
        <v>4</v>
      </c>
      <c r="B8" s="744" t="s">
        <v>1240</v>
      </c>
      <c r="C8" s="741" t="s">
        <v>1234</v>
      </c>
      <c r="D8" s="742">
        <v>75</v>
      </c>
      <c r="E8" s="742">
        <f t="shared" si="0"/>
        <v>180</v>
      </c>
      <c r="F8" s="743">
        <v>754</v>
      </c>
      <c r="G8" s="743">
        <f t="shared" si="1"/>
        <v>673.21428571428578</v>
      </c>
      <c r="H8" s="743">
        <f t="shared" si="2"/>
        <v>121178.57142857143</v>
      </c>
      <c r="I8" s="741" t="s">
        <v>1241</v>
      </c>
    </row>
    <row r="9" spans="1:12" s="90" customFormat="1" ht="63.75" x14ac:dyDescent="0.2">
      <c r="A9" s="739">
        <v>5</v>
      </c>
      <c r="B9" s="744" t="s">
        <v>1242</v>
      </c>
      <c r="C9" s="741" t="s">
        <v>1234</v>
      </c>
      <c r="D9" s="742">
        <v>40</v>
      </c>
      <c r="E9" s="742">
        <f t="shared" si="0"/>
        <v>96</v>
      </c>
      <c r="F9" s="743">
        <v>1005</v>
      </c>
      <c r="G9" s="743">
        <f t="shared" si="1"/>
        <v>897.32142857142867</v>
      </c>
      <c r="H9" s="743">
        <f t="shared" si="2"/>
        <v>86142.857142857159</v>
      </c>
      <c r="I9" s="741" t="s">
        <v>1243</v>
      </c>
    </row>
    <row r="10" spans="1:12" s="90" customFormat="1" ht="39.75" customHeight="1" x14ac:dyDescent="0.2">
      <c r="A10" s="739">
        <v>6</v>
      </c>
      <c r="B10" s="744" t="s">
        <v>1244</v>
      </c>
      <c r="C10" s="741"/>
      <c r="D10" s="742"/>
      <c r="E10" s="742">
        <f t="shared" si="0"/>
        <v>0</v>
      </c>
      <c r="F10" s="743"/>
      <c r="G10" s="743">
        <f t="shared" si="1"/>
        <v>0</v>
      </c>
      <c r="H10" s="743">
        <f t="shared" si="2"/>
        <v>0</v>
      </c>
      <c r="I10" s="741"/>
    </row>
    <row r="11" spans="1:12" s="90" customFormat="1" ht="15" customHeight="1" x14ac:dyDescent="0.2">
      <c r="A11" s="739"/>
      <c r="B11" s="744" t="s">
        <v>1245</v>
      </c>
      <c r="C11" s="741" t="s">
        <v>948</v>
      </c>
      <c r="D11" s="742">
        <v>12</v>
      </c>
      <c r="E11" s="742">
        <f t="shared" si="0"/>
        <v>28.799999999999997</v>
      </c>
      <c r="F11" s="743">
        <v>209</v>
      </c>
      <c r="G11" s="743">
        <f t="shared" si="1"/>
        <v>186.60714285714286</v>
      </c>
      <c r="H11" s="743">
        <f t="shared" si="2"/>
        <v>5374.2857142857138</v>
      </c>
      <c r="I11" s="741" t="s">
        <v>1246</v>
      </c>
    </row>
    <row r="12" spans="1:12" s="90" customFormat="1" ht="15" customHeight="1" x14ac:dyDescent="0.2">
      <c r="A12" s="739"/>
      <c r="B12" s="744" t="s">
        <v>1247</v>
      </c>
      <c r="C12" s="741" t="s">
        <v>948</v>
      </c>
      <c r="D12" s="742">
        <v>8</v>
      </c>
      <c r="E12" s="742">
        <f t="shared" si="0"/>
        <v>19.2</v>
      </c>
      <c r="F12" s="743">
        <v>323</v>
      </c>
      <c r="G12" s="743">
        <f t="shared" si="1"/>
        <v>288.39285714285717</v>
      </c>
      <c r="H12" s="743">
        <f t="shared" si="2"/>
        <v>5537.1428571428578</v>
      </c>
      <c r="I12" s="741" t="s">
        <v>1248</v>
      </c>
    </row>
    <row r="13" spans="1:12" s="750" customFormat="1" ht="55.5" customHeight="1" x14ac:dyDescent="0.2">
      <c r="A13" s="745">
        <v>7</v>
      </c>
      <c r="B13" s="740" t="s">
        <v>1249</v>
      </c>
      <c r="C13" s="746"/>
      <c r="D13" s="747"/>
      <c r="E13" s="742">
        <f t="shared" si="0"/>
        <v>0</v>
      </c>
      <c r="F13" s="748"/>
      <c r="G13" s="743">
        <f t="shared" si="1"/>
        <v>0</v>
      </c>
      <c r="H13" s="743">
        <f t="shared" si="2"/>
        <v>0</v>
      </c>
      <c r="I13" s="749"/>
    </row>
    <row r="14" spans="1:12" s="750" customFormat="1" ht="12.75" x14ac:dyDescent="0.2">
      <c r="A14" s="745"/>
      <c r="B14" s="740" t="s">
        <v>1250</v>
      </c>
      <c r="C14" s="746" t="s">
        <v>1237</v>
      </c>
      <c r="D14" s="747">
        <v>220</v>
      </c>
      <c r="E14" s="742">
        <f t="shared" si="0"/>
        <v>528</v>
      </c>
      <c r="F14" s="748">
        <v>128</v>
      </c>
      <c r="G14" s="743">
        <f t="shared" si="1"/>
        <v>114.28571428571429</v>
      </c>
      <c r="H14" s="743">
        <f t="shared" si="2"/>
        <v>60342.857142857145</v>
      </c>
      <c r="I14" s="749" t="s">
        <v>1251</v>
      </c>
    </row>
    <row r="15" spans="1:12" s="750" customFormat="1" ht="12.75" x14ac:dyDescent="0.2">
      <c r="A15" s="745"/>
      <c r="B15" s="740" t="s">
        <v>1252</v>
      </c>
      <c r="C15" s="746" t="s">
        <v>1237</v>
      </c>
      <c r="D15" s="747">
        <v>400</v>
      </c>
      <c r="E15" s="742">
        <f t="shared" si="0"/>
        <v>960</v>
      </c>
      <c r="F15" s="748">
        <v>145</v>
      </c>
      <c r="G15" s="743">
        <f t="shared" si="1"/>
        <v>129.46428571428572</v>
      </c>
      <c r="H15" s="743">
        <f t="shared" si="2"/>
        <v>124285.71428571429</v>
      </c>
      <c r="I15" s="749" t="s">
        <v>1253</v>
      </c>
    </row>
    <row r="16" spans="1:12" s="90" customFormat="1" ht="54.75" customHeight="1" x14ac:dyDescent="0.2">
      <c r="A16" s="739">
        <v>8</v>
      </c>
      <c r="B16" s="744" t="s">
        <v>1254</v>
      </c>
      <c r="C16" s="741"/>
      <c r="D16" s="742"/>
      <c r="E16" s="742">
        <f t="shared" si="0"/>
        <v>0</v>
      </c>
      <c r="F16" s="743"/>
      <c r="G16" s="743">
        <f t="shared" si="1"/>
        <v>0</v>
      </c>
      <c r="H16" s="743">
        <f t="shared" si="2"/>
        <v>0</v>
      </c>
      <c r="I16" s="741"/>
    </row>
    <row r="17" spans="1:12" s="90" customFormat="1" ht="15" customHeight="1" x14ac:dyDescent="0.2">
      <c r="A17" s="739"/>
      <c r="B17" s="744" t="s">
        <v>1255</v>
      </c>
      <c r="C17" s="741" t="s">
        <v>948</v>
      </c>
      <c r="D17" s="742">
        <v>35</v>
      </c>
      <c r="E17" s="742">
        <f t="shared" si="0"/>
        <v>84</v>
      </c>
      <c r="F17" s="743">
        <v>298</v>
      </c>
      <c r="G17" s="743">
        <f t="shared" si="1"/>
        <v>266.07142857142861</v>
      </c>
      <c r="H17" s="743">
        <f t="shared" si="2"/>
        <v>22350.000000000004</v>
      </c>
      <c r="I17" s="741" t="s">
        <v>1256</v>
      </c>
    </row>
    <row r="18" spans="1:12" s="90" customFormat="1" ht="102" x14ac:dyDescent="0.2">
      <c r="A18" s="739">
        <v>9</v>
      </c>
      <c r="B18" s="744" t="s">
        <v>1257</v>
      </c>
      <c r="C18" s="749" t="s">
        <v>1258</v>
      </c>
      <c r="D18" s="747">
        <v>371</v>
      </c>
      <c r="E18" s="742">
        <f t="shared" si="0"/>
        <v>890.4</v>
      </c>
      <c r="F18" s="748">
        <v>1182</v>
      </c>
      <c r="G18" s="743">
        <f t="shared" si="1"/>
        <v>1055.3571428571429</v>
      </c>
      <c r="H18" s="743">
        <f t="shared" si="2"/>
        <v>939690</v>
      </c>
      <c r="I18" s="746" t="s">
        <v>1259</v>
      </c>
    </row>
    <row r="19" spans="1:12" s="90" customFormat="1" ht="67.5" customHeight="1" x14ac:dyDescent="0.2">
      <c r="A19" s="739">
        <v>10</v>
      </c>
      <c r="B19" s="744" t="s">
        <v>1260</v>
      </c>
      <c r="C19" s="741" t="s">
        <v>1258</v>
      </c>
      <c r="D19" s="751">
        <v>130</v>
      </c>
      <c r="E19" s="742">
        <f t="shared" si="0"/>
        <v>312</v>
      </c>
      <c r="F19" s="743">
        <v>477</v>
      </c>
      <c r="G19" s="743">
        <f t="shared" si="1"/>
        <v>425.89285714285717</v>
      </c>
      <c r="H19" s="743">
        <f t="shared" si="2"/>
        <v>132878.57142857145</v>
      </c>
      <c r="I19" s="741">
        <v>1.31</v>
      </c>
      <c r="J19" s="752"/>
      <c r="K19" s="752"/>
      <c r="L19" s="752"/>
    </row>
    <row r="20" spans="1:12" s="90" customFormat="1" ht="67.5" customHeight="1" x14ac:dyDescent="0.2">
      <c r="A20" s="739">
        <v>11</v>
      </c>
      <c r="B20" s="744" t="s">
        <v>1261</v>
      </c>
      <c r="C20" s="741" t="s">
        <v>1258</v>
      </c>
      <c r="D20" s="751">
        <v>68</v>
      </c>
      <c r="E20" s="742">
        <f t="shared" si="0"/>
        <v>163.19999999999999</v>
      </c>
      <c r="F20" s="743">
        <v>586</v>
      </c>
      <c r="G20" s="743">
        <f t="shared" si="1"/>
        <v>523.21428571428578</v>
      </c>
      <c r="H20" s="743">
        <f t="shared" si="2"/>
        <v>85388.571428571435</v>
      </c>
      <c r="I20" s="741">
        <v>1.32</v>
      </c>
      <c r="J20" s="752"/>
      <c r="K20" s="752"/>
      <c r="L20" s="752"/>
    </row>
    <row r="21" spans="1:12" s="90" customFormat="1" ht="90" customHeight="1" x14ac:dyDescent="0.2">
      <c r="A21" s="739">
        <v>12</v>
      </c>
      <c r="B21" s="744" t="s">
        <v>1262</v>
      </c>
      <c r="C21" s="741" t="s">
        <v>975</v>
      </c>
      <c r="D21" s="742">
        <v>26</v>
      </c>
      <c r="E21" s="742">
        <f t="shared" si="0"/>
        <v>62.4</v>
      </c>
      <c r="F21" s="743">
        <v>1621</v>
      </c>
      <c r="G21" s="743">
        <f t="shared" si="1"/>
        <v>1447.3214285714287</v>
      </c>
      <c r="H21" s="743">
        <f t="shared" si="2"/>
        <v>90312.857142857145</v>
      </c>
      <c r="I21" s="741">
        <v>2.1800000000000002</v>
      </c>
    </row>
    <row r="22" spans="1:12" s="90" customFormat="1" ht="90" customHeight="1" x14ac:dyDescent="0.2">
      <c r="A22" s="739">
        <v>13</v>
      </c>
      <c r="B22" s="744" t="s">
        <v>1263</v>
      </c>
      <c r="C22" s="741" t="s">
        <v>975</v>
      </c>
      <c r="D22" s="742">
        <v>1</v>
      </c>
      <c r="E22" s="742">
        <f t="shared" si="0"/>
        <v>2.4</v>
      </c>
      <c r="F22" s="743">
        <v>4107</v>
      </c>
      <c r="G22" s="743">
        <f t="shared" si="1"/>
        <v>3666.9642857142858</v>
      </c>
      <c r="H22" s="743">
        <f t="shared" si="2"/>
        <v>8800.7142857142862</v>
      </c>
      <c r="I22" s="743">
        <v>2.2000000000000002</v>
      </c>
    </row>
    <row r="23" spans="1:12" s="90" customFormat="1" ht="53.25" customHeight="1" x14ac:dyDescent="0.2">
      <c r="A23" s="739">
        <v>14</v>
      </c>
      <c r="B23" s="744" t="s">
        <v>1264</v>
      </c>
      <c r="C23" s="741" t="s">
        <v>1234</v>
      </c>
      <c r="D23" s="742">
        <v>220</v>
      </c>
      <c r="E23" s="742">
        <f t="shared" si="0"/>
        <v>528</v>
      </c>
      <c r="F23" s="753">
        <v>38</v>
      </c>
      <c r="G23" s="743">
        <f t="shared" si="1"/>
        <v>33.928571428571431</v>
      </c>
      <c r="H23" s="743">
        <f t="shared" si="2"/>
        <v>17914.285714285714</v>
      </c>
      <c r="I23" s="741" t="s">
        <v>1265</v>
      </c>
    </row>
    <row r="24" spans="1:12" s="90" customFormat="1" ht="39.75" customHeight="1" x14ac:dyDescent="0.2">
      <c r="A24" s="739">
        <v>15</v>
      </c>
      <c r="B24" s="744" t="s">
        <v>1266</v>
      </c>
      <c r="C24" s="741" t="s">
        <v>975</v>
      </c>
      <c r="D24" s="742">
        <v>12</v>
      </c>
      <c r="E24" s="742">
        <f t="shared" si="0"/>
        <v>28.799999999999997</v>
      </c>
      <c r="F24" s="743">
        <v>148</v>
      </c>
      <c r="G24" s="743">
        <f t="shared" si="1"/>
        <v>132.14285714285714</v>
      </c>
      <c r="H24" s="743">
        <f t="shared" si="2"/>
        <v>3805.7142857142853</v>
      </c>
      <c r="I24" s="741" t="s">
        <v>1267</v>
      </c>
    </row>
    <row r="25" spans="1:12" s="750" customFormat="1" ht="38.25" x14ac:dyDescent="0.2">
      <c r="A25" s="754">
        <v>16</v>
      </c>
      <c r="B25" s="744" t="s">
        <v>1268</v>
      </c>
      <c r="C25" s="741" t="s">
        <v>948</v>
      </c>
      <c r="D25" s="742">
        <v>1</v>
      </c>
      <c r="E25" s="742">
        <f t="shared" si="0"/>
        <v>2.4</v>
      </c>
      <c r="F25" s="743">
        <v>1461</v>
      </c>
      <c r="G25" s="743">
        <f t="shared" si="1"/>
        <v>1304.4642857142858</v>
      </c>
      <c r="H25" s="743">
        <f t="shared" si="2"/>
        <v>3130.7142857142858</v>
      </c>
      <c r="I25" s="741" t="s">
        <v>1269</v>
      </c>
    </row>
    <row r="26" spans="1:12" s="750" customFormat="1" ht="53.25" customHeight="1" x14ac:dyDescent="0.2">
      <c r="A26" s="754">
        <v>17</v>
      </c>
      <c r="B26" s="744" t="s">
        <v>1270</v>
      </c>
      <c r="C26" s="741" t="s">
        <v>1234</v>
      </c>
      <c r="D26" s="742">
        <v>45</v>
      </c>
      <c r="E26" s="742">
        <f t="shared" si="0"/>
        <v>108</v>
      </c>
      <c r="F26" s="743">
        <v>62</v>
      </c>
      <c r="G26" s="743">
        <f t="shared" si="1"/>
        <v>55.357142857142861</v>
      </c>
      <c r="H26" s="743">
        <f t="shared" si="2"/>
        <v>5978.5714285714294</v>
      </c>
      <c r="I26" s="741" t="s">
        <v>1269</v>
      </c>
    </row>
    <row r="27" spans="1:12" s="90" customFormat="1" ht="66" customHeight="1" x14ac:dyDescent="0.2">
      <c r="A27" s="739">
        <v>18</v>
      </c>
      <c r="B27" s="744" t="s">
        <v>1271</v>
      </c>
      <c r="C27" s="741" t="s">
        <v>1237</v>
      </c>
      <c r="D27" s="742">
        <v>450</v>
      </c>
      <c r="E27" s="742">
        <f t="shared" si="0"/>
        <v>1080</v>
      </c>
      <c r="F27" s="743">
        <v>47</v>
      </c>
      <c r="G27" s="743">
        <f t="shared" si="1"/>
        <v>41.964285714285715</v>
      </c>
      <c r="H27" s="743">
        <f t="shared" si="2"/>
        <v>45321.428571428572</v>
      </c>
      <c r="I27" s="741">
        <v>1.19</v>
      </c>
    </row>
    <row r="28" spans="1:12" s="90" customFormat="1" ht="42" customHeight="1" x14ac:dyDescent="0.2">
      <c r="A28" s="739">
        <v>19</v>
      </c>
      <c r="B28" s="744" t="s">
        <v>1272</v>
      </c>
      <c r="C28" s="741" t="s">
        <v>975</v>
      </c>
      <c r="D28" s="742">
        <v>23</v>
      </c>
      <c r="E28" s="742">
        <f t="shared" si="0"/>
        <v>55.199999999999996</v>
      </c>
      <c r="F28" s="743">
        <v>148</v>
      </c>
      <c r="G28" s="743">
        <f t="shared" si="1"/>
        <v>132.14285714285714</v>
      </c>
      <c r="H28" s="743">
        <f t="shared" si="2"/>
        <v>7294.2857142857138</v>
      </c>
      <c r="I28" s="741" t="s">
        <v>1273</v>
      </c>
    </row>
    <row r="29" spans="1:12" s="90" customFormat="1" ht="39" customHeight="1" x14ac:dyDescent="0.2">
      <c r="A29" s="739">
        <v>20</v>
      </c>
      <c r="B29" s="744" t="s">
        <v>1274</v>
      </c>
      <c r="C29" s="741" t="s">
        <v>975</v>
      </c>
      <c r="D29" s="742">
        <v>20</v>
      </c>
      <c r="E29" s="742">
        <f t="shared" si="0"/>
        <v>48</v>
      </c>
      <c r="F29" s="743">
        <v>40</v>
      </c>
      <c r="G29" s="743">
        <f t="shared" si="1"/>
        <v>35.714285714285715</v>
      </c>
      <c r="H29" s="743">
        <f t="shared" si="2"/>
        <v>1714.2857142857142</v>
      </c>
      <c r="I29" s="741">
        <v>1.26</v>
      </c>
    </row>
    <row r="30" spans="1:12" s="755" customFormat="1" ht="51" x14ac:dyDescent="0.2">
      <c r="A30" s="745">
        <v>21</v>
      </c>
      <c r="B30" s="744" t="s">
        <v>1275</v>
      </c>
      <c r="C30" s="741" t="s">
        <v>975</v>
      </c>
      <c r="D30" s="742">
        <v>60</v>
      </c>
      <c r="E30" s="742">
        <f t="shared" si="0"/>
        <v>144</v>
      </c>
      <c r="F30" s="743">
        <v>369</v>
      </c>
      <c r="G30" s="743">
        <f t="shared" si="1"/>
        <v>329.46428571428572</v>
      </c>
      <c r="H30" s="743">
        <f t="shared" si="2"/>
        <v>47442.857142857145</v>
      </c>
      <c r="I30" s="749">
        <v>1.25</v>
      </c>
    </row>
    <row r="31" spans="1:12" s="738" customFormat="1" ht="40.5" customHeight="1" x14ac:dyDescent="0.2">
      <c r="A31" s="745">
        <v>22</v>
      </c>
      <c r="B31" s="740" t="s">
        <v>1276</v>
      </c>
      <c r="C31" s="746" t="s">
        <v>975</v>
      </c>
      <c r="D31" s="747">
        <v>9</v>
      </c>
      <c r="E31" s="742">
        <f t="shared" si="0"/>
        <v>21.599999999999998</v>
      </c>
      <c r="F31" s="748">
        <v>99</v>
      </c>
      <c r="G31" s="743">
        <f t="shared" si="1"/>
        <v>88.392857142857153</v>
      </c>
      <c r="H31" s="743">
        <f t="shared" si="2"/>
        <v>1909.2857142857142</v>
      </c>
      <c r="I31" s="746">
        <v>1.38</v>
      </c>
    </row>
    <row r="32" spans="1:12" s="90" customFormat="1" ht="12.75" x14ac:dyDescent="0.2">
      <c r="A32" s="756"/>
      <c r="B32" s="757" t="s">
        <v>1277</v>
      </c>
      <c r="C32" s="758"/>
      <c r="D32" s="742"/>
      <c r="E32" s="742">
        <f t="shared" si="0"/>
        <v>0</v>
      </c>
      <c r="F32" s="743"/>
      <c r="G32" s="743">
        <f t="shared" si="1"/>
        <v>0</v>
      </c>
      <c r="H32" s="743">
        <f t="shared" si="2"/>
        <v>0</v>
      </c>
      <c r="I32" s="741"/>
    </row>
    <row r="33" spans="1:9" s="738" customFormat="1" ht="92.25" customHeight="1" x14ac:dyDescent="0.2">
      <c r="A33" s="745">
        <v>23</v>
      </c>
      <c r="B33" s="740" t="s">
        <v>1278</v>
      </c>
      <c r="C33" s="746" t="s">
        <v>948</v>
      </c>
      <c r="D33" s="747">
        <v>1</v>
      </c>
      <c r="E33" s="742">
        <f t="shared" si="0"/>
        <v>2.4</v>
      </c>
      <c r="F33" s="748">
        <v>2573</v>
      </c>
      <c r="G33" s="743">
        <f t="shared" si="1"/>
        <v>2297.3214285714289</v>
      </c>
      <c r="H33" s="743">
        <f t="shared" si="2"/>
        <v>5513.5714285714294</v>
      </c>
      <c r="I33" s="746" t="s">
        <v>1279</v>
      </c>
    </row>
    <row r="34" spans="1:9" s="738" customFormat="1" ht="90" customHeight="1" x14ac:dyDescent="0.2">
      <c r="A34" s="745">
        <v>24</v>
      </c>
      <c r="B34" s="740" t="s">
        <v>1280</v>
      </c>
      <c r="C34" s="746" t="s">
        <v>948</v>
      </c>
      <c r="D34" s="747">
        <f>SUM([7]Fixture!C51+[7]Fixture!D51+[7]Fixture!E51)</f>
        <v>8</v>
      </c>
      <c r="E34" s="742">
        <f t="shared" si="0"/>
        <v>19.2</v>
      </c>
      <c r="F34" s="748">
        <v>3141</v>
      </c>
      <c r="G34" s="743">
        <f t="shared" si="1"/>
        <v>2804.4642857142858</v>
      </c>
      <c r="H34" s="743">
        <f t="shared" si="2"/>
        <v>53845.714285714283</v>
      </c>
      <c r="I34" s="746" t="s">
        <v>1281</v>
      </c>
    </row>
    <row r="35" spans="1:9" s="738" customFormat="1" ht="80.25" customHeight="1" x14ac:dyDescent="0.2">
      <c r="A35" s="759">
        <v>25</v>
      </c>
      <c r="B35" s="760" t="s">
        <v>1282</v>
      </c>
      <c r="C35" s="761" t="s">
        <v>948</v>
      </c>
      <c r="D35" s="762">
        <v>1</v>
      </c>
      <c r="E35" s="742">
        <f t="shared" si="0"/>
        <v>2.4</v>
      </c>
      <c r="F35" s="763">
        <v>4091</v>
      </c>
      <c r="G35" s="743">
        <f t="shared" si="1"/>
        <v>3652.6785714285716</v>
      </c>
      <c r="H35" s="743">
        <f t="shared" si="2"/>
        <v>8766.4285714285706</v>
      </c>
      <c r="I35" s="764" t="s">
        <v>1283</v>
      </c>
    </row>
    <row r="36" spans="1:9" s="738" customFormat="1" ht="80.25" customHeight="1" x14ac:dyDescent="0.2">
      <c r="A36" s="759">
        <v>26</v>
      </c>
      <c r="B36" s="760" t="s">
        <v>1284</v>
      </c>
      <c r="C36" s="761" t="s">
        <v>948</v>
      </c>
      <c r="D36" s="762">
        <v>1</v>
      </c>
      <c r="E36" s="742">
        <f t="shared" si="0"/>
        <v>2.4</v>
      </c>
      <c r="F36" s="763">
        <v>4974</v>
      </c>
      <c r="G36" s="743">
        <f t="shared" si="1"/>
        <v>4441.0714285714284</v>
      </c>
      <c r="H36" s="743">
        <f t="shared" si="2"/>
        <v>10658.571428571428</v>
      </c>
      <c r="I36" s="764" t="s">
        <v>1285</v>
      </c>
    </row>
    <row r="37" spans="1:9" s="90" customFormat="1" ht="67.5" customHeight="1" x14ac:dyDescent="0.2">
      <c r="A37" s="765">
        <v>27</v>
      </c>
      <c r="B37" s="740" t="s">
        <v>1286</v>
      </c>
      <c r="C37" s="408"/>
      <c r="D37" s="226"/>
      <c r="E37" s="742">
        <f t="shared" si="0"/>
        <v>0</v>
      </c>
      <c r="F37" s="227"/>
      <c r="G37" s="743">
        <f t="shared" si="1"/>
        <v>0</v>
      </c>
      <c r="H37" s="743">
        <f t="shared" si="2"/>
        <v>0</v>
      </c>
      <c r="I37" s="766"/>
    </row>
    <row r="38" spans="1:9" s="90" customFormat="1" ht="15.75" customHeight="1" x14ac:dyDescent="0.2">
      <c r="A38" s="765"/>
      <c r="B38" s="767" t="s">
        <v>1287</v>
      </c>
      <c r="C38" s="408" t="s">
        <v>948</v>
      </c>
      <c r="D38" s="226">
        <v>1</v>
      </c>
      <c r="E38" s="742">
        <f t="shared" si="0"/>
        <v>2.4</v>
      </c>
      <c r="F38" s="227">
        <v>1080</v>
      </c>
      <c r="G38" s="743">
        <f t="shared" si="1"/>
        <v>964.28571428571433</v>
      </c>
      <c r="H38" s="743">
        <f t="shared" si="2"/>
        <v>2314.2857142857142</v>
      </c>
      <c r="I38" s="766" t="s">
        <v>1288</v>
      </c>
    </row>
    <row r="39" spans="1:9" s="90" customFormat="1" ht="15.75" customHeight="1" x14ac:dyDescent="0.2">
      <c r="A39" s="765"/>
      <c r="B39" s="767" t="s">
        <v>1289</v>
      </c>
      <c r="C39" s="408" t="s">
        <v>948</v>
      </c>
      <c r="D39" s="226">
        <v>1</v>
      </c>
      <c r="E39" s="742">
        <f t="shared" si="0"/>
        <v>2.4</v>
      </c>
      <c r="F39" s="227">
        <v>1124</v>
      </c>
      <c r="G39" s="743">
        <f t="shared" si="1"/>
        <v>1003.5714285714287</v>
      </c>
      <c r="H39" s="743">
        <f t="shared" si="2"/>
        <v>2408.5714285714289</v>
      </c>
      <c r="I39" s="766" t="s">
        <v>1290</v>
      </c>
    </row>
    <row r="40" spans="1:9" s="90" customFormat="1" ht="68.25" customHeight="1" x14ac:dyDescent="0.2">
      <c r="A40" s="739">
        <v>28</v>
      </c>
      <c r="B40" s="740" t="s">
        <v>1291</v>
      </c>
      <c r="C40" s="741"/>
      <c r="D40" s="742"/>
      <c r="E40" s="742">
        <f t="shared" si="0"/>
        <v>0</v>
      </c>
      <c r="F40" s="743"/>
      <c r="G40" s="743">
        <f t="shared" si="1"/>
        <v>0</v>
      </c>
      <c r="H40" s="743">
        <f t="shared" si="2"/>
        <v>0</v>
      </c>
      <c r="I40" s="768"/>
    </row>
    <row r="41" spans="1:9" s="90" customFormat="1" ht="15.75" customHeight="1" x14ac:dyDescent="0.2">
      <c r="A41" s="739"/>
      <c r="B41" s="769" t="s">
        <v>1292</v>
      </c>
      <c r="C41" s="741" t="s">
        <v>948</v>
      </c>
      <c r="D41" s="742">
        <v>1</v>
      </c>
      <c r="E41" s="742">
        <f t="shared" si="0"/>
        <v>2.4</v>
      </c>
      <c r="F41" s="743">
        <v>752</v>
      </c>
      <c r="G41" s="743">
        <f t="shared" si="1"/>
        <v>671.42857142857144</v>
      </c>
      <c r="H41" s="743">
        <f t="shared" si="2"/>
        <v>1611.4285714285713</v>
      </c>
      <c r="I41" s="768" t="s">
        <v>1293</v>
      </c>
    </row>
    <row r="42" spans="1:9" s="90" customFormat="1" ht="15.75" customHeight="1" x14ac:dyDescent="0.2">
      <c r="A42" s="739"/>
      <c r="B42" s="769" t="s">
        <v>1294</v>
      </c>
      <c r="C42" s="741" t="s">
        <v>948</v>
      </c>
      <c r="D42" s="742">
        <v>8</v>
      </c>
      <c r="E42" s="742">
        <f t="shared" si="0"/>
        <v>19.2</v>
      </c>
      <c r="F42" s="743">
        <v>902</v>
      </c>
      <c r="G42" s="743">
        <f t="shared" si="1"/>
        <v>805.35714285714289</v>
      </c>
      <c r="H42" s="743">
        <f t="shared" si="2"/>
        <v>15462.857142857143</v>
      </c>
      <c r="I42" s="768" t="s">
        <v>1295</v>
      </c>
    </row>
    <row r="43" spans="1:9" s="738" customFormat="1" ht="66" customHeight="1" x14ac:dyDescent="0.2">
      <c r="A43" s="739">
        <v>29</v>
      </c>
      <c r="B43" s="740" t="s">
        <v>1296</v>
      </c>
      <c r="C43" s="770"/>
      <c r="D43" s="747"/>
      <c r="E43" s="742">
        <f t="shared" si="0"/>
        <v>0</v>
      </c>
      <c r="F43" s="748"/>
      <c r="G43" s="743">
        <f t="shared" si="1"/>
        <v>0</v>
      </c>
      <c r="H43" s="743">
        <f t="shared" si="2"/>
        <v>0</v>
      </c>
      <c r="I43" s="771"/>
    </row>
    <row r="44" spans="1:9" s="90" customFormat="1" ht="16.5" customHeight="1" x14ac:dyDescent="0.2">
      <c r="A44" s="739"/>
      <c r="B44" s="772" t="s">
        <v>1297</v>
      </c>
      <c r="C44" s="741" t="s">
        <v>948</v>
      </c>
      <c r="D44" s="742">
        <v>134</v>
      </c>
      <c r="E44" s="742">
        <f t="shared" si="0"/>
        <v>321.59999999999997</v>
      </c>
      <c r="F44" s="743">
        <v>256</v>
      </c>
      <c r="G44" s="743">
        <f t="shared" si="1"/>
        <v>228.57142857142858</v>
      </c>
      <c r="H44" s="743">
        <f t="shared" si="2"/>
        <v>73508.57142857142</v>
      </c>
      <c r="I44" s="741" t="s">
        <v>1298</v>
      </c>
    </row>
    <row r="45" spans="1:9" s="90" customFormat="1" ht="16.5" customHeight="1" x14ac:dyDescent="0.2">
      <c r="A45" s="739"/>
      <c r="B45" s="772" t="s">
        <v>1299</v>
      </c>
      <c r="C45" s="741" t="s">
        <v>948</v>
      </c>
      <c r="D45" s="742">
        <v>1</v>
      </c>
      <c r="E45" s="742">
        <f t="shared" si="0"/>
        <v>2.4</v>
      </c>
      <c r="F45" s="743">
        <v>599</v>
      </c>
      <c r="G45" s="743">
        <f t="shared" si="1"/>
        <v>534.82142857142856</v>
      </c>
      <c r="H45" s="743">
        <f t="shared" si="2"/>
        <v>1283.5714285714284</v>
      </c>
      <c r="I45" s="741" t="s">
        <v>1300</v>
      </c>
    </row>
    <row r="46" spans="1:9" s="90" customFormat="1" ht="16.5" customHeight="1" x14ac:dyDescent="0.2">
      <c r="A46" s="739"/>
      <c r="B46" s="772" t="s">
        <v>1301</v>
      </c>
      <c r="C46" s="741" t="s">
        <v>948</v>
      </c>
      <c r="D46" s="742">
        <v>1</v>
      </c>
      <c r="E46" s="742">
        <f t="shared" si="0"/>
        <v>2.4</v>
      </c>
      <c r="F46" s="753">
        <v>1228</v>
      </c>
      <c r="G46" s="743">
        <f t="shared" si="1"/>
        <v>1096.4285714285716</v>
      </c>
      <c r="H46" s="743">
        <f t="shared" si="2"/>
        <v>2631.4285714285716</v>
      </c>
      <c r="I46" s="741" t="s">
        <v>1302</v>
      </c>
    </row>
    <row r="47" spans="1:9" ht="52.5" customHeight="1" x14ac:dyDescent="0.2">
      <c r="A47" s="739">
        <v>30</v>
      </c>
      <c r="B47" s="744" t="s">
        <v>1303</v>
      </c>
      <c r="C47" s="773"/>
      <c r="D47" s="742"/>
      <c r="E47" s="742">
        <f t="shared" si="0"/>
        <v>0</v>
      </c>
      <c r="F47" s="743"/>
      <c r="G47" s="743">
        <f t="shared" si="1"/>
        <v>0</v>
      </c>
      <c r="H47" s="743">
        <f t="shared" si="2"/>
        <v>0</v>
      </c>
      <c r="I47" s="774"/>
    </row>
    <row r="48" spans="1:9" s="724" customFormat="1" ht="14.25" customHeight="1" x14ac:dyDescent="0.2">
      <c r="A48" s="775"/>
      <c r="B48" s="772" t="s">
        <v>1304</v>
      </c>
      <c r="C48" s="741" t="s">
        <v>948</v>
      </c>
      <c r="D48" s="742">
        <v>8</v>
      </c>
      <c r="E48" s="742">
        <f t="shared" si="0"/>
        <v>19.2</v>
      </c>
      <c r="F48" s="743">
        <v>435</v>
      </c>
      <c r="G48" s="743">
        <f t="shared" si="1"/>
        <v>388.39285714285717</v>
      </c>
      <c r="H48" s="743">
        <f t="shared" si="2"/>
        <v>7457.1428571428569</v>
      </c>
      <c r="I48" s="741" t="s">
        <v>1305</v>
      </c>
    </row>
    <row r="49" spans="1:254" s="724" customFormat="1" ht="14.25" customHeight="1" x14ac:dyDescent="0.2">
      <c r="A49" s="775"/>
      <c r="B49" s="772" t="s">
        <v>1306</v>
      </c>
      <c r="C49" s="741" t="s">
        <v>948</v>
      </c>
      <c r="D49" s="742">
        <v>1</v>
      </c>
      <c r="E49" s="742">
        <f t="shared" si="0"/>
        <v>2.4</v>
      </c>
      <c r="F49" s="743">
        <v>970</v>
      </c>
      <c r="G49" s="743">
        <f t="shared" si="1"/>
        <v>866.07142857142867</v>
      </c>
      <c r="H49" s="743">
        <f t="shared" si="2"/>
        <v>2078.5714285714289</v>
      </c>
      <c r="I49" s="741" t="s">
        <v>1307</v>
      </c>
    </row>
    <row r="50" spans="1:254" s="781" customFormat="1" ht="65.25" customHeight="1" x14ac:dyDescent="0.2">
      <c r="A50" s="776">
        <v>31</v>
      </c>
      <c r="B50" s="777" t="s">
        <v>1308</v>
      </c>
      <c r="C50" s="778" t="s">
        <v>948</v>
      </c>
      <c r="D50" s="779">
        <v>1</v>
      </c>
      <c r="E50" s="742">
        <f t="shared" si="0"/>
        <v>2.4</v>
      </c>
      <c r="F50" s="780">
        <v>269</v>
      </c>
      <c r="G50" s="743">
        <f t="shared" si="1"/>
        <v>240.17857142857144</v>
      </c>
      <c r="H50" s="743">
        <f t="shared" si="2"/>
        <v>576.42857142857144</v>
      </c>
      <c r="I50" s="778">
        <v>2.21</v>
      </c>
    </row>
    <row r="51" spans="1:254" s="785" customFormat="1" ht="15.75" customHeight="1" x14ac:dyDescent="0.2">
      <c r="A51" s="782"/>
      <c r="B51" s="783" t="s">
        <v>1309</v>
      </c>
      <c r="C51" s="771"/>
      <c r="D51" s="784"/>
      <c r="E51" s="742">
        <f t="shared" si="0"/>
        <v>0</v>
      </c>
      <c r="F51" s="784"/>
      <c r="G51" s="743">
        <f t="shared" si="1"/>
        <v>0</v>
      </c>
      <c r="H51" s="743">
        <f t="shared" si="2"/>
        <v>0</v>
      </c>
      <c r="I51" s="728"/>
    </row>
    <row r="52" spans="1:254" s="786" customFormat="1" ht="63.75" x14ac:dyDescent="0.2">
      <c r="A52" s="739">
        <v>32</v>
      </c>
      <c r="B52" s="744" t="s">
        <v>1310</v>
      </c>
      <c r="C52" s="741" t="s">
        <v>829</v>
      </c>
      <c r="D52" s="742">
        <v>2</v>
      </c>
      <c r="E52" s="742">
        <f t="shared" si="0"/>
        <v>4.8</v>
      </c>
      <c r="F52" s="743">
        <v>6855</v>
      </c>
      <c r="G52" s="743">
        <f t="shared" si="1"/>
        <v>6120.5357142857147</v>
      </c>
      <c r="H52" s="743">
        <f t="shared" si="2"/>
        <v>29378.571428571431</v>
      </c>
      <c r="I52" s="749">
        <v>5.2</v>
      </c>
    </row>
    <row r="53" spans="1:254" s="786" customFormat="1" ht="76.5" x14ac:dyDescent="0.2">
      <c r="A53" s="739">
        <v>33</v>
      </c>
      <c r="B53" s="744" t="s">
        <v>1311</v>
      </c>
      <c r="C53" s="741" t="s">
        <v>829</v>
      </c>
      <c r="D53" s="742">
        <v>2</v>
      </c>
      <c r="E53" s="742">
        <f t="shared" si="0"/>
        <v>4.8</v>
      </c>
      <c r="F53" s="743">
        <v>7472</v>
      </c>
      <c r="G53" s="743">
        <f t="shared" si="1"/>
        <v>6671.4285714285716</v>
      </c>
      <c r="H53" s="743">
        <f t="shared" si="2"/>
        <v>32022.857142857141</v>
      </c>
      <c r="I53" s="749">
        <v>5.4</v>
      </c>
    </row>
    <row r="54" spans="1:254" s="786" customFormat="1" ht="63.75" x14ac:dyDescent="0.2">
      <c r="A54" s="739">
        <v>34</v>
      </c>
      <c r="B54" s="744" t="s">
        <v>1312</v>
      </c>
      <c r="C54" s="741" t="s">
        <v>1237</v>
      </c>
      <c r="D54" s="742">
        <v>70</v>
      </c>
      <c r="E54" s="742">
        <f t="shared" si="0"/>
        <v>168</v>
      </c>
      <c r="F54" s="743">
        <v>287</v>
      </c>
      <c r="G54" s="743">
        <f t="shared" si="1"/>
        <v>256.25</v>
      </c>
      <c r="H54" s="743">
        <f t="shared" si="2"/>
        <v>43050</v>
      </c>
      <c r="I54" s="749">
        <v>5.12</v>
      </c>
    </row>
    <row r="55" spans="1:254" s="755" customFormat="1" ht="38.25" x14ac:dyDescent="0.2">
      <c r="A55" s="745">
        <v>35</v>
      </c>
      <c r="B55" s="740" t="s">
        <v>1313</v>
      </c>
      <c r="C55" s="746" t="s">
        <v>1237</v>
      </c>
      <c r="D55" s="747">
        <v>85</v>
      </c>
      <c r="E55" s="742">
        <f t="shared" si="0"/>
        <v>204</v>
      </c>
      <c r="F55" s="748">
        <v>70</v>
      </c>
      <c r="G55" s="743">
        <f t="shared" si="1"/>
        <v>62.5</v>
      </c>
      <c r="H55" s="743">
        <f t="shared" si="2"/>
        <v>12750</v>
      </c>
      <c r="I55" s="787">
        <v>5.16</v>
      </c>
    </row>
    <row r="56" spans="1:254" s="790" customFormat="1" ht="12.75" x14ac:dyDescent="0.2">
      <c r="A56" s="788"/>
      <c r="B56" s="789" t="s">
        <v>1314</v>
      </c>
      <c r="C56" s="789"/>
      <c r="D56" s="748"/>
      <c r="E56" s="742">
        <f t="shared" si="0"/>
        <v>0</v>
      </c>
      <c r="F56" s="747"/>
      <c r="G56" s="743">
        <f t="shared" si="1"/>
        <v>0</v>
      </c>
      <c r="H56" s="743">
        <f t="shared" si="2"/>
        <v>0</v>
      </c>
      <c r="I56" s="748"/>
    </row>
    <row r="57" spans="1:254" s="750" customFormat="1" ht="63.75" x14ac:dyDescent="0.2">
      <c r="A57" s="788">
        <v>36</v>
      </c>
      <c r="B57" s="791" t="s">
        <v>1315</v>
      </c>
      <c r="C57" s="746"/>
      <c r="D57" s="747"/>
      <c r="E57" s="742">
        <f t="shared" si="0"/>
        <v>0</v>
      </c>
      <c r="F57" s="748"/>
      <c r="G57" s="743">
        <f t="shared" si="1"/>
        <v>0</v>
      </c>
      <c r="H57" s="743">
        <f t="shared" si="2"/>
        <v>0</v>
      </c>
      <c r="I57" s="746"/>
    </row>
    <row r="58" spans="1:254" s="750" customFormat="1" ht="13.5" customHeight="1" x14ac:dyDescent="0.2">
      <c r="A58" s="788"/>
      <c r="B58" s="740" t="s">
        <v>1316</v>
      </c>
      <c r="C58" s="746" t="s">
        <v>1237</v>
      </c>
      <c r="D58" s="747">
        <v>70</v>
      </c>
      <c r="E58" s="742">
        <f t="shared" si="0"/>
        <v>168</v>
      </c>
      <c r="F58" s="753">
        <v>422</v>
      </c>
      <c r="G58" s="743">
        <f t="shared" si="1"/>
        <v>376.78571428571428</v>
      </c>
      <c r="H58" s="743">
        <f t="shared" si="2"/>
        <v>63300</v>
      </c>
      <c r="I58" s="746" t="s">
        <v>1317</v>
      </c>
    </row>
    <row r="59" spans="1:254" s="750" customFormat="1" ht="37.5" customHeight="1" x14ac:dyDescent="0.2">
      <c r="A59" s="792">
        <v>37</v>
      </c>
      <c r="B59" s="744" t="s">
        <v>1318</v>
      </c>
      <c r="C59" s="741"/>
      <c r="D59" s="742"/>
      <c r="E59" s="742">
        <f t="shared" si="0"/>
        <v>0</v>
      </c>
      <c r="F59" s="743"/>
      <c r="G59" s="743">
        <f t="shared" si="1"/>
        <v>0</v>
      </c>
      <c r="H59" s="743">
        <f t="shared" si="2"/>
        <v>0</v>
      </c>
      <c r="I59" s="746"/>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90"/>
      <c r="GE59" s="90"/>
      <c r="GF59" s="90"/>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row>
    <row r="60" spans="1:254" s="750" customFormat="1" ht="25.5" x14ac:dyDescent="0.2">
      <c r="A60" s="788"/>
      <c r="B60" s="740" t="s">
        <v>1319</v>
      </c>
      <c r="C60" s="746" t="s">
        <v>1237</v>
      </c>
      <c r="D60" s="747">
        <v>10</v>
      </c>
      <c r="E60" s="742">
        <f t="shared" si="0"/>
        <v>24</v>
      </c>
      <c r="F60" s="748">
        <v>153</v>
      </c>
      <c r="G60" s="743">
        <f t="shared" si="1"/>
        <v>136.60714285714286</v>
      </c>
      <c r="H60" s="743">
        <f t="shared" si="2"/>
        <v>3278.5714285714284</v>
      </c>
      <c r="I60" s="746" t="s">
        <v>1320</v>
      </c>
    </row>
    <row r="61" spans="1:254" s="90" customFormat="1" ht="51" x14ac:dyDescent="0.2">
      <c r="A61" s="792">
        <v>38</v>
      </c>
      <c r="B61" s="740" t="s">
        <v>1321</v>
      </c>
      <c r="C61" s="741" t="s">
        <v>1092</v>
      </c>
      <c r="D61" s="742">
        <v>6</v>
      </c>
      <c r="E61" s="742">
        <f t="shared" si="0"/>
        <v>14.399999999999999</v>
      </c>
      <c r="F61" s="743">
        <v>260.3</v>
      </c>
      <c r="G61" s="743">
        <f>F61*(100/118)</f>
        <v>220.59322033898306</v>
      </c>
      <c r="H61" s="743">
        <f t="shared" si="2"/>
        <v>3176.5423728813557</v>
      </c>
      <c r="I61" s="793" t="s">
        <v>111</v>
      </c>
      <c r="J61" s="90" t="s">
        <v>1322</v>
      </c>
    </row>
    <row r="62" spans="1:254" s="90" customFormat="1" ht="63.75" x14ac:dyDescent="0.2">
      <c r="A62" s="792">
        <v>39</v>
      </c>
      <c r="B62" s="744" t="s">
        <v>1323</v>
      </c>
      <c r="C62" s="741" t="s">
        <v>1092</v>
      </c>
      <c r="D62" s="742">
        <v>3</v>
      </c>
      <c r="E62" s="742">
        <f t="shared" si="0"/>
        <v>7.1999999999999993</v>
      </c>
      <c r="F62" s="743">
        <v>255</v>
      </c>
      <c r="G62" s="743">
        <f t="shared" si="1"/>
        <v>227.67857142857144</v>
      </c>
      <c r="H62" s="743">
        <f t="shared" si="2"/>
        <v>1639.2857142857142</v>
      </c>
      <c r="I62" s="793">
        <v>14.3</v>
      </c>
    </row>
    <row r="63" spans="1:254" s="90" customFormat="1" ht="38.25" x14ac:dyDescent="0.2">
      <c r="A63" s="792">
        <v>40</v>
      </c>
      <c r="B63" s="744" t="s">
        <v>1324</v>
      </c>
      <c r="C63" s="741"/>
      <c r="D63" s="742"/>
      <c r="E63" s="742">
        <f t="shared" si="0"/>
        <v>0</v>
      </c>
      <c r="F63" s="743"/>
      <c r="G63" s="743">
        <f t="shared" si="1"/>
        <v>0</v>
      </c>
      <c r="H63" s="743">
        <f t="shared" si="2"/>
        <v>0</v>
      </c>
      <c r="I63" s="794"/>
    </row>
    <row r="64" spans="1:254" s="90" customFormat="1" ht="15" customHeight="1" x14ac:dyDescent="0.2">
      <c r="A64" s="792"/>
      <c r="B64" s="744" t="s">
        <v>1325</v>
      </c>
      <c r="C64" s="741" t="s">
        <v>1237</v>
      </c>
      <c r="D64" s="742">
        <v>5</v>
      </c>
      <c r="E64" s="742">
        <f t="shared" si="0"/>
        <v>12</v>
      </c>
      <c r="F64" s="743">
        <v>1140</v>
      </c>
      <c r="G64" s="743">
        <f t="shared" si="1"/>
        <v>1017.8571428571429</v>
      </c>
      <c r="H64" s="743">
        <f t="shared" si="2"/>
        <v>12214.285714285714</v>
      </c>
      <c r="I64" s="794" t="s">
        <v>1326</v>
      </c>
    </row>
    <row r="65" spans="1:254" s="750" customFormat="1" ht="51" x14ac:dyDescent="0.2">
      <c r="A65" s="792">
        <v>41</v>
      </c>
      <c r="B65" s="744" t="s">
        <v>1327</v>
      </c>
      <c r="C65" s="741"/>
      <c r="D65" s="742"/>
      <c r="E65" s="742">
        <f t="shared" si="0"/>
        <v>0</v>
      </c>
      <c r="F65" s="743"/>
      <c r="G65" s="743">
        <f t="shared" si="1"/>
        <v>0</v>
      </c>
      <c r="H65" s="743">
        <f t="shared" si="2"/>
        <v>0</v>
      </c>
      <c r="I65" s="749"/>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90"/>
      <c r="GB65" s="90"/>
      <c r="GC65" s="90"/>
      <c r="GD65" s="90"/>
      <c r="GE65" s="90"/>
      <c r="GF65" s="90"/>
      <c r="GG65" s="90"/>
      <c r="GH65" s="90"/>
      <c r="GI65" s="90"/>
      <c r="GJ65" s="90"/>
      <c r="GK65" s="90"/>
      <c r="GL65" s="90"/>
      <c r="GM65" s="90"/>
      <c r="GN65" s="90"/>
      <c r="GO65" s="90"/>
      <c r="GP65" s="90"/>
      <c r="GQ65" s="90"/>
      <c r="GR65" s="90"/>
      <c r="GS65" s="90"/>
      <c r="GT65" s="90"/>
      <c r="GU65" s="90"/>
      <c r="GV65" s="90"/>
      <c r="GW65" s="90"/>
      <c r="GX65" s="90"/>
      <c r="GY65" s="90"/>
      <c r="GZ65" s="90"/>
      <c r="HA65" s="90"/>
      <c r="HB65" s="90"/>
      <c r="HC65" s="90"/>
      <c r="HD65" s="90"/>
      <c r="HE65" s="90"/>
      <c r="HF65" s="90"/>
      <c r="HG65" s="90"/>
      <c r="HH65" s="90"/>
      <c r="HI65" s="90"/>
      <c r="HJ65" s="90"/>
      <c r="HK65" s="90"/>
      <c r="HL65" s="90"/>
      <c r="HM65" s="90"/>
      <c r="HN65" s="90"/>
      <c r="HO65" s="90"/>
      <c r="HP65" s="90"/>
      <c r="HQ65" s="90"/>
      <c r="HR65" s="90"/>
      <c r="HS65" s="90"/>
      <c r="HT65" s="90"/>
      <c r="HU65" s="90"/>
      <c r="HV65" s="90"/>
      <c r="HW65" s="90"/>
      <c r="HX65" s="90"/>
      <c r="HY65" s="90"/>
      <c r="HZ65" s="90"/>
      <c r="IA65" s="90"/>
      <c r="IB65" s="90"/>
      <c r="IC65" s="90"/>
      <c r="ID65" s="90"/>
      <c r="IE65" s="90"/>
      <c r="IF65" s="90"/>
      <c r="IG65" s="90"/>
      <c r="IH65" s="90"/>
      <c r="II65" s="90"/>
      <c r="IJ65" s="90"/>
      <c r="IK65" s="90"/>
      <c r="IL65" s="90"/>
      <c r="IM65" s="90"/>
      <c r="IN65" s="90"/>
      <c r="IO65" s="90"/>
      <c r="IP65" s="90"/>
      <c r="IQ65" s="90"/>
      <c r="IR65" s="90"/>
      <c r="IS65" s="90"/>
      <c r="IT65" s="90"/>
    </row>
    <row r="66" spans="1:254" s="750" customFormat="1" ht="12.75" x14ac:dyDescent="0.2">
      <c r="A66" s="792"/>
      <c r="B66" s="740" t="s">
        <v>1328</v>
      </c>
      <c r="C66" s="741" t="s">
        <v>1329</v>
      </c>
      <c r="D66" s="742">
        <v>5</v>
      </c>
      <c r="E66" s="742">
        <f t="shared" si="0"/>
        <v>12</v>
      </c>
      <c r="F66" s="743">
        <v>77</v>
      </c>
      <c r="G66" s="743">
        <f t="shared" si="1"/>
        <v>68.75</v>
      </c>
      <c r="H66" s="743">
        <f t="shared" si="2"/>
        <v>825</v>
      </c>
      <c r="I66" s="746" t="s">
        <v>1330</v>
      </c>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c r="GU66" s="90"/>
      <c r="GV66" s="90"/>
      <c r="GW66" s="90"/>
      <c r="GX66" s="90"/>
      <c r="GY66" s="90"/>
      <c r="GZ66" s="90"/>
      <c r="HA66" s="90"/>
      <c r="HB66" s="90"/>
      <c r="HC66" s="90"/>
      <c r="HD66" s="90"/>
      <c r="HE66" s="90"/>
      <c r="HF66" s="90"/>
      <c r="HG66" s="90"/>
      <c r="HH66" s="90"/>
      <c r="HI66" s="90"/>
      <c r="HJ66" s="90"/>
      <c r="HK66" s="90"/>
      <c r="HL66" s="90"/>
      <c r="HM66" s="90"/>
      <c r="HN66" s="90"/>
      <c r="HO66" s="90"/>
      <c r="HP66" s="90"/>
      <c r="HQ66" s="90"/>
      <c r="HR66" s="90"/>
      <c r="HS66" s="90"/>
      <c r="HT66" s="90"/>
      <c r="HU66" s="90"/>
      <c r="HV66" s="90"/>
      <c r="HW66" s="90"/>
      <c r="HX66" s="90"/>
      <c r="HY66" s="90"/>
      <c r="HZ66" s="90"/>
      <c r="IA66" s="90"/>
      <c r="IB66" s="90"/>
      <c r="IC66" s="90"/>
      <c r="ID66" s="90"/>
      <c r="IE66" s="90"/>
      <c r="IF66" s="90"/>
      <c r="IG66" s="90"/>
      <c r="IH66" s="90"/>
      <c r="II66" s="90"/>
      <c r="IJ66" s="90"/>
      <c r="IK66" s="90"/>
      <c r="IL66" s="90"/>
      <c r="IM66" s="90"/>
      <c r="IN66" s="90"/>
      <c r="IO66" s="90"/>
      <c r="IP66" s="90"/>
      <c r="IQ66" s="90"/>
      <c r="IR66" s="90"/>
      <c r="IS66" s="90"/>
      <c r="IT66" s="90"/>
    </row>
    <row r="67" spans="1:254" s="750" customFormat="1" ht="63.75" x14ac:dyDescent="0.2">
      <c r="A67" s="792">
        <v>42</v>
      </c>
      <c r="B67" s="744" t="s">
        <v>1331</v>
      </c>
      <c r="C67" s="741"/>
      <c r="D67" s="742"/>
      <c r="E67" s="742">
        <f t="shared" si="0"/>
        <v>0</v>
      </c>
      <c r="F67" s="743"/>
      <c r="G67" s="743">
        <f t="shared" si="1"/>
        <v>0</v>
      </c>
      <c r="H67" s="743">
        <f t="shared" si="2"/>
        <v>0</v>
      </c>
      <c r="I67" s="746"/>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c r="FT67" s="90"/>
      <c r="FU67" s="90"/>
      <c r="FV67" s="90"/>
      <c r="FW67" s="90"/>
      <c r="FX67" s="90"/>
      <c r="FY67" s="90"/>
      <c r="FZ67" s="90"/>
      <c r="GA67" s="90"/>
      <c r="GB67" s="90"/>
      <c r="GC67" s="90"/>
      <c r="GD67" s="90"/>
      <c r="GE67" s="90"/>
      <c r="GF67" s="90"/>
      <c r="GG67" s="90"/>
      <c r="GH67" s="90"/>
      <c r="GI67" s="90"/>
      <c r="GJ67" s="90"/>
      <c r="GK67" s="90"/>
      <c r="GL67" s="90"/>
      <c r="GM67" s="90"/>
      <c r="GN67" s="90"/>
      <c r="GO67" s="90"/>
      <c r="GP67" s="90"/>
      <c r="GQ67" s="90"/>
      <c r="GR67" s="90"/>
      <c r="GS67" s="90"/>
      <c r="GT67" s="90"/>
      <c r="GU67" s="90"/>
      <c r="GV67" s="90"/>
      <c r="GW67" s="90"/>
      <c r="GX67" s="90"/>
      <c r="GY67" s="90"/>
      <c r="GZ67" s="90"/>
      <c r="HA67" s="90"/>
      <c r="HB67" s="90"/>
      <c r="HC67" s="90"/>
      <c r="HD67" s="90"/>
      <c r="HE67" s="90"/>
      <c r="HF67" s="90"/>
      <c r="HG67" s="90"/>
      <c r="HH67" s="90"/>
      <c r="HI67" s="90"/>
      <c r="HJ67" s="90"/>
      <c r="HK67" s="90"/>
      <c r="HL67" s="90"/>
      <c r="HM67" s="90"/>
      <c r="HN67" s="90"/>
      <c r="HO67" s="90"/>
      <c r="HP67" s="90"/>
      <c r="HQ67" s="90"/>
      <c r="HR67" s="90"/>
      <c r="HS67" s="90"/>
      <c r="HT67" s="90"/>
      <c r="HU67" s="90"/>
      <c r="HV67" s="90"/>
      <c r="HW67" s="90"/>
      <c r="HX67" s="90"/>
      <c r="HY67" s="90"/>
      <c r="HZ67" s="90"/>
      <c r="IA67" s="90"/>
      <c r="IB67" s="90"/>
      <c r="IC67" s="90"/>
      <c r="ID67" s="90"/>
      <c r="IE67" s="90"/>
      <c r="IF67" s="90"/>
      <c r="IG67" s="90"/>
      <c r="IH67" s="90"/>
      <c r="II67" s="90"/>
      <c r="IJ67" s="90"/>
      <c r="IK67" s="90"/>
      <c r="IL67" s="90"/>
      <c r="IM67" s="90"/>
      <c r="IN67" s="90"/>
      <c r="IO67" s="90"/>
      <c r="IP67" s="90"/>
      <c r="IQ67" s="90"/>
      <c r="IR67" s="90"/>
      <c r="IS67" s="90"/>
      <c r="IT67" s="90"/>
    </row>
    <row r="68" spans="1:254" s="750" customFormat="1" ht="13.5" customHeight="1" x14ac:dyDescent="0.2">
      <c r="A68" s="788"/>
      <c r="B68" s="740" t="s">
        <v>1332</v>
      </c>
      <c r="C68" s="741" t="s">
        <v>840</v>
      </c>
      <c r="D68" s="742">
        <v>2</v>
      </c>
      <c r="E68" s="742">
        <f t="shared" si="0"/>
        <v>4.8</v>
      </c>
      <c r="F68" s="743">
        <v>697</v>
      </c>
      <c r="G68" s="743">
        <f t="shared" si="1"/>
        <v>622.32142857142856</v>
      </c>
      <c r="H68" s="743">
        <f t="shared" si="2"/>
        <v>2987.1428571428569</v>
      </c>
      <c r="I68" s="746" t="s">
        <v>1333</v>
      </c>
    </row>
    <row r="69" spans="1:254" s="750" customFormat="1" ht="13.5" customHeight="1" x14ac:dyDescent="0.2">
      <c r="A69" s="757"/>
      <c r="B69" s="757" t="s">
        <v>1334</v>
      </c>
      <c r="C69" s="757"/>
      <c r="D69" s="757"/>
      <c r="E69" s="742">
        <f t="shared" si="0"/>
        <v>0</v>
      </c>
      <c r="F69" s="757"/>
      <c r="G69" s="743">
        <f t="shared" si="1"/>
        <v>0</v>
      </c>
      <c r="H69" s="743">
        <f t="shared" si="2"/>
        <v>0</v>
      </c>
      <c r="I69" s="795"/>
      <c r="J69" s="796"/>
      <c r="K69" s="796"/>
      <c r="L69" s="796"/>
      <c r="M69" s="796"/>
      <c r="N69" s="796"/>
      <c r="O69" s="796"/>
      <c r="P69" s="796"/>
      <c r="Q69" s="796"/>
      <c r="R69" s="796"/>
      <c r="S69" s="796"/>
      <c r="T69" s="796"/>
      <c r="U69" s="796"/>
      <c r="V69" s="796"/>
      <c r="W69" s="796"/>
      <c r="X69" s="796"/>
      <c r="Y69" s="796"/>
      <c r="Z69" s="796"/>
      <c r="AA69" s="796"/>
      <c r="AB69" s="796"/>
      <c r="AC69" s="796"/>
      <c r="AD69" s="796"/>
      <c r="AE69" s="796"/>
      <c r="AF69" s="796"/>
      <c r="AG69" s="796"/>
      <c r="AH69" s="796"/>
      <c r="AI69" s="796"/>
      <c r="AJ69" s="796"/>
      <c r="AK69" s="796"/>
      <c r="AL69" s="796"/>
      <c r="AM69" s="796"/>
      <c r="AN69" s="796"/>
      <c r="AO69" s="796"/>
      <c r="AP69" s="796"/>
      <c r="AQ69" s="796"/>
      <c r="AR69" s="796"/>
      <c r="AS69" s="796"/>
      <c r="AT69" s="796"/>
      <c r="AU69" s="796"/>
      <c r="AV69" s="796"/>
      <c r="AW69" s="796"/>
      <c r="AX69" s="796"/>
      <c r="AY69" s="796"/>
      <c r="AZ69" s="796"/>
      <c r="BA69" s="796"/>
      <c r="BB69" s="796"/>
      <c r="BC69" s="796"/>
      <c r="BD69" s="796"/>
      <c r="BE69" s="796"/>
      <c r="BF69" s="796"/>
      <c r="BG69" s="796"/>
      <c r="BH69" s="796"/>
      <c r="BI69" s="796"/>
      <c r="BJ69" s="796"/>
      <c r="BK69" s="796"/>
      <c r="BL69" s="796"/>
      <c r="BM69" s="796"/>
      <c r="BN69" s="796"/>
      <c r="BO69" s="796"/>
      <c r="BP69" s="796"/>
      <c r="BQ69" s="796"/>
      <c r="BR69" s="796"/>
      <c r="BS69" s="796"/>
      <c r="BT69" s="796"/>
      <c r="BU69" s="796"/>
      <c r="BV69" s="796"/>
      <c r="BW69" s="796"/>
      <c r="BX69" s="796"/>
      <c r="BY69" s="796"/>
      <c r="BZ69" s="796"/>
      <c r="CA69" s="796"/>
      <c r="CB69" s="796"/>
      <c r="CC69" s="796"/>
      <c r="CD69" s="796"/>
      <c r="CE69" s="796"/>
      <c r="CF69" s="796"/>
      <c r="CG69" s="796"/>
      <c r="CH69" s="796"/>
      <c r="CI69" s="796"/>
      <c r="CJ69" s="796"/>
      <c r="CK69" s="796"/>
      <c r="CL69" s="796"/>
      <c r="CM69" s="796"/>
      <c r="CN69" s="796"/>
      <c r="CO69" s="796"/>
      <c r="CP69" s="796"/>
      <c r="CQ69" s="796"/>
      <c r="CR69" s="796"/>
      <c r="CS69" s="796"/>
      <c r="CT69" s="796"/>
      <c r="CU69" s="796"/>
      <c r="CV69" s="796"/>
      <c r="CW69" s="796"/>
      <c r="CX69" s="796"/>
      <c r="CY69" s="796"/>
      <c r="CZ69" s="796"/>
      <c r="DA69" s="796"/>
      <c r="DB69" s="796"/>
      <c r="DC69" s="796"/>
      <c r="DD69" s="796"/>
      <c r="DE69" s="796"/>
      <c r="DF69" s="796"/>
      <c r="DG69" s="796"/>
      <c r="DH69" s="796"/>
      <c r="DI69" s="796"/>
      <c r="DJ69" s="796"/>
      <c r="DK69" s="796"/>
      <c r="DL69" s="796"/>
      <c r="DM69" s="796"/>
      <c r="DN69" s="796"/>
      <c r="DO69" s="796"/>
      <c r="DP69" s="796"/>
      <c r="DQ69" s="796"/>
      <c r="DR69" s="796"/>
      <c r="DS69" s="796"/>
      <c r="DT69" s="796"/>
      <c r="DU69" s="796"/>
      <c r="DV69" s="796"/>
      <c r="DW69" s="796"/>
      <c r="DX69" s="796"/>
      <c r="DY69" s="796"/>
      <c r="DZ69" s="796"/>
      <c r="EA69" s="796"/>
      <c r="EB69" s="796"/>
      <c r="EC69" s="796"/>
      <c r="ED69" s="796"/>
      <c r="EE69" s="796"/>
      <c r="EF69" s="796"/>
      <c r="EG69" s="796"/>
      <c r="EH69" s="796"/>
      <c r="EI69" s="796"/>
      <c r="EJ69" s="796"/>
      <c r="EK69" s="796"/>
      <c r="EL69" s="796"/>
      <c r="EM69" s="796"/>
      <c r="EN69" s="796"/>
      <c r="EO69" s="796"/>
      <c r="EP69" s="796"/>
      <c r="EQ69" s="796"/>
      <c r="ER69" s="796"/>
      <c r="ES69" s="796"/>
      <c r="ET69" s="796"/>
      <c r="EU69" s="796"/>
      <c r="EV69" s="796"/>
      <c r="EW69" s="796"/>
      <c r="EX69" s="796"/>
      <c r="EY69" s="796"/>
      <c r="EZ69" s="796"/>
      <c r="FA69" s="796"/>
      <c r="FB69" s="796"/>
      <c r="FC69" s="796"/>
      <c r="FD69" s="796"/>
      <c r="FE69" s="796"/>
      <c r="FF69" s="796"/>
      <c r="FG69" s="796"/>
      <c r="FH69" s="796"/>
      <c r="FI69" s="796"/>
      <c r="FJ69" s="796"/>
      <c r="FK69" s="796"/>
      <c r="FL69" s="796"/>
      <c r="FM69" s="796"/>
      <c r="FN69" s="796"/>
      <c r="FO69" s="796"/>
      <c r="FP69" s="796"/>
      <c r="FQ69" s="796"/>
      <c r="FR69" s="796"/>
      <c r="FS69" s="796"/>
      <c r="FT69" s="796"/>
      <c r="FU69" s="796"/>
      <c r="FV69" s="796"/>
      <c r="FW69" s="796"/>
      <c r="FX69" s="796"/>
      <c r="FY69" s="796"/>
      <c r="FZ69" s="796"/>
      <c r="GA69" s="796"/>
      <c r="GB69" s="796"/>
      <c r="GC69" s="796"/>
      <c r="GD69" s="796"/>
      <c r="GE69" s="796"/>
      <c r="GF69" s="796"/>
      <c r="GG69" s="796"/>
      <c r="GH69" s="796"/>
      <c r="GI69" s="796"/>
      <c r="GJ69" s="796"/>
      <c r="GK69" s="796"/>
      <c r="GL69" s="796"/>
      <c r="GM69" s="796"/>
      <c r="GN69" s="796"/>
      <c r="GO69" s="796"/>
      <c r="GP69" s="796"/>
      <c r="GQ69" s="796"/>
      <c r="GR69" s="796"/>
      <c r="GS69" s="796"/>
      <c r="GT69" s="796"/>
      <c r="GU69" s="796"/>
      <c r="GV69" s="796"/>
      <c r="GW69" s="796"/>
      <c r="GX69" s="796"/>
      <c r="GY69" s="796"/>
      <c r="GZ69" s="796"/>
      <c r="HA69" s="796"/>
      <c r="HB69" s="796"/>
      <c r="HC69" s="796"/>
      <c r="HD69" s="796"/>
      <c r="HE69" s="796"/>
      <c r="HF69" s="796"/>
      <c r="HG69" s="796"/>
      <c r="HH69" s="796"/>
      <c r="HI69" s="796"/>
      <c r="HJ69" s="796"/>
      <c r="HK69" s="796"/>
      <c r="HL69" s="796"/>
      <c r="HM69" s="796"/>
      <c r="HN69" s="796"/>
      <c r="HO69" s="796"/>
      <c r="HP69" s="796"/>
      <c r="HQ69" s="796"/>
      <c r="HR69" s="796"/>
      <c r="HS69" s="796"/>
      <c r="HT69" s="796"/>
      <c r="HU69" s="796"/>
      <c r="HV69" s="796"/>
      <c r="HW69" s="796"/>
      <c r="HX69" s="796"/>
      <c r="HY69" s="796"/>
      <c r="HZ69" s="796"/>
      <c r="IA69" s="796"/>
      <c r="IB69" s="796"/>
      <c r="IC69" s="796"/>
      <c r="ID69" s="796"/>
      <c r="IE69" s="796"/>
      <c r="IF69" s="796"/>
      <c r="IG69" s="796"/>
      <c r="IH69" s="796"/>
      <c r="II69" s="796"/>
      <c r="IJ69" s="796"/>
      <c r="IK69" s="796"/>
      <c r="IL69" s="796"/>
      <c r="IM69" s="796"/>
      <c r="IN69" s="796"/>
      <c r="IO69" s="796"/>
      <c r="IP69" s="796"/>
      <c r="IQ69" s="796"/>
      <c r="IR69" s="796"/>
      <c r="IS69" s="796"/>
      <c r="IT69" s="796"/>
    </row>
    <row r="70" spans="1:254" s="755" customFormat="1" ht="76.5" x14ac:dyDescent="0.2">
      <c r="A70" s="745">
        <v>43</v>
      </c>
      <c r="B70" s="744" t="s">
        <v>1335</v>
      </c>
      <c r="C70" s="741" t="s">
        <v>1336</v>
      </c>
      <c r="D70" s="742">
        <v>16</v>
      </c>
      <c r="E70" s="742">
        <f t="shared" ref="E70:E97" si="3">D70*2.4</f>
        <v>38.4</v>
      </c>
      <c r="F70" s="743">
        <v>1382</v>
      </c>
      <c r="G70" s="743">
        <f t="shared" ref="G70:G97" si="4">F70*(100/112)</f>
        <v>1233.9285714285716</v>
      </c>
      <c r="H70" s="743">
        <f t="shared" ref="H70:H97" si="5">E70*G70</f>
        <v>47382.857142857145</v>
      </c>
      <c r="I70" s="768" t="s">
        <v>1337</v>
      </c>
    </row>
    <row r="71" spans="1:254" s="797" customFormat="1" ht="56.25" customHeight="1" x14ac:dyDescent="0.2">
      <c r="A71" s="739">
        <v>44</v>
      </c>
      <c r="B71" s="744" t="s">
        <v>1338</v>
      </c>
      <c r="C71" s="773"/>
      <c r="D71" s="742"/>
      <c r="E71" s="742">
        <f t="shared" si="3"/>
        <v>0</v>
      </c>
      <c r="F71" s="743"/>
      <c r="G71" s="743"/>
      <c r="H71" s="743">
        <f t="shared" si="5"/>
        <v>0</v>
      </c>
      <c r="I71" s="741"/>
    </row>
    <row r="72" spans="1:254" s="797" customFormat="1" ht="14.25" customHeight="1" x14ac:dyDescent="0.2">
      <c r="A72" s="798"/>
      <c r="B72" s="799" t="s">
        <v>1339</v>
      </c>
      <c r="C72" s="800"/>
      <c r="D72" s="741"/>
      <c r="E72" s="742">
        <f t="shared" si="3"/>
        <v>0</v>
      </c>
      <c r="F72" s="743"/>
      <c r="G72" s="743"/>
      <c r="H72" s="743">
        <f t="shared" si="5"/>
        <v>0</v>
      </c>
      <c r="I72" s="741"/>
    </row>
    <row r="73" spans="1:254" s="801" customFormat="1" ht="13.5" customHeight="1" x14ac:dyDescent="0.2">
      <c r="A73" s="739"/>
      <c r="B73" s="769" t="s">
        <v>1340</v>
      </c>
      <c r="C73" s="746" t="s">
        <v>948</v>
      </c>
      <c r="D73" s="742">
        <v>1</v>
      </c>
      <c r="E73" s="742">
        <f t="shared" si="3"/>
        <v>2.4</v>
      </c>
      <c r="F73" s="748">
        <v>11915</v>
      </c>
      <c r="G73" s="743">
        <f t="shared" si="4"/>
        <v>10638.392857142857</v>
      </c>
      <c r="H73" s="743">
        <f t="shared" si="5"/>
        <v>25532.142857142855</v>
      </c>
      <c r="I73" s="741" t="s">
        <v>1341</v>
      </c>
    </row>
    <row r="74" spans="1:254" s="801" customFormat="1" ht="13.5" customHeight="1" x14ac:dyDescent="0.2">
      <c r="A74" s="739"/>
      <c r="B74" s="769" t="s">
        <v>1342</v>
      </c>
      <c r="C74" s="746" t="s">
        <v>948</v>
      </c>
      <c r="D74" s="742">
        <v>1</v>
      </c>
      <c r="E74" s="742">
        <f t="shared" si="3"/>
        <v>2.4</v>
      </c>
      <c r="F74" s="748">
        <v>9463</v>
      </c>
      <c r="G74" s="743">
        <f t="shared" si="4"/>
        <v>8449.1071428571431</v>
      </c>
      <c r="H74" s="743">
        <f t="shared" si="5"/>
        <v>20277.857142857141</v>
      </c>
      <c r="I74" s="741" t="s">
        <v>1343</v>
      </c>
    </row>
    <row r="75" spans="1:254" s="797" customFormat="1" ht="12.75" x14ac:dyDescent="0.2">
      <c r="A75" s="798"/>
      <c r="B75" s="789" t="s">
        <v>1344</v>
      </c>
      <c r="C75" s="741"/>
      <c r="D75" s="742"/>
      <c r="E75" s="742">
        <f t="shared" si="3"/>
        <v>0</v>
      </c>
      <c r="F75" s="743"/>
      <c r="G75" s="743">
        <f t="shared" si="4"/>
        <v>0</v>
      </c>
      <c r="H75" s="743">
        <f t="shared" si="5"/>
        <v>0</v>
      </c>
      <c r="I75" s="741"/>
    </row>
    <row r="76" spans="1:254" s="801" customFormat="1" ht="13.5" customHeight="1" x14ac:dyDescent="0.2">
      <c r="A76" s="739"/>
      <c r="B76" s="772" t="s">
        <v>1345</v>
      </c>
      <c r="C76" s="741" t="s">
        <v>948</v>
      </c>
      <c r="D76" s="742">
        <v>1</v>
      </c>
      <c r="E76" s="742">
        <f t="shared" si="3"/>
        <v>2.4</v>
      </c>
      <c r="F76" s="743">
        <v>527</v>
      </c>
      <c r="G76" s="743">
        <f t="shared" si="4"/>
        <v>470.53571428571433</v>
      </c>
      <c r="H76" s="743">
        <f t="shared" si="5"/>
        <v>1129.2857142857144</v>
      </c>
      <c r="I76" s="741" t="s">
        <v>1346</v>
      </c>
    </row>
    <row r="77" spans="1:254" s="801" customFormat="1" ht="13.5" customHeight="1" x14ac:dyDescent="0.2">
      <c r="A77" s="739"/>
      <c r="B77" s="772" t="s">
        <v>1347</v>
      </c>
      <c r="C77" s="741" t="s">
        <v>948</v>
      </c>
      <c r="D77" s="742">
        <v>8</v>
      </c>
      <c r="E77" s="742">
        <f t="shared" si="3"/>
        <v>19.2</v>
      </c>
      <c r="F77" s="743">
        <v>729</v>
      </c>
      <c r="G77" s="743">
        <f t="shared" si="4"/>
        <v>650.89285714285722</v>
      </c>
      <c r="H77" s="743">
        <f t="shared" si="5"/>
        <v>12497.142857142859</v>
      </c>
      <c r="I77" s="741" t="s">
        <v>1348</v>
      </c>
    </row>
    <row r="78" spans="1:254" s="256" customFormat="1" ht="13.5" customHeight="1" x14ac:dyDescent="0.2">
      <c r="A78" s="765"/>
      <c r="B78" s="802" t="s">
        <v>1349</v>
      </c>
      <c r="C78" s="408" t="s">
        <v>948</v>
      </c>
      <c r="D78" s="226">
        <v>1</v>
      </c>
      <c r="E78" s="742">
        <f t="shared" si="3"/>
        <v>2.4</v>
      </c>
      <c r="F78" s="227">
        <v>1108</v>
      </c>
      <c r="G78" s="743">
        <f t="shared" si="4"/>
        <v>989.28571428571433</v>
      </c>
      <c r="H78" s="743">
        <f t="shared" si="5"/>
        <v>2374.2857142857142</v>
      </c>
      <c r="I78" s="408" t="s">
        <v>1350</v>
      </c>
    </row>
    <row r="79" spans="1:254" s="256" customFormat="1" ht="13.5" customHeight="1" x14ac:dyDescent="0.2">
      <c r="A79" s="765"/>
      <c r="B79" s="802" t="s">
        <v>1351</v>
      </c>
      <c r="C79" s="408" t="s">
        <v>948</v>
      </c>
      <c r="D79" s="226">
        <v>1</v>
      </c>
      <c r="E79" s="742">
        <f t="shared" si="3"/>
        <v>2.4</v>
      </c>
      <c r="F79" s="227">
        <v>1487</v>
      </c>
      <c r="G79" s="743">
        <f t="shared" si="4"/>
        <v>1327.6785714285716</v>
      </c>
      <c r="H79" s="743">
        <f t="shared" si="5"/>
        <v>3186.4285714285716</v>
      </c>
      <c r="I79" s="408" t="s">
        <v>1352</v>
      </c>
    </row>
    <row r="80" spans="1:254" s="801" customFormat="1" ht="13.5" customHeight="1" x14ac:dyDescent="0.2">
      <c r="A80" s="739"/>
      <c r="B80" s="772" t="s">
        <v>1353</v>
      </c>
      <c r="C80" s="741" t="s">
        <v>195</v>
      </c>
      <c r="D80" s="742">
        <v>8</v>
      </c>
      <c r="E80" s="742">
        <f t="shared" si="3"/>
        <v>19.2</v>
      </c>
      <c r="F80" s="743">
        <v>776</v>
      </c>
      <c r="G80" s="743">
        <f t="shared" si="4"/>
        <v>692.85714285714289</v>
      </c>
      <c r="H80" s="743">
        <f t="shared" si="5"/>
        <v>13302.857142857143</v>
      </c>
      <c r="I80" s="741" t="s">
        <v>1354</v>
      </c>
    </row>
    <row r="81" spans="1:9" s="801" customFormat="1" ht="12.75" x14ac:dyDescent="0.2">
      <c r="A81" s="739"/>
      <c r="B81" s="772" t="s">
        <v>1355</v>
      </c>
      <c r="C81" s="741" t="s">
        <v>948</v>
      </c>
      <c r="D81" s="742">
        <v>1</v>
      </c>
      <c r="E81" s="742">
        <f t="shared" si="3"/>
        <v>2.4</v>
      </c>
      <c r="F81" s="743">
        <v>1643</v>
      </c>
      <c r="G81" s="743">
        <f t="shared" si="4"/>
        <v>1466.9642857142858</v>
      </c>
      <c r="H81" s="743">
        <f t="shared" si="5"/>
        <v>3520.7142857142858</v>
      </c>
      <c r="I81" s="741" t="s">
        <v>1356</v>
      </c>
    </row>
    <row r="82" spans="1:9" s="801" customFormat="1" ht="12.75" x14ac:dyDescent="0.2">
      <c r="A82" s="739"/>
      <c r="B82" s="772" t="s">
        <v>1357</v>
      </c>
      <c r="C82" s="741" t="s">
        <v>948</v>
      </c>
      <c r="D82" s="742">
        <v>1</v>
      </c>
      <c r="E82" s="742">
        <f t="shared" si="3"/>
        <v>2.4</v>
      </c>
      <c r="F82" s="743">
        <v>1337</v>
      </c>
      <c r="G82" s="743">
        <f t="shared" si="4"/>
        <v>1193.75</v>
      </c>
      <c r="H82" s="743">
        <f t="shared" si="5"/>
        <v>2865</v>
      </c>
      <c r="I82" s="741" t="s">
        <v>1358</v>
      </c>
    </row>
    <row r="83" spans="1:9" s="801" customFormat="1" ht="12.75" x14ac:dyDescent="0.2">
      <c r="A83" s="739"/>
      <c r="B83" s="772" t="s">
        <v>1359</v>
      </c>
      <c r="C83" s="768" t="s">
        <v>948</v>
      </c>
      <c r="D83" s="803">
        <v>3</v>
      </c>
      <c r="E83" s="742">
        <f t="shared" si="3"/>
        <v>7.1999999999999993</v>
      </c>
      <c r="F83" s="794">
        <v>121</v>
      </c>
      <c r="G83" s="743">
        <f t="shared" si="4"/>
        <v>108.03571428571429</v>
      </c>
      <c r="H83" s="743">
        <f t="shared" si="5"/>
        <v>777.85714285714278</v>
      </c>
      <c r="I83" s="741" t="s">
        <v>1360</v>
      </c>
    </row>
    <row r="84" spans="1:9" s="755" customFormat="1" ht="12.75" x14ac:dyDescent="0.2">
      <c r="A84" s="804"/>
      <c r="B84" s="805" t="s">
        <v>1361</v>
      </c>
      <c r="C84" s="806"/>
      <c r="D84" s="747"/>
      <c r="E84" s="742">
        <f t="shared" si="3"/>
        <v>0</v>
      </c>
      <c r="F84" s="748"/>
      <c r="G84" s="743">
        <f t="shared" si="4"/>
        <v>0</v>
      </c>
      <c r="H84" s="743">
        <f t="shared" si="5"/>
        <v>0</v>
      </c>
      <c r="I84" s="745"/>
    </row>
    <row r="85" spans="1:9" s="755" customFormat="1" ht="69" customHeight="1" x14ac:dyDescent="0.2">
      <c r="A85" s="745">
        <v>45</v>
      </c>
      <c r="B85" s="744" t="s">
        <v>1362</v>
      </c>
      <c r="C85" s="741" t="s">
        <v>975</v>
      </c>
      <c r="D85" s="742">
        <v>60</v>
      </c>
      <c r="E85" s="742">
        <f t="shared" si="3"/>
        <v>144</v>
      </c>
      <c r="F85" s="743">
        <v>3784</v>
      </c>
      <c r="G85" s="743">
        <f t="shared" si="4"/>
        <v>3378.5714285714289</v>
      </c>
      <c r="H85" s="743">
        <f t="shared" si="5"/>
        <v>486514.28571428574</v>
      </c>
      <c r="I85" s="749" t="s">
        <v>1363</v>
      </c>
    </row>
    <row r="86" spans="1:9" s="790" customFormat="1" ht="53.25" customHeight="1" x14ac:dyDescent="0.2">
      <c r="A86" s="745">
        <v>46</v>
      </c>
      <c r="B86" s="744" t="s">
        <v>1364</v>
      </c>
      <c r="C86" s="746" t="s">
        <v>975</v>
      </c>
      <c r="D86" s="747">
        <v>34</v>
      </c>
      <c r="E86" s="742">
        <f t="shared" si="3"/>
        <v>81.599999999999994</v>
      </c>
      <c r="F86" s="748">
        <v>4982</v>
      </c>
      <c r="G86" s="743">
        <f t="shared" si="4"/>
        <v>4448.2142857142862</v>
      </c>
      <c r="H86" s="743">
        <f t="shared" si="5"/>
        <v>362974.28571428574</v>
      </c>
      <c r="I86" s="749" t="s">
        <v>1365</v>
      </c>
    </row>
    <row r="87" spans="1:9" s="790" customFormat="1" ht="82.5" customHeight="1" x14ac:dyDescent="0.2">
      <c r="A87" s="745">
        <v>47</v>
      </c>
      <c r="B87" s="740" t="s">
        <v>1366</v>
      </c>
      <c r="C87" s="746" t="s">
        <v>975</v>
      </c>
      <c r="D87" s="747">
        <v>74</v>
      </c>
      <c r="E87" s="742">
        <f t="shared" si="3"/>
        <v>177.6</v>
      </c>
      <c r="F87" s="748">
        <v>684</v>
      </c>
      <c r="G87" s="743">
        <f t="shared" si="4"/>
        <v>610.71428571428578</v>
      </c>
      <c r="H87" s="743">
        <f t="shared" si="5"/>
        <v>108462.85714285714</v>
      </c>
      <c r="I87" s="749" t="s">
        <v>249</v>
      </c>
    </row>
    <row r="88" spans="1:9" s="790" customFormat="1" ht="102" x14ac:dyDescent="0.2">
      <c r="A88" s="745">
        <v>48</v>
      </c>
      <c r="B88" s="740" t="s">
        <v>1367</v>
      </c>
      <c r="C88" s="746" t="s">
        <v>975</v>
      </c>
      <c r="D88" s="747">
        <f>[7]Fixture!G41</f>
        <v>8</v>
      </c>
      <c r="E88" s="742">
        <f t="shared" si="3"/>
        <v>19.2</v>
      </c>
      <c r="F88" s="748">
        <v>244</v>
      </c>
      <c r="G88" s="743">
        <f t="shared" si="4"/>
        <v>217.85714285714286</v>
      </c>
      <c r="H88" s="743">
        <f t="shared" si="5"/>
        <v>4182.8571428571431</v>
      </c>
      <c r="I88" s="749">
        <v>5.15</v>
      </c>
    </row>
    <row r="89" spans="1:9" s="790" customFormat="1" ht="127.5" x14ac:dyDescent="0.2">
      <c r="A89" s="745">
        <v>49</v>
      </c>
      <c r="B89" s="740" t="s">
        <v>1368</v>
      </c>
      <c r="C89" s="746" t="s">
        <v>975</v>
      </c>
      <c r="D89" s="747">
        <f>[7]Fixture!G33</f>
        <v>16</v>
      </c>
      <c r="E89" s="742">
        <f t="shared" si="3"/>
        <v>38.4</v>
      </c>
      <c r="F89" s="748">
        <v>4949</v>
      </c>
      <c r="G89" s="743">
        <f t="shared" si="4"/>
        <v>4418.75</v>
      </c>
      <c r="H89" s="743">
        <f t="shared" si="5"/>
        <v>169680</v>
      </c>
      <c r="I89" s="749">
        <v>5.14</v>
      </c>
    </row>
    <row r="90" spans="1:9" s="797" customFormat="1" ht="76.5" x14ac:dyDescent="0.2">
      <c r="A90" s="807">
        <v>50</v>
      </c>
      <c r="B90" s="744" t="s">
        <v>1369</v>
      </c>
      <c r="C90" s="741" t="s">
        <v>948</v>
      </c>
      <c r="D90" s="742">
        <v>44</v>
      </c>
      <c r="E90" s="742">
        <f t="shared" si="3"/>
        <v>105.6</v>
      </c>
      <c r="F90" s="743">
        <v>1380</v>
      </c>
      <c r="G90" s="743">
        <f t="shared" si="4"/>
        <v>1232.1428571428571</v>
      </c>
      <c r="H90" s="743">
        <f t="shared" si="5"/>
        <v>130114.28571428571</v>
      </c>
      <c r="I90" s="741" t="s">
        <v>1370</v>
      </c>
    </row>
    <row r="91" spans="1:9" s="790" customFormat="1" ht="38.25" x14ac:dyDescent="0.2">
      <c r="A91" s="745">
        <v>51</v>
      </c>
      <c r="B91" s="740" t="s">
        <v>1371</v>
      </c>
      <c r="C91" s="746" t="s">
        <v>975</v>
      </c>
      <c r="D91" s="747">
        <v>108</v>
      </c>
      <c r="E91" s="742">
        <f t="shared" si="3"/>
        <v>259.2</v>
      </c>
      <c r="F91" s="748">
        <v>87</v>
      </c>
      <c r="G91" s="743">
        <f t="shared" si="4"/>
        <v>77.678571428571431</v>
      </c>
      <c r="H91" s="743">
        <f t="shared" si="5"/>
        <v>20134.285714285714</v>
      </c>
      <c r="I91" s="749">
        <v>1.33</v>
      </c>
    </row>
    <row r="92" spans="1:9" s="790" customFormat="1" ht="51" x14ac:dyDescent="0.2">
      <c r="A92" s="745">
        <v>52</v>
      </c>
      <c r="B92" s="740" t="s">
        <v>1372</v>
      </c>
      <c r="C92" s="746" t="s">
        <v>975</v>
      </c>
      <c r="D92" s="747">
        <v>126</v>
      </c>
      <c r="E92" s="742">
        <f t="shared" si="3"/>
        <v>302.39999999999998</v>
      </c>
      <c r="F92" s="748">
        <v>131</v>
      </c>
      <c r="G92" s="743">
        <f t="shared" si="4"/>
        <v>116.96428571428572</v>
      </c>
      <c r="H92" s="743">
        <f t="shared" si="5"/>
        <v>35370</v>
      </c>
      <c r="I92" s="749">
        <v>1.34</v>
      </c>
    </row>
    <row r="93" spans="1:9" s="790" customFormat="1" ht="29.25" customHeight="1" x14ac:dyDescent="0.2">
      <c r="A93" s="745">
        <v>53</v>
      </c>
      <c r="B93" s="740" t="s">
        <v>1373</v>
      </c>
      <c r="C93" s="746"/>
      <c r="D93" s="747"/>
      <c r="E93" s="742">
        <f t="shared" si="3"/>
        <v>0</v>
      </c>
      <c r="F93" s="748"/>
      <c r="G93" s="743">
        <f t="shared" si="4"/>
        <v>0</v>
      </c>
      <c r="H93" s="743">
        <f t="shared" si="5"/>
        <v>0</v>
      </c>
      <c r="I93" s="745"/>
    </row>
    <row r="94" spans="1:9" s="790" customFormat="1" ht="12.75" x14ac:dyDescent="0.2">
      <c r="A94" s="745"/>
      <c r="B94" s="808" t="s">
        <v>1374</v>
      </c>
      <c r="C94" s="746" t="s">
        <v>948</v>
      </c>
      <c r="D94" s="747">
        <f>D92</f>
        <v>126</v>
      </c>
      <c r="E94" s="742">
        <f t="shared" si="3"/>
        <v>302.39999999999998</v>
      </c>
      <c r="F94" s="748">
        <v>178</v>
      </c>
      <c r="G94" s="743">
        <f t="shared" si="4"/>
        <v>158.92857142857144</v>
      </c>
      <c r="H94" s="743">
        <f t="shared" si="5"/>
        <v>48060</v>
      </c>
      <c r="I94" s="745" t="s">
        <v>1375</v>
      </c>
    </row>
    <row r="95" spans="1:9" s="790" customFormat="1" ht="12.75" x14ac:dyDescent="0.2">
      <c r="A95" s="788"/>
      <c r="B95" s="789" t="s">
        <v>1376</v>
      </c>
      <c r="C95" s="789"/>
      <c r="D95" s="748"/>
      <c r="E95" s="742">
        <f t="shared" si="3"/>
        <v>0</v>
      </c>
      <c r="F95" s="747"/>
      <c r="G95" s="743">
        <f t="shared" si="4"/>
        <v>0</v>
      </c>
      <c r="H95" s="743">
        <f t="shared" si="5"/>
        <v>0</v>
      </c>
      <c r="I95" s="748"/>
    </row>
    <row r="96" spans="1:9" s="797" customFormat="1" ht="63.75" x14ac:dyDescent="0.2">
      <c r="A96" s="792">
        <v>54</v>
      </c>
      <c r="B96" s="744" t="s">
        <v>1377</v>
      </c>
      <c r="C96" s="743"/>
      <c r="D96" s="743"/>
      <c r="E96" s="742">
        <f t="shared" si="3"/>
        <v>0</v>
      </c>
      <c r="F96" s="743"/>
      <c r="G96" s="743">
        <f t="shared" si="4"/>
        <v>0</v>
      </c>
      <c r="H96" s="743">
        <f t="shared" si="5"/>
        <v>0</v>
      </c>
      <c r="I96" s="743"/>
    </row>
    <row r="97" spans="1:9" s="790" customFormat="1" ht="13.5" customHeight="1" x14ac:dyDescent="0.2">
      <c r="A97" s="788"/>
      <c r="B97" s="740" t="s">
        <v>1378</v>
      </c>
      <c r="C97" s="746" t="s">
        <v>1237</v>
      </c>
      <c r="D97" s="747">
        <v>75</v>
      </c>
      <c r="E97" s="742">
        <f t="shared" si="3"/>
        <v>180</v>
      </c>
      <c r="F97" s="748">
        <v>672</v>
      </c>
      <c r="G97" s="743">
        <f t="shared" si="4"/>
        <v>600</v>
      </c>
      <c r="H97" s="743">
        <f t="shared" si="5"/>
        <v>108000</v>
      </c>
      <c r="I97" s="746" t="s">
        <v>1379</v>
      </c>
    </row>
    <row r="98" spans="1:9" s="790" customFormat="1" ht="13.5" customHeight="1" x14ac:dyDescent="0.2">
      <c r="A98" s="788"/>
      <c r="B98" s="740"/>
      <c r="C98" s="746"/>
      <c r="D98" s="747"/>
      <c r="E98" s="747"/>
      <c r="F98" s="748" t="s">
        <v>820</v>
      </c>
      <c r="G98" s="743"/>
      <c r="H98" s="743">
        <f>SUM(H5:H97)</f>
        <v>6139800.8280871669</v>
      </c>
      <c r="I98" s="746"/>
    </row>
    <row r="99" spans="1:9" s="790" customFormat="1" ht="13.5" customHeight="1" x14ac:dyDescent="0.2">
      <c r="A99" s="788"/>
      <c r="B99" s="740"/>
      <c r="C99" s="746"/>
      <c r="D99" s="747"/>
      <c r="E99" s="747"/>
      <c r="F99" s="809" t="s">
        <v>1222</v>
      </c>
      <c r="G99" s="743"/>
      <c r="H99" s="743">
        <f>H98*0.18</f>
        <v>1105164.14905569</v>
      </c>
      <c r="I99" s="746"/>
    </row>
    <row r="101" spans="1:9" x14ac:dyDescent="0.2">
      <c r="A101" s="408" t="s">
        <v>60</v>
      </c>
      <c r="B101" s="810" t="s">
        <v>1380</v>
      </c>
      <c r="C101" s="236"/>
      <c r="D101" s="236"/>
      <c r="E101" s="236"/>
      <c r="F101" s="236"/>
    </row>
    <row r="102" spans="1:9" x14ac:dyDescent="0.2">
      <c r="A102" s="180">
        <v>1</v>
      </c>
      <c r="B102" s="1019" t="s">
        <v>1381</v>
      </c>
      <c r="C102" s="1019"/>
      <c r="D102" s="802"/>
      <c r="E102" s="802"/>
      <c r="F102" s="812">
        <v>950</v>
      </c>
    </row>
    <row r="103" spans="1:9" s="90" customFormat="1" ht="12.75" x14ac:dyDescent="0.2">
      <c r="A103" s="180">
        <v>3</v>
      </c>
      <c r="B103" s="1020" t="s">
        <v>1382</v>
      </c>
      <c r="C103" s="1020"/>
      <c r="D103" s="1020"/>
      <c r="E103" s="225"/>
      <c r="F103" s="812">
        <f>F102*0.18</f>
        <v>171</v>
      </c>
      <c r="G103" s="645"/>
      <c r="H103" s="645"/>
    </row>
    <row r="104" spans="1:9" x14ac:dyDescent="0.2">
      <c r="A104" s="180"/>
      <c r="B104" s="225"/>
      <c r="C104" s="225"/>
      <c r="D104" s="225"/>
      <c r="E104" s="225"/>
      <c r="F104" s="812">
        <f>F103+F102</f>
        <v>1121</v>
      </c>
    </row>
    <row r="105" spans="1:9" x14ac:dyDescent="0.2">
      <c r="A105" s="180">
        <v>3</v>
      </c>
      <c r="B105" s="225" t="s">
        <v>1383</v>
      </c>
      <c r="C105" s="225"/>
      <c r="D105" s="225"/>
      <c r="E105" s="225"/>
      <c r="F105" s="812">
        <f>F104*0.02</f>
        <v>22.42</v>
      </c>
    </row>
    <row r="106" spans="1:9" x14ac:dyDescent="0.2">
      <c r="A106" s="180"/>
      <c r="B106" s="236"/>
      <c r="C106" s="225"/>
      <c r="D106" s="225"/>
      <c r="E106" s="225"/>
      <c r="F106" s="812">
        <f>F104+F105</f>
        <v>1143.42</v>
      </c>
    </row>
    <row r="107" spans="1:9" ht="15.75" x14ac:dyDescent="0.2">
      <c r="A107" s="180">
        <v>4</v>
      </c>
      <c r="B107" s="813" t="s">
        <v>1384</v>
      </c>
      <c r="C107" s="813"/>
      <c r="D107" s="813"/>
      <c r="E107" s="813"/>
      <c r="F107" s="812">
        <f>F106*0.1</f>
        <v>114.34200000000001</v>
      </c>
    </row>
    <row r="108" spans="1:9" ht="15.75" x14ac:dyDescent="0.2">
      <c r="A108" s="180"/>
      <c r="B108" s="813"/>
      <c r="C108" s="813"/>
      <c r="D108" s="813"/>
      <c r="E108" s="813"/>
      <c r="F108" s="812">
        <f>F106+F107</f>
        <v>1257.7620000000002</v>
      </c>
    </row>
    <row r="109" spans="1:9" x14ac:dyDescent="0.2">
      <c r="A109" s="188">
        <v>5</v>
      </c>
      <c r="B109" s="1016" t="s">
        <v>1385</v>
      </c>
      <c r="C109" s="1016"/>
      <c r="D109" s="815"/>
      <c r="E109" s="815"/>
      <c r="F109" s="816">
        <f>F108*0.15</f>
        <v>188.66430000000003</v>
      </c>
    </row>
    <row r="110" spans="1:9" x14ac:dyDescent="0.2">
      <c r="A110" s="815"/>
      <c r="B110" s="815"/>
      <c r="C110" s="815"/>
      <c r="D110" s="815"/>
      <c r="E110" s="815"/>
      <c r="F110" s="816">
        <f>F109+F108</f>
        <v>1446.4263000000001</v>
      </c>
    </row>
    <row r="111" spans="1:9" s="820" customFormat="1" ht="12.75" x14ac:dyDescent="0.2">
      <c r="A111" s="817">
        <v>6</v>
      </c>
      <c r="B111" s="818" t="s">
        <v>1386</v>
      </c>
      <c r="C111" s="818"/>
      <c r="D111" s="819"/>
      <c r="E111" s="819"/>
      <c r="F111" s="819">
        <f>F110*0.01</f>
        <v>14.464263000000001</v>
      </c>
    </row>
    <row r="112" spans="1:9" s="820" customFormat="1" ht="12.75" x14ac:dyDescent="0.2">
      <c r="A112" s="814"/>
      <c r="B112" s="818"/>
      <c r="C112" s="818"/>
      <c r="D112" s="821"/>
      <c r="E112" s="821"/>
      <c r="F112" s="821">
        <f>F111+F110</f>
        <v>1460.8905630000002</v>
      </c>
    </row>
    <row r="113" spans="1:9" s="822" customFormat="1" ht="12.75" x14ac:dyDescent="0.2">
      <c r="A113" s="818"/>
      <c r="B113" s="818"/>
      <c r="C113" s="818"/>
      <c r="D113" s="818" t="s">
        <v>1387</v>
      </c>
      <c r="E113" s="818"/>
      <c r="F113" s="821">
        <f>ROUND(F112,0)</f>
        <v>1461</v>
      </c>
      <c r="I113" s="820"/>
    </row>
    <row r="114" spans="1:9" s="90" customFormat="1" ht="12.75" x14ac:dyDescent="0.2">
      <c r="A114" s="136"/>
      <c r="B114" s="823"/>
      <c r="C114" s="824"/>
      <c r="D114" s="825"/>
      <c r="E114" s="825"/>
      <c r="F114" s="824"/>
      <c r="G114" s="826"/>
      <c r="H114" s="826"/>
      <c r="I114" s="103"/>
    </row>
    <row r="115" spans="1:9" s="750" customFormat="1" ht="13.5" customHeight="1" x14ac:dyDescent="0.2">
      <c r="A115" s="827" t="s">
        <v>60</v>
      </c>
      <c r="B115" s="827"/>
      <c r="C115" s="827"/>
      <c r="D115" s="827"/>
      <c r="E115" s="827"/>
      <c r="F115" s="828"/>
      <c r="G115" s="829"/>
      <c r="H115" s="829"/>
      <c r="I115" s="829"/>
    </row>
    <row r="116" spans="1:9" s="750" customFormat="1" ht="30.75" customHeight="1" x14ac:dyDescent="0.2">
      <c r="A116" s="830">
        <v>1</v>
      </c>
      <c r="B116" s="1021" t="s">
        <v>1388</v>
      </c>
      <c r="C116" s="1021"/>
      <c r="D116" s="1021"/>
      <c r="E116" s="831"/>
      <c r="F116" s="832">
        <v>3111</v>
      </c>
      <c r="G116" s="833"/>
      <c r="H116" s="833"/>
      <c r="I116" s="833"/>
    </row>
    <row r="117" spans="1:9" s="750" customFormat="1" ht="13.5" customHeight="1" x14ac:dyDescent="0.2">
      <c r="A117" s="830">
        <v>2</v>
      </c>
      <c r="B117" s="1015" t="s">
        <v>1389</v>
      </c>
      <c r="C117" s="1015"/>
      <c r="D117" s="1015"/>
      <c r="E117" s="834"/>
      <c r="F117" s="835">
        <f>F116*0.35</f>
        <v>1088.8499999999999</v>
      </c>
      <c r="G117" s="836"/>
      <c r="H117" s="836"/>
      <c r="I117" s="836"/>
    </row>
    <row r="118" spans="1:9" s="750" customFormat="1" ht="14.25" customHeight="1" x14ac:dyDescent="0.2">
      <c r="A118" s="830"/>
      <c r="B118" s="1014"/>
      <c r="C118" s="1014"/>
      <c r="D118" s="1014"/>
      <c r="E118" s="837"/>
      <c r="F118" s="835">
        <f>F116-F117</f>
        <v>2022.15</v>
      </c>
      <c r="G118" s="836"/>
      <c r="H118" s="836"/>
      <c r="I118" s="836"/>
    </row>
    <row r="119" spans="1:9" x14ac:dyDescent="0.2">
      <c r="A119" s="180">
        <v>2</v>
      </c>
      <c r="B119" s="838" t="s">
        <v>1390</v>
      </c>
      <c r="C119" s="225"/>
      <c r="D119" s="225"/>
      <c r="E119" s="225"/>
      <c r="F119" s="812">
        <f>F118*0.18</f>
        <v>363.98700000000002</v>
      </c>
      <c r="I119" s="839"/>
    </row>
    <row r="120" spans="1:9" s="750" customFormat="1" ht="14.25" customHeight="1" x14ac:dyDescent="0.2">
      <c r="A120" s="830"/>
      <c r="B120" s="834"/>
      <c r="C120" s="838"/>
      <c r="D120" s="838"/>
      <c r="E120" s="838"/>
      <c r="F120" s="835">
        <f>F119+F118</f>
        <v>2386.1370000000002</v>
      </c>
      <c r="G120" s="836"/>
      <c r="H120" s="836"/>
      <c r="I120" s="836"/>
    </row>
    <row r="121" spans="1:9" s="750" customFormat="1" ht="15.75" customHeight="1" x14ac:dyDescent="0.2">
      <c r="A121" s="830">
        <v>4</v>
      </c>
      <c r="B121" s="1015" t="s">
        <v>1383</v>
      </c>
      <c r="C121" s="1015"/>
      <c r="D121" s="1015"/>
      <c r="E121" s="834"/>
      <c r="F121" s="835">
        <f>F120*0.02</f>
        <v>47.722740000000002</v>
      </c>
      <c r="G121" s="840"/>
      <c r="H121" s="840"/>
      <c r="I121" s="836"/>
    </row>
    <row r="122" spans="1:9" s="750" customFormat="1" ht="12" customHeight="1" x14ac:dyDescent="0.2">
      <c r="A122" s="830"/>
      <c r="B122" s="834"/>
      <c r="C122" s="834"/>
      <c r="D122" s="834"/>
      <c r="E122" s="834"/>
      <c r="F122" s="835">
        <f>F121+F120</f>
        <v>2433.8597400000003</v>
      </c>
      <c r="G122" s="836"/>
      <c r="H122" s="836"/>
      <c r="I122" s="836"/>
    </row>
    <row r="123" spans="1:9" ht="15.75" x14ac:dyDescent="0.2">
      <c r="A123" s="180">
        <v>5</v>
      </c>
      <c r="B123" s="813" t="s">
        <v>1384</v>
      </c>
      <c r="C123" s="813"/>
      <c r="D123" s="813"/>
      <c r="E123" s="813"/>
      <c r="F123" s="812">
        <f>F122*0.1</f>
        <v>243.38597400000003</v>
      </c>
      <c r="I123" s="839"/>
    </row>
    <row r="124" spans="1:9" ht="15.75" x14ac:dyDescent="0.2">
      <c r="A124" s="180"/>
      <c r="B124" s="813"/>
      <c r="C124" s="813"/>
      <c r="D124" s="813"/>
      <c r="E124" s="813"/>
      <c r="F124" s="812">
        <f>F122+F123</f>
        <v>2677.2457140000006</v>
      </c>
      <c r="I124" s="839"/>
    </row>
    <row r="125" spans="1:9" x14ac:dyDescent="0.2">
      <c r="A125" s="188">
        <v>6</v>
      </c>
      <c r="B125" s="1016" t="s">
        <v>1385</v>
      </c>
      <c r="C125" s="1016"/>
      <c r="D125" s="815"/>
      <c r="E125" s="815"/>
      <c r="F125" s="816">
        <f>F124*0.15</f>
        <v>401.58685710000009</v>
      </c>
      <c r="I125" s="839"/>
    </row>
    <row r="126" spans="1:9" x14ac:dyDescent="0.2">
      <c r="A126" s="815"/>
      <c r="B126" s="815"/>
      <c r="C126" s="815"/>
      <c r="D126" s="815"/>
      <c r="E126" s="815"/>
      <c r="F126" s="816">
        <f>F125+F124</f>
        <v>3078.8325711000007</v>
      </c>
      <c r="I126" s="839"/>
    </row>
    <row r="127" spans="1:9" s="820" customFormat="1" ht="12.75" x14ac:dyDescent="0.2">
      <c r="A127" s="817">
        <v>7</v>
      </c>
      <c r="B127" s="818" t="s">
        <v>1386</v>
      </c>
      <c r="C127" s="818"/>
      <c r="D127" s="819"/>
      <c r="E127" s="819"/>
      <c r="F127" s="819">
        <f>F126*0.01</f>
        <v>30.788325711000006</v>
      </c>
      <c r="I127" s="841"/>
    </row>
    <row r="128" spans="1:9" s="820" customFormat="1" ht="12.75" x14ac:dyDescent="0.2">
      <c r="A128" s="814"/>
      <c r="B128" s="818"/>
      <c r="C128" s="818"/>
      <c r="D128" s="821"/>
      <c r="E128" s="821"/>
      <c r="F128" s="821">
        <f>F127+F126</f>
        <v>3109.6208968110009</v>
      </c>
      <c r="I128" s="841"/>
    </row>
    <row r="129" spans="1:9" s="750" customFormat="1" ht="12.75" x14ac:dyDescent="0.2">
      <c r="A129" s="761"/>
      <c r="B129" s="827"/>
      <c r="C129" s="827"/>
      <c r="D129" s="827" t="s">
        <v>1391</v>
      </c>
      <c r="E129" s="827"/>
      <c r="F129" s="842">
        <f>F128/50</f>
        <v>62.192417936220018</v>
      </c>
      <c r="I129" s="843"/>
    </row>
    <row r="130" spans="1:9" s="750" customFormat="1" ht="15.75" customHeight="1" x14ac:dyDescent="0.2">
      <c r="D130" s="750" t="s">
        <v>1387</v>
      </c>
      <c r="F130" s="844">
        <f>ROUND(F129,0)</f>
        <v>62</v>
      </c>
      <c r="G130" s="845"/>
      <c r="H130" s="845"/>
      <c r="I130" s="845"/>
    </row>
    <row r="131" spans="1:9" s="750" customFormat="1" ht="15.75" customHeight="1" x14ac:dyDescent="0.2">
      <c r="F131" s="844"/>
      <c r="G131" s="845"/>
      <c r="H131" s="845"/>
      <c r="I131" s="845"/>
    </row>
  </sheetData>
  <sheetProtection algorithmName="SHA-512" hashValue="40wQMeBAqyXfy+o+ZQSx7OB8yFofy2GAbtATacfvWhaBICvuxMvj4SVqeLVDhGVouHkqatIQkIzPw1EWGHzd/Q==" saltValue="vtv8F51LDTNmovLT+2gHBw==" spinCount="100000" sheet="1" objects="1" scenarios="1" selectLockedCells="1" selectUnlockedCells="1"/>
  <mergeCells count="9">
    <mergeCell ref="B118:D118"/>
    <mergeCell ref="B121:D121"/>
    <mergeCell ref="B125:C125"/>
    <mergeCell ref="A1:G1"/>
    <mergeCell ref="B102:C102"/>
    <mergeCell ref="B103:D103"/>
    <mergeCell ref="B109:C109"/>
    <mergeCell ref="B116:D116"/>
    <mergeCell ref="B117:D117"/>
  </mergeCells>
  <hyperlinks>
    <hyperlink ref="F99" r:id="rId1" xr:uid="{A6B2D608-47EE-42B6-9181-AB7ABC655372}"/>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27765-EED0-4729-A9E9-6E5A21ADE80A}">
  <sheetPr codeName="Sheet4"/>
  <dimension ref="B2:I18"/>
  <sheetViews>
    <sheetView showGridLines="0" zoomScaleNormal="100" workbookViewId="0">
      <selection activeCell="G16" sqref="G16"/>
    </sheetView>
  </sheetViews>
  <sheetFormatPr defaultRowHeight="15" x14ac:dyDescent="0.25"/>
  <cols>
    <col min="2" max="2" width="8" customWidth="1"/>
    <col min="3" max="3" width="51.28515625" customWidth="1"/>
    <col min="4" max="4" width="6.140625" customWidth="1"/>
    <col min="5" max="5" width="12.28515625" customWidth="1"/>
    <col min="6" max="6" width="11.42578125" customWidth="1"/>
    <col min="7" max="7" width="13.7109375" customWidth="1"/>
    <col min="8" max="8" width="16.85546875" customWidth="1"/>
    <col min="9" max="9" width="16.140625" bestFit="1" customWidth="1"/>
    <col min="10" max="10" width="10.85546875" customWidth="1"/>
    <col min="11" max="11" width="20.85546875" customWidth="1"/>
  </cols>
  <sheetData>
    <row r="2" spans="2:9" ht="23.25" x14ac:dyDescent="0.35">
      <c r="B2" s="972" t="s">
        <v>22</v>
      </c>
      <c r="C2" s="972"/>
      <c r="D2" s="972"/>
      <c r="E2" s="972"/>
      <c r="F2" s="972"/>
      <c r="G2" s="972"/>
      <c r="H2" s="467"/>
      <c r="I2" s="467"/>
    </row>
    <row r="3" spans="2:9" ht="15.75" x14ac:dyDescent="0.25">
      <c r="B3" s="973" t="s">
        <v>748</v>
      </c>
      <c r="C3" s="973"/>
      <c r="D3" s="973"/>
      <c r="E3" s="973"/>
      <c r="F3" s="973"/>
      <c r="G3" s="973"/>
      <c r="H3" s="467"/>
      <c r="I3" s="467"/>
    </row>
    <row r="4" spans="2:9" ht="22.5" x14ac:dyDescent="0.25">
      <c r="B4" s="974" t="s">
        <v>749</v>
      </c>
      <c r="C4" s="974"/>
      <c r="D4" s="974"/>
      <c r="E4" s="974"/>
      <c r="F4" s="974"/>
      <c r="G4" s="974"/>
      <c r="H4" s="467"/>
      <c r="I4" s="467"/>
    </row>
    <row r="5" spans="2:9" ht="37.5" customHeight="1" x14ac:dyDescent="0.25">
      <c r="B5" s="975" t="s">
        <v>1392</v>
      </c>
      <c r="C5" s="975"/>
      <c r="D5" s="975"/>
      <c r="E5" s="975"/>
      <c r="F5" s="975"/>
      <c r="G5" s="975"/>
      <c r="H5" s="467"/>
      <c r="I5" s="467"/>
    </row>
    <row r="6" spans="2:9" x14ac:dyDescent="0.25">
      <c r="B6" s="971" t="s">
        <v>60</v>
      </c>
      <c r="C6" s="971" t="s">
        <v>752</v>
      </c>
      <c r="D6" s="976" t="s">
        <v>107</v>
      </c>
      <c r="E6" s="971" t="s">
        <v>1393</v>
      </c>
      <c r="F6" s="971" t="s">
        <v>755</v>
      </c>
      <c r="G6" s="971" t="s">
        <v>790</v>
      </c>
      <c r="H6" s="467"/>
      <c r="I6" s="467"/>
    </row>
    <row r="7" spans="2:9" ht="24" customHeight="1" x14ac:dyDescent="0.25">
      <c r="B7" s="971"/>
      <c r="C7" s="971"/>
      <c r="D7" s="976"/>
      <c r="E7" s="971"/>
      <c r="F7" s="971"/>
      <c r="G7" s="971"/>
      <c r="H7" s="467"/>
      <c r="I7" s="467"/>
    </row>
    <row r="8" spans="2:9" x14ac:dyDescent="0.25">
      <c r="B8" s="846">
        <v>1</v>
      </c>
      <c r="C8" s="847">
        <v>3</v>
      </c>
      <c r="D8" s="847">
        <v>4</v>
      </c>
      <c r="E8" s="847">
        <v>5</v>
      </c>
      <c r="F8" s="847">
        <v>7</v>
      </c>
      <c r="G8" s="847" t="s">
        <v>758</v>
      </c>
      <c r="H8" s="467"/>
      <c r="I8" s="467"/>
    </row>
    <row r="9" spans="2:9" ht="27.75" customHeight="1" x14ac:dyDescent="0.25">
      <c r="B9" s="470">
        <v>1</v>
      </c>
      <c r="C9" s="472" t="s">
        <v>1394</v>
      </c>
      <c r="D9" s="473" t="s">
        <v>212</v>
      </c>
      <c r="E9" s="474">
        <f>173399*1.2</f>
        <v>208078.8</v>
      </c>
      <c r="F9" s="474">
        <v>4</v>
      </c>
      <c r="G9" s="474">
        <f>E9*F9</f>
        <v>832315.2</v>
      </c>
      <c r="H9" s="467"/>
      <c r="I9" s="467"/>
    </row>
    <row r="10" spans="2:9" ht="30.75" customHeight="1" x14ac:dyDescent="0.25">
      <c r="B10" s="470">
        <v>2</v>
      </c>
      <c r="C10" s="472" t="s">
        <v>1395</v>
      </c>
      <c r="D10" s="473" t="s">
        <v>212</v>
      </c>
      <c r="E10" s="474">
        <f>173399*1.2</f>
        <v>208078.8</v>
      </c>
      <c r="F10" s="474">
        <v>8</v>
      </c>
      <c r="G10" s="474">
        <f t="shared" ref="G10:G13" si="0">E10*F10</f>
        <v>1664630.4</v>
      </c>
      <c r="H10" s="467"/>
      <c r="I10" s="467"/>
    </row>
    <row r="11" spans="2:9" ht="25.5" x14ac:dyDescent="0.25">
      <c r="B11" s="470">
        <v>3</v>
      </c>
      <c r="C11" s="472" t="s">
        <v>1396</v>
      </c>
      <c r="D11" s="473" t="s">
        <v>212</v>
      </c>
      <c r="E11" s="848">
        <f>194384*1.2</f>
        <v>233260.79999999999</v>
      </c>
      <c r="F11" s="474">
        <v>6</v>
      </c>
      <c r="G11" s="474">
        <f t="shared" si="0"/>
        <v>1399564.7999999998</v>
      </c>
      <c r="H11" s="467"/>
      <c r="I11" s="467"/>
    </row>
    <row r="12" spans="2:9" ht="25.5" x14ac:dyDescent="0.25">
      <c r="B12" s="470">
        <v>4</v>
      </c>
      <c r="C12" s="472" t="s">
        <v>1397</v>
      </c>
      <c r="D12" s="473" t="s">
        <v>212</v>
      </c>
      <c r="E12" s="474">
        <f>205082*1.2</f>
        <v>246098.4</v>
      </c>
      <c r="F12" s="474">
        <v>2</v>
      </c>
      <c r="G12" s="474">
        <f t="shared" si="0"/>
        <v>492196.8</v>
      </c>
      <c r="H12" s="467"/>
      <c r="I12" s="467"/>
    </row>
    <row r="13" spans="2:9" ht="25.5" x14ac:dyDescent="0.25">
      <c r="B13" s="470">
        <v>5</v>
      </c>
      <c r="C13" s="472" t="s">
        <v>1398</v>
      </c>
      <c r="D13" s="473" t="s">
        <v>212</v>
      </c>
      <c r="E13" s="474">
        <f>232390*1.2</f>
        <v>278868</v>
      </c>
      <c r="F13" s="474">
        <v>1</v>
      </c>
      <c r="G13" s="474">
        <f t="shared" si="0"/>
        <v>278868</v>
      </c>
      <c r="H13" s="467"/>
      <c r="I13" s="467"/>
    </row>
    <row r="14" spans="2:9" ht="22.5" customHeight="1" x14ac:dyDescent="0.25">
      <c r="B14" s="480"/>
      <c r="C14" s="482"/>
      <c r="D14" s="483"/>
      <c r="E14" s="484"/>
      <c r="F14" s="485" t="s">
        <v>775</v>
      </c>
      <c r="G14" s="486">
        <f xml:space="preserve"> SUM(G9:G13)</f>
        <v>4667575.1999999993</v>
      </c>
      <c r="H14" s="467"/>
      <c r="I14" s="467"/>
    </row>
    <row r="15" spans="2:9" x14ac:dyDescent="0.25">
      <c r="B15" s="487"/>
      <c r="C15" s="489"/>
      <c r="D15" s="490"/>
      <c r="E15" s="491"/>
      <c r="F15" s="492" t="s">
        <v>776</v>
      </c>
      <c r="G15" s="493">
        <f xml:space="preserve"> ROUND(G14, 0)</f>
        <v>4667575</v>
      </c>
      <c r="H15" s="467"/>
      <c r="I15" s="467"/>
    </row>
    <row r="16" spans="2:9" x14ac:dyDescent="0.25">
      <c r="B16" s="1022" t="s">
        <v>1399</v>
      </c>
      <c r="C16" s="1023"/>
      <c r="D16" s="1023"/>
      <c r="E16" s="1023"/>
      <c r="F16" s="1024"/>
      <c r="G16" s="493">
        <f>G15*1.15</f>
        <v>5367711.25</v>
      </c>
      <c r="H16" s="467"/>
      <c r="I16" s="467"/>
    </row>
    <row r="17" spans="2:9" x14ac:dyDescent="0.25">
      <c r="B17" s="487"/>
      <c r="C17" s="496"/>
      <c r="D17" s="497"/>
      <c r="E17" s="498"/>
      <c r="F17" s="499" t="s">
        <v>777</v>
      </c>
      <c r="G17" s="500"/>
      <c r="H17" s="467"/>
      <c r="I17" s="467"/>
    </row>
    <row r="18" spans="2:9" x14ac:dyDescent="0.25">
      <c r="B18" s="467"/>
      <c r="C18" s="467"/>
      <c r="D18" s="467"/>
      <c r="E18" s="467"/>
      <c r="F18" s="467"/>
      <c r="G18" s="467"/>
      <c r="H18" s="467"/>
      <c r="I18" s="467"/>
    </row>
  </sheetData>
  <sheetProtection algorithmName="SHA-512" hashValue="mulKnYTLjg5PolabsT4QS5U2q8K66f0p26MK3oKJdCuvngmkD++jurmTfZ7FEtoXjI9F+7TnLugUZ2T/bLjRHg==" saltValue="1YEUG5/mU/dXne29RrTVhA==" spinCount="100000" sheet="1" objects="1" scenarios="1" selectLockedCells="1" selectUnlockedCells="1"/>
  <mergeCells count="11">
    <mergeCell ref="B16:F16"/>
    <mergeCell ref="B2:G2"/>
    <mergeCell ref="B3:G3"/>
    <mergeCell ref="B4:G4"/>
    <mergeCell ref="B5:G5"/>
    <mergeCell ref="B6:B7"/>
    <mergeCell ref="C6:C7"/>
    <mergeCell ref="D6:D7"/>
    <mergeCell ref="E6:E7"/>
    <mergeCell ref="F6:F7"/>
    <mergeCell ref="G6:G7"/>
  </mergeCells>
  <pageMargins left="0.70866141732283472" right="0.23622047244094491" top="0.47244094488188981" bottom="0.43307086614173229" header="0.27559055118110237" footer="0.19685039370078741"/>
  <pageSetup scale="65" orientation="portrait" r:id="rId1"/>
  <headerFooter>
    <oddFooter>Page &amp;P of &amp;N</oddFooter>
  </headerFooter>
  <drawing r:id="rId2"/>
  <legacyDrawing r:id="rId3"/>
  <controls>
    <mc:AlternateContent xmlns:mc="http://schemas.openxmlformats.org/markup-compatibility/2006">
      <mc:Choice Requires="x14">
        <control shapeId="25601" r:id="rId4" name="Control 1">
          <controlPr defaultSize="0" r:id="rId5">
            <anchor moveWithCells="1">
              <from>
                <xdr:col>1</xdr:col>
                <xdr:colOff>19050</xdr:colOff>
                <xdr:row>0</xdr:row>
                <xdr:rowOff>0</xdr:rowOff>
              </from>
              <to>
                <xdr:col>2</xdr:col>
                <xdr:colOff>400050</xdr:colOff>
                <xdr:row>1</xdr:row>
                <xdr:rowOff>38100</xdr:rowOff>
              </to>
            </anchor>
          </controlPr>
        </control>
      </mc:Choice>
      <mc:Fallback>
        <control shapeId="25601" r:id="rId4" name="Control 1"/>
      </mc:Fallback>
    </mc:AlternateContent>
  </control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DA29D-8E2A-4E11-95B0-4D7ED4E72F10}">
  <sheetPr codeName="Sheet5"/>
  <dimension ref="B2:K15"/>
  <sheetViews>
    <sheetView showGridLines="0" zoomScaleNormal="100" workbookViewId="0">
      <selection activeCell="M21" sqref="M21"/>
    </sheetView>
  </sheetViews>
  <sheetFormatPr defaultRowHeight="15" x14ac:dyDescent="0.25"/>
  <cols>
    <col min="2" max="2" width="8" customWidth="1"/>
    <col min="3" max="3" width="51.28515625" customWidth="1"/>
    <col min="4" max="4" width="6.140625" customWidth="1"/>
    <col min="5" max="6" width="12.28515625" customWidth="1"/>
    <col min="7" max="7" width="14" customWidth="1"/>
    <col min="8" max="8" width="11.42578125" customWidth="1"/>
    <col min="9" max="9" width="13.7109375" customWidth="1"/>
    <col min="10" max="10" width="16.85546875" customWidth="1"/>
    <col min="11" max="11" width="16.140625" bestFit="1" customWidth="1"/>
    <col min="12" max="12" width="10.85546875" customWidth="1"/>
    <col min="13" max="13" width="20.85546875" customWidth="1"/>
  </cols>
  <sheetData>
    <row r="2" spans="2:11" ht="23.25" x14ac:dyDescent="0.35">
      <c r="B2" s="972" t="s">
        <v>22</v>
      </c>
      <c r="C2" s="972"/>
      <c r="D2" s="972"/>
      <c r="E2" s="972"/>
      <c r="F2" s="972"/>
      <c r="G2" s="972"/>
      <c r="H2" s="972"/>
      <c r="I2" s="972"/>
      <c r="J2" s="467"/>
      <c r="K2" s="467"/>
    </row>
    <row r="3" spans="2:11" ht="15.75" x14ac:dyDescent="0.25">
      <c r="B3" s="973" t="s">
        <v>748</v>
      </c>
      <c r="C3" s="973"/>
      <c r="D3" s="973"/>
      <c r="E3" s="973"/>
      <c r="F3" s="973"/>
      <c r="G3" s="973"/>
      <c r="H3" s="973"/>
      <c r="I3" s="973"/>
      <c r="J3" s="467"/>
      <c r="K3" s="467"/>
    </row>
    <row r="4" spans="2:11" ht="22.5" x14ac:dyDescent="0.25">
      <c r="B4" s="974" t="s">
        <v>749</v>
      </c>
      <c r="C4" s="974"/>
      <c r="D4" s="974"/>
      <c r="E4" s="974"/>
      <c r="F4" s="974"/>
      <c r="G4" s="974"/>
      <c r="H4" s="974"/>
      <c r="I4" s="974"/>
      <c r="J4" s="467"/>
      <c r="K4" s="467"/>
    </row>
    <row r="5" spans="2:11" ht="37.5" customHeight="1" x14ac:dyDescent="0.25">
      <c r="B5" s="975" t="s">
        <v>1400</v>
      </c>
      <c r="C5" s="975"/>
      <c r="D5" s="975"/>
      <c r="E5" s="975"/>
      <c r="F5" s="975"/>
      <c r="G5" s="975"/>
      <c r="H5" s="975"/>
      <c r="I5" s="975"/>
      <c r="J5" s="467"/>
      <c r="K5" s="467"/>
    </row>
    <row r="6" spans="2:11" x14ac:dyDescent="0.25">
      <c r="B6" s="971" t="s">
        <v>60</v>
      </c>
      <c r="C6" s="971" t="s">
        <v>752</v>
      </c>
      <c r="D6" s="976" t="s">
        <v>107</v>
      </c>
      <c r="E6" s="971" t="s">
        <v>1401</v>
      </c>
      <c r="F6" s="1025" t="s">
        <v>1402</v>
      </c>
      <c r="G6" s="1025" t="s">
        <v>1403</v>
      </c>
      <c r="H6" s="971" t="s">
        <v>755</v>
      </c>
      <c r="I6" s="971" t="s">
        <v>790</v>
      </c>
      <c r="J6" s="467"/>
      <c r="K6" s="467"/>
    </row>
    <row r="7" spans="2:11" ht="45.75" customHeight="1" x14ac:dyDescent="0.25">
      <c r="B7" s="971"/>
      <c r="C7" s="971"/>
      <c r="D7" s="976"/>
      <c r="E7" s="971"/>
      <c r="F7" s="977"/>
      <c r="G7" s="977"/>
      <c r="H7" s="971"/>
      <c r="I7" s="971"/>
      <c r="J7" s="467"/>
      <c r="K7" s="467"/>
    </row>
    <row r="8" spans="2:11" x14ac:dyDescent="0.25">
      <c r="B8" s="846">
        <v>1</v>
      </c>
      <c r="C8" s="847">
        <v>3</v>
      </c>
      <c r="D8" s="847">
        <v>4</v>
      </c>
      <c r="E8" s="847">
        <v>6</v>
      </c>
      <c r="F8" s="847"/>
      <c r="G8" s="847"/>
      <c r="H8" s="847">
        <v>7</v>
      </c>
      <c r="I8" s="847" t="s">
        <v>758</v>
      </c>
      <c r="J8" s="467"/>
      <c r="K8" s="467"/>
    </row>
    <row r="9" spans="2:11" ht="61.5" customHeight="1" x14ac:dyDescent="0.25">
      <c r="B9" s="470">
        <v>1</v>
      </c>
      <c r="C9" s="472" t="s">
        <v>1404</v>
      </c>
      <c r="D9" s="473" t="s">
        <v>1405</v>
      </c>
      <c r="E9" s="474">
        <v>121079</v>
      </c>
      <c r="F9" s="474">
        <f>E9*(100/118)</f>
        <v>102609.32203389829</v>
      </c>
      <c r="G9" s="474">
        <f>F9*1.2</f>
        <v>123131.18644067795</v>
      </c>
      <c r="H9" s="474">
        <v>22</v>
      </c>
      <c r="I9" s="474">
        <f>H9*G9</f>
        <v>2708886.101694915</v>
      </c>
      <c r="J9" s="467"/>
      <c r="K9" s="467"/>
    </row>
    <row r="10" spans="2:11" ht="61.5" customHeight="1" x14ac:dyDescent="0.25">
      <c r="B10" s="470">
        <v>2</v>
      </c>
      <c r="C10" s="472" t="s">
        <v>1406</v>
      </c>
      <c r="D10" s="473" t="s">
        <v>1405</v>
      </c>
      <c r="E10" s="474">
        <v>115580</v>
      </c>
      <c r="F10" s="474">
        <f>E10*(100/118)</f>
        <v>97949.152542372874</v>
      </c>
      <c r="G10" s="474">
        <f>F10*1.2</f>
        <v>117538.98305084744</v>
      </c>
      <c r="H10" s="474">
        <v>24</v>
      </c>
      <c r="I10" s="474">
        <f>H10*G10</f>
        <v>2820935.5932203387</v>
      </c>
      <c r="J10" s="467"/>
      <c r="K10" s="467"/>
    </row>
    <row r="11" spans="2:11" ht="22.5" customHeight="1" x14ac:dyDescent="0.25">
      <c r="B11" s="480"/>
      <c r="C11" s="482"/>
      <c r="D11" s="483"/>
      <c r="E11" s="484"/>
      <c r="F11" s="484"/>
      <c r="G11" s="484"/>
      <c r="H11" s="485" t="s">
        <v>775</v>
      </c>
      <c r="I11" s="486">
        <f xml:space="preserve"> SUM(I9:I10)</f>
        <v>5529821.6949152537</v>
      </c>
      <c r="J11" s="467"/>
      <c r="K11" s="467"/>
    </row>
    <row r="12" spans="2:11" x14ac:dyDescent="0.25">
      <c r="B12" s="487"/>
      <c r="C12" s="489"/>
      <c r="D12" s="490"/>
      <c r="E12" s="491"/>
      <c r="F12" s="491"/>
      <c r="G12" s="491"/>
      <c r="H12" s="492" t="s">
        <v>776</v>
      </c>
      <c r="I12" s="493">
        <f xml:space="preserve"> ROUND(I11, 0)</f>
        <v>5529822</v>
      </c>
      <c r="J12" s="467"/>
      <c r="K12" s="467"/>
    </row>
    <row r="13" spans="2:11" x14ac:dyDescent="0.25">
      <c r="B13" s="487"/>
      <c r="C13" s="496"/>
      <c r="D13" s="497"/>
      <c r="E13" s="498"/>
      <c r="F13" s="498"/>
      <c r="G13" s="498"/>
      <c r="H13" s="499" t="s">
        <v>777</v>
      </c>
      <c r="I13" s="500"/>
      <c r="J13" s="467"/>
      <c r="K13" s="467"/>
    </row>
    <row r="14" spans="2:11" x14ac:dyDescent="0.25">
      <c r="B14" s="467"/>
      <c r="C14" s="467" t="s">
        <v>1407</v>
      </c>
      <c r="D14" s="467"/>
      <c r="E14" s="467"/>
      <c r="F14" s="467"/>
      <c r="G14" s="467"/>
      <c r="H14" s="467"/>
      <c r="I14" s="849">
        <f>I12*15%</f>
        <v>829473.29999999993</v>
      </c>
      <c r="J14" s="467"/>
      <c r="K14" s="467"/>
    </row>
    <row r="15" spans="2:11" x14ac:dyDescent="0.25">
      <c r="C15" t="s">
        <v>1408</v>
      </c>
      <c r="I15" s="850">
        <f>SUM(I12:I14)</f>
        <v>6359295.2999999998</v>
      </c>
    </row>
  </sheetData>
  <sheetProtection algorithmName="SHA-512" hashValue="++PMA8S+0JUDT/CrVemjhJVyaCIoto7ZW3NJh2Zp6CQi2k2dYcbGZrN68CG1alW1vhmrwRbOzAJqgS70s69U5Q==" saltValue="hIEX/8pyNu5gPqPLnoAf2g==" spinCount="100000" sheet="1" objects="1" scenarios="1" selectLockedCells="1" selectUnlockedCells="1"/>
  <mergeCells count="12">
    <mergeCell ref="H6:H7"/>
    <mergeCell ref="I6:I7"/>
    <mergeCell ref="B2:I2"/>
    <mergeCell ref="B3:I3"/>
    <mergeCell ref="B4:I4"/>
    <mergeCell ref="B5:I5"/>
    <mergeCell ref="B6:B7"/>
    <mergeCell ref="C6:C7"/>
    <mergeCell ref="D6:D7"/>
    <mergeCell ref="E6:E7"/>
    <mergeCell ref="F6:F7"/>
    <mergeCell ref="G6:G7"/>
  </mergeCells>
  <pageMargins left="0.70866141732283472" right="0.23622047244094491" top="0.47244094488188981" bottom="0.43307086614173229" header="0.27559055118110237" footer="0.19685039370078741"/>
  <pageSetup scale="65" orientation="portrait" r:id="rId1"/>
  <headerFooter>
    <oddFooter>Page &amp;P of &amp;N</oddFooter>
  </headerFooter>
  <drawing r:id="rId2"/>
  <legacyDrawing r:id="rId3"/>
  <controls>
    <mc:AlternateContent xmlns:mc="http://schemas.openxmlformats.org/markup-compatibility/2006">
      <mc:Choice Requires="x14">
        <control shapeId="26625" r:id="rId4" name="Control 1">
          <controlPr defaultSize="0" r:id="rId5">
            <anchor moveWithCells="1">
              <from>
                <xdr:col>1</xdr:col>
                <xdr:colOff>19050</xdr:colOff>
                <xdr:row>0</xdr:row>
                <xdr:rowOff>0</xdr:rowOff>
              </from>
              <to>
                <xdr:col>2</xdr:col>
                <xdr:colOff>400050</xdr:colOff>
                <xdr:row>1</xdr:row>
                <xdr:rowOff>38100</xdr:rowOff>
              </to>
            </anchor>
          </controlPr>
        </control>
      </mc:Choice>
      <mc:Fallback>
        <control shapeId="26625" r:id="rId4" name="Control 1"/>
      </mc:Fallback>
    </mc:AlternateContent>
  </control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41F84-B319-4605-81CB-88E6FA774DB8}">
  <sheetPr codeName="Sheet7"/>
  <dimension ref="B2:P18"/>
  <sheetViews>
    <sheetView showGridLines="0" view="pageBreakPreview" zoomScale="90" zoomScaleNormal="90" zoomScaleSheetLayoutView="90" workbookViewId="0">
      <pane ySplit="4" topLeftCell="A8" activePane="bottomLeft" state="frozen"/>
      <selection pane="bottomLeft" activeCell="I21" sqref="I21"/>
    </sheetView>
  </sheetViews>
  <sheetFormatPr defaultRowHeight="12.75" x14ac:dyDescent="0.2"/>
  <cols>
    <col min="1" max="1" width="9.140625" style="90"/>
    <col min="2" max="2" width="5.28515625" style="90" customWidth="1"/>
    <col min="3" max="3" width="12.28515625" style="90" customWidth="1"/>
    <col min="4" max="4" width="59.5703125" style="90" customWidth="1"/>
    <col min="5" max="5" width="5.85546875" style="90" bestFit="1" customWidth="1"/>
    <col min="6" max="6" width="11.42578125" style="90" hidden="1" customWidth="1"/>
    <col min="7" max="8" width="14" style="90" customWidth="1"/>
    <col min="9" max="9" width="10.42578125" style="90" customWidth="1"/>
    <col min="10" max="10" width="14.42578125" style="90" customWidth="1"/>
    <col min="11" max="11" width="9.140625" style="90"/>
    <col min="12" max="12" width="15.28515625" style="90" bestFit="1" customWidth="1"/>
    <col min="13" max="13" width="14.7109375" style="90" customWidth="1"/>
    <col min="14" max="15" width="9.140625" style="90"/>
    <col min="16" max="16" width="13.28515625" style="90" bestFit="1" customWidth="1"/>
    <col min="17" max="16384" width="9.140625" style="90"/>
  </cols>
  <sheetData>
    <row r="2" spans="2:13" ht="20.25" customHeight="1" x14ac:dyDescent="0.2">
      <c r="B2" s="1026" t="s">
        <v>22</v>
      </c>
      <c r="C2" s="1026"/>
      <c r="D2" s="1026"/>
      <c r="E2" s="851"/>
      <c r="F2" s="851"/>
      <c r="G2" s="851"/>
      <c r="H2" s="851"/>
      <c r="I2" s="851"/>
      <c r="J2" s="851"/>
    </row>
    <row r="3" spans="2:13" ht="36.75" customHeight="1" x14ac:dyDescent="0.2">
      <c r="B3" s="1027" t="s">
        <v>1409</v>
      </c>
      <c r="C3" s="1027"/>
      <c r="D3" s="1027"/>
      <c r="E3" s="852"/>
      <c r="F3" s="852"/>
      <c r="G3" s="852"/>
      <c r="H3" s="852"/>
      <c r="I3" s="852"/>
      <c r="J3" s="852"/>
    </row>
    <row r="4" spans="2:13" ht="45" x14ac:dyDescent="0.2">
      <c r="B4" s="853" t="s">
        <v>60</v>
      </c>
      <c r="C4" s="854" t="s">
        <v>1410</v>
      </c>
      <c r="D4" s="854" t="s">
        <v>752</v>
      </c>
      <c r="E4" s="854" t="s">
        <v>107</v>
      </c>
      <c r="F4" s="854" t="s">
        <v>1411</v>
      </c>
      <c r="G4" s="854" t="s">
        <v>1412</v>
      </c>
      <c r="H4" s="854" t="s">
        <v>1413</v>
      </c>
      <c r="I4" s="855" t="s">
        <v>755</v>
      </c>
      <c r="J4" s="856" t="s">
        <v>756</v>
      </c>
      <c r="K4" s="1028"/>
      <c r="L4" s="1029"/>
      <c r="M4" s="857"/>
    </row>
    <row r="5" spans="2:13" ht="75" x14ac:dyDescent="0.2">
      <c r="B5" s="858">
        <v>1</v>
      </c>
      <c r="C5" s="859" t="s">
        <v>762</v>
      </c>
      <c r="D5" s="858" t="s">
        <v>1414</v>
      </c>
      <c r="E5" s="858" t="s">
        <v>212</v>
      </c>
      <c r="F5" s="860">
        <v>155.6</v>
      </c>
      <c r="G5" s="860">
        <v>169.25</v>
      </c>
      <c r="H5" s="860">
        <f>G5*1.15</f>
        <v>194.63749999999999</v>
      </c>
      <c r="I5" s="861">
        <v>500</v>
      </c>
      <c r="J5" s="862">
        <f t="shared" ref="J5:J7" si="0" xml:space="preserve"> G5* I5</f>
        <v>84625</v>
      </c>
      <c r="K5" s="301"/>
      <c r="L5" s="188"/>
      <c r="M5" s="301"/>
    </row>
    <row r="6" spans="2:13" ht="30" customHeight="1" x14ac:dyDescent="0.2">
      <c r="B6" s="858">
        <v>2</v>
      </c>
      <c r="C6" s="859">
        <v>2.27</v>
      </c>
      <c r="D6" s="858" t="s">
        <v>1415</v>
      </c>
      <c r="E6" s="858" t="s">
        <v>212</v>
      </c>
      <c r="F6" s="858">
        <v>1006.25</v>
      </c>
      <c r="G6" s="860">
        <v>1768.55</v>
      </c>
      <c r="H6" s="860">
        <f t="shared" ref="H6:H16" si="1">G6*1.15</f>
        <v>2033.8324999999998</v>
      </c>
      <c r="I6" s="861">
        <v>50</v>
      </c>
      <c r="J6" s="862">
        <f t="shared" si="0"/>
        <v>88427.5</v>
      </c>
      <c r="K6" s="601"/>
      <c r="L6" s="236"/>
      <c r="M6" s="227"/>
    </row>
    <row r="7" spans="2:13" ht="53.25" customHeight="1" x14ac:dyDescent="0.2">
      <c r="B7" s="858">
        <v>3</v>
      </c>
      <c r="C7" s="859">
        <v>2.2000000000000002</v>
      </c>
      <c r="D7" s="858" t="s">
        <v>1416</v>
      </c>
      <c r="E7" s="858" t="s">
        <v>212</v>
      </c>
      <c r="F7" s="860">
        <v>469.5</v>
      </c>
      <c r="G7" s="860">
        <v>515.6</v>
      </c>
      <c r="H7" s="860">
        <f t="shared" si="1"/>
        <v>592.93999999999994</v>
      </c>
      <c r="I7" s="861">
        <v>500</v>
      </c>
      <c r="J7" s="862">
        <f t="shared" si="0"/>
        <v>257800</v>
      </c>
      <c r="K7" s="601"/>
      <c r="L7" s="236"/>
      <c r="M7" s="227"/>
    </row>
    <row r="8" spans="2:13" ht="67.5" customHeight="1" x14ac:dyDescent="0.2">
      <c r="B8" s="858">
        <v>4</v>
      </c>
      <c r="C8" s="859">
        <v>2.4</v>
      </c>
      <c r="D8" s="858" t="s">
        <v>1417</v>
      </c>
      <c r="E8" s="858" t="s">
        <v>212</v>
      </c>
      <c r="F8" s="860">
        <v>229.95</v>
      </c>
      <c r="G8" s="860">
        <v>254.15</v>
      </c>
      <c r="H8" s="860">
        <f t="shared" si="1"/>
        <v>292.27249999999998</v>
      </c>
      <c r="I8" s="861">
        <v>75</v>
      </c>
      <c r="J8" s="862">
        <f>I8*H8</f>
        <v>21920.4375</v>
      </c>
      <c r="K8" s="601"/>
      <c r="L8" s="236"/>
      <c r="M8" s="227"/>
    </row>
    <row r="9" spans="2:13" s="863" customFormat="1" ht="30" x14ac:dyDescent="0.2">
      <c r="B9" s="858">
        <v>5</v>
      </c>
      <c r="C9" s="859">
        <v>2.9</v>
      </c>
      <c r="D9" s="858" t="s">
        <v>1418</v>
      </c>
      <c r="E9" s="858" t="s">
        <v>212</v>
      </c>
      <c r="F9" s="860">
        <v>32.1</v>
      </c>
      <c r="G9" s="860">
        <v>36.549999999999997</v>
      </c>
      <c r="H9" s="860">
        <f t="shared" si="1"/>
        <v>42.032499999999992</v>
      </c>
      <c r="I9" s="861">
        <v>2000</v>
      </c>
      <c r="J9" s="862">
        <f t="shared" ref="J9:J16" si="2">I9*H9</f>
        <v>84064.999999999985</v>
      </c>
      <c r="K9" s="601"/>
      <c r="L9" s="236"/>
      <c r="M9" s="227"/>
    </row>
    <row r="10" spans="2:13" ht="26.25" customHeight="1" x14ac:dyDescent="0.2">
      <c r="B10" s="858">
        <v>6</v>
      </c>
      <c r="C10" s="859">
        <v>2.7</v>
      </c>
      <c r="D10" s="858" t="s">
        <v>1419</v>
      </c>
      <c r="E10" s="858" t="s">
        <v>278</v>
      </c>
      <c r="F10" s="860">
        <v>3.25</v>
      </c>
      <c r="G10" s="860">
        <v>3.7</v>
      </c>
      <c r="H10" s="860">
        <f t="shared" si="1"/>
        <v>4.2549999999999999</v>
      </c>
      <c r="I10" s="861">
        <v>1500</v>
      </c>
      <c r="J10" s="862">
        <f t="shared" si="2"/>
        <v>6382.5</v>
      </c>
      <c r="K10" s="601"/>
      <c r="L10" s="236"/>
      <c r="M10" s="227"/>
    </row>
    <row r="11" spans="2:13" ht="34.5" customHeight="1" x14ac:dyDescent="0.2">
      <c r="B11" s="858">
        <v>7</v>
      </c>
      <c r="C11" s="859">
        <v>2.2400000000000002</v>
      </c>
      <c r="D11" s="858" t="s">
        <v>1420</v>
      </c>
      <c r="E11" s="858" t="s">
        <v>278</v>
      </c>
      <c r="F11" s="860">
        <v>1.9</v>
      </c>
      <c r="G11" s="860">
        <v>2.1</v>
      </c>
      <c r="H11" s="860">
        <f t="shared" si="1"/>
        <v>2.415</v>
      </c>
      <c r="I11" s="861">
        <v>1500</v>
      </c>
      <c r="J11" s="862">
        <f t="shared" si="2"/>
        <v>3622.5</v>
      </c>
      <c r="K11" s="601"/>
      <c r="L11" s="236"/>
      <c r="M11" s="227"/>
    </row>
    <row r="12" spans="2:13" ht="45" customHeight="1" x14ac:dyDescent="0.2">
      <c r="B12" s="858">
        <v>8</v>
      </c>
      <c r="C12" s="859">
        <v>2.8</v>
      </c>
      <c r="D12" s="858" t="s">
        <v>1421</v>
      </c>
      <c r="E12" s="858" t="s">
        <v>212</v>
      </c>
      <c r="F12" s="860">
        <v>46.15</v>
      </c>
      <c r="G12" s="860">
        <v>52.35</v>
      </c>
      <c r="H12" s="860">
        <f t="shared" si="1"/>
        <v>60.202499999999993</v>
      </c>
      <c r="I12" s="861">
        <v>500</v>
      </c>
      <c r="J12" s="862">
        <f t="shared" si="2"/>
        <v>30101.249999999996</v>
      </c>
      <c r="K12" s="301"/>
      <c r="L12" s="188"/>
      <c r="M12" s="301"/>
    </row>
    <row r="13" spans="2:13" ht="90" x14ac:dyDescent="0.2">
      <c r="B13" s="858">
        <v>9</v>
      </c>
      <c r="C13" s="859">
        <v>2.34</v>
      </c>
      <c r="D13" s="858" t="s">
        <v>1422</v>
      </c>
      <c r="E13" s="858" t="s">
        <v>278</v>
      </c>
      <c r="F13" s="860">
        <v>84.35</v>
      </c>
      <c r="G13" s="860">
        <v>87.5</v>
      </c>
      <c r="H13" s="860">
        <f t="shared" si="1"/>
        <v>100.62499999999999</v>
      </c>
      <c r="I13" s="860">
        <v>1500</v>
      </c>
      <c r="J13" s="862">
        <f t="shared" si="2"/>
        <v>150937.49999999997</v>
      </c>
      <c r="K13" s="601"/>
      <c r="L13" s="236"/>
      <c r="M13" s="227"/>
    </row>
    <row r="14" spans="2:13" ht="50.25" customHeight="1" x14ac:dyDescent="0.2">
      <c r="B14" s="858">
        <v>10</v>
      </c>
      <c r="C14" s="859">
        <v>10298</v>
      </c>
      <c r="D14" s="858" t="s">
        <v>1423</v>
      </c>
      <c r="E14" s="858" t="s">
        <v>948</v>
      </c>
      <c r="F14" s="860">
        <v>480</v>
      </c>
      <c r="G14" s="860">
        <v>480</v>
      </c>
      <c r="H14" s="860">
        <f t="shared" si="1"/>
        <v>552</v>
      </c>
      <c r="I14" s="860">
        <v>40</v>
      </c>
      <c r="J14" s="862">
        <f t="shared" si="2"/>
        <v>22080</v>
      </c>
      <c r="K14" s="601"/>
      <c r="L14" s="236"/>
      <c r="M14" s="227"/>
    </row>
    <row r="15" spans="2:13" ht="51.75" customHeight="1" x14ac:dyDescent="0.2">
      <c r="B15" s="858">
        <v>11</v>
      </c>
      <c r="C15" s="859">
        <v>10266</v>
      </c>
      <c r="D15" s="858" t="s">
        <v>1424</v>
      </c>
      <c r="E15" s="858" t="s">
        <v>948</v>
      </c>
      <c r="F15" s="860">
        <v>350</v>
      </c>
      <c r="G15" s="860">
        <v>350</v>
      </c>
      <c r="H15" s="860">
        <f t="shared" si="1"/>
        <v>402.49999999999994</v>
      </c>
      <c r="I15" s="860">
        <v>40</v>
      </c>
      <c r="J15" s="862">
        <f t="shared" si="2"/>
        <v>16099.999999999998</v>
      </c>
      <c r="K15" s="601"/>
      <c r="L15" s="236"/>
      <c r="M15" s="227"/>
    </row>
    <row r="16" spans="2:13" ht="38.25" customHeight="1" x14ac:dyDescent="0.2">
      <c r="B16" s="858">
        <v>12</v>
      </c>
      <c r="C16" s="859">
        <v>10295</v>
      </c>
      <c r="D16" s="858" t="s">
        <v>1425</v>
      </c>
      <c r="E16" s="858" t="s">
        <v>948</v>
      </c>
      <c r="F16" s="860">
        <v>300</v>
      </c>
      <c r="G16" s="860">
        <v>300</v>
      </c>
      <c r="H16" s="860">
        <f t="shared" si="1"/>
        <v>345</v>
      </c>
      <c r="I16" s="860">
        <v>40</v>
      </c>
      <c r="J16" s="862">
        <f t="shared" si="2"/>
        <v>13800</v>
      </c>
      <c r="K16" s="601"/>
      <c r="L16" s="236"/>
      <c r="M16" s="227"/>
    </row>
    <row r="17" spans="2:16" ht="24" customHeight="1" x14ac:dyDescent="0.25">
      <c r="B17" s="858"/>
      <c r="C17" s="858"/>
      <c r="D17" s="858"/>
      <c r="E17" s="858"/>
      <c r="F17" s="860"/>
      <c r="G17" s="860"/>
      <c r="H17" s="860"/>
      <c r="I17" s="864" t="s">
        <v>1426</v>
      </c>
      <c r="J17" s="865">
        <f xml:space="preserve"> SUM(J5:J16)</f>
        <v>779861.6875</v>
      </c>
      <c r="K17" s="236"/>
      <c r="L17" s="866"/>
      <c r="M17" s="301"/>
      <c r="P17" s="90">
        <f>127965797.62-1291443.48</f>
        <v>126674354.14</v>
      </c>
    </row>
    <row r="18" spans="2:16" ht="15" x14ac:dyDescent="0.2">
      <c r="B18" s="858"/>
      <c r="C18" s="858"/>
      <c r="D18" s="858"/>
      <c r="E18" s="858"/>
      <c r="F18" s="860"/>
      <c r="G18" s="860"/>
      <c r="H18" s="860"/>
      <c r="I18" s="864" t="s">
        <v>777</v>
      </c>
      <c r="J18" s="860"/>
      <c r="K18" s="236"/>
      <c r="L18" s="236"/>
      <c r="M18" s="236"/>
    </row>
  </sheetData>
  <sheetProtection algorithmName="SHA-512" hashValue="bBZCfLniB3ysorRGwKhPb2bjTXk+PZWUFRKR+UTWS8X33YgObkCgRhbN4pk/7KkykJ5lQjdKyGxwbr3eiXUQHw==" saltValue="8hBZ0Izo0jK49TEPHx2F9A==" spinCount="100000" sheet="1" objects="1" scenarios="1" selectLockedCells="1" selectUnlockedCells="1"/>
  <mergeCells count="3">
    <mergeCell ref="B2:D2"/>
    <mergeCell ref="B3:D3"/>
    <mergeCell ref="K4:L4"/>
  </mergeCells>
  <pageMargins left="0.5" right="0.25" top="0.82" bottom="0.39" header="0.75" footer="0.21"/>
  <pageSetup scale="62" orientation="portrait" r:id="rId1"/>
  <headerFooter>
    <oddFooter>Page &amp;P of &amp;N</oddFooter>
  </headerFooter>
  <drawing r:id="rId2"/>
  <legacyDrawing r:id="rId3"/>
  <controls>
    <mc:AlternateContent xmlns:mc="http://schemas.openxmlformats.org/markup-compatibility/2006">
      <mc:Choice Requires="x14">
        <control shapeId="27649" r:id="rId4" name="Control 1">
          <controlPr defaultSize="0" r:id="rId5">
            <anchor moveWithCells="1">
              <from>
                <xdr:col>1</xdr:col>
                <xdr:colOff>19050</xdr:colOff>
                <xdr:row>0</xdr:row>
                <xdr:rowOff>0</xdr:rowOff>
              </from>
              <to>
                <xdr:col>2</xdr:col>
                <xdr:colOff>485775</xdr:colOff>
                <xdr:row>1</xdr:row>
                <xdr:rowOff>47625</xdr:rowOff>
              </to>
            </anchor>
          </controlPr>
        </control>
      </mc:Choice>
      <mc:Fallback>
        <control shapeId="27649" r:id="rId4" name="Control 1"/>
      </mc:Fallback>
    </mc:AlternateContent>
  </control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1"/>
  <sheetViews>
    <sheetView topLeftCell="A31" workbookViewId="0">
      <selection activeCell="D48" sqref="D48:F48"/>
    </sheetView>
  </sheetViews>
  <sheetFormatPr defaultColWidth="9.140625" defaultRowHeight="15" x14ac:dyDescent="0.25"/>
  <cols>
    <col min="1" max="1" width="17.140625" style="30" customWidth="1"/>
    <col min="2" max="2" width="16.5703125" style="30" customWidth="1"/>
    <col min="3" max="3" width="13" style="30" customWidth="1"/>
    <col min="4" max="5" width="9.140625" style="30"/>
    <col min="6" max="6" width="55.28515625" style="30" customWidth="1"/>
    <col min="7" max="16384" width="9.140625" style="30"/>
  </cols>
  <sheetData>
    <row r="1" spans="1:6" ht="16.5" x14ac:dyDescent="0.25">
      <c r="A1" s="12" t="str">
        <f>Sheet1!A2</f>
        <v>RFX. No. 5002003246 NIT-435</v>
      </c>
      <c r="B1" s="12"/>
      <c r="C1" s="13"/>
      <c r="D1" s="13"/>
      <c r="E1" s="13"/>
      <c r="F1" s="14" t="s">
        <v>31</v>
      </c>
    </row>
    <row r="2" spans="1:6" ht="16.5" x14ac:dyDescent="0.25">
      <c r="A2" s="15"/>
      <c r="B2" s="15"/>
      <c r="C2" s="15"/>
      <c r="D2" s="15"/>
      <c r="E2" s="15"/>
      <c r="F2" s="15"/>
    </row>
    <row r="3" spans="1:6" x14ac:dyDescent="0.25">
      <c r="A3" s="1044" t="s">
        <v>32</v>
      </c>
      <c r="B3" s="1044"/>
      <c r="C3" s="1044"/>
      <c r="D3" s="1044"/>
      <c r="E3" s="1044"/>
      <c r="F3" s="1044"/>
    </row>
    <row r="4" spans="1:6" x14ac:dyDescent="0.25">
      <c r="A4" s="16"/>
      <c r="B4" s="16"/>
      <c r="C4" s="16"/>
      <c r="D4" s="16"/>
      <c r="E4" s="16"/>
      <c r="F4" s="16"/>
    </row>
    <row r="5" spans="1:6" ht="16.5" x14ac:dyDescent="0.25">
      <c r="A5" s="17" t="s">
        <v>33</v>
      </c>
      <c r="B5" s="17"/>
      <c r="C5" s="1045"/>
      <c r="D5" s="1046"/>
      <c r="E5" s="1046"/>
      <c r="F5" s="1046"/>
    </row>
    <row r="6" spans="1:6" ht="16.5" x14ac:dyDescent="0.25">
      <c r="A6" s="17"/>
      <c r="B6" s="1047"/>
      <c r="C6" s="1047"/>
      <c r="D6" s="15"/>
      <c r="E6" s="15"/>
      <c r="F6" s="15"/>
    </row>
    <row r="7" spans="1:6" ht="16.5" x14ac:dyDescent="0.25">
      <c r="A7" s="17"/>
      <c r="B7" s="18"/>
      <c r="C7" s="18"/>
      <c r="D7" s="15"/>
      <c r="E7" s="15"/>
      <c r="F7" s="15"/>
    </row>
    <row r="8" spans="1:6" ht="16.5" x14ac:dyDescent="0.25">
      <c r="A8" s="19" t="str">
        <f>'[8]Sch-1'!E6</f>
        <v>To:</v>
      </c>
      <c r="B8" s="20"/>
      <c r="C8" s="15"/>
      <c r="D8" s="15"/>
      <c r="E8" s="15"/>
      <c r="F8" s="21"/>
    </row>
    <row r="9" spans="1:6" ht="16.5" x14ac:dyDescent="0.25">
      <c r="A9" s="19" t="str">
        <f>'[8]Sch-1'!E7</f>
        <v>Contract Services</v>
      </c>
      <c r="B9" s="19"/>
      <c r="C9" s="15"/>
      <c r="D9" s="15"/>
      <c r="E9" s="15"/>
      <c r="F9" s="21"/>
    </row>
    <row r="10" spans="1:6" ht="16.5" x14ac:dyDescent="0.25">
      <c r="A10" s="19" t="str">
        <f>'[8]Sch-1'!E8</f>
        <v>Power Grid Corporation of India Ltd.,</v>
      </c>
      <c r="B10" s="19"/>
      <c r="C10" s="15"/>
      <c r="D10" s="15"/>
      <c r="E10" s="15"/>
      <c r="F10" s="21"/>
    </row>
    <row r="11" spans="1:6" ht="16.5" x14ac:dyDescent="0.25">
      <c r="A11" s="19" t="str">
        <f>'[8]Sch-1'!E9</f>
        <v>Eastern Region Transmission System-I</v>
      </c>
      <c r="B11" s="19"/>
      <c r="C11" s="15"/>
      <c r="D11" s="15"/>
      <c r="E11" s="15"/>
      <c r="F11" s="21"/>
    </row>
    <row r="12" spans="1:6" ht="16.5" x14ac:dyDescent="0.25">
      <c r="A12" s="19" t="str">
        <f>'[8]Sch-1'!E10</f>
        <v>Vidyut Board Colony Shastri Nagar</v>
      </c>
      <c r="B12" s="19"/>
      <c r="C12" s="15"/>
      <c r="D12" s="15"/>
      <c r="E12" s="15"/>
      <c r="F12" s="21"/>
    </row>
    <row r="13" spans="1:6" ht="16.5" x14ac:dyDescent="0.25">
      <c r="A13" s="19" t="str">
        <f>'[8]Sch-1'!E11</f>
        <v>Patna 800023</v>
      </c>
      <c r="B13" s="19"/>
      <c r="C13" s="15"/>
      <c r="D13" s="15"/>
      <c r="E13" s="15"/>
      <c r="F13" s="21"/>
    </row>
    <row r="14" spans="1:6" ht="16.5" x14ac:dyDescent="0.25">
      <c r="A14" s="17"/>
      <c r="B14" s="17"/>
      <c r="C14" s="15"/>
      <c r="D14" s="15"/>
      <c r="E14" s="15"/>
      <c r="F14" s="21"/>
    </row>
    <row r="15" spans="1:6" ht="38.25" customHeight="1" x14ac:dyDescent="0.25">
      <c r="A15" s="22" t="s">
        <v>34</v>
      </c>
      <c r="B15" s="23"/>
      <c r="C15" s="1048" t="str">
        <f>Sheet1!B3</f>
        <v>Construction of Residential Quarters at Jamshedpur and demolition of Old Quarters( Brick Masonry</v>
      </c>
      <c r="D15" s="1048"/>
      <c r="E15" s="1048"/>
      <c r="F15" s="1048"/>
    </row>
    <row r="16" spans="1:6" ht="16.5" x14ac:dyDescent="0.25">
      <c r="A16" s="15" t="s">
        <v>35</v>
      </c>
      <c r="B16" s="15"/>
      <c r="C16" s="21"/>
      <c r="D16" s="21"/>
      <c r="E16" s="21"/>
      <c r="F16" s="21"/>
    </row>
    <row r="17" spans="1:6" ht="15.75" x14ac:dyDescent="0.25">
      <c r="A17" s="23"/>
      <c r="B17" s="1033" t="str">
        <f>Z17 &amp;AB17 &amp; AC17 &amp; AA17</f>
        <v/>
      </c>
      <c r="C17" s="1033"/>
      <c r="D17" s="1033"/>
      <c r="E17" s="1033"/>
      <c r="F17" s="1033"/>
    </row>
    <row r="18" spans="1:6" ht="16.5" x14ac:dyDescent="0.25">
      <c r="A18" s="44">
        <v>1</v>
      </c>
      <c r="B18" s="1043" t="s">
        <v>36</v>
      </c>
      <c r="C18" s="1043"/>
      <c r="D18" s="1043"/>
      <c r="E18" s="1043"/>
      <c r="F18" s="1043"/>
    </row>
    <row r="19" spans="1:6" ht="16.5" x14ac:dyDescent="0.25">
      <c r="A19" s="44">
        <v>2</v>
      </c>
      <c r="B19" s="1038" t="s">
        <v>37</v>
      </c>
      <c r="C19" s="1038"/>
      <c r="D19" s="1038"/>
      <c r="E19" s="1038"/>
      <c r="F19" s="1038"/>
    </row>
    <row r="20" spans="1:6" ht="16.5" x14ac:dyDescent="0.25">
      <c r="A20" s="44">
        <v>2.1</v>
      </c>
      <c r="B20" s="1033" t="s">
        <v>38</v>
      </c>
      <c r="C20" s="1033"/>
      <c r="D20" s="1033"/>
      <c r="E20" s="1033"/>
      <c r="F20" s="1033"/>
    </row>
    <row r="21" spans="1:6" ht="16.5" x14ac:dyDescent="0.25">
      <c r="A21" s="15"/>
      <c r="B21" s="24" t="s">
        <v>55</v>
      </c>
      <c r="C21" s="22"/>
      <c r="D21" s="1039" t="s">
        <v>56</v>
      </c>
      <c r="E21" s="1040"/>
      <c r="F21" s="1040"/>
    </row>
    <row r="22" spans="1:6" ht="1.5" customHeight="1" x14ac:dyDescent="0.25">
      <c r="A22" s="15"/>
      <c r="B22" s="24"/>
      <c r="C22" s="22"/>
      <c r="D22" s="1041"/>
      <c r="E22" s="1042"/>
      <c r="F22" s="1042"/>
    </row>
    <row r="23" spans="1:6" ht="16.5" hidden="1" x14ac:dyDescent="0.25">
      <c r="A23" s="15"/>
      <c r="B23" s="24"/>
      <c r="C23" s="22"/>
      <c r="D23" s="25"/>
      <c r="E23" s="22"/>
      <c r="F23" s="26"/>
    </row>
    <row r="24" spans="1:6" ht="16.5" hidden="1" x14ac:dyDescent="0.25">
      <c r="A24" s="15"/>
      <c r="B24" s="24"/>
      <c r="C24" s="22"/>
      <c r="D24" s="25"/>
      <c r="E24" s="22"/>
      <c r="F24" s="26"/>
    </row>
    <row r="25" spans="1:6" ht="16.5" hidden="1" x14ac:dyDescent="0.25">
      <c r="A25" s="15"/>
      <c r="B25" s="24"/>
      <c r="C25" s="22"/>
      <c r="D25" s="25"/>
      <c r="E25" s="22"/>
      <c r="F25" s="26"/>
    </row>
    <row r="26" spans="1:6" ht="16.5" hidden="1" x14ac:dyDescent="0.25">
      <c r="A26" s="15"/>
      <c r="B26" s="24"/>
      <c r="C26" s="22"/>
      <c r="D26" s="25"/>
      <c r="E26" s="22"/>
      <c r="F26" s="26"/>
    </row>
    <row r="27" spans="1:6" ht="83.25" customHeight="1" x14ac:dyDescent="0.25">
      <c r="A27" s="27">
        <v>2.2000000000000002</v>
      </c>
      <c r="B27" s="1033" t="s">
        <v>57</v>
      </c>
      <c r="C27" s="1033"/>
      <c r="D27" s="1033"/>
      <c r="E27" s="1033"/>
      <c r="F27" s="1033"/>
    </row>
    <row r="28" spans="1:6" ht="63" hidden="1" customHeight="1" x14ac:dyDescent="0.25">
      <c r="A28" s="27"/>
      <c r="B28" s="1033"/>
      <c r="C28" s="1033"/>
      <c r="D28" s="1033"/>
      <c r="E28" s="1033"/>
      <c r="F28" s="1033"/>
    </row>
    <row r="29" spans="1:6" ht="118.5" customHeight="1" x14ac:dyDescent="0.25">
      <c r="A29" s="27">
        <v>2.2999999999999998</v>
      </c>
      <c r="B29" s="1033" t="s">
        <v>39</v>
      </c>
      <c r="C29" s="1033"/>
      <c r="D29" s="1033"/>
      <c r="E29" s="1033"/>
      <c r="F29" s="1033"/>
    </row>
    <row r="30" spans="1:6" ht="68.25" customHeight="1" x14ac:dyDescent="0.25">
      <c r="A30" s="27">
        <v>2.4</v>
      </c>
      <c r="B30" s="1033" t="s">
        <v>40</v>
      </c>
      <c r="C30" s="1033"/>
      <c r="D30" s="1033"/>
      <c r="E30" s="1033"/>
      <c r="F30" s="1033"/>
    </row>
    <row r="31" spans="1:6" ht="67.5" customHeight="1" x14ac:dyDescent="0.25">
      <c r="A31" s="23">
        <v>3</v>
      </c>
      <c r="B31" s="1033" t="s">
        <v>41</v>
      </c>
      <c r="C31" s="1033"/>
      <c r="D31" s="1033"/>
      <c r="E31" s="1033"/>
      <c r="F31" s="1033"/>
    </row>
    <row r="32" spans="1:6" ht="57.75" hidden="1" customHeight="1" x14ac:dyDescent="0.25">
      <c r="A32" s="27"/>
      <c r="B32" s="1033"/>
      <c r="C32" s="1033"/>
      <c r="D32" s="1033"/>
      <c r="E32" s="1033"/>
      <c r="F32" s="1033"/>
    </row>
    <row r="33" spans="1:6" ht="85.5" hidden="1" customHeight="1" x14ac:dyDescent="0.25">
      <c r="A33" s="27"/>
      <c r="B33" s="1033"/>
      <c r="C33" s="1033"/>
      <c r="D33" s="1033"/>
      <c r="E33" s="1033"/>
      <c r="F33" s="1033"/>
    </row>
    <row r="34" spans="1:6" ht="0.75" customHeight="1" x14ac:dyDescent="0.25">
      <c r="A34" s="27"/>
      <c r="B34" s="1033"/>
      <c r="C34" s="1033"/>
      <c r="D34" s="1033"/>
      <c r="E34" s="1033"/>
      <c r="F34" s="1033"/>
    </row>
    <row r="35" spans="1:6" ht="35.25" customHeight="1" x14ac:dyDescent="0.25">
      <c r="A35" s="27">
        <v>3.1</v>
      </c>
      <c r="B35" s="1033" t="s">
        <v>58</v>
      </c>
      <c r="C35" s="1033"/>
      <c r="D35" s="1033"/>
      <c r="E35" s="1033"/>
      <c r="F35" s="1033"/>
    </row>
    <row r="36" spans="1:6" ht="94.5" customHeight="1" x14ac:dyDescent="0.25">
      <c r="A36" s="23">
        <v>4</v>
      </c>
      <c r="B36" s="1033" t="s">
        <v>42</v>
      </c>
      <c r="C36" s="1033"/>
      <c r="D36" s="1033"/>
      <c r="E36" s="1033"/>
      <c r="F36" s="1033"/>
    </row>
    <row r="37" spans="1:6" ht="16.5" x14ac:dyDescent="0.25">
      <c r="A37" s="15"/>
      <c r="B37" s="28"/>
      <c r="C37" s="28"/>
      <c r="D37" s="28"/>
      <c r="E37" s="29"/>
      <c r="F37" s="29"/>
    </row>
    <row r="38" spans="1:6" ht="16.5" x14ac:dyDescent="0.25">
      <c r="A38" s="15"/>
      <c r="B38" s="28" t="s">
        <v>43</v>
      </c>
      <c r="D38" s="31"/>
      <c r="E38" s="31"/>
      <c r="F38" s="31"/>
    </row>
    <row r="39" spans="1:6" ht="16.5" x14ac:dyDescent="0.25">
      <c r="A39" s="15"/>
      <c r="B39" s="32"/>
      <c r="C39" s="31"/>
      <c r="D39" s="31"/>
      <c r="E39" s="28"/>
      <c r="F39" s="33" t="s">
        <v>44</v>
      </c>
    </row>
    <row r="40" spans="1:6" ht="16.5" x14ac:dyDescent="0.25">
      <c r="A40" s="15"/>
      <c r="B40" s="32"/>
      <c r="C40" s="31"/>
      <c r="D40" s="28"/>
      <c r="E40" s="28"/>
      <c r="F40" s="33" t="str">
        <f>"For and on behalf of " &amp; '[8]Sch-1'!B8</f>
        <v xml:space="preserve">For and on behalf of </v>
      </c>
    </row>
    <row r="41" spans="1:6" ht="16.5" x14ac:dyDescent="0.25">
      <c r="A41" s="34"/>
      <c r="B41" s="34"/>
      <c r="C41" s="35"/>
      <c r="D41" s="34"/>
      <c r="E41" s="36"/>
      <c r="F41" s="17"/>
    </row>
    <row r="42" spans="1:6" ht="30" customHeight="1" x14ac:dyDescent="0.25">
      <c r="A42" s="37" t="s">
        <v>45</v>
      </c>
      <c r="B42" s="1034">
        <f>Details!E18</f>
        <v>0</v>
      </c>
      <c r="C42" s="1034"/>
      <c r="D42" s="34"/>
      <c r="E42" s="36" t="s">
        <v>46</v>
      </c>
      <c r="F42" s="45">
        <f>Details!E13</f>
        <v>0</v>
      </c>
    </row>
    <row r="43" spans="1:6" ht="33.75" customHeight="1" x14ac:dyDescent="0.25">
      <c r="A43" s="37" t="s">
        <v>47</v>
      </c>
      <c r="B43" s="1030">
        <f>Details!E17</f>
        <v>0</v>
      </c>
      <c r="C43" s="1030"/>
      <c r="D43" s="34"/>
      <c r="E43" s="36" t="s">
        <v>48</v>
      </c>
      <c r="F43" s="45">
        <f>Details!E14</f>
        <v>0</v>
      </c>
    </row>
    <row r="44" spans="1:6" ht="16.5" x14ac:dyDescent="0.25">
      <c r="A44" s="15"/>
      <c r="B44" s="15"/>
      <c r="C44" s="15"/>
      <c r="D44" s="34"/>
      <c r="E44" s="36"/>
      <c r="F44" s="15"/>
    </row>
    <row r="45" spans="1:6" ht="16.5" x14ac:dyDescent="0.25">
      <c r="A45" s="38" t="s">
        <v>49</v>
      </c>
      <c r="B45" s="39"/>
      <c r="C45" s="40"/>
      <c r="D45" s="28"/>
      <c r="E45" s="33"/>
      <c r="F45" s="28"/>
    </row>
    <row r="46" spans="1:6" ht="27" customHeight="1" x14ac:dyDescent="0.25">
      <c r="A46" s="1035" t="s">
        <v>50</v>
      </c>
      <c r="B46" s="1035"/>
      <c r="C46" s="1035"/>
      <c r="D46" s="1031"/>
      <c r="E46" s="1031"/>
      <c r="F46" s="1031"/>
    </row>
    <row r="47" spans="1:6" ht="27.75" customHeight="1" x14ac:dyDescent="0.25">
      <c r="A47" s="1036"/>
      <c r="B47" s="1036"/>
      <c r="C47" s="1036"/>
      <c r="D47" s="1031"/>
      <c r="E47" s="1031"/>
      <c r="F47" s="1031"/>
    </row>
    <row r="48" spans="1:6" ht="27" customHeight="1" x14ac:dyDescent="0.25">
      <c r="A48" s="1032"/>
      <c r="B48" s="1032"/>
      <c r="C48" s="1032"/>
      <c r="D48" s="1031"/>
      <c r="E48" s="1031"/>
      <c r="F48" s="1031"/>
    </row>
    <row r="49" spans="1:6" ht="27.75" customHeight="1" x14ac:dyDescent="0.25">
      <c r="A49" s="1037" t="s">
        <v>51</v>
      </c>
      <c r="B49" s="1037"/>
      <c r="C49" s="1037"/>
      <c r="D49" s="1031"/>
      <c r="E49" s="1031"/>
      <c r="F49" s="1031"/>
    </row>
    <row r="50" spans="1:6" ht="29.25" customHeight="1" x14ac:dyDescent="0.25">
      <c r="A50" s="1037" t="s">
        <v>52</v>
      </c>
      <c r="B50" s="1037"/>
      <c r="C50" s="1037"/>
      <c r="D50" s="1031"/>
      <c r="E50" s="1031"/>
      <c r="F50" s="1031"/>
    </row>
    <row r="51" spans="1:6" ht="32.25" customHeight="1" x14ac:dyDescent="0.25">
      <c r="A51" s="1037" t="s">
        <v>53</v>
      </c>
      <c r="B51" s="1037"/>
      <c r="C51" s="1037"/>
      <c r="D51" s="1031"/>
      <c r="E51" s="1031"/>
      <c r="F51" s="1031"/>
    </row>
    <row r="52" spans="1:6" ht="27.75" customHeight="1" x14ac:dyDescent="0.25">
      <c r="A52" s="1035" t="s">
        <v>54</v>
      </c>
      <c r="B52" s="1035"/>
      <c r="C52" s="1035"/>
      <c r="D52" s="1031"/>
      <c r="E52" s="1031"/>
      <c r="F52" s="1031"/>
    </row>
    <row r="53" spans="1:6" ht="33" customHeight="1" x14ac:dyDescent="0.25">
      <c r="A53" s="1036"/>
      <c r="B53" s="1036"/>
      <c r="C53" s="1036"/>
      <c r="D53" s="1031"/>
      <c r="E53" s="1031"/>
      <c r="F53" s="1031"/>
    </row>
    <row r="54" spans="1:6" ht="33.75" customHeight="1" x14ac:dyDescent="0.25">
      <c r="A54" s="1032"/>
      <c r="B54" s="1032"/>
      <c r="C54" s="1032"/>
      <c r="D54" s="52"/>
      <c r="E54" s="52"/>
      <c r="F54" s="52"/>
    </row>
    <row r="55" spans="1:6" ht="16.5" x14ac:dyDescent="0.25">
      <c r="A55" s="38"/>
      <c r="B55" s="38"/>
      <c r="C55" s="38"/>
      <c r="D55" s="41"/>
      <c r="E55" s="41"/>
      <c r="F55" s="41"/>
    </row>
    <row r="56" spans="1:6" ht="16.5" x14ac:dyDescent="0.25">
      <c r="A56" s="42"/>
      <c r="B56" s="17"/>
      <c r="C56" s="15"/>
      <c r="D56" s="15"/>
      <c r="E56" s="15"/>
      <c r="F56" s="43"/>
    </row>
    <row r="57" spans="1:6" ht="16.5" x14ac:dyDescent="0.25">
      <c r="A57" s="42"/>
      <c r="B57" s="17"/>
      <c r="C57" s="15"/>
      <c r="D57" s="15"/>
      <c r="E57" s="15"/>
      <c r="F57" s="43"/>
    </row>
    <row r="58" spans="1:6" ht="16.5" x14ac:dyDescent="0.25">
      <c r="A58" s="42"/>
      <c r="B58" s="17"/>
      <c r="C58" s="15"/>
      <c r="D58" s="15"/>
      <c r="E58" s="15"/>
      <c r="F58" s="43"/>
    </row>
    <row r="59" spans="1:6" ht="16.5" x14ac:dyDescent="0.25">
      <c r="A59" s="17"/>
      <c r="B59" s="17"/>
      <c r="C59" s="15"/>
      <c r="D59" s="15"/>
      <c r="E59" s="15"/>
      <c r="F59" s="43"/>
    </row>
    <row r="60" spans="1:6" ht="16.5" x14ac:dyDescent="0.25">
      <c r="A60" s="17"/>
      <c r="B60" s="17"/>
      <c r="C60" s="15"/>
      <c r="D60" s="15"/>
      <c r="E60" s="15"/>
      <c r="F60" s="43"/>
    </row>
    <row r="61" spans="1:6" ht="16.5" x14ac:dyDescent="0.25">
      <c r="A61" s="17"/>
      <c r="B61" s="17"/>
      <c r="C61" s="15"/>
      <c r="D61" s="15"/>
      <c r="E61" s="15"/>
      <c r="F61" s="43"/>
    </row>
  </sheetData>
  <sheetProtection password="DC1A" sheet="1" objects="1" scenarios="1" selectLockedCells="1"/>
  <mergeCells count="39">
    <mergeCell ref="B18:F18"/>
    <mergeCell ref="A3:F3"/>
    <mergeCell ref="C5:F5"/>
    <mergeCell ref="B6:C6"/>
    <mergeCell ref="C15:F15"/>
    <mergeCell ref="B17:F17"/>
    <mergeCell ref="B34:F34"/>
    <mergeCell ref="B19:F19"/>
    <mergeCell ref="B20:F20"/>
    <mergeCell ref="D21:F21"/>
    <mergeCell ref="D22:F22"/>
    <mergeCell ref="B27:F27"/>
    <mergeCell ref="B28:F28"/>
    <mergeCell ref="B29:F29"/>
    <mergeCell ref="B30:F30"/>
    <mergeCell ref="B31:F31"/>
    <mergeCell ref="B32:F32"/>
    <mergeCell ref="B33:F33"/>
    <mergeCell ref="A54:C54"/>
    <mergeCell ref="B35:F35"/>
    <mergeCell ref="B36:F36"/>
    <mergeCell ref="B42:C42"/>
    <mergeCell ref="A46:C46"/>
    <mergeCell ref="A47:C47"/>
    <mergeCell ref="A48:C48"/>
    <mergeCell ref="D50:F50"/>
    <mergeCell ref="D51:F51"/>
    <mergeCell ref="D52:F52"/>
    <mergeCell ref="D53:F53"/>
    <mergeCell ref="A49:C49"/>
    <mergeCell ref="A50:C50"/>
    <mergeCell ref="A51:C51"/>
    <mergeCell ref="A52:C52"/>
    <mergeCell ref="A53:C53"/>
    <mergeCell ref="B43:C43"/>
    <mergeCell ref="D46:F46"/>
    <mergeCell ref="D47:F47"/>
    <mergeCell ref="D48:F48"/>
    <mergeCell ref="D49:F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15</vt:i4>
      </vt:variant>
    </vt:vector>
  </HeadingPairs>
  <TitlesOfParts>
    <vt:vector size="44" baseType="lpstr">
      <vt:lpstr>Sheet1</vt:lpstr>
      <vt:lpstr>Details</vt:lpstr>
      <vt:lpstr>Basic</vt:lpstr>
      <vt:lpstr>Schedule-I</vt:lpstr>
      <vt:lpstr>Summary</vt:lpstr>
      <vt:lpstr>Tower-1 Abstract of cost</vt:lpstr>
      <vt:lpstr>Tower-I Plinth</vt:lpstr>
      <vt:lpstr>Tower-I Ground</vt:lpstr>
      <vt:lpstr>Tower-I First floor</vt:lpstr>
      <vt:lpstr>Tower I 2nd,3rd &amp; 4th</vt:lpstr>
      <vt:lpstr>Tower-I Terrace</vt:lpstr>
      <vt:lpstr>Tower-2 Abstract of cost</vt:lpstr>
      <vt:lpstr>Tower-2 Plinth</vt:lpstr>
      <vt:lpstr>Tower-2 Ground</vt:lpstr>
      <vt:lpstr>Tower-2 First &amp; Second</vt:lpstr>
      <vt:lpstr>Tower-2 3RD</vt:lpstr>
      <vt:lpstr>Tower-2 Terrace</vt:lpstr>
      <vt:lpstr>Lift</vt:lpstr>
      <vt:lpstr>BOQ Peripheral Drain</vt:lpstr>
      <vt:lpstr>BOQ- PAVER BLOCK</vt:lpstr>
      <vt:lpstr>BOQ RCC ROAD IN COLONY</vt:lpstr>
      <vt:lpstr>DISMANTLING</vt:lpstr>
      <vt:lpstr>BOQ POWER SUPPLY TO COLONY</vt:lpstr>
      <vt:lpstr>PHE works </vt:lpstr>
      <vt:lpstr>Electrical works</vt:lpstr>
      <vt:lpstr>modular kitchen</vt:lpstr>
      <vt:lpstr>Wardrobe</vt:lpstr>
      <vt:lpstr>Landscaping</vt:lpstr>
      <vt:lpstr>Bid form 2nd envelope</vt:lpstr>
      <vt:lpstr>'BOQ- PAVER BLOCK'!Print_Area</vt:lpstr>
      <vt:lpstr>'BOQ Peripheral Drain'!Print_Area</vt:lpstr>
      <vt:lpstr>'BOQ RCC ROAD IN COLONY'!Print_Area</vt:lpstr>
      <vt:lpstr>DISMANTLING!Print_Area</vt:lpstr>
      <vt:lpstr>Landscaping!Print_Area</vt:lpstr>
      <vt:lpstr>'modular kitchen'!Print_Area</vt:lpstr>
      <vt:lpstr>'Tower I 2nd,3rd &amp; 4th'!Print_Area</vt:lpstr>
      <vt:lpstr>'Tower-1 Abstract of cost'!Print_Area</vt:lpstr>
      <vt:lpstr>'Tower-2 Ground'!Print_Area</vt:lpstr>
      <vt:lpstr>'Tower-I First floor'!Print_Area</vt:lpstr>
      <vt:lpstr>Wardrobe!Print_Area</vt:lpstr>
      <vt:lpstr>'BOQ- PAVER BLOCK'!Print_Titles</vt:lpstr>
      <vt:lpstr>'BOQ Peripheral Drain'!Print_Titles</vt:lpstr>
      <vt:lpstr>'BOQ POWER SUPPLY TO COLONY'!Print_Titles</vt:lpstr>
      <vt:lpstr>Landscaping!Print_Titles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2024-02-08T12:15:55Z</dcterms:modified>
</cp:coreProperties>
</file>