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hidePivotFieldList="1" defaultThemeVersion="124226"/>
  <mc:AlternateContent xmlns:mc="http://schemas.openxmlformats.org/markup-compatibility/2006">
    <mc:Choice Requires="x15">
      <x15ac:absPath xmlns:x15ac="http://schemas.microsoft.com/office/spreadsheetml/2010/11/ac" url="C:\Users\60001938\Desktop\Bid\Bidding Document-B1\"/>
    </mc:Choice>
  </mc:AlternateContent>
  <xr:revisionPtr revIDLastSave="0" documentId="13_ncr:1_{81D6B5F6-BE55-4F72-9DC5-C48C1F7EEDCC}" xr6:coauthVersionLast="36" xr6:coauthVersionMax="36" xr10:uidLastSave="{00000000-0000-0000-0000-000000000000}"/>
  <workbookProtection workbookPassword="E58F" lockStructure="1"/>
  <bookViews>
    <workbookView xWindow="32760" yWindow="32760" windowWidth="20490" windowHeight="7185" tabRatio="650" firstSheet="1" activeTab="8" xr2:uid="{00000000-000D-0000-FFFF-FFFF00000000}"/>
  </bookViews>
  <sheets>
    <sheet name="Basic Data" sheetId="1" state="hidden" r:id="rId1"/>
    <sheet name="Cover" sheetId="2" r:id="rId2"/>
    <sheet name="Instructions" sheetId="3" r:id="rId3"/>
    <sheet name="Names of Bidder" sheetId="4" r:id="rId4"/>
    <sheet name="Sch-1" sheetId="5" r:id="rId5"/>
    <sheet name="Sch-1 Dis" sheetId="6" state="hidden" r:id="rId6"/>
    <sheet name="Sch-2" sheetId="7" r:id="rId7"/>
    <sheet name="Sch-2 Dis" sheetId="8" state="hidden" r:id="rId8"/>
    <sheet name="sch-3" sheetId="28" r:id="rId9"/>
    <sheet name="Sch-4" sheetId="29" r:id="rId10"/>
    <sheet name="Sch-5" sheetId="10" r:id="rId11"/>
    <sheet name="Sch-4 Dis" sheetId="11" state="hidden" r:id="rId12"/>
    <sheet name="Sch-6" sheetId="12" r:id="rId13"/>
    <sheet name="Sch-7" sheetId="25" r:id="rId14"/>
    <sheet name="Bid Form 2nd Envelope" sheetId="20" r:id="rId15"/>
    <sheet name="Sch-6 Dis" sheetId="15" state="hidden" r:id="rId16"/>
    <sheet name="Sch-5 after discount" sheetId="26" state="hidden" r:id="rId17"/>
    <sheet name="Discount" sheetId="16" state="hidden" r:id="rId18"/>
    <sheet name="Octroi" sheetId="17" state="hidden" r:id="rId19"/>
    <sheet name="Entry Tax" sheetId="18" state="hidden" r:id="rId20"/>
    <sheet name="Other taxes &amp; duties" sheetId="27" state="hidden" r:id="rId21"/>
    <sheet name="Q &amp; C" sheetId="21" state="hidden" r:id="rId22"/>
    <sheet name="T &amp; D" sheetId="22" state="hidden" r:id="rId23"/>
    <sheet name="N to W" sheetId="23" state="hidden" r:id="rId24"/>
    <sheet name="Sheet1" sheetId="24" state="hidden" r:id="rId25"/>
  </sheets>
  <externalReferences>
    <externalReference r:id="rId26"/>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4">'Bid Form 2nd Envelope'!$A$1:$F$53</definedName>
    <definedName name="_xlnm.Print_Area" localSheetId="1">Cover!$B$1:$E$17</definedName>
    <definedName name="_xlnm.Print_Area" localSheetId="17">Discount!$A$2:$G$41</definedName>
    <definedName name="_xlnm.Print_Area" localSheetId="19">'Entry Tax'!$A$1:$E$16</definedName>
    <definedName name="_xlnm.Print_Area" localSheetId="2">Instructions!$A$1:$C$50</definedName>
    <definedName name="_xlnm.Print_Area" localSheetId="3">'Names of Bidder'!$B$1:$D$21</definedName>
    <definedName name="_xlnm.Print_Area" localSheetId="18">Octroi!$A$1:$E$16</definedName>
    <definedName name="_xlnm.Print_Area" localSheetId="20">'Other taxes &amp; duties'!$A$1:$E$16</definedName>
    <definedName name="_xlnm.Print_Area" localSheetId="21">'Q &amp; C'!$A$1:$F$43</definedName>
    <definedName name="_xlnm.Print_Area" localSheetId="4">'Sch-1'!$A$1:$O$33</definedName>
    <definedName name="_xlnm.Print_Area" localSheetId="5">'Sch-1 Dis'!$A$1:$H$32</definedName>
    <definedName name="_xlnm.Print_Area" localSheetId="6">'Sch-2'!$A$1:$M$26</definedName>
    <definedName name="_xlnm.Print_Area" localSheetId="7">'Sch-2 Dis'!$A$1:$G$24</definedName>
    <definedName name="_xlnm.Print_Area" localSheetId="8">'sch-3'!$A$1:$O$138</definedName>
    <definedName name="_xlnm.Print_Area" localSheetId="9">'Sch-4'!$A$1:$E$28</definedName>
    <definedName name="_xlnm.Print_Area" localSheetId="11">'Sch-4 Dis'!$A$1:$E$44</definedName>
    <definedName name="_xlnm.Print_Area" localSheetId="10">'Sch-5'!$A$1:$E$39</definedName>
    <definedName name="_xlnm.Print_Area" localSheetId="16">'Sch-5 after discount'!$A$1:$D$29</definedName>
    <definedName name="_xlnm.Print_Area" localSheetId="12">'Sch-6'!$A$1:$D$30</definedName>
    <definedName name="_xlnm.Print_Area" localSheetId="15">'Sch-6 Dis'!$A$1:$F$28</definedName>
    <definedName name="_xlnm.Print_Area" localSheetId="13">'Sch-7'!$A$1:$E$19</definedName>
    <definedName name="_xlnm.Print_Area" localSheetId="22">'T &amp; D'!$A$1:$E$12</definedName>
    <definedName name="_xlnm.Print_Titles" localSheetId="4">'Sch-1'!$15:$18</definedName>
    <definedName name="_xlnm.Print_Titles" localSheetId="5">'Sch-1 Dis'!$15:$17</definedName>
    <definedName name="_xlnm.Print_Titles" localSheetId="6">'Sch-2'!$12:$20</definedName>
    <definedName name="_xlnm.Print_Titles" localSheetId="7">'Sch-2 Dis'!$13:$15</definedName>
    <definedName name="_xlnm.Print_Titles" localSheetId="8">'sch-3'!$1:$17</definedName>
    <definedName name="_xlnm.Print_Titles" localSheetId="9">'Sch-4'!$3:$22</definedName>
    <definedName name="_xlnm.Print_Titles" localSheetId="11">'Sch-4 Dis'!$3:$13</definedName>
    <definedName name="_xlnm.Print_Titles" localSheetId="10">'Sch-5'!$3:$13</definedName>
    <definedName name="_xlnm.Print_Titles" localSheetId="16">'Sch-5 after discount'!$3:$13</definedName>
    <definedName name="_xlnm.Print_Titles" localSheetId="12">'Sch-6'!$3:$13</definedName>
    <definedName name="_xlnm.Print_Titles" localSheetId="15">'Sch-6 Dis'!$14:$14</definedName>
    <definedName name="_xlnm.Print_Titles" localSheetId="13">'Sch-7'!$3:$14</definedName>
    <definedName name="_xlnm.Recorder">#REF!</definedName>
    <definedName name="TEST">#REF!</definedName>
    <definedName name="Z_01ACF2E1_8E61_4459_ABC1_B6C183DEED61_.wvu.PrintArea" localSheetId="19" hidden="1">'Entry Tax'!$A$1:$E$16</definedName>
    <definedName name="Z_01ACF2E1_8E61_4459_ABC1_B6C183DEED61_.wvu.PrintArea" localSheetId="18" hidden="1">Octroi!$A$1:$E$16</definedName>
    <definedName name="Z_01ACF2E1_8E61_4459_ABC1_B6C183DEED61_.wvu.PrintArea" localSheetId="20" hidden="1">'Other taxes &amp; duties'!$A$1:$E$16</definedName>
    <definedName name="Z_08A645C4_A23F_4400_B0CE_1685BC312A6F_.wvu.Cols" localSheetId="17" hidden="1">Discount!$H:$O</definedName>
    <definedName name="Z_08A645C4_A23F_4400_B0CE_1685BC312A6F_.wvu.Cols" localSheetId="3" hidden="1">'Names of Bidder'!$AA:$AA</definedName>
    <definedName name="Z_08A645C4_A23F_4400_B0CE_1685BC312A6F_.wvu.Cols" localSheetId="4" hidden="1">'Sch-1'!$Q:$V</definedName>
    <definedName name="Z_08A645C4_A23F_4400_B0CE_1685BC312A6F_.wvu.Cols" localSheetId="5" hidden="1">'Sch-1 Dis'!$K:$K</definedName>
    <definedName name="Z_08A645C4_A23F_4400_B0CE_1685BC312A6F_.wvu.Cols" localSheetId="6" hidden="1">'Sch-2'!$H:$I</definedName>
    <definedName name="Z_08A645C4_A23F_4400_B0CE_1685BC312A6F_.wvu.Cols" localSheetId="9" hidden="1">'Sch-4'!$G:$G</definedName>
    <definedName name="Z_08A645C4_A23F_4400_B0CE_1685BC312A6F_.wvu.Cols" localSheetId="10" hidden="1">'Sch-5'!$G:$G</definedName>
    <definedName name="Z_08A645C4_A23F_4400_B0CE_1685BC312A6F_.wvu.Cols" localSheetId="13" hidden="1">'Sch-7'!$G:$G</definedName>
    <definedName name="Z_08A645C4_A23F_4400_B0CE_1685BC312A6F_.wvu.PrintArea" localSheetId="14" hidden="1">'Bid Form 2nd Envelope'!$A$1:$F$53</definedName>
    <definedName name="Z_08A645C4_A23F_4400_B0CE_1685BC312A6F_.wvu.PrintArea" localSheetId="1" hidden="1">Cover!$B$1:$E$17</definedName>
    <definedName name="Z_08A645C4_A23F_4400_B0CE_1685BC312A6F_.wvu.PrintArea" localSheetId="17" hidden="1">Discount!$A$2:$G$41</definedName>
    <definedName name="Z_08A645C4_A23F_4400_B0CE_1685BC312A6F_.wvu.PrintArea" localSheetId="19" hidden="1">'Entry Tax'!$A$1:$E$16</definedName>
    <definedName name="Z_08A645C4_A23F_4400_B0CE_1685BC312A6F_.wvu.PrintArea" localSheetId="2" hidden="1">Instructions!$A$1:$C$50</definedName>
    <definedName name="Z_08A645C4_A23F_4400_B0CE_1685BC312A6F_.wvu.PrintArea" localSheetId="3" hidden="1">'Names of Bidder'!$B$1:$D$21</definedName>
    <definedName name="Z_08A645C4_A23F_4400_B0CE_1685BC312A6F_.wvu.PrintArea" localSheetId="18" hidden="1">Octroi!$A$1:$E$16</definedName>
    <definedName name="Z_08A645C4_A23F_4400_B0CE_1685BC312A6F_.wvu.PrintArea" localSheetId="20" hidden="1">'Other taxes &amp; duties'!$A$1:$E$16</definedName>
    <definedName name="Z_08A645C4_A23F_4400_B0CE_1685BC312A6F_.wvu.PrintArea" localSheetId="21" hidden="1">'Q &amp; C'!$A$1:$F$43</definedName>
    <definedName name="Z_08A645C4_A23F_4400_B0CE_1685BC312A6F_.wvu.PrintArea" localSheetId="4" hidden="1">'Sch-1'!$A$1:$O$19</definedName>
    <definedName name="Z_08A645C4_A23F_4400_B0CE_1685BC312A6F_.wvu.PrintArea" localSheetId="5" hidden="1">'Sch-1 Dis'!$A$1:$H$32</definedName>
    <definedName name="Z_08A645C4_A23F_4400_B0CE_1685BC312A6F_.wvu.PrintArea" localSheetId="6" hidden="1">'Sch-2'!$A$1:$F$26</definedName>
    <definedName name="Z_08A645C4_A23F_4400_B0CE_1685BC312A6F_.wvu.PrintArea" localSheetId="7" hidden="1">'Sch-2 Dis'!$A$1:$G$24</definedName>
    <definedName name="Z_08A645C4_A23F_4400_B0CE_1685BC312A6F_.wvu.PrintArea" localSheetId="8" hidden="1">'sch-3'!$A$1:$E$17</definedName>
    <definedName name="Z_08A645C4_A23F_4400_B0CE_1685BC312A6F_.wvu.PrintArea" localSheetId="9" hidden="1">'Sch-4'!$A$1:$E$28</definedName>
    <definedName name="Z_08A645C4_A23F_4400_B0CE_1685BC312A6F_.wvu.PrintArea" localSheetId="11" hidden="1">'Sch-4 Dis'!$A$1:$E$44</definedName>
    <definedName name="Z_08A645C4_A23F_4400_B0CE_1685BC312A6F_.wvu.PrintArea" localSheetId="10" hidden="1">'Sch-5'!$A$1:$E$39</definedName>
    <definedName name="Z_08A645C4_A23F_4400_B0CE_1685BC312A6F_.wvu.PrintArea" localSheetId="16" hidden="1">'Sch-5 after discount'!$A$1:$D$29</definedName>
    <definedName name="Z_08A645C4_A23F_4400_B0CE_1685BC312A6F_.wvu.PrintArea" localSheetId="12" hidden="1">'Sch-6'!$A$1:$D$31</definedName>
    <definedName name="Z_08A645C4_A23F_4400_B0CE_1685BC312A6F_.wvu.PrintArea" localSheetId="15" hidden="1">'Sch-6 Dis'!$A$1:$F$28</definedName>
    <definedName name="Z_08A645C4_A23F_4400_B0CE_1685BC312A6F_.wvu.PrintArea" localSheetId="13" hidden="1">'Sch-7'!$A$1:$E$19</definedName>
    <definedName name="Z_08A645C4_A23F_4400_B0CE_1685BC312A6F_.wvu.PrintArea" localSheetId="22" hidden="1">'T &amp; D'!$A$1:$E$12</definedName>
    <definedName name="Z_08A645C4_A23F_4400_B0CE_1685BC312A6F_.wvu.PrintTitles" localSheetId="4" hidden="1">'Sch-1'!$15:$18</definedName>
    <definedName name="Z_08A645C4_A23F_4400_B0CE_1685BC312A6F_.wvu.PrintTitles" localSheetId="5" hidden="1">'Sch-1 Dis'!$15:$17</definedName>
    <definedName name="Z_08A645C4_A23F_4400_B0CE_1685BC312A6F_.wvu.PrintTitles" localSheetId="6" hidden="1">'Sch-2'!$12:$20</definedName>
    <definedName name="Z_08A645C4_A23F_4400_B0CE_1685BC312A6F_.wvu.PrintTitles" localSheetId="7" hidden="1">'Sch-2 Dis'!$13:$15</definedName>
    <definedName name="Z_08A645C4_A23F_4400_B0CE_1685BC312A6F_.wvu.PrintTitles" localSheetId="8" hidden="1">'sch-3'!$12:$17</definedName>
    <definedName name="Z_08A645C4_A23F_4400_B0CE_1685BC312A6F_.wvu.PrintTitles" localSheetId="9" hidden="1">'Sch-4'!$3:$22</definedName>
    <definedName name="Z_08A645C4_A23F_4400_B0CE_1685BC312A6F_.wvu.PrintTitles" localSheetId="11" hidden="1">'Sch-4 Dis'!$3:$13</definedName>
    <definedName name="Z_08A645C4_A23F_4400_B0CE_1685BC312A6F_.wvu.PrintTitles" localSheetId="10" hidden="1">'Sch-5'!$3:$13</definedName>
    <definedName name="Z_08A645C4_A23F_4400_B0CE_1685BC312A6F_.wvu.PrintTitles" localSheetId="16" hidden="1">'Sch-5 after discount'!$3:$13</definedName>
    <definedName name="Z_08A645C4_A23F_4400_B0CE_1685BC312A6F_.wvu.PrintTitles" localSheetId="12" hidden="1">'Sch-6'!$3:$13</definedName>
    <definedName name="Z_08A645C4_A23F_4400_B0CE_1685BC312A6F_.wvu.PrintTitles" localSheetId="15" hidden="1">'Sch-6 Dis'!$14:$14</definedName>
    <definedName name="Z_08A645C4_A23F_4400_B0CE_1685BC312A6F_.wvu.PrintTitles" localSheetId="13" hidden="1">'Sch-7'!$3:$14</definedName>
    <definedName name="Z_08A645C4_A23F_4400_B0CE_1685BC312A6F_.wvu.Rows" localSheetId="0" hidden="1">'Basic Data'!#REF!,'Basic Data'!#REF!</definedName>
    <definedName name="Z_08A645C4_A23F_4400_B0CE_1685BC312A6F_.wvu.Rows" localSheetId="14" hidden="1">'Bid Form 2nd Envelope'!$22:$22</definedName>
    <definedName name="Z_08A645C4_A23F_4400_B0CE_1685BC312A6F_.wvu.Rows" localSheetId="1" hidden="1">Cover!$9:$9,Cover!$12:$12</definedName>
    <definedName name="Z_08A645C4_A23F_4400_B0CE_1685BC312A6F_.wvu.Rows" localSheetId="17" hidden="1">Discount!$21:$22,Discount!$27:$28,Discount!$30:$31</definedName>
    <definedName name="Z_08A645C4_A23F_4400_B0CE_1685BC312A6F_.wvu.Rows" localSheetId="2" hidden="1">Instructions!#REF!,Instructions!#REF!,Instructions!#REF!,Instructions!$39:$40</definedName>
    <definedName name="Z_08A645C4_A23F_4400_B0CE_1685BC312A6F_.wvu.Rows" localSheetId="4" hidden="1">'Sch-1'!#REF!</definedName>
    <definedName name="Z_14D7F02E_BCCA_4517_ABC7_537FF4AEB67A_.wvu.PrintArea" localSheetId="2" hidden="1">Instructions!$A$1:$C$50</definedName>
    <definedName name="Z_27A45B7A_04F2_4516_B80B_5ED0825D4ED3_.wvu.PrintArea" localSheetId="2" hidden="1">Instructions!$A$1:$C$50</definedName>
    <definedName name="Z_374BB220_87F1_4A3E_ABA5_7B2BD812CABA_.wvu.PrintArea" localSheetId="2" hidden="1">Instructions!$A$1:$C$50</definedName>
    <definedName name="Z_374BB220_87F1_4A3E_ABA5_7B2BD812CABA_.wvu.Rows" localSheetId="2" hidden="1">Instructions!#REF!,Instructions!$39:$40</definedName>
    <definedName name="Z_3D662AA8_535D_445A_A535_5FFD33E1146F_.wvu.PrintArea" localSheetId="21" hidden="1">'Q &amp; C'!$A$1:$F$43</definedName>
    <definedName name="Z_420F5FBD_E556_4311_8218_D9BF2725836B_.wvu.PrintArea" localSheetId="21" hidden="1">'Q &amp; C'!$A$1:$F$43</definedName>
    <definedName name="Z_4F65FF32_EC61_4022_A399_2986D7B6B8B3_.wvu.PrintArea" localSheetId="17" hidden="1">Discount!$A$2:$G$39</definedName>
    <definedName name="Z_4F65FF32_EC61_4022_A399_2986D7B6B8B3_.wvu.PrintArea" localSheetId="19" hidden="1">'Entry Tax'!$A$1:$E$16</definedName>
    <definedName name="Z_4F65FF32_EC61_4022_A399_2986D7B6B8B3_.wvu.PrintArea" localSheetId="2" hidden="1">Instructions!$A$1:$C$50</definedName>
    <definedName name="Z_4F65FF32_EC61_4022_A399_2986D7B6B8B3_.wvu.PrintArea" localSheetId="18" hidden="1">Octroi!$A$1:$E$16</definedName>
    <definedName name="Z_4F65FF32_EC61_4022_A399_2986D7B6B8B3_.wvu.PrintArea" localSheetId="20" hidden="1">'Other taxes &amp; duties'!$A$1:$E$16</definedName>
    <definedName name="Z_4F65FF32_EC61_4022_A399_2986D7B6B8B3_.wvu.PrintArea" localSheetId="4" hidden="1">'Sch-1'!$A$1:$O$19</definedName>
    <definedName name="Z_4F65FF32_EC61_4022_A399_2986D7B6B8B3_.wvu.PrintArea" localSheetId="5" hidden="1">'Sch-1 Dis'!$A$1:$H$32</definedName>
    <definedName name="Z_4F65FF32_EC61_4022_A399_2986D7B6B8B3_.wvu.PrintArea" localSheetId="6" hidden="1">'Sch-2'!$A$1:$F$26</definedName>
    <definedName name="Z_4F65FF32_EC61_4022_A399_2986D7B6B8B3_.wvu.PrintArea" localSheetId="7" hidden="1">'Sch-2 Dis'!$A$1:$G$24</definedName>
    <definedName name="Z_4F65FF32_EC61_4022_A399_2986D7B6B8B3_.wvu.PrintArea" localSheetId="8" hidden="1">'sch-3'!$A$1:$E$17</definedName>
    <definedName name="Z_4F65FF32_EC61_4022_A399_2986D7B6B8B3_.wvu.PrintArea" localSheetId="9" hidden="1">'Sch-4'!$A$1:$E$29</definedName>
    <definedName name="Z_4F65FF32_EC61_4022_A399_2986D7B6B8B3_.wvu.PrintArea" localSheetId="11" hidden="1">'Sch-4 Dis'!$A$1:$E$44</definedName>
    <definedName name="Z_4F65FF32_EC61_4022_A399_2986D7B6B8B3_.wvu.PrintArea" localSheetId="10" hidden="1">'Sch-5'!$A$1:$E$40</definedName>
    <definedName name="Z_4F65FF32_EC61_4022_A399_2986D7B6B8B3_.wvu.PrintArea" localSheetId="16" hidden="1">'Sch-5 after discount'!$A$1:$D$29</definedName>
    <definedName name="Z_4F65FF32_EC61_4022_A399_2986D7B6B8B3_.wvu.PrintArea" localSheetId="12" hidden="1">'Sch-6'!$A$1:$D$31</definedName>
    <definedName name="Z_4F65FF32_EC61_4022_A399_2986D7B6B8B3_.wvu.PrintArea" localSheetId="15" hidden="1">'Sch-6 Dis'!$A$1:$F$29</definedName>
    <definedName name="Z_4F65FF32_EC61_4022_A399_2986D7B6B8B3_.wvu.PrintArea" localSheetId="13" hidden="1">'Sch-7'!$A$1:$E$20</definedName>
    <definedName name="Z_4F65FF32_EC61_4022_A399_2986D7B6B8B3_.wvu.PrintTitles" localSheetId="4" hidden="1">'Sch-1'!$15:$18</definedName>
    <definedName name="Z_4F65FF32_EC61_4022_A399_2986D7B6B8B3_.wvu.PrintTitles" localSheetId="5" hidden="1">'Sch-1 Dis'!$15:$17</definedName>
    <definedName name="Z_4F65FF32_EC61_4022_A399_2986D7B6B8B3_.wvu.PrintTitles" localSheetId="6" hidden="1">'Sch-2'!$12:$20</definedName>
    <definedName name="Z_4F65FF32_EC61_4022_A399_2986D7B6B8B3_.wvu.PrintTitles" localSheetId="7" hidden="1">'Sch-2 Dis'!$13:$15</definedName>
    <definedName name="Z_4F65FF32_EC61_4022_A399_2986D7B6B8B3_.wvu.PrintTitles" localSheetId="8" hidden="1">'sch-3'!$12:$17</definedName>
    <definedName name="Z_4F65FF32_EC61_4022_A399_2986D7B6B8B3_.wvu.PrintTitles" localSheetId="9" hidden="1">'Sch-4'!$3:$22</definedName>
    <definedName name="Z_4F65FF32_EC61_4022_A399_2986D7B6B8B3_.wvu.PrintTitles" localSheetId="11" hidden="1">'Sch-4 Dis'!$3:$13</definedName>
    <definedName name="Z_4F65FF32_EC61_4022_A399_2986D7B6B8B3_.wvu.PrintTitles" localSheetId="10" hidden="1">'Sch-5'!$3:$13</definedName>
    <definedName name="Z_4F65FF32_EC61_4022_A399_2986D7B6B8B3_.wvu.PrintTitles" localSheetId="16" hidden="1">'Sch-5 after discount'!$3:$13</definedName>
    <definedName name="Z_4F65FF32_EC61_4022_A399_2986D7B6B8B3_.wvu.PrintTitles" localSheetId="12" hidden="1">'Sch-6'!$3:$13</definedName>
    <definedName name="Z_4F65FF32_EC61_4022_A399_2986D7B6B8B3_.wvu.PrintTitles" localSheetId="15" hidden="1">'Sch-6 Dis'!$14:$14</definedName>
    <definedName name="Z_4F65FF32_EC61_4022_A399_2986D7B6B8B3_.wvu.PrintTitles" localSheetId="13" hidden="1">'Sch-7'!$3:$14</definedName>
    <definedName name="Z_58D82F59_8CF6_455F_B9F4_081499FDF243_.wvu.Cols" localSheetId="17" hidden="1">Discount!$I:$P</definedName>
    <definedName name="Z_58D82F59_8CF6_455F_B9F4_081499FDF243_.wvu.Cols" localSheetId="4" hidden="1">'Sch-1'!$Q:$U</definedName>
    <definedName name="Z_58D82F59_8CF6_455F_B9F4_081499FDF243_.wvu.Cols" localSheetId="5" hidden="1">'Sch-1 Dis'!$K:$K</definedName>
    <definedName name="Z_58D82F59_8CF6_455F_B9F4_081499FDF243_.wvu.Cols" localSheetId="6" hidden="1">'Sch-2'!$H:$I</definedName>
    <definedName name="Z_58D82F59_8CF6_455F_B9F4_081499FDF243_.wvu.PrintArea" localSheetId="14" hidden="1">'Bid Form 2nd Envelope'!$A$1:$F$55</definedName>
    <definedName name="Z_58D82F59_8CF6_455F_B9F4_081499FDF243_.wvu.PrintArea" localSheetId="1" hidden="1">Cover!$B$1:$E$17</definedName>
    <definedName name="Z_58D82F59_8CF6_455F_B9F4_081499FDF243_.wvu.PrintArea" localSheetId="17" hidden="1">Discount!$A$2:$G$41</definedName>
    <definedName name="Z_58D82F59_8CF6_455F_B9F4_081499FDF243_.wvu.PrintArea" localSheetId="19" hidden="1">'Entry Tax'!$A$1:$E$16</definedName>
    <definedName name="Z_58D82F59_8CF6_455F_B9F4_081499FDF243_.wvu.PrintArea" localSheetId="3" hidden="1">'Names of Bidder'!$B$1:$E$19</definedName>
    <definedName name="Z_58D82F59_8CF6_455F_B9F4_081499FDF243_.wvu.PrintArea" localSheetId="18" hidden="1">Octroi!$A$1:$E$16</definedName>
    <definedName name="Z_58D82F59_8CF6_455F_B9F4_081499FDF243_.wvu.PrintArea" localSheetId="20" hidden="1">'Other taxes &amp; duties'!$A$1:$E$16</definedName>
    <definedName name="Z_58D82F59_8CF6_455F_B9F4_081499FDF243_.wvu.PrintArea" localSheetId="21" hidden="1">'Q &amp; C'!$A$1:$F$43</definedName>
    <definedName name="Z_58D82F59_8CF6_455F_B9F4_081499FDF243_.wvu.PrintArea" localSheetId="4" hidden="1">'Sch-1'!$A$1:$O$19</definedName>
    <definedName name="Z_58D82F59_8CF6_455F_B9F4_081499FDF243_.wvu.PrintArea" localSheetId="5" hidden="1">'Sch-1 Dis'!$A$1:$H$32</definedName>
    <definedName name="Z_58D82F59_8CF6_455F_B9F4_081499FDF243_.wvu.PrintArea" localSheetId="6" hidden="1">'Sch-2'!$A$1:$F$26</definedName>
    <definedName name="Z_58D82F59_8CF6_455F_B9F4_081499FDF243_.wvu.PrintArea" localSheetId="7" hidden="1">'Sch-2 Dis'!$A$1:$G$24</definedName>
    <definedName name="Z_58D82F59_8CF6_455F_B9F4_081499FDF243_.wvu.PrintArea" localSheetId="8" hidden="1">'sch-3'!$A$1:$E$17</definedName>
    <definedName name="Z_58D82F59_8CF6_455F_B9F4_081499FDF243_.wvu.PrintArea" localSheetId="9" hidden="1">'Sch-4'!$A$1:$E$28</definedName>
    <definedName name="Z_58D82F59_8CF6_455F_B9F4_081499FDF243_.wvu.PrintArea" localSheetId="11" hidden="1">'Sch-4 Dis'!$A$1:$E$44</definedName>
    <definedName name="Z_58D82F59_8CF6_455F_B9F4_081499FDF243_.wvu.PrintArea" localSheetId="10" hidden="1">'Sch-5'!$A$1:$E$39</definedName>
    <definedName name="Z_58D82F59_8CF6_455F_B9F4_081499FDF243_.wvu.PrintArea" localSheetId="16" hidden="1">'Sch-5 after discount'!$A$1:$D$29</definedName>
    <definedName name="Z_58D82F59_8CF6_455F_B9F4_081499FDF243_.wvu.PrintArea" localSheetId="12" hidden="1">'Sch-6'!$A$1:$D$31</definedName>
    <definedName name="Z_58D82F59_8CF6_455F_B9F4_081499FDF243_.wvu.PrintArea" localSheetId="15" hidden="1">'Sch-6 Dis'!$A$1:$F$28</definedName>
    <definedName name="Z_58D82F59_8CF6_455F_B9F4_081499FDF243_.wvu.PrintArea" localSheetId="13" hidden="1">'Sch-7'!$A$1:$E$19</definedName>
    <definedName name="Z_58D82F59_8CF6_455F_B9F4_081499FDF243_.wvu.PrintTitles" localSheetId="4" hidden="1">'Sch-1'!$15:$18</definedName>
    <definedName name="Z_58D82F59_8CF6_455F_B9F4_081499FDF243_.wvu.PrintTitles" localSheetId="5" hidden="1">'Sch-1 Dis'!$15:$17</definedName>
    <definedName name="Z_58D82F59_8CF6_455F_B9F4_081499FDF243_.wvu.PrintTitles" localSheetId="6" hidden="1">'Sch-2'!$12:$20</definedName>
    <definedName name="Z_58D82F59_8CF6_455F_B9F4_081499FDF243_.wvu.PrintTitles" localSheetId="7" hidden="1">'Sch-2 Dis'!$13:$15</definedName>
    <definedName name="Z_58D82F59_8CF6_455F_B9F4_081499FDF243_.wvu.PrintTitles" localSheetId="8" hidden="1">'sch-3'!$12:$17</definedName>
    <definedName name="Z_58D82F59_8CF6_455F_B9F4_081499FDF243_.wvu.PrintTitles" localSheetId="9" hidden="1">'Sch-4'!$3:$22</definedName>
    <definedName name="Z_58D82F59_8CF6_455F_B9F4_081499FDF243_.wvu.PrintTitles" localSheetId="11" hidden="1">'Sch-4 Dis'!$3:$13</definedName>
    <definedName name="Z_58D82F59_8CF6_455F_B9F4_081499FDF243_.wvu.PrintTitles" localSheetId="10" hidden="1">'Sch-5'!$3:$13</definedName>
    <definedName name="Z_58D82F59_8CF6_455F_B9F4_081499FDF243_.wvu.PrintTitles" localSheetId="16" hidden="1">'Sch-5 after discount'!$3:$13</definedName>
    <definedName name="Z_58D82F59_8CF6_455F_B9F4_081499FDF243_.wvu.PrintTitles" localSheetId="12" hidden="1">'Sch-6'!$3:$13</definedName>
    <definedName name="Z_58D82F59_8CF6_455F_B9F4_081499FDF243_.wvu.PrintTitles" localSheetId="15" hidden="1">'Sch-6 Dis'!$14:$14</definedName>
    <definedName name="Z_58D82F59_8CF6_455F_B9F4_081499FDF243_.wvu.PrintTitles" localSheetId="13" hidden="1">'Sch-7'!$3:$14</definedName>
    <definedName name="Z_58D82F59_8CF6_455F_B9F4_081499FDF243_.wvu.Rows" localSheetId="0" hidden="1">'Basic Data'!#REF!</definedName>
    <definedName name="Z_58D82F59_8CF6_455F_B9F4_081499FDF243_.wvu.Rows" localSheetId="14" hidden="1">'Bid Form 2nd Envelope'!$22:$22</definedName>
    <definedName name="Z_58D82F59_8CF6_455F_B9F4_081499FDF243_.wvu.Rows" localSheetId="1" hidden="1">Cover!$9:$9,Cover!$12:$12</definedName>
    <definedName name="Z_58D82F59_8CF6_455F_B9F4_081499FDF243_.wvu.Rows" localSheetId="17" hidden="1">Discount!$21:$21,Discount!$27:$27</definedName>
    <definedName name="Z_58D82F59_8CF6_455F_B9F4_081499FDF243_.wvu.Rows" localSheetId="4" hidden="1">'Sch-1'!#REF!</definedName>
    <definedName name="Z_59ACD8B6_730E_4199_8297_1160D2A0693D_.wvu.PrintArea" localSheetId="21" hidden="1">'Q &amp; C'!$A$1:$F$43</definedName>
    <definedName name="Z_5C6610A7_30B1_43C5_B47D_FDA0FBB789C6_.wvu.PrintArea" localSheetId="2" hidden="1">Instructions!$A$1:$C$50</definedName>
    <definedName name="Z_606714DA_2176_4491_94C0_B9ECC35CF656_.wvu.PrintArea" localSheetId="2" hidden="1">Instructions!$A$1:$C$50</definedName>
    <definedName name="Z_606714DA_2176_4491_94C0_B9ECC35CF656_.wvu.Rows" localSheetId="2" hidden="1">Instructions!#REF!,Instructions!$39:$40</definedName>
    <definedName name="Z_696D9240_6693_44E8_B9A4_2BFADD101EE2_.wvu.Cols" localSheetId="17" hidden="1">Discount!$I:$P</definedName>
    <definedName name="Z_696D9240_6693_44E8_B9A4_2BFADD101EE2_.wvu.Cols" localSheetId="4" hidden="1">'Sch-1'!$R:$T</definedName>
    <definedName name="Z_696D9240_6693_44E8_B9A4_2BFADD101EE2_.wvu.Cols" localSheetId="5" hidden="1">'Sch-1 Dis'!$K:$K</definedName>
    <definedName name="Z_696D9240_6693_44E8_B9A4_2BFADD101EE2_.wvu.Cols" localSheetId="6" hidden="1">'Sch-2'!$H:$I</definedName>
    <definedName name="Z_696D9240_6693_44E8_B9A4_2BFADD101EE2_.wvu.PrintArea" localSheetId="14" hidden="1">'Bid Form 2nd Envelope'!$A$1:$F$59</definedName>
    <definedName name="Z_696D9240_6693_44E8_B9A4_2BFADD101EE2_.wvu.PrintArea" localSheetId="1" hidden="1">Cover!$B$1:$E$17</definedName>
    <definedName name="Z_696D9240_6693_44E8_B9A4_2BFADD101EE2_.wvu.PrintArea" localSheetId="17" hidden="1">Discount!$A$2:$G$41</definedName>
    <definedName name="Z_696D9240_6693_44E8_B9A4_2BFADD101EE2_.wvu.PrintArea" localSheetId="19" hidden="1">'Entry Tax'!$A$1:$E$16</definedName>
    <definedName name="Z_696D9240_6693_44E8_B9A4_2BFADD101EE2_.wvu.PrintArea" localSheetId="3" hidden="1">'Names of Bidder'!$B$1:$E$19</definedName>
    <definedName name="Z_696D9240_6693_44E8_B9A4_2BFADD101EE2_.wvu.PrintArea" localSheetId="18" hidden="1">Octroi!$A$1:$E$16</definedName>
    <definedName name="Z_696D9240_6693_44E8_B9A4_2BFADD101EE2_.wvu.PrintArea" localSheetId="20" hidden="1">'Other taxes &amp; duties'!$A$1:$E$16</definedName>
    <definedName name="Z_696D9240_6693_44E8_B9A4_2BFADD101EE2_.wvu.PrintArea" localSheetId="21" hidden="1">'Q &amp; C'!$A$1:$F$43</definedName>
    <definedName name="Z_696D9240_6693_44E8_B9A4_2BFADD101EE2_.wvu.PrintArea" localSheetId="4" hidden="1">'Sch-1'!$A$1:$O$19</definedName>
    <definedName name="Z_696D9240_6693_44E8_B9A4_2BFADD101EE2_.wvu.PrintArea" localSheetId="5" hidden="1">'Sch-1 Dis'!$A$1:$H$32</definedName>
    <definedName name="Z_696D9240_6693_44E8_B9A4_2BFADD101EE2_.wvu.PrintArea" localSheetId="6" hidden="1">'Sch-2'!$A$1:$F$26</definedName>
    <definedName name="Z_696D9240_6693_44E8_B9A4_2BFADD101EE2_.wvu.PrintArea" localSheetId="7" hidden="1">'Sch-2 Dis'!$A$1:$G$24</definedName>
    <definedName name="Z_696D9240_6693_44E8_B9A4_2BFADD101EE2_.wvu.PrintArea" localSheetId="8" hidden="1">'sch-3'!$A$1:$E$17</definedName>
    <definedName name="Z_696D9240_6693_44E8_B9A4_2BFADD101EE2_.wvu.PrintArea" localSheetId="9" hidden="1">'Sch-4'!$A$1:$E$28</definedName>
    <definedName name="Z_696D9240_6693_44E8_B9A4_2BFADD101EE2_.wvu.PrintArea" localSheetId="11" hidden="1">'Sch-4 Dis'!$A$1:$E$44</definedName>
    <definedName name="Z_696D9240_6693_44E8_B9A4_2BFADD101EE2_.wvu.PrintArea" localSheetId="10" hidden="1">'Sch-5'!$A$1:$E$39</definedName>
    <definedName name="Z_696D9240_6693_44E8_B9A4_2BFADD101EE2_.wvu.PrintArea" localSheetId="16" hidden="1">'Sch-5 after discount'!$A$1:$D$29</definedName>
    <definedName name="Z_696D9240_6693_44E8_B9A4_2BFADD101EE2_.wvu.PrintArea" localSheetId="12" hidden="1">'Sch-6'!$A$1:$D$31</definedName>
    <definedName name="Z_696D9240_6693_44E8_B9A4_2BFADD101EE2_.wvu.PrintArea" localSheetId="15" hidden="1">'Sch-6 Dis'!$A$1:$F$28</definedName>
    <definedName name="Z_696D9240_6693_44E8_B9A4_2BFADD101EE2_.wvu.PrintArea" localSheetId="13" hidden="1">'Sch-7'!$A$1:$E$19</definedName>
    <definedName name="Z_696D9240_6693_44E8_B9A4_2BFADD101EE2_.wvu.PrintTitles" localSheetId="4" hidden="1">'Sch-1'!$15:$18</definedName>
    <definedName name="Z_696D9240_6693_44E8_B9A4_2BFADD101EE2_.wvu.PrintTitles" localSheetId="5" hidden="1">'Sch-1 Dis'!$15:$17</definedName>
    <definedName name="Z_696D9240_6693_44E8_B9A4_2BFADD101EE2_.wvu.PrintTitles" localSheetId="6" hidden="1">'Sch-2'!$12:$20</definedName>
    <definedName name="Z_696D9240_6693_44E8_B9A4_2BFADD101EE2_.wvu.PrintTitles" localSheetId="7" hidden="1">'Sch-2 Dis'!$13:$15</definedName>
    <definedName name="Z_696D9240_6693_44E8_B9A4_2BFADD101EE2_.wvu.PrintTitles" localSheetId="8" hidden="1">'sch-3'!$12:$17</definedName>
    <definedName name="Z_696D9240_6693_44E8_B9A4_2BFADD101EE2_.wvu.PrintTitles" localSheetId="9" hidden="1">'Sch-4'!$3:$22</definedName>
    <definedName name="Z_696D9240_6693_44E8_B9A4_2BFADD101EE2_.wvu.PrintTitles" localSheetId="11" hidden="1">'Sch-4 Dis'!$3:$13</definedName>
    <definedName name="Z_696D9240_6693_44E8_B9A4_2BFADD101EE2_.wvu.PrintTitles" localSheetId="10" hidden="1">'Sch-5'!$3:$13</definedName>
    <definedName name="Z_696D9240_6693_44E8_B9A4_2BFADD101EE2_.wvu.PrintTitles" localSheetId="16" hidden="1">'Sch-5 after discount'!$3:$13</definedName>
    <definedName name="Z_696D9240_6693_44E8_B9A4_2BFADD101EE2_.wvu.PrintTitles" localSheetId="12" hidden="1">'Sch-6'!$3:$13</definedName>
    <definedName name="Z_696D9240_6693_44E8_B9A4_2BFADD101EE2_.wvu.PrintTitles" localSheetId="15" hidden="1">'Sch-6 Dis'!$14:$14</definedName>
    <definedName name="Z_696D9240_6693_44E8_B9A4_2BFADD101EE2_.wvu.PrintTitles" localSheetId="13" hidden="1">'Sch-7'!$3:$14</definedName>
    <definedName name="Z_696D9240_6693_44E8_B9A4_2BFADD101EE2_.wvu.Rows" localSheetId="0" hidden="1">'Basic Data'!#REF!</definedName>
    <definedName name="Z_696D9240_6693_44E8_B9A4_2BFADD101EE2_.wvu.Rows" localSheetId="14" hidden="1">'Bid Form 2nd Envelope'!$22:$22</definedName>
    <definedName name="Z_696D9240_6693_44E8_B9A4_2BFADD101EE2_.wvu.Rows" localSheetId="1" hidden="1">Cover!$9:$9,Cover!$12:$12</definedName>
    <definedName name="Z_696D9240_6693_44E8_B9A4_2BFADD101EE2_.wvu.Rows" localSheetId="17" hidden="1">Discount!$21:$21,Discount!$27:$27</definedName>
    <definedName name="Z_696D9240_6693_44E8_B9A4_2BFADD101EE2_.wvu.Rows" localSheetId="4" hidden="1">'Sch-1'!#REF!</definedName>
    <definedName name="Z_6E345679_47E0_4044_94F8_40B7719CE719_.wvu.PrintArea" localSheetId="21" hidden="1">'Q &amp; C'!$A$1:$F$43</definedName>
    <definedName name="Z_9CA44E70_650F_49CD_967F_298619682CA2_.wvu.Cols" localSheetId="17" hidden="1">Discount!$I:$O</definedName>
    <definedName name="Z_9CA44E70_650F_49CD_967F_298619682CA2_.wvu.Cols" localSheetId="4" hidden="1">'Sch-1'!$Q:$U</definedName>
    <definedName name="Z_9CA44E70_650F_49CD_967F_298619682CA2_.wvu.Cols" localSheetId="5" hidden="1">'Sch-1 Dis'!$K:$K</definedName>
    <definedName name="Z_9CA44E70_650F_49CD_967F_298619682CA2_.wvu.Cols" localSheetId="6" hidden="1">'Sch-2'!$H:$I</definedName>
    <definedName name="Z_9CA44E70_650F_49CD_967F_298619682CA2_.wvu.PrintArea" localSheetId="14" hidden="1">'Bid Form 2nd Envelope'!$A$1:$F$53</definedName>
    <definedName name="Z_9CA44E70_650F_49CD_967F_298619682CA2_.wvu.PrintArea" localSheetId="1" hidden="1">Cover!$B$1:$E$17</definedName>
    <definedName name="Z_9CA44E70_650F_49CD_967F_298619682CA2_.wvu.PrintArea" localSheetId="17" hidden="1">Discount!$A$2:$G$41</definedName>
    <definedName name="Z_9CA44E70_650F_49CD_967F_298619682CA2_.wvu.PrintArea" localSheetId="19" hidden="1">'Entry Tax'!$A$1:$E$16</definedName>
    <definedName name="Z_9CA44E70_650F_49CD_967F_298619682CA2_.wvu.PrintArea" localSheetId="3" hidden="1">'Names of Bidder'!$B$1:$D$21</definedName>
    <definedName name="Z_9CA44E70_650F_49CD_967F_298619682CA2_.wvu.PrintArea" localSheetId="18" hidden="1">Octroi!$A$1:$E$16</definedName>
    <definedName name="Z_9CA44E70_650F_49CD_967F_298619682CA2_.wvu.PrintArea" localSheetId="20" hidden="1">'Other taxes &amp; duties'!$A$1:$E$16</definedName>
    <definedName name="Z_9CA44E70_650F_49CD_967F_298619682CA2_.wvu.PrintArea" localSheetId="21" hidden="1">'Q &amp; C'!$A$1:$F$43</definedName>
    <definedName name="Z_9CA44E70_650F_49CD_967F_298619682CA2_.wvu.PrintArea" localSheetId="4" hidden="1">'Sch-1'!$A$1:$O$19</definedName>
    <definedName name="Z_9CA44E70_650F_49CD_967F_298619682CA2_.wvu.PrintArea" localSheetId="5" hidden="1">'Sch-1 Dis'!$A$1:$H$32</definedName>
    <definedName name="Z_9CA44E70_650F_49CD_967F_298619682CA2_.wvu.PrintArea" localSheetId="6" hidden="1">'Sch-2'!$A$1:$F$26</definedName>
    <definedName name="Z_9CA44E70_650F_49CD_967F_298619682CA2_.wvu.PrintArea" localSheetId="7" hidden="1">'Sch-2 Dis'!$A$1:$G$24</definedName>
    <definedName name="Z_9CA44E70_650F_49CD_967F_298619682CA2_.wvu.PrintArea" localSheetId="8" hidden="1">'sch-3'!$A$1:$E$17</definedName>
    <definedName name="Z_9CA44E70_650F_49CD_967F_298619682CA2_.wvu.PrintArea" localSheetId="9" hidden="1">'Sch-4'!$A$1:$E$28</definedName>
    <definedName name="Z_9CA44E70_650F_49CD_967F_298619682CA2_.wvu.PrintArea" localSheetId="11" hidden="1">'Sch-4 Dis'!$A$1:$E$44</definedName>
    <definedName name="Z_9CA44E70_650F_49CD_967F_298619682CA2_.wvu.PrintArea" localSheetId="10" hidden="1">'Sch-5'!$A$1:$E$39</definedName>
    <definedName name="Z_9CA44E70_650F_49CD_967F_298619682CA2_.wvu.PrintArea" localSheetId="16" hidden="1">'Sch-5 after discount'!$A$1:$D$29</definedName>
    <definedName name="Z_9CA44E70_650F_49CD_967F_298619682CA2_.wvu.PrintArea" localSheetId="12" hidden="1">'Sch-6'!$A$1:$D$31</definedName>
    <definedName name="Z_9CA44E70_650F_49CD_967F_298619682CA2_.wvu.PrintArea" localSheetId="15" hidden="1">'Sch-6 Dis'!$A$1:$F$28</definedName>
    <definedName name="Z_9CA44E70_650F_49CD_967F_298619682CA2_.wvu.PrintArea" localSheetId="13" hidden="1">'Sch-7'!$A$1:$E$19</definedName>
    <definedName name="Z_9CA44E70_650F_49CD_967F_298619682CA2_.wvu.PrintArea" localSheetId="22" hidden="1">'T &amp; D'!$A$1:$E$12</definedName>
    <definedName name="Z_9CA44E70_650F_49CD_967F_298619682CA2_.wvu.PrintTitles" localSheetId="4" hidden="1">'Sch-1'!$15:$18</definedName>
    <definedName name="Z_9CA44E70_650F_49CD_967F_298619682CA2_.wvu.PrintTitles" localSheetId="5" hidden="1">'Sch-1 Dis'!$15:$17</definedName>
    <definedName name="Z_9CA44E70_650F_49CD_967F_298619682CA2_.wvu.PrintTitles" localSheetId="6" hidden="1">'Sch-2'!$12:$20</definedName>
    <definedName name="Z_9CA44E70_650F_49CD_967F_298619682CA2_.wvu.PrintTitles" localSheetId="7" hidden="1">'Sch-2 Dis'!$13:$15</definedName>
    <definedName name="Z_9CA44E70_650F_49CD_967F_298619682CA2_.wvu.PrintTitles" localSheetId="8" hidden="1">'sch-3'!$12:$17</definedName>
    <definedName name="Z_9CA44E70_650F_49CD_967F_298619682CA2_.wvu.PrintTitles" localSheetId="9" hidden="1">'Sch-4'!$3:$22</definedName>
    <definedName name="Z_9CA44E70_650F_49CD_967F_298619682CA2_.wvu.PrintTitles" localSheetId="11" hidden="1">'Sch-4 Dis'!$3:$13</definedName>
    <definedName name="Z_9CA44E70_650F_49CD_967F_298619682CA2_.wvu.PrintTitles" localSheetId="10" hidden="1">'Sch-5'!$3:$13</definedName>
    <definedName name="Z_9CA44E70_650F_49CD_967F_298619682CA2_.wvu.PrintTitles" localSheetId="16" hidden="1">'Sch-5 after discount'!$3:$13</definedName>
    <definedName name="Z_9CA44E70_650F_49CD_967F_298619682CA2_.wvu.PrintTitles" localSheetId="12" hidden="1">'Sch-6'!$3:$13</definedName>
    <definedName name="Z_9CA44E70_650F_49CD_967F_298619682CA2_.wvu.PrintTitles" localSheetId="15" hidden="1">'Sch-6 Dis'!$14:$14</definedName>
    <definedName name="Z_9CA44E70_650F_49CD_967F_298619682CA2_.wvu.PrintTitles" localSheetId="13" hidden="1">'Sch-7'!$3:$14</definedName>
    <definedName name="Z_9CA44E70_650F_49CD_967F_298619682CA2_.wvu.Rows" localSheetId="0" hidden="1">'Basic Data'!#REF!</definedName>
    <definedName name="Z_9CA44E70_650F_49CD_967F_298619682CA2_.wvu.Rows" localSheetId="14" hidden="1">'Bid Form 2nd Envelope'!$22:$22</definedName>
    <definedName name="Z_9CA44E70_650F_49CD_967F_298619682CA2_.wvu.Rows" localSheetId="1" hidden="1">Cover!$9:$9,Cover!$12:$12</definedName>
    <definedName name="Z_9CA44E70_650F_49CD_967F_298619682CA2_.wvu.Rows" localSheetId="17" hidden="1">Discount!$19:$19,Discount!$21:$21,Discount!$25:$25,Discount!$27:$27,Discount!$30:$31</definedName>
    <definedName name="Z_9CA44E70_650F_49CD_967F_298619682CA2_.wvu.Rows" localSheetId="4" hidden="1">'Sch-1'!#REF!</definedName>
    <definedName name="Z_B0EE7D76_5806_4718_BDAD_3A3EA691E5E4_.wvu.Cols" localSheetId="17" hidden="1">Discount!$I:$P</definedName>
    <definedName name="Z_B0EE7D76_5806_4718_BDAD_3A3EA691E5E4_.wvu.Cols" localSheetId="4" hidden="1">'Sch-1'!$Q:$U</definedName>
    <definedName name="Z_B0EE7D76_5806_4718_BDAD_3A3EA691E5E4_.wvu.Cols" localSheetId="5" hidden="1">'Sch-1 Dis'!$K:$K</definedName>
    <definedName name="Z_B0EE7D76_5806_4718_BDAD_3A3EA691E5E4_.wvu.Cols" localSheetId="6" hidden="1">'Sch-2'!$H:$I</definedName>
    <definedName name="Z_B0EE7D76_5806_4718_BDAD_3A3EA691E5E4_.wvu.PrintArea" localSheetId="14" hidden="1">'Bid Form 2nd Envelope'!$A$1:$F$55</definedName>
    <definedName name="Z_B0EE7D76_5806_4718_BDAD_3A3EA691E5E4_.wvu.PrintArea" localSheetId="1" hidden="1">Cover!$B$1:$E$17</definedName>
    <definedName name="Z_B0EE7D76_5806_4718_BDAD_3A3EA691E5E4_.wvu.PrintArea" localSheetId="17" hidden="1">Discount!$A$2:$G$41</definedName>
    <definedName name="Z_B0EE7D76_5806_4718_BDAD_3A3EA691E5E4_.wvu.PrintArea" localSheetId="19" hidden="1">'Entry Tax'!$A$1:$E$16</definedName>
    <definedName name="Z_B0EE7D76_5806_4718_BDAD_3A3EA691E5E4_.wvu.PrintArea" localSheetId="3" hidden="1">'Names of Bidder'!$B$1:$E$19</definedName>
    <definedName name="Z_B0EE7D76_5806_4718_BDAD_3A3EA691E5E4_.wvu.PrintArea" localSheetId="18" hidden="1">Octroi!$A$1:$E$16</definedName>
    <definedName name="Z_B0EE7D76_5806_4718_BDAD_3A3EA691E5E4_.wvu.PrintArea" localSheetId="20" hidden="1">'Other taxes &amp; duties'!$A$1:$E$16</definedName>
    <definedName name="Z_B0EE7D76_5806_4718_BDAD_3A3EA691E5E4_.wvu.PrintArea" localSheetId="4" hidden="1">'Sch-1'!$A$1:$O$19</definedName>
    <definedName name="Z_B0EE7D76_5806_4718_BDAD_3A3EA691E5E4_.wvu.PrintArea" localSheetId="5" hidden="1">'Sch-1 Dis'!$A$1:$H$32</definedName>
    <definedName name="Z_B0EE7D76_5806_4718_BDAD_3A3EA691E5E4_.wvu.PrintArea" localSheetId="6" hidden="1">'Sch-2'!$A$1:$F$26</definedName>
    <definedName name="Z_B0EE7D76_5806_4718_BDAD_3A3EA691E5E4_.wvu.PrintArea" localSheetId="7" hidden="1">'Sch-2 Dis'!$A$1:$G$24</definedName>
    <definedName name="Z_B0EE7D76_5806_4718_BDAD_3A3EA691E5E4_.wvu.PrintArea" localSheetId="8" hidden="1">'sch-3'!$A$1:$E$17</definedName>
    <definedName name="Z_B0EE7D76_5806_4718_BDAD_3A3EA691E5E4_.wvu.PrintArea" localSheetId="9" hidden="1">'Sch-4'!$A$1:$E$28</definedName>
    <definedName name="Z_B0EE7D76_5806_4718_BDAD_3A3EA691E5E4_.wvu.PrintArea" localSheetId="11" hidden="1">'Sch-4 Dis'!$A$1:$E$44</definedName>
    <definedName name="Z_B0EE7D76_5806_4718_BDAD_3A3EA691E5E4_.wvu.PrintArea" localSheetId="10" hidden="1">'Sch-5'!$A$1:$E$39</definedName>
    <definedName name="Z_B0EE7D76_5806_4718_BDAD_3A3EA691E5E4_.wvu.PrintArea" localSheetId="16" hidden="1">'Sch-5 after discount'!$A$1:$D$29</definedName>
    <definedName name="Z_B0EE7D76_5806_4718_BDAD_3A3EA691E5E4_.wvu.PrintArea" localSheetId="12" hidden="1">'Sch-6'!$A$1:$D$31</definedName>
    <definedName name="Z_B0EE7D76_5806_4718_BDAD_3A3EA691E5E4_.wvu.PrintArea" localSheetId="15" hidden="1">'Sch-6 Dis'!$A$1:$F$28</definedName>
    <definedName name="Z_B0EE7D76_5806_4718_BDAD_3A3EA691E5E4_.wvu.PrintArea" localSheetId="13" hidden="1">'Sch-7'!$A$1:$E$19</definedName>
    <definedName name="Z_B0EE7D76_5806_4718_BDAD_3A3EA691E5E4_.wvu.PrintTitles" localSheetId="4" hidden="1">'Sch-1'!$15:$18</definedName>
    <definedName name="Z_B0EE7D76_5806_4718_BDAD_3A3EA691E5E4_.wvu.PrintTitles" localSheetId="5" hidden="1">'Sch-1 Dis'!$15:$17</definedName>
    <definedName name="Z_B0EE7D76_5806_4718_BDAD_3A3EA691E5E4_.wvu.PrintTitles" localSheetId="6" hidden="1">'Sch-2'!$12:$20</definedName>
    <definedName name="Z_B0EE7D76_5806_4718_BDAD_3A3EA691E5E4_.wvu.PrintTitles" localSheetId="7" hidden="1">'Sch-2 Dis'!$13:$15</definedName>
    <definedName name="Z_B0EE7D76_5806_4718_BDAD_3A3EA691E5E4_.wvu.PrintTitles" localSheetId="8" hidden="1">'sch-3'!$12:$17</definedName>
    <definedName name="Z_B0EE7D76_5806_4718_BDAD_3A3EA691E5E4_.wvu.PrintTitles" localSheetId="9" hidden="1">'Sch-4'!$3:$22</definedName>
    <definedName name="Z_B0EE7D76_5806_4718_BDAD_3A3EA691E5E4_.wvu.PrintTitles" localSheetId="11" hidden="1">'Sch-4 Dis'!$3:$13</definedName>
    <definedName name="Z_B0EE7D76_5806_4718_BDAD_3A3EA691E5E4_.wvu.PrintTitles" localSheetId="10" hidden="1">'Sch-5'!$3:$13</definedName>
    <definedName name="Z_B0EE7D76_5806_4718_BDAD_3A3EA691E5E4_.wvu.PrintTitles" localSheetId="16" hidden="1">'Sch-5 after discount'!$3:$13</definedName>
    <definedName name="Z_B0EE7D76_5806_4718_BDAD_3A3EA691E5E4_.wvu.PrintTitles" localSheetId="12" hidden="1">'Sch-6'!$3:$13</definedName>
    <definedName name="Z_B0EE7D76_5806_4718_BDAD_3A3EA691E5E4_.wvu.PrintTitles" localSheetId="15" hidden="1">'Sch-6 Dis'!$14:$14</definedName>
    <definedName name="Z_B0EE7D76_5806_4718_BDAD_3A3EA691E5E4_.wvu.PrintTitles" localSheetId="13" hidden="1">'Sch-7'!$3:$14</definedName>
    <definedName name="Z_B0EE7D76_5806_4718_BDAD_3A3EA691E5E4_.wvu.Rows" localSheetId="0" hidden="1">'Basic Data'!#REF!</definedName>
    <definedName name="Z_B0EE7D76_5806_4718_BDAD_3A3EA691E5E4_.wvu.Rows" localSheetId="14" hidden="1">'Bid Form 2nd Envelope'!$22:$22</definedName>
    <definedName name="Z_B0EE7D76_5806_4718_BDAD_3A3EA691E5E4_.wvu.Rows" localSheetId="1" hidden="1">Cover!$9:$9,Cover!$12:$12</definedName>
    <definedName name="Z_B0EE7D76_5806_4718_BDAD_3A3EA691E5E4_.wvu.Rows" localSheetId="17" hidden="1">Discount!$21:$21,Discount!$27:$27</definedName>
    <definedName name="Z_B0EE7D76_5806_4718_BDAD_3A3EA691E5E4_.wvu.Rows" localSheetId="4" hidden="1">'Sch-1'!#REF!</definedName>
    <definedName name="Z_B1277D53_29D6_4226_81E2_084FB62977B6_.wvu.Cols" localSheetId="17" hidden="1">Discount!$I:$P</definedName>
    <definedName name="Z_B1277D53_29D6_4226_81E2_084FB62977B6_.wvu.Cols" localSheetId="4" hidden="1">'Sch-1'!$Q:$U</definedName>
    <definedName name="Z_B1277D53_29D6_4226_81E2_084FB62977B6_.wvu.Cols" localSheetId="5" hidden="1">'Sch-1 Dis'!$K:$K</definedName>
    <definedName name="Z_B1277D53_29D6_4226_81E2_084FB62977B6_.wvu.Cols" localSheetId="6" hidden="1">'Sch-2'!$H:$I</definedName>
    <definedName name="Z_B1277D53_29D6_4226_81E2_084FB62977B6_.wvu.PrintArea" localSheetId="14" hidden="1">'Bid Form 2nd Envelope'!$A$1:$F$53</definedName>
    <definedName name="Z_B1277D53_29D6_4226_81E2_084FB62977B6_.wvu.PrintArea" localSheetId="1" hidden="1">Cover!$B$1:$E$17</definedName>
    <definedName name="Z_B1277D53_29D6_4226_81E2_084FB62977B6_.wvu.PrintArea" localSheetId="17" hidden="1">Discount!$A$2:$G$41</definedName>
    <definedName name="Z_B1277D53_29D6_4226_81E2_084FB62977B6_.wvu.PrintArea" localSheetId="19" hidden="1">'Entry Tax'!$A$1:$E$16</definedName>
    <definedName name="Z_B1277D53_29D6_4226_81E2_084FB62977B6_.wvu.PrintArea" localSheetId="3" hidden="1">'Names of Bidder'!$B$1:$D$21</definedName>
    <definedName name="Z_B1277D53_29D6_4226_81E2_084FB62977B6_.wvu.PrintArea" localSheetId="18" hidden="1">Octroi!$A$1:$E$16</definedName>
    <definedName name="Z_B1277D53_29D6_4226_81E2_084FB62977B6_.wvu.PrintArea" localSheetId="20" hidden="1">'Other taxes &amp; duties'!$A$1:$E$16</definedName>
    <definedName name="Z_B1277D53_29D6_4226_81E2_084FB62977B6_.wvu.PrintArea" localSheetId="21" hidden="1">'Q &amp; C'!$A$1:$F$43</definedName>
    <definedName name="Z_B1277D53_29D6_4226_81E2_084FB62977B6_.wvu.PrintArea" localSheetId="4" hidden="1">'Sch-1'!$A$1:$O$19</definedName>
    <definedName name="Z_B1277D53_29D6_4226_81E2_084FB62977B6_.wvu.PrintArea" localSheetId="5" hidden="1">'Sch-1 Dis'!$A$1:$H$32</definedName>
    <definedName name="Z_B1277D53_29D6_4226_81E2_084FB62977B6_.wvu.PrintArea" localSheetId="6" hidden="1">'Sch-2'!$A$1:$F$26</definedName>
    <definedName name="Z_B1277D53_29D6_4226_81E2_084FB62977B6_.wvu.PrintArea" localSheetId="7" hidden="1">'Sch-2 Dis'!$A$1:$G$24</definedName>
    <definedName name="Z_B1277D53_29D6_4226_81E2_084FB62977B6_.wvu.PrintArea" localSheetId="8" hidden="1">'sch-3'!$A$1:$E$17</definedName>
    <definedName name="Z_B1277D53_29D6_4226_81E2_084FB62977B6_.wvu.PrintArea" localSheetId="9" hidden="1">'Sch-4'!$A$1:$E$28</definedName>
    <definedName name="Z_B1277D53_29D6_4226_81E2_084FB62977B6_.wvu.PrintArea" localSheetId="11" hidden="1">'Sch-4 Dis'!$A$1:$E$44</definedName>
    <definedName name="Z_B1277D53_29D6_4226_81E2_084FB62977B6_.wvu.PrintArea" localSheetId="10" hidden="1">'Sch-5'!$A$1:$E$39</definedName>
    <definedName name="Z_B1277D53_29D6_4226_81E2_084FB62977B6_.wvu.PrintArea" localSheetId="16" hidden="1">'Sch-5 after discount'!$A$1:$D$29</definedName>
    <definedName name="Z_B1277D53_29D6_4226_81E2_084FB62977B6_.wvu.PrintArea" localSheetId="12" hidden="1">'Sch-6'!$A$1:$D$31</definedName>
    <definedName name="Z_B1277D53_29D6_4226_81E2_084FB62977B6_.wvu.PrintArea" localSheetId="15" hidden="1">'Sch-6 Dis'!$A$1:$F$28</definedName>
    <definedName name="Z_B1277D53_29D6_4226_81E2_084FB62977B6_.wvu.PrintArea" localSheetId="13" hidden="1">'Sch-7'!$A$1:$E$19</definedName>
    <definedName name="Z_B1277D53_29D6_4226_81E2_084FB62977B6_.wvu.PrintArea" localSheetId="22" hidden="1">'T &amp; D'!$A$1:$E$12</definedName>
    <definedName name="Z_B1277D53_29D6_4226_81E2_084FB62977B6_.wvu.PrintTitles" localSheetId="4" hidden="1">'Sch-1'!$15:$18</definedName>
    <definedName name="Z_B1277D53_29D6_4226_81E2_084FB62977B6_.wvu.PrintTitles" localSheetId="5" hidden="1">'Sch-1 Dis'!$15:$17</definedName>
    <definedName name="Z_B1277D53_29D6_4226_81E2_084FB62977B6_.wvu.PrintTitles" localSheetId="6" hidden="1">'Sch-2'!$12:$20</definedName>
    <definedName name="Z_B1277D53_29D6_4226_81E2_084FB62977B6_.wvu.PrintTitles" localSheetId="7" hidden="1">'Sch-2 Dis'!$13:$15</definedName>
    <definedName name="Z_B1277D53_29D6_4226_81E2_084FB62977B6_.wvu.PrintTitles" localSheetId="8" hidden="1">'sch-3'!$12:$17</definedName>
    <definedName name="Z_B1277D53_29D6_4226_81E2_084FB62977B6_.wvu.PrintTitles" localSheetId="9" hidden="1">'Sch-4'!$3:$22</definedName>
    <definedName name="Z_B1277D53_29D6_4226_81E2_084FB62977B6_.wvu.PrintTitles" localSheetId="11" hidden="1">'Sch-4 Dis'!$3:$13</definedName>
    <definedName name="Z_B1277D53_29D6_4226_81E2_084FB62977B6_.wvu.PrintTitles" localSheetId="10" hidden="1">'Sch-5'!$3:$13</definedName>
    <definedName name="Z_B1277D53_29D6_4226_81E2_084FB62977B6_.wvu.PrintTitles" localSheetId="16" hidden="1">'Sch-5 after discount'!$3:$13</definedName>
    <definedName name="Z_B1277D53_29D6_4226_81E2_084FB62977B6_.wvu.PrintTitles" localSheetId="12" hidden="1">'Sch-6'!$3:$13</definedName>
    <definedName name="Z_B1277D53_29D6_4226_81E2_084FB62977B6_.wvu.PrintTitles" localSheetId="15" hidden="1">'Sch-6 Dis'!$14:$14</definedName>
    <definedName name="Z_B1277D53_29D6_4226_81E2_084FB62977B6_.wvu.PrintTitles" localSheetId="13" hidden="1">'Sch-7'!$3:$14</definedName>
    <definedName name="Z_B1277D53_29D6_4226_81E2_084FB62977B6_.wvu.Rows" localSheetId="0" hidden="1">'Basic Data'!#REF!</definedName>
    <definedName name="Z_B1277D53_29D6_4226_81E2_084FB62977B6_.wvu.Rows" localSheetId="14" hidden="1">'Bid Form 2nd Envelope'!$22:$22</definedName>
    <definedName name="Z_B1277D53_29D6_4226_81E2_084FB62977B6_.wvu.Rows" localSheetId="1" hidden="1">Cover!$9:$9,Cover!$12:$12</definedName>
    <definedName name="Z_B1277D53_29D6_4226_81E2_084FB62977B6_.wvu.Rows" localSheetId="17" hidden="1">Discount!$21:$21,Discount!$27:$27</definedName>
    <definedName name="Z_B1277D53_29D6_4226_81E2_084FB62977B6_.wvu.Rows" localSheetId="4" hidden="1">'Sch-1'!#REF!</definedName>
    <definedName name="Z_C39F923C_6CD3_45D8_86F8_6C4D806DDD7E_.wvu.Cols" localSheetId="17" hidden="1">Discount!$I:$P</definedName>
    <definedName name="Z_C39F923C_6CD3_45D8_86F8_6C4D806DDD7E_.wvu.Cols" localSheetId="4" hidden="1">'Sch-1'!$Q:$U</definedName>
    <definedName name="Z_C39F923C_6CD3_45D8_86F8_6C4D806DDD7E_.wvu.Cols" localSheetId="5" hidden="1">'Sch-1 Dis'!$K:$K</definedName>
    <definedName name="Z_C39F923C_6CD3_45D8_86F8_6C4D806DDD7E_.wvu.Cols" localSheetId="6" hidden="1">'Sch-2'!$H:$I</definedName>
    <definedName name="Z_C39F923C_6CD3_45D8_86F8_6C4D806DDD7E_.wvu.PrintArea" localSheetId="14" hidden="1">'Bid Form 2nd Envelope'!$A$1:$F$53</definedName>
    <definedName name="Z_C39F923C_6CD3_45D8_86F8_6C4D806DDD7E_.wvu.PrintArea" localSheetId="1" hidden="1">Cover!$B$1:$E$17</definedName>
    <definedName name="Z_C39F923C_6CD3_45D8_86F8_6C4D806DDD7E_.wvu.PrintArea" localSheetId="17" hidden="1">Discount!$A$2:$G$41</definedName>
    <definedName name="Z_C39F923C_6CD3_45D8_86F8_6C4D806DDD7E_.wvu.PrintArea" localSheetId="19" hidden="1">'Entry Tax'!$A$1:$E$16</definedName>
    <definedName name="Z_C39F923C_6CD3_45D8_86F8_6C4D806DDD7E_.wvu.PrintArea" localSheetId="3" hidden="1">'Names of Bidder'!$B$1:$D$21</definedName>
    <definedName name="Z_C39F923C_6CD3_45D8_86F8_6C4D806DDD7E_.wvu.PrintArea" localSheetId="18" hidden="1">Octroi!$A$1:$E$16</definedName>
    <definedName name="Z_C39F923C_6CD3_45D8_86F8_6C4D806DDD7E_.wvu.PrintArea" localSheetId="20" hidden="1">'Other taxes &amp; duties'!$A$1:$E$16</definedName>
    <definedName name="Z_C39F923C_6CD3_45D8_86F8_6C4D806DDD7E_.wvu.PrintArea" localSheetId="21" hidden="1">'Q &amp; C'!$A$1:$F$43</definedName>
    <definedName name="Z_C39F923C_6CD3_45D8_86F8_6C4D806DDD7E_.wvu.PrintArea" localSheetId="4" hidden="1">'Sch-1'!$A$1:$O$19</definedName>
    <definedName name="Z_C39F923C_6CD3_45D8_86F8_6C4D806DDD7E_.wvu.PrintArea" localSheetId="5" hidden="1">'Sch-1 Dis'!$A$1:$H$32</definedName>
    <definedName name="Z_C39F923C_6CD3_45D8_86F8_6C4D806DDD7E_.wvu.PrintArea" localSheetId="6" hidden="1">'Sch-2'!$A$1:$F$26</definedName>
    <definedName name="Z_C39F923C_6CD3_45D8_86F8_6C4D806DDD7E_.wvu.PrintArea" localSheetId="7" hidden="1">'Sch-2 Dis'!$A$1:$G$24</definedName>
    <definedName name="Z_C39F923C_6CD3_45D8_86F8_6C4D806DDD7E_.wvu.PrintArea" localSheetId="8" hidden="1">'sch-3'!$A$1:$E$17</definedName>
    <definedName name="Z_C39F923C_6CD3_45D8_86F8_6C4D806DDD7E_.wvu.PrintArea" localSheetId="9" hidden="1">'Sch-4'!$A$1:$E$28</definedName>
    <definedName name="Z_C39F923C_6CD3_45D8_86F8_6C4D806DDD7E_.wvu.PrintArea" localSheetId="11" hidden="1">'Sch-4 Dis'!$A$1:$E$44</definedName>
    <definedName name="Z_C39F923C_6CD3_45D8_86F8_6C4D806DDD7E_.wvu.PrintArea" localSheetId="10" hidden="1">'Sch-5'!$A$1:$E$39</definedName>
    <definedName name="Z_C39F923C_6CD3_45D8_86F8_6C4D806DDD7E_.wvu.PrintArea" localSheetId="16" hidden="1">'Sch-5 after discount'!$A$1:$D$29</definedName>
    <definedName name="Z_C39F923C_6CD3_45D8_86F8_6C4D806DDD7E_.wvu.PrintArea" localSheetId="12" hidden="1">'Sch-6'!$A$1:$D$31</definedName>
    <definedName name="Z_C39F923C_6CD3_45D8_86F8_6C4D806DDD7E_.wvu.PrintArea" localSheetId="15" hidden="1">'Sch-6 Dis'!$A$1:$F$28</definedName>
    <definedName name="Z_C39F923C_6CD3_45D8_86F8_6C4D806DDD7E_.wvu.PrintArea" localSheetId="13" hidden="1">'Sch-7'!$A$1:$E$19</definedName>
    <definedName name="Z_C39F923C_6CD3_45D8_86F8_6C4D806DDD7E_.wvu.PrintArea" localSheetId="22" hidden="1">'T &amp; D'!$A$1:$E$12</definedName>
    <definedName name="Z_C39F923C_6CD3_45D8_86F8_6C4D806DDD7E_.wvu.PrintTitles" localSheetId="4" hidden="1">'Sch-1'!$15:$18</definedName>
    <definedName name="Z_C39F923C_6CD3_45D8_86F8_6C4D806DDD7E_.wvu.PrintTitles" localSheetId="5" hidden="1">'Sch-1 Dis'!$15:$17</definedName>
    <definedName name="Z_C39F923C_6CD3_45D8_86F8_6C4D806DDD7E_.wvu.PrintTitles" localSheetId="6" hidden="1">'Sch-2'!$12:$20</definedName>
    <definedName name="Z_C39F923C_6CD3_45D8_86F8_6C4D806DDD7E_.wvu.PrintTitles" localSheetId="7" hidden="1">'Sch-2 Dis'!$13:$15</definedName>
    <definedName name="Z_C39F923C_6CD3_45D8_86F8_6C4D806DDD7E_.wvu.PrintTitles" localSheetId="8" hidden="1">'sch-3'!$12:$17</definedName>
    <definedName name="Z_C39F923C_6CD3_45D8_86F8_6C4D806DDD7E_.wvu.PrintTitles" localSheetId="9" hidden="1">'Sch-4'!$3:$22</definedName>
    <definedName name="Z_C39F923C_6CD3_45D8_86F8_6C4D806DDD7E_.wvu.PrintTitles" localSheetId="11" hidden="1">'Sch-4 Dis'!$3:$13</definedName>
    <definedName name="Z_C39F923C_6CD3_45D8_86F8_6C4D806DDD7E_.wvu.PrintTitles" localSheetId="10" hidden="1">'Sch-5'!$3:$13</definedName>
    <definedName name="Z_C39F923C_6CD3_45D8_86F8_6C4D806DDD7E_.wvu.PrintTitles" localSheetId="16" hidden="1">'Sch-5 after discount'!$3:$13</definedName>
    <definedName name="Z_C39F923C_6CD3_45D8_86F8_6C4D806DDD7E_.wvu.PrintTitles" localSheetId="12" hidden="1">'Sch-6'!$3:$13</definedName>
    <definedName name="Z_C39F923C_6CD3_45D8_86F8_6C4D806DDD7E_.wvu.PrintTitles" localSheetId="15" hidden="1">'Sch-6 Dis'!$14:$14</definedName>
    <definedName name="Z_C39F923C_6CD3_45D8_86F8_6C4D806DDD7E_.wvu.PrintTitles" localSheetId="13" hidden="1">'Sch-7'!$3:$14</definedName>
    <definedName name="Z_C39F923C_6CD3_45D8_86F8_6C4D806DDD7E_.wvu.Rows" localSheetId="0" hidden="1">'Basic Data'!#REF!</definedName>
    <definedName name="Z_C39F923C_6CD3_45D8_86F8_6C4D806DDD7E_.wvu.Rows" localSheetId="14" hidden="1">'Bid Form 2nd Envelope'!$22:$22</definedName>
    <definedName name="Z_C39F923C_6CD3_45D8_86F8_6C4D806DDD7E_.wvu.Rows" localSheetId="1" hidden="1">Cover!$9:$9,Cover!$12:$12</definedName>
    <definedName name="Z_C39F923C_6CD3_45D8_86F8_6C4D806DDD7E_.wvu.Rows" localSheetId="17" hidden="1">Discount!$21:$21,Discount!$27:$27</definedName>
    <definedName name="Z_C39F923C_6CD3_45D8_86F8_6C4D806DDD7E_.wvu.Rows" localSheetId="4" hidden="1">'Sch-1'!#REF!</definedName>
    <definedName name="Z_E95B21C1_D936_4435_AF6F_90CF0B6A7506_.wvu.Cols" localSheetId="17" hidden="1">Discount!$I:$P</definedName>
    <definedName name="Z_E95B21C1_D936_4435_AF6F_90CF0B6A7506_.wvu.Cols" localSheetId="4" hidden="1">'Sch-1'!$Q:$U</definedName>
    <definedName name="Z_E95B21C1_D936_4435_AF6F_90CF0B6A7506_.wvu.Cols" localSheetId="5" hidden="1">'Sch-1 Dis'!$K:$K</definedName>
    <definedName name="Z_E95B21C1_D936_4435_AF6F_90CF0B6A7506_.wvu.Cols" localSheetId="6" hidden="1">'Sch-2'!$H:$I</definedName>
    <definedName name="Z_E95B21C1_D936_4435_AF6F_90CF0B6A7506_.wvu.PrintArea" localSheetId="14" hidden="1">'Bid Form 2nd Envelope'!$A$1:$F$53</definedName>
    <definedName name="Z_E95B21C1_D936_4435_AF6F_90CF0B6A7506_.wvu.PrintArea" localSheetId="1" hidden="1">Cover!$B$1:$E$17</definedName>
    <definedName name="Z_E95B21C1_D936_4435_AF6F_90CF0B6A7506_.wvu.PrintArea" localSheetId="17" hidden="1">Discount!$A$2:$G$41</definedName>
    <definedName name="Z_E95B21C1_D936_4435_AF6F_90CF0B6A7506_.wvu.PrintArea" localSheetId="19" hidden="1">'Entry Tax'!$A$1:$E$16</definedName>
    <definedName name="Z_E95B21C1_D936_4435_AF6F_90CF0B6A7506_.wvu.PrintArea" localSheetId="3" hidden="1">'Names of Bidder'!$B$1:$D$21</definedName>
    <definedName name="Z_E95B21C1_D936_4435_AF6F_90CF0B6A7506_.wvu.PrintArea" localSheetId="18" hidden="1">Octroi!$A$1:$E$16</definedName>
    <definedName name="Z_E95B21C1_D936_4435_AF6F_90CF0B6A7506_.wvu.PrintArea" localSheetId="20" hidden="1">'Other taxes &amp; duties'!$A$1:$E$16</definedName>
    <definedName name="Z_E95B21C1_D936_4435_AF6F_90CF0B6A7506_.wvu.PrintArea" localSheetId="21" hidden="1">'Q &amp; C'!$A$1:$F$43</definedName>
    <definedName name="Z_E95B21C1_D936_4435_AF6F_90CF0B6A7506_.wvu.PrintArea" localSheetId="4" hidden="1">'Sch-1'!$A$1:$O$19</definedName>
    <definedName name="Z_E95B21C1_D936_4435_AF6F_90CF0B6A7506_.wvu.PrintArea" localSheetId="5" hidden="1">'Sch-1 Dis'!$A$1:$H$32</definedName>
    <definedName name="Z_E95B21C1_D936_4435_AF6F_90CF0B6A7506_.wvu.PrintArea" localSheetId="6" hidden="1">'Sch-2'!$A$1:$F$26</definedName>
    <definedName name="Z_E95B21C1_D936_4435_AF6F_90CF0B6A7506_.wvu.PrintArea" localSheetId="7" hidden="1">'Sch-2 Dis'!$A$1:$G$24</definedName>
    <definedName name="Z_E95B21C1_D936_4435_AF6F_90CF0B6A7506_.wvu.PrintArea" localSheetId="8" hidden="1">'sch-3'!$A$1:$E$17</definedName>
    <definedName name="Z_E95B21C1_D936_4435_AF6F_90CF0B6A7506_.wvu.PrintArea" localSheetId="9" hidden="1">'Sch-4'!$A$1:$E$28</definedName>
    <definedName name="Z_E95B21C1_D936_4435_AF6F_90CF0B6A7506_.wvu.PrintArea" localSheetId="11" hidden="1">'Sch-4 Dis'!$A$1:$E$44</definedName>
    <definedName name="Z_E95B21C1_D936_4435_AF6F_90CF0B6A7506_.wvu.PrintArea" localSheetId="10" hidden="1">'Sch-5'!$A$1:$E$39</definedName>
    <definedName name="Z_E95B21C1_D936_4435_AF6F_90CF0B6A7506_.wvu.PrintArea" localSheetId="16" hidden="1">'Sch-5 after discount'!$A$1:$D$29</definedName>
    <definedName name="Z_E95B21C1_D936_4435_AF6F_90CF0B6A7506_.wvu.PrintArea" localSheetId="12" hidden="1">'Sch-6'!$A$1:$D$31</definedName>
    <definedName name="Z_E95B21C1_D936_4435_AF6F_90CF0B6A7506_.wvu.PrintArea" localSheetId="15" hidden="1">'Sch-6 Dis'!$A$1:$F$28</definedName>
    <definedName name="Z_E95B21C1_D936_4435_AF6F_90CF0B6A7506_.wvu.PrintArea" localSheetId="13" hidden="1">'Sch-7'!$A$1:$E$19</definedName>
    <definedName name="Z_E95B21C1_D936_4435_AF6F_90CF0B6A7506_.wvu.PrintArea" localSheetId="22" hidden="1">'T &amp; D'!$A$1:$E$12</definedName>
    <definedName name="Z_E95B21C1_D936_4435_AF6F_90CF0B6A7506_.wvu.PrintTitles" localSheetId="4" hidden="1">'Sch-1'!$15:$18</definedName>
    <definedName name="Z_E95B21C1_D936_4435_AF6F_90CF0B6A7506_.wvu.PrintTitles" localSheetId="5" hidden="1">'Sch-1 Dis'!$15:$17</definedName>
    <definedName name="Z_E95B21C1_D936_4435_AF6F_90CF0B6A7506_.wvu.PrintTitles" localSheetId="6" hidden="1">'Sch-2'!$12:$20</definedName>
    <definedName name="Z_E95B21C1_D936_4435_AF6F_90CF0B6A7506_.wvu.PrintTitles" localSheetId="7" hidden="1">'Sch-2 Dis'!$13:$15</definedName>
    <definedName name="Z_E95B21C1_D936_4435_AF6F_90CF0B6A7506_.wvu.PrintTitles" localSheetId="8" hidden="1">'sch-3'!$12:$17</definedName>
    <definedName name="Z_E95B21C1_D936_4435_AF6F_90CF0B6A7506_.wvu.PrintTitles" localSheetId="9" hidden="1">'Sch-4'!$3:$22</definedName>
    <definedName name="Z_E95B21C1_D936_4435_AF6F_90CF0B6A7506_.wvu.PrintTitles" localSheetId="11" hidden="1">'Sch-4 Dis'!$3:$13</definedName>
    <definedName name="Z_E95B21C1_D936_4435_AF6F_90CF0B6A7506_.wvu.PrintTitles" localSheetId="10" hidden="1">'Sch-5'!$3:$13</definedName>
    <definedName name="Z_E95B21C1_D936_4435_AF6F_90CF0B6A7506_.wvu.PrintTitles" localSheetId="16" hidden="1">'Sch-5 after discount'!$3:$13</definedName>
    <definedName name="Z_E95B21C1_D936_4435_AF6F_90CF0B6A7506_.wvu.PrintTitles" localSheetId="12" hidden="1">'Sch-6'!$3:$13</definedName>
    <definedName name="Z_E95B21C1_D936_4435_AF6F_90CF0B6A7506_.wvu.PrintTitles" localSheetId="15" hidden="1">'Sch-6 Dis'!$14:$14</definedName>
    <definedName name="Z_E95B21C1_D936_4435_AF6F_90CF0B6A7506_.wvu.PrintTitles" localSheetId="13" hidden="1">'Sch-7'!$3:$14</definedName>
    <definedName name="Z_E95B21C1_D936_4435_AF6F_90CF0B6A7506_.wvu.Rows" localSheetId="0" hidden="1">'Basic Data'!#REF!</definedName>
    <definedName name="Z_E95B21C1_D936_4435_AF6F_90CF0B6A7506_.wvu.Rows" localSheetId="14" hidden="1">'Bid Form 2nd Envelope'!$22:$22</definedName>
    <definedName name="Z_E95B21C1_D936_4435_AF6F_90CF0B6A7506_.wvu.Rows" localSheetId="1" hidden="1">Cover!$9:$9,Cover!$12:$12</definedName>
    <definedName name="Z_E95B21C1_D936_4435_AF6F_90CF0B6A7506_.wvu.Rows" localSheetId="17" hidden="1">Discount!$21:$21,Discount!$27:$27</definedName>
    <definedName name="Z_E95B21C1_D936_4435_AF6F_90CF0B6A7506_.wvu.Rows" localSheetId="4" hidden="1">'Sch-1'!#REF!</definedName>
    <definedName name="Z_F51A1875_E3DE_4601_ADCE_E0FEEC04A5F8_.wvu.PrintArea" localSheetId="2" hidden="1">Instructions!$A$1:$C$50</definedName>
  </definedNames>
  <calcPr calcId="191029"/>
  <customWorkbookViews>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6"/>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2"/>
    <customWorkbookView name="01487 - Personal View" guid="{E95B21C1-D936-4435-AF6F-90CF0B6A7506}" mergeInterval="0" personalView="1" maximized="1" windowWidth="1362" windowHeight="509" activeSheetId="20"/>
    <customWorkbookView name="65005 - Personal View" guid="{08A645C4-A23F-4400-B0CE-1685BC312A6F}" mergeInterval="0" personalView="1" maximized="1" windowWidth="1362" windowHeight="543" tabRatio="875" activeSheetId="20"/>
  </customWorkbookViews>
</workbook>
</file>

<file path=xl/calcChain.xml><?xml version="1.0" encoding="utf-8"?>
<calcChain xmlns="http://schemas.openxmlformats.org/spreadsheetml/2006/main">
  <c r="P20" i="28" l="1"/>
  <c r="M20" i="28"/>
  <c r="N20" i="28"/>
  <c r="O20" i="28" s="1"/>
  <c r="J20" i="28"/>
  <c r="G20" i="28"/>
  <c r="P81" i="28"/>
  <c r="P80" i="28"/>
  <c r="P79" i="28"/>
  <c r="P78" i="28"/>
  <c r="P76" i="28"/>
  <c r="M81" i="28"/>
  <c r="M80" i="28"/>
  <c r="M79" i="28"/>
  <c r="M78" i="28"/>
  <c r="M76" i="28"/>
  <c r="J81" i="28"/>
  <c r="G81" i="28"/>
  <c r="J80" i="28"/>
  <c r="G80" i="28"/>
  <c r="J79" i="28"/>
  <c r="G79" i="28"/>
  <c r="J78" i="28"/>
  <c r="G78" i="28"/>
  <c r="P87" i="28"/>
  <c r="P93" i="28"/>
  <c r="P119" i="28"/>
  <c r="M87" i="28"/>
  <c r="J87" i="28"/>
  <c r="G87" i="28"/>
  <c r="J92" i="28"/>
  <c r="J93" i="28"/>
  <c r="J86" i="28"/>
  <c r="M93" i="28"/>
  <c r="M92" i="28"/>
  <c r="G93" i="28"/>
  <c r="G83" i="28"/>
  <c r="J83" i="28"/>
  <c r="M83" i="28"/>
  <c r="P83" i="28"/>
  <c r="G84" i="28"/>
  <c r="J84" i="28"/>
  <c r="M84" i="28"/>
  <c r="P84" i="28"/>
  <c r="G85" i="28"/>
  <c r="J85" i="28"/>
  <c r="M85" i="28"/>
  <c r="P85" i="28"/>
  <c r="G86" i="28"/>
  <c r="M86" i="28"/>
  <c r="P86" i="28"/>
  <c r="B25" i="7"/>
  <c r="A9" i="20"/>
  <c r="P28" i="28"/>
  <c r="P29" i="28"/>
  <c r="P30" i="28"/>
  <c r="P32" i="28"/>
  <c r="P33" i="28"/>
  <c r="P35" i="28"/>
  <c r="P38" i="28"/>
  <c r="P39" i="28"/>
  <c r="P40" i="28"/>
  <c r="P41" i="28"/>
  <c r="P43" i="28"/>
  <c r="P44" i="28"/>
  <c r="P45" i="28"/>
  <c r="P46" i="28"/>
  <c r="P48" i="28"/>
  <c r="P49" i="28"/>
  <c r="P52" i="28"/>
  <c r="P54" i="28"/>
  <c r="P57" i="28"/>
  <c r="P59" i="28"/>
  <c r="P61" i="28"/>
  <c r="P63" i="28"/>
  <c r="P66" i="28"/>
  <c r="P68" i="28"/>
  <c r="P70" i="28"/>
  <c r="P71" i="28"/>
  <c r="P73" i="28"/>
  <c r="P74" i="28"/>
  <c r="P75" i="28"/>
  <c r="P89" i="28"/>
  <c r="P90" i="28"/>
  <c r="P91" i="28"/>
  <c r="P92" i="28"/>
  <c r="P95" i="28"/>
  <c r="P96" i="28"/>
  <c r="P98" i="28"/>
  <c r="P99" i="28"/>
  <c r="P101" i="28"/>
  <c r="P102" i="28"/>
  <c r="P103" i="28"/>
  <c r="P104" i="28"/>
  <c r="P105" i="28"/>
  <c r="P106" i="28"/>
  <c r="P107" i="28"/>
  <c r="P109" i="28"/>
  <c r="P110" i="28"/>
  <c r="P112" i="28"/>
  <c r="P113" i="28"/>
  <c r="P114" i="28"/>
  <c r="P115" i="28"/>
  <c r="P117" i="28"/>
  <c r="P120" i="28"/>
  <c r="P121" i="28"/>
  <c r="P122" i="28"/>
  <c r="P123" i="28"/>
  <c r="P21" i="28"/>
  <c r="P19" i="28"/>
  <c r="P22" i="28"/>
  <c r="J123" i="28"/>
  <c r="J122" i="28"/>
  <c r="J121" i="28"/>
  <c r="J120" i="28"/>
  <c r="G123" i="28"/>
  <c r="G122" i="28"/>
  <c r="G121" i="28"/>
  <c r="G120" i="28"/>
  <c r="J119" i="28"/>
  <c r="G119" i="28"/>
  <c r="J117" i="28"/>
  <c r="G117" i="28"/>
  <c r="J115" i="28"/>
  <c r="J114" i="28"/>
  <c r="J113" i="28"/>
  <c r="J112" i="28"/>
  <c r="G115" i="28"/>
  <c r="G114" i="28"/>
  <c r="G113" i="28"/>
  <c r="G112" i="28"/>
  <c r="J109" i="28"/>
  <c r="G109" i="28"/>
  <c r="J107" i="28"/>
  <c r="G107" i="28"/>
  <c r="J106" i="28"/>
  <c r="G106" i="28"/>
  <c r="J105" i="28"/>
  <c r="J104" i="28"/>
  <c r="J103" i="28"/>
  <c r="G105" i="28"/>
  <c r="G104" i="28"/>
  <c r="G103" i="28"/>
  <c r="J102" i="28"/>
  <c r="J101" i="28"/>
  <c r="G102" i="28"/>
  <c r="G101" i="28"/>
  <c r="J99" i="28"/>
  <c r="J98" i="28"/>
  <c r="G99" i="28"/>
  <c r="G98" i="28"/>
  <c r="J96" i="28"/>
  <c r="G96" i="28"/>
  <c r="J89" i="28"/>
  <c r="G89" i="28"/>
  <c r="J71" i="28"/>
  <c r="G71" i="28"/>
  <c r="J57" i="28"/>
  <c r="G57" i="28"/>
  <c r="J52" i="28"/>
  <c r="G52" i="28"/>
  <c r="J48" i="28"/>
  <c r="G48" i="28"/>
  <c r="J45" i="28"/>
  <c r="G45" i="28"/>
  <c r="J43" i="28"/>
  <c r="G43" i="28"/>
  <c r="J39" i="28"/>
  <c r="G39" i="28"/>
  <c r="J35" i="28"/>
  <c r="G35" i="28"/>
  <c r="J32" i="28"/>
  <c r="G32" i="28"/>
  <c r="J30" i="28"/>
  <c r="G30" i="28"/>
  <c r="M123" i="28"/>
  <c r="M122" i="28"/>
  <c r="M121" i="28"/>
  <c r="M120" i="28"/>
  <c r="M119" i="28"/>
  <c r="M117" i="28"/>
  <c r="M115" i="28"/>
  <c r="M114" i="28"/>
  <c r="M113" i="28"/>
  <c r="M112" i="28"/>
  <c r="M110" i="28"/>
  <c r="M109" i="28"/>
  <c r="M107" i="28"/>
  <c r="M106" i="28"/>
  <c r="M105" i="28"/>
  <c r="M104" i="28"/>
  <c r="M103" i="28"/>
  <c r="M102" i="28"/>
  <c r="M101" i="28"/>
  <c r="M99" i="28"/>
  <c r="M98" i="28"/>
  <c r="M96" i="28"/>
  <c r="M95" i="28"/>
  <c r="M91" i="28"/>
  <c r="M90" i="28"/>
  <c r="M89" i="28"/>
  <c r="M75" i="28"/>
  <c r="M74" i="28"/>
  <c r="M73" i="28"/>
  <c r="M71" i="28"/>
  <c r="M70" i="28"/>
  <c r="M68" i="28"/>
  <c r="M66" i="28"/>
  <c r="M63" i="28"/>
  <c r="M61" i="28"/>
  <c r="M59" i="28"/>
  <c r="M57" i="28"/>
  <c r="M54" i="28"/>
  <c r="M52" i="28"/>
  <c r="M49" i="28"/>
  <c r="M48" i="28"/>
  <c r="M46" i="28"/>
  <c r="M45" i="28"/>
  <c r="M44" i="28"/>
  <c r="M43" i="28"/>
  <c r="M41" i="28"/>
  <c r="M40" i="28"/>
  <c r="M39" i="28"/>
  <c r="M38" i="28"/>
  <c r="M35" i="28"/>
  <c r="M34" i="28"/>
  <c r="M33" i="28"/>
  <c r="M32" i="28"/>
  <c r="M30" i="28"/>
  <c r="M29" i="28"/>
  <c r="M28" i="28"/>
  <c r="A1" i="26"/>
  <c r="A3" i="8"/>
  <c r="M26" i="28"/>
  <c r="M124" i="28" s="1"/>
  <c r="M21" i="28"/>
  <c r="N21" i="28"/>
  <c r="O21" i="28"/>
  <c r="M19" i="28"/>
  <c r="N19" i="28"/>
  <c r="O19" i="28"/>
  <c r="J19" i="28"/>
  <c r="G19" i="28"/>
  <c r="J110" i="28"/>
  <c r="J95" i="28"/>
  <c r="J91" i="28"/>
  <c r="J90" i="28"/>
  <c r="J76" i="28"/>
  <c r="J75" i="28"/>
  <c r="J74" i="28"/>
  <c r="J73" i="28"/>
  <c r="J70" i="28"/>
  <c r="J68" i="28"/>
  <c r="J66" i="28"/>
  <c r="J63" i="28"/>
  <c r="J61" i="28"/>
  <c r="J59" i="28"/>
  <c r="J54" i="28"/>
  <c r="J49" i="28"/>
  <c r="J46" i="28"/>
  <c r="J44" i="28"/>
  <c r="J41" i="28"/>
  <c r="J40" i="28"/>
  <c r="J38" i="28"/>
  <c r="J33" i="28"/>
  <c r="J29" i="28"/>
  <c r="J28" i="28"/>
  <c r="J26" i="28"/>
  <c r="G28" i="28"/>
  <c r="G29" i="28"/>
  <c r="G33" i="28"/>
  <c r="G38" i="28"/>
  <c r="G40" i="28"/>
  <c r="G41" i="28"/>
  <c r="G44" i="28"/>
  <c r="G46" i="28"/>
  <c r="G49" i="28"/>
  <c r="G54" i="28"/>
  <c r="G59" i="28"/>
  <c r="G61" i="28"/>
  <c r="G63" i="28"/>
  <c r="G66" i="28"/>
  <c r="G68" i="28"/>
  <c r="G70" i="28"/>
  <c r="G73" i="28"/>
  <c r="G74" i="28"/>
  <c r="G75" i="28"/>
  <c r="G76" i="28"/>
  <c r="G90" i="28"/>
  <c r="G91" i="28"/>
  <c r="G92" i="28"/>
  <c r="G95" i="28"/>
  <c r="G110" i="28"/>
  <c r="P26" i="28"/>
  <c r="G26" i="28"/>
  <c r="J21" i="28"/>
  <c r="G21" i="28"/>
  <c r="N20" i="5"/>
  <c r="N19" i="5"/>
  <c r="N18" i="5"/>
  <c r="N21" i="5" s="1"/>
  <c r="A7" i="10"/>
  <c r="A6" i="10"/>
  <c r="A7" i="7"/>
  <c r="A6" i="7"/>
  <c r="B11" i="25"/>
  <c r="B10" i="25"/>
  <c r="B9" i="25"/>
  <c r="B8" i="25"/>
  <c r="B9" i="12"/>
  <c r="B10" i="12"/>
  <c r="B11" i="12"/>
  <c r="B8" i="12"/>
  <c r="B11" i="10"/>
  <c r="B10" i="10"/>
  <c r="B9" i="10"/>
  <c r="B8" i="10"/>
  <c r="B11" i="29"/>
  <c r="B10" i="29"/>
  <c r="B9" i="29"/>
  <c r="B8" i="29"/>
  <c r="B11" i="28"/>
  <c r="B10" i="28"/>
  <c r="B9" i="28"/>
  <c r="B8" i="28"/>
  <c r="B11" i="7"/>
  <c r="B10" i="7"/>
  <c r="B9" i="7"/>
  <c r="B8" i="7"/>
  <c r="M20" i="7"/>
  <c r="M19" i="7"/>
  <c r="M18" i="7"/>
  <c r="M21" i="7"/>
  <c r="D7" i="21"/>
  <c r="M18" i="5"/>
  <c r="O18" i="5"/>
  <c r="O21" i="5" s="1"/>
  <c r="D7" i="25"/>
  <c r="D7" i="12"/>
  <c r="D7" i="10"/>
  <c r="D7" i="29"/>
  <c r="L7" i="28"/>
  <c r="K7" i="7"/>
  <c r="B11" i="5"/>
  <c r="B10" i="5"/>
  <c r="B27" i="12"/>
  <c r="D28" i="26"/>
  <c r="I19" i="16"/>
  <c r="J19" i="16" s="1"/>
  <c r="B26" i="12"/>
  <c r="B23" i="10"/>
  <c r="B22" i="10"/>
  <c r="E23" i="10"/>
  <c r="D27" i="12"/>
  <c r="E22" i="10"/>
  <c r="D26" i="12"/>
  <c r="E28" i="29"/>
  <c r="E27" i="29"/>
  <c r="B27" i="29"/>
  <c r="B26" i="29"/>
  <c r="F137" i="28"/>
  <c r="F136" i="28"/>
  <c r="L25" i="7"/>
  <c r="F31" i="5"/>
  <c r="F30" i="5"/>
  <c r="B9" i="5"/>
  <c r="B9" i="15" s="1"/>
  <c r="B8" i="5"/>
  <c r="G37" i="16" s="1"/>
  <c r="B8" i="15"/>
  <c r="E19" i="25"/>
  <c r="E18" i="25"/>
  <c r="B18" i="25"/>
  <c r="B17" i="25"/>
  <c r="L26" i="7"/>
  <c r="B26" i="7"/>
  <c r="B137" i="28"/>
  <c r="B136" i="28"/>
  <c r="B31" i="5"/>
  <c r="B30" i="5"/>
  <c r="M20" i="5"/>
  <c r="M21" i="5" s="1"/>
  <c r="O20" i="5"/>
  <c r="J20" i="5"/>
  <c r="G20" i="5"/>
  <c r="F26" i="15"/>
  <c r="G21" i="8"/>
  <c r="I24" i="16"/>
  <c r="M19" i="5"/>
  <c r="O19" i="5"/>
  <c r="J19" i="5"/>
  <c r="G19" i="5"/>
  <c r="J18" i="5"/>
  <c r="G18" i="5"/>
  <c r="F44" i="20"/>
  <c r="B44" i="20"/>
  <c r="F43" i="20"/>
  <c r="B43" i="20"/>
  <c r="B27" i="20"/>
  <c r="B26" i="20"/>
  <c r="B25" i="20"/>
  <c r="B24" i="20"/>
  <c r="B23" i="20"/>
  <c r="B21" i="20"/>
  <c r="B20" i="20"/>
  <c r="B6" i="20"/>
  <c r="AG7" i="20" s="1"/>
  <c r="AG8" i="20" s="1"/>
  <c r="F41" i="20"/>
  <c r="H22" i="20"/>
  <c r="B22" i="20"/>
  <c r="A8" i="20"/>
  <c r="Z2" i="20"/>
  <c r="Z1" i="20"/>
  <c r="K14" i="10"/>
  <c r="G15" i="10"/>
  <c r="G14" i="10"/>
  <c r="G28" i="21"/>
  <c r="G5" i="22"/>
  <c r="E15" i="27"/>
  <c r="E14" i="27"/>
  <c r="E13" i="27"/>
  <c r="E12" i="27"/>
  <c r="E11" i="27"/>
  <c r="E10" i="27"/>
  <c r="E16" i="27" s="1"/>
  <c r="E9" i="27"/>
  <c r="E8" i="27"/>
  <c r="E7" i="27"/>
  <c r="E6" i="27"/>
  <c r="D18" i="21"/>
  <c r="L28" i="21" s="1"/>
  <c r="G15" i="25"/>
  <c r="J24" i="16"/>
  <c r="H1" i="22"/>
  <c r="K18" i="6"/>
  <c r="G19" i="6"/>
  <c r="D14" i="11" s="1"/>
  <c r="H2" i="22"/>
  <c r="H3" i="22"/>
  <c r="H4" i="22"/>
  <c r="H5" i="22"/>
  <c r="F9" i="21"/>
  <c r="D21" i="21"/>
  <c r="F21" i="21"/>
  <c r="J24" i="21"/>
  <c r="I24" i="21" s="1"/>
  <c r="J25" i="21"/>
  <c r="I25" i="21" s="1"/>
  <c r="I2" i="22" s="1"/>
  <c r="G26" i="21"/>
  <c r="J26" i="21"/>
  <c r="I26" i="21" s="1"/>
  <c r="AA6" i="4"/>
  <c r="B41" i="11"/>
  <c r="E6" i="18"/>
  <c r="E7" i="18"/>
  <c r="E8" i="18"/>
  <c r="E9" i="18"/>
  <c r="E16" i="18" s="1"/>
  <c r="E10" i="18"/>
  <c r="E11" i="18"/>
  <c r="E12" i="18"/>
  <c r="E13" i="18"/>
  <c r="E14" i="18"/>
  <c r="E15" i="18"/>
  <c r="E6" i="17"/>
  <c r="E16" i="17" s="1"/>
  <c r="D27" i="11"/>
  <c r="E7" i="17"/>
  <c r="E8" i="17"/>
  <c r="E9" i="17"/>
  <c r="E10" i="17"/>
  <c r="E11" i="17"/>
  <c r="E12" i="17"/>
  <c r="E13" i="17"/>
  <c r="E14" i="17"/>
  <c r="E15" i="17"/>
  <c r="J16" i="16"/>
  <c r="J25" i="16"/>
  <c r="J26" i="16"/>
  <c r="J27" i="16"/>
  <c r="J28" i="16"/>
  <c r="J31" i="16"/>
  <c r="O4" i="15"/>
  <c r="O5" i="15"/>
  <c r="O6" i="15"/>
  <c r="O8" i="15"/>
  <c r="A16" i="15"/>
  <c r="B16" i="15"/>
  <c r="C16" i="15"/>
  <c r="D16" i="15"/>
  <c r="A17" i="15"/>
  <c r="B17" i="15"/>
  <c r="C17" i="15"/>
  <c r="D17" i="15"/>
  <c r="A18" i="15"/>
  <c r="B18" i="15"/>
  <c r="C18" i="15"/>
  <c r="D18" i="15"/>
  <c r="A19" i="15"/>
  <c r="B19" i="15"/>
  <c r="C19" i="15"/>
  <c r="D19" i="15"/>
  <c r="A20" i="15"/>
  <c r="B20" i="15"/>
  <c r="C20" i="15"/>
  <c r="D20" i="15"/>
  <c r="N21" i="15"/>
  <c r="O22" i="15"/>
  <c r="C16" i="11"/>
  <c r="K14" i="11" s="1"/>
  <c r="C21" i="11"/>
  <c r="C26" i="11"/>
  <c r="A16" i="8"/>
  <c r="A17" i="8"/>
  <c r="B16" i="8"/>
  <c r="C16" i="8"/>
  <c r="D16" i="8"/>
  <c r="E16" i="8"/>
  <c r="A7" i="6"/>
  <c r="B8" i="6"/>
  <c r="B9" i="6"/>
  <c r="B10" i="6"/>
  <c r="B11" i="6"/>
  <c r="A18" i="6"/>
  <c r="B18" i="6"/>
  <c r="C18" i="6"/>
  <c r="D18" i="6"/>
  <c r="E18" i="6"/>
  <c r="H18" i="6"/>
  <c r="B29" i="6"/>
  <c r="B30" i="6"/>
  <c r="G30" i="6"/>
  <c r="G31" i="6"/>
  <c r="C40" i="16"/>
  <c r="F16" i="8"/>
  <c r="G16" i="8"/>
  <c r="G17" i="8" s="1"/>
  <c r="F18" i="6"/>
  <c r="G18" i="6"/>
  <c r="I21" i="16"/>
  <c r="J21" i="16"/>
  <c r="I27" i="16"/>
  <c r="I20" i="16"/>
  <c r="J20" i="16"/>
  <c r="I26" i="16"/>
  <c r="F31" i="21"/>
  <c r="F37" i="21" s="1"/>
  <c r="F38" i="21" s="1"/>
  <c r="F17" i="21" s="1"/>
  <c r="F32" i="21"/>
  <c r="F14" i="21" s="1"/>
  <c r="F19" i="21" s="1"/>
  <c r="I31" i="16"/>
  <c r="I29" i="16"/>
  <c r="J29" i="16"/>
  <c r="I22" i="16"/>
  <c r="J22" i="16" s="1"/>
  <c r="I16" i="16"/>
  <c r="I15" i="16"/>
  <c r="J15" i="16" s="1"/>
  <c r="I28" i="16"/>
  <c r="E20" i="15"/>
  <c r="F20" i="15"/>
  <c r="E17" i="15"/>
  <c r="F17" i="15" s="1"/>
  <c r="F21" i="15" s="1"/>
  <c r="G22" i="6" s="1"/>
  <c r="E19" i="15"/>
  <c r="F19" i="15"/>
  <c r="E18" i="15"/>
  <c r="F18" i="15" s="1"/>
  <c r="B20" i="8"/>
  <c r="B11" i="11"/>
  <c r="B11" i="15"/>
  <c r="B11" i="8"/>
  <c r="B26" i="15"/>
  <c r="B27" i="26"/>
  <c r="D30" i="11"/>
  <c r="D17" i="21"/>
  <c r="L27" i="21" s="1"/>
  <c r="D17" i="26"/>
  <c r="G25" i="21"/>
  <c r="G2" i="22" s="1"/>
  <c r="D33" i="11"/>
  <c r="G27" i="21"/>
  <c r="D21" i="26"/>
  <c r="C39" i="16"/>
  <c r="B26" i="26"/>
  <c r="B25" i="15"/>
  <c r="C19" i="11"/>
  <c r="C20" i="11" s="1"/>
  <c r="B42" i="11"/>
  <c r="B21" i="8"/>
  <c r="F40" i="16"/>
  <c r="D27" i="26"/>
  <c r="A6" i="15"/>
  <c r="A6" i="25"/>
  <c r="A6" i="12"/>
  <c r="A6" i="26"/>
  <c r="A6" i="8"/>
  <c r="A6" i="11"/>
  <c r="A6" i="29"/>
  <c r="A6" i="28"/>
  <c r="A7" i="25"/>
  <c r="A7" i="8"/>
  <c r="A7" i="11"/>
  <c r="A7" i="15"/>
  <c r="A7" i="29"/>
  <c r="A7" i="26"/>
  <c r="A7" i="12"/>
  <c r="A7" i="28"/>
  <c r="E42" i="11"/>
  <c r="F39" i="16"/>
  <c r="F27" i="15"/>
  <c r="G22" i="8"/>
  <c r="I25" i="16"/>
  <c r="E43" i="11"/>
  <c r="I18" i="16"/>
  <c r="J18" i="16"/>
  <c r="G20" i="6"/>
  <c r="D15" i="26"/>
  <c r="D24" i="26" s="1"/>
  <c r="D6" i="21"/>
  <c r="F6" i="21"/>
  <c r="G24" i="21"/>
  <c r="G1" i="22"/>
  <c r="A1" i="11"/>
  <c r="A1" i="25"/>
  <c r="A1" i="10"/>
  <c r="A3" i="29"/>
  <c r="C14" i="20"/>
  <c r="A43" i="21"/>
  <c r="A3" i="6"/>
  <c r="B8" i="8"/>
  <c r="A1" i="12"/>
  <c r="A1" i="28"/>
  <c r="A1" i="15"/>
  <c r="A1" i="20"/>
  <c r="A1" i="29"/>
  <c r="A1" i="6"/>
  <c r="A1" i="5"/>
  <c r="A1" i="7"/>
  <c r="A1" i="8"/>
  <c r="B2" i="4"/>
  <c r="A2" i="16"/>
  <c r="A3" i="15"/>
  <c r="G3" i="22"/>
  <c r="A3" i="25"/>
  <c r="A3" i="10"/>
  <c r="A3" i="28"/>
  <c r="A3" i="11"/>
  <c r="A3" i="12"/>
  <c r="A3" i="5"/>
  <c r="A3" i="26"/>
  <c r="B1" i="4"/>
  <c r="A3" i="7"/>
  <c r="C12" i="16"/>
  <c r="B9" i="11"/>
  <c r="B9" i="8"/>
  <c r="P124" i="28"/>
  <c r="P125" i="28" s="1"/>
  <c r="D16" i="10" l="1"/>
  <c r="D17" i="10" s="1"/>
  <c r="D21" i="12" s="1"/>
  <c r="P127" i="28"/>
  <c r="D36" i="11"/>
  <c r="D14" i="21"/>
  <c r="O22" i="28"/>
  <c r="M125" i="28"/>
  <c r="L4" i="22"/>
  <c r="K27" i="21"/>
  <c r="K4" i="22" s="1"/>
  <c r="O19" i="16"/>
  <c r="O18" i="16"/>
  <c r="O22" i="16"/>
  <c r="O21" i="16"/>
  <c r="O20" i="16"/>
  <c r="F36" i="21"/>
  <c r="F18" i="21" s="1"/>
  <c r="K28" i="21"/>
  <c r="K5" i="22" s="1"/>
  <c r="D8" i="22" s="1"/>
  <c r="L5" i="22"/>
  <c r="B28" i="21"/>
  <c r="I3" i="22"/>
  <c r="I1" i="22"/>
  <c r="AG6" i="20"/>
  <c r="J2" i="22"/>
  <c r="G21" i="6"/>
  <c r="G23" i="6" s="1"/>
  <c r="H11" i="21" s="1"/>
  <c r="D11" i="21" s="1"/>
  <c r="F11" i="21" s="1"/>
  <c r="B9" i="26"/>
  <c r="D33" i="21"/>
  <c r="F33" i="21" s="1"/>
  <c r="D4" i="21"/>
  <c r="D17" i="11"/>
  <c r="J3" i="22"/>
  <c r="C24" i="11"/>
  <c r="B8" i="26"/>
  <c r="B8" i="11"/>
  <c r="G4" i="22"/>
  <c r="AG9" i="20"/>
  <c r="F7" i="21"/>
  <c r="J1" i="22"/>
  <c r="F34" i="21" l="1"/>
  <c r="F15" i="21" s="1"/>
  <c r="F35" i="21"/>
  <c r="F16" i="21" s="1"/>
  <c r="L24" i="21"/>
  <c r="D19" i="21"/>
  <c r="B27" i="21"/>
  <c r="D7" i="22"/>
  <c r="D15" i="21"/>
  <c r="L25" i="21" s="1"/>
  <c r="K17" i="11"/>
  <c r="P126" i="28"/>
  <c r="D19" i="12"/>
  <c r="D24" i="12"/>
  <c r="AB16" i="20" s="1"/>
  <c r="D22" i="11"/>
  <c r="C25" i="11"/>
  <c r="B16" i="20" l="1"/>
  <c r="A1" i="23"/>
  <c r="K25" i="21"/>
  <c r="L2" i="22"/>
  <c r="L1" i="22"/>
  <c r="K24" i="21"/>
  <c r="D16" i="21"/>
  <c r="L26" i="21" s="1"/>
  <c r="K22" i="11"/>
  <c r="O7" i="15"/>
  <c r="D8" i="21"/>
  <c r="O3" i="15"/>
  <c r="O9" i="15" s="1"/>
  <c r="N17" i="15" s="1"/>
  <c r="K1" i="22" l="1"/>
  <c r="D4" i="22" s="1"/>
  <c r="B24" i="21"/>
  <c r="L3" i="22"/>
  <c r="K26" i="21"/>
  <c r="F8" i="21"/>
  <c r="F10" i="21" s="1"/>
  <c r="D10" i="21"/>
  <c r="K2" i="22"/>
  <c r="D5" i="22" s="1"/>
  <c r="B25" i="21"/>
  <c r="A7" i="23"/>
  <c r="B7" i="23" s="1"/>
  <c r="D7" i="23" s="1"/>
  <c r="A8" i="23"/>
  <c r="B8" i="23" s="1"/>
  <c r="D8" i="23" s="1"/>
  <c r="A10" i="23"/>
  <c r="B10" i="23" s="1"/>
  <c r="D10" i="23" s="1"/>
  <c r="A11" i="23"/>
  <c r="B11" i="23" s="1"/>
  <c r="D11" i="23" s="1"/>
  <c r="A6" i="23"/>
  <c r="B6" i="23" s="1"/>
  <c r="A9" i="23"/>
  <c r="B9" i="23" s="1"/>
  <c r="D9" i="23" s="1"/>
  <c r="F12" i="21" l="1"/>
  <c r="F20" i="21"/>
  <c r="K3" i="22"/>
  <c r="D6" i="22" s="1"/>
  <c r="B26" i="21"/>
  <c r="D20" i="21"/>
  <c r="D12" i="21"/>
  <c r="A4" i="23"/>
  <c r="B10" i="8"/>
  <c r="B10" i="11"/>
  <c r="B10" i="26"/>
  <c r="B12" i="5"/>
  <c r="B10" i="15"/>
</calcChain>
</file>

<file path=xl/sharedStrings.xml><?xml version="1.0" encoding="utf-8"?>
<sst xmlns="http://schemas.openxmlformats.org/spreadsheetml/2006/main" count="1103" uniqueCount="658">
  <si>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</si>
  <si>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</si>
  <si>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</si>
  <si>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</si>
  <si>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</si>
  <si>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</si>
  <si>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</si>
  <si>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</si>
  <si>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</si>
  <si>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</si>
  <si>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</si>
  <si>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</si>
  <si>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</si>
  <si>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</si>
  <si>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</si>
  <si>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</si>
  <si>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</si>
  <si>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</si>
  <si>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</si>
  <si>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</si>
  <si>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</si>
  <si>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</si>
  <si>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</si>
  <si>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</si>
  <si>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</si>
  <si>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</si>
  <si>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</si>
  <si>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</si>
  <si>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</si>
  <si>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</si>
  <si>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</si>
  <si>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</si>
  <si>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</si>
  <si>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</si>
  <si>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</si>
  <si>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</si>
  <si>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</si>
  <si>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</si>
  <si>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</si>
  <si>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</si>
  <si>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</si>
  <si>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</si>
  <si>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</si>
  <si>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</si>
  <si>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</si>
  <si>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</si>
  <si>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</si>
  <si>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</si>
  <si>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</si>
  <si>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</si>
  <si>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</si>
  <si>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</si>
  <si>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</si>
  <si>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</si>
  <si>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</si>
  <si>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</si>
  <si>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</si>
  <si>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</si>
  <si>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</si>
  <si>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</si>
  <si>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</si>
  <si>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</si>
  <si>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</si>
  <si>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</si>
  <si>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</si>
  <si>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</si>
  <si>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</si>
  <si>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</si>
  <si>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</si>
  <si>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</si>
  <si>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</si>
  <si>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</si>
  <si>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</si>
  <si>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</si>
  <si>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</si>
  <si>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</si>
  <si>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</si>
  <si>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</si>
  <si>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</si>
  <si>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</si>
  <si>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</si>
  <si>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</si>
  <si>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</si>
  <si>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</si>
  <si>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</si>
  <si>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</si>
  <si>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</si>
  <si>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</si>
  <si>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</si>
  <si>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</si>
  <si>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</si>
  <si>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</si>
  <si>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</si>
  <si>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</si>
  <si>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</si>
  <si>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</si>
  <si>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</si>
  <si>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</si>
  <si>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</si>
  <si>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</si>
  <si>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</si>
  <si>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</si>
  <si>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</si>
  <si>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</si>
  <si>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</si>
  <si>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</si>
  <si>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</si>
  <si>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</si>
  <si>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</si>
  <si>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</si>
  <si>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</si>
  <si>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</si>
  <si>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</si>
  <si>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</si>
  <si>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</si>
  <si>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</si>
  <si>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</si>
  <si>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</si>
  <si>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</si>
  <si>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</si>
  <si>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</si>
  <si>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</si>
  <si>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</si>
  <si>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</si>
  <si>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</si>
  <si>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</si>
  <si>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</si>
  <si>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Please consider this letter of discount as the integral part of our price bid.</t>
  </si>
  <si>
    <t>Letter of Discount</t>
  </si>
  <si>
    <t xml:space="preserve">This letter of discount is optional. Bidder may / may not offer any discount. </t>
  </si>
  <si>
    <t>After Discount</t>
  </si>
  <si>
    <t>Sales Tax</t>
  </si>
  <si>
    <t>Vat</t>
  </si>
  <si>
    <t>Discount Sche-7</t>
  </si>
  <si>
    <t>Enter following details of the bidder</t>
  </si>
  <si>
    <t xml:space="preserve">Printed Name </t>
  </si>
  <si>
    <t>Designation</t>
  </si>
  <si>
    <t xml:space="preserve">Date     </t>
  </si>
  <si>
    <t xml:space="preserve">Place     </t>
  </si>
  <si>
    <t>Schedule-1 : Ex works prices (Direct Only)</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</si>
  <si>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</si>
  <si>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</si>
  <si>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</si>
  <si>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</si>
  <si>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</si>
  <si>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</si>
  <si>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</si>
  <si>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</si>
  <si>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</si>
  <si>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</si>
  <si>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</si>
  <si>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Specification No.</t>
  </si>
  <si>
    <t>[Fill up data only in the relevent open area]</t>
  </si>
  <si>
    <t>Address</t>
  </si>
  <si>
    <t>Bidder’s Name and Address</t>
  </si>
  <si>
    <t>Type &amp; Designation</t>
  </si>
  <si>
    <t>7 = 5 x 6</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</si>
  <si>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</si>
  <si>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</si>
  <si>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</si>
  <si>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</si>
  <si>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</si>
  <si>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</si>
  <si>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</si>
  <si>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</si>
  <si>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</si>
  <si>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</si>
  <si>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</si>
  <si>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</si>
  <si>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</si>
  <si>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</si>
  <si>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</si>
  <si>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Sch-7</t>
  </si>
  <si>
    <t>As per Percent on Sch-7</t>
  </si>
  <si>
    <t>Unit</t>
  </si>
  <si>
    <t>All values are in Indian Rupees.</t>
  </si>
  <si>
    <t>SI. No.</t>
  </si>
  <si>
    <t>Qty.</t>
  </si>
  <si>
    <t>Unit Ex-works price</t>
  </si>
  <si>
    <t>Total Ex-works price</t>
  </si>
  <si>
    <t>Description</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</si>
  <si>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</si>
  <si>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</si>
  <si>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</si>
  <si>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</si>
  <si>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</si>
  <si>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</si>
  <si>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</si>
  <si>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</si>
  <si>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</si>
  <si>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</si>
  <si>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</si>
  <si>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</si>
  <si>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</si>
  <si>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 xml:space="preserve">Local Transportation, Insurance and other Incidental Services </t>
  </si>
  <si>
    <t>5</t>
  </si>
  <si>
    <t>6</t>
  </si>
  <si>
    <t>Item  Description</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</si>
  <si>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</si>
  <si>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</si>
  <si>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</si>
  <si>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</si>
  <si>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</si>
  <si>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</si>
  <si>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</si>
  <si>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</si>
  <si>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</si>
  <si>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</si>
  <si>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</si>
  <si>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</si>
  <si>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</si>
  <si>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</si>
  <si>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</si>
  <si>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</si>
  <si>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</si>
  <si>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</si>
  <si>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</si>
  <si>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</si>
  <si>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</si>
  <si>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</si>
  <si>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</si>
  <si>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</si>
  <si>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</si>
  <si>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</si>
  <si>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</si>
  <si>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</si>
  <si>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</si>
  <si>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</si>
  <si>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</si>
  <si>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</si>
  <si>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</si>
  <si>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</si>
  <si>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</si>
  <si>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- 6</t>
  </si>
  <si>
    <t>SL. NO.</t>
  </si>
  <si>
    <t>Total Type Test charges: (A)+(B)+C)</t>
  </si>
  <si>
    <t>Not Applicable</t>
  </si>
  <si>
    <t>TOTAL OCTROI</t>
  </si>
  <si>
    <t>TOTAL ENTRY TAX</t>
  </si>
  <si>
    <t>Note       :</t>
  </si>
  <si>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</si>
  <si>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</si>
  <si>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</si>
  <si>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</si>
  <si>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</si>
  <si>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</si>
  <si>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</si>
  <si>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</si>
  <si>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</si>
  <si>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</si>
  <si>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</si>
  <si>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</si>
  <si>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</si>
  <si>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</si>
  <si>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</si>
  <si>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</si>
  <si>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</si>
  <si>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confirm that we shall also get registered with the concerned Sales Tax Authorities, in all the states where the project is located.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</si>
  <si>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</si>
  <si>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</si>
  <si>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</si>
  <si>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</si>
  <si>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</si>
  <si>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</si>
  <si>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</si>
  <si>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</si>
  <si>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</si>
  <si>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</si>
  <si>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</si>
  <si>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</si>
  <si>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</si>
  <si>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</si>
  <si>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</si>
  <si>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</si>
  <si>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</si>
  <si>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</si>
  <si>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</si>
  <si>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</si>
  <si>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</si>
  <si>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</si>
  <si>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</si>
  <si>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</si>
  <si>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</si>
  <si>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</si>
  <si>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Bid Form 2nd Envelope</t>
  </si>
  <si>
    <t>Supervision Charges.</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</si>
  <si>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</si>
  <si>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Total Type Test charges as per Schedule-6</t>
  </si>
  <si>
    <t>Bought Out</t>
  </si>
  <si>
    <t xml:space="preserve">to be paid extra at actual </t>
  </si>
  <si>
    <t>Click here for details of Octroi</t>
  </si>
  <si>
    <t>Click here for details of Entry Taxes</t>
  </si>
  <si>
    <t>Eq Weightage of Rs/ %</t>
  </si>
  <si>
    <t>Final Discount Factor</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</si>
  <si>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</si>
  <si>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</si>
  <si>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</si>
  <si>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</si>
  <si>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</si>
  <si>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</si>
  <si>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</si>
  <si>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</si>
  <si>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</si>
  <si>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</si>
  <si>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</si>
  <si>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</si>
  <si>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</si>
  <si>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</si>
  <si>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</si>
  <si>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</si>
  <si>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</si>
  <si>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</si>
  <si>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</si>
  <si>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</si>
  <si>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</si>
  <si>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</si>
  <si>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</si>
  <si>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</si>
  <si>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</si>
  <si>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</si>
  <si>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</si>
  <si>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</si>
  <si>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</si>
  <si>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</si>
  <si>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</si>
  <si>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</si>
  <si>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</si>
  <si>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</si>
  <si>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</si>
  <si>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</si>
  <si>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</si>
  <si>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</si>
  <si>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</si>
  <si>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</si>
  <si>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</si>
  <si>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</si>
  <si>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</si>
  <si>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</si>
  <si>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</si>
  <si>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</si>
  <si>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</si>
  <si>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</si>
  <si>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</si>
  <si>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</si>
  <si>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</si>
  <si>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</si>
  <si>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</si>
  <si>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</si>
  <si>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</si>
  <si>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</si>
  <si>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</si>
  <si>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</si>
  <si>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</si>
  <si>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</si>
  <si>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</si>
  <si>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</si>
  <si>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</si>
  <si>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</si>
  <si>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</si>
  <si>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</si>
  <si>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</si>
  <si>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</si>
  <si>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</si>
  <si>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</si>
  <si>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</si>
  <si>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</si>
  <si>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Discount(s) offered at sl. No. 1 to 4 will automatically get displayed and accounted for in the respective items of the Schedules.</t>
  </si>
  <si>
    <t>We hereby offer Multi-package discount as given below:</t>
  </si>
  <si>
    <t>Happy Bidding !</t>
  </si>
  <si>
    <t>* * *</t>
  </si>
  <si>
    <t>Fill up additional information as required.</t>
  </si>
  <si>
    <t>●</t>
  </si>
  <si>
    <t>Fill up ref. no. as bidder's ref no. of this letter.</t>
  </si>
  <si>
    <r>
      <t>Bid from 2</t>
    </r>
    <r>
      <rPr>
        <b/>
        <vertAlign val="superscript"/>
        <sz val="12"/>
        <color indexed="12"/>
        <rFont val="Book Antiqua"/>
        <family val="1"/>
      </rPr>
      <t>nd</t>
    </r>
    <r>
      <rPr>
        <b/>
        <sz val="12"/>
        <color indexed="12"/>
        <rFont val="Book Antiqua"/>
        <family val="1"/>
      </rPr>
      <t xml:space="preserve"> Envelope :</t>
    </r>
  </si>
  <si>
    <t>Total amount shall get calculated automatically.</t>
  </si>
  <si>
    <t>Click for Sch-1 given at the right top of the worksheet to go to Sch-1.</t>
  </si>
  <si>
    <t>Names of Bidder :</t>
  </si>
  <si>
    <t>Opening page of the workbook.</t>
  </si>
  <si>
    <t xml:space="preserve">Cover : </t>
  </si>
  <si>
    <t>This Workbook consists of following worksheets :</t>
  </si>
  <si>
    <t>II</t>
  </si>
  <si>
    <t>Do not reformat any of the cell of the work book.</t>
  </si>
  <si>
    <t>(vi)</t>
  </si>
  <si>
    <t>Do not use copy &amp; paste or cut &amp; paste options for filling up the data.</t>
  </si>
  <si>
    <t>(v)</t>
  </si>
  <si>
    <t>Do not link any cell of this work book with any other work book.</t>
  </si>
  <si>
    <t>(iv)</t>
  </si>
  <si>
    <t>Select only the options provided in pull down menus.</t>
  </si>
  <si>
    <t>(iii)</t>
  </si>
  <si>
    <t>Certain data type entries have been restricted, such as Numeric values or limits of numeric values.</t>
  </si>
  <si>
    <t>(ii)</t>
  </si>
  <si>
    <t>Fill up only green shaded cells.</t>
  </si>
  <si>
    <t>(i)</t>
  </si>
  <si>
    <t>While filling up the worksheets following may please be observed :</t>
  </si>
  <si>
    <t>I</t>
  </si>
  <si>
    <t xml:space="preserve">Fill up names &amp; Designation of the bidder </t>
  </si>
  <si>
    <r>
      <t xml:space="preserve">TOTAL SCHEDULE NO.3: </t>
    </r>
    <r>
      <rPr>
        <sz val="11"/>
        <rFont val="Book Antiqua"/>
        <family val="1"/>
      </rPr>
      <t>Comperehensive post warranty AMC charges</t>
    </r>
  </si>
  <si>
    <t>Schedule-3 : Comp. post Warranty AMC Charges</t>
  </si>
  <si>
    <t>Schedule-3 :  Annual Maintenance  charges</t>
  </si>
  <si>
    <r>
      <t>Discount on lum-sum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</si>
  <si>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Sch-2, Sch-3 &amp; Sch-6] </t>
    </r>
    <r>
      <rPr>
        <b/>
        <sz val="11"/>
        <rFont val="Book Antiqua"/>
        <family val="1"/>
      </rPr>
      <t>In Percent (%)</t>
    </r>
  </si>
  <si>
    <t>Schedule-6 : Installation and Commissioning  charges</t>
  </si>
  <si>
    <r>
      <t>Discount on percent basis on the Schedules as given below :</t>
    </r>
    <r>
      <rPr>
        <sz val="11"/>
        <rFont val="Book Antiqua"/>
        <family val="1"/>
      </rPr>
      <t xml:space="preserve"> [The discount shall be proportionately applicable on all the relevent items of the respective Schedules.] </t>
    </r>
    <r>
      <rPr>
        <b/>
        <sz val="11"/>
        <rFont val="Book Antiqua"/>
        <family val="1"/>
      </rPr>
      <t>In Percent (%)</t>
    </r>
  </si>
  <si>
    <t>GRAND TOTAL [1+2+3+4+5]</t>
  </si>
  <si>
    <t>Proprietership Firm</t>
  </si>
  <si>
    <t>Partnership Firm</t>
  </si>
  <si>
    <t>Private Ltd</t>
  </si>
  <si>
    <t xml:space="preserve">Name of Bidder </t>
  </si>
  <si>
    <t>Date:</t>
  </si>
  <si>
    <t>Place:</t>
  </si>
  <si>
    <t xml:space="preserve">SUMMARY OF TAXES &amp; DUTIES APPLICABLE </t>
  </si>
  <si>
    <t>NOT APPLICABLE</t>
  </si>
  <si>
    <t>Taxes &amp; Duties</t>
  </si>
  <si>
    <t>INSTRUCTION FOR BIDDERS TO FILL THE WORKBOOK</t>
  </si>
  <si>
    <t>Address of Registered Office</t>
  </si>
  <si>
    <t>Fill up date in dd-mm-yyyy format.</t>
  </si>
  <si>
    <t xml:space="preserve">This letter shall consider the net price as per Sch-6. </t>
  </si>
  <si>
    <t>Sl.No.</t>
  </si>
  <si>
    <t>Description of Item</t>
  </si>
  <si>
    <t xml:space="preserve">Unit </t>
  </si>
  <si>
    <t>Amount</t>
  </si>
  <si>
    <t>In Fig.</t>
  </si>
  <si>
    <t>INR</t>
  </si>
  <si>
    <t>Break-up of type test charges (Not Applicable)</t>
  </si>
  <si>
    <t>Bought-out</t>
  </si>
  <si>
    <t>applicable</t>
  </si>
  <si>
    <t>TOTAL SCHEDULE NO. 6</t>
  </si>
  <si>
    <t>Manufacturer</t>
  </si>
  <si>
    <t>Individual Firm</t>
  </si>
  <si>
    <t>Authorised Representative of Manufacturer</t>
  </si>
  <si>
    <t>Fill up the  Bidder's Details. Joint Venture Not Applicable.</t>
  </si>
  <si>
    <t>BOQ_Kolkata '!A1</t>
  </si>
  <si>
    <t>Break up of quantities is given for Eastern &amp; North Eastern Region in</t>
  </si>
  <si>
    <t>BOQ_Guwahati '!A1</t>
  </si>
  <si>
    <t>Schedule -5</t>
  </si>
  <si>
    <t>Total Quantity</t>
  </si>
  <si>
    <t>Location/ Quantity</t>
  </si>
  <si>
    <t>Dhanbad</t>
  </si>
  <si>
    <t>Palamu</t>
  </si>
  <si>
    <t>East Singhbhum</t>
  </si>
  <si>
    <t>Lohardaga</t>
  </si>
  <si>
    <t>Latehar</t>
  </si>
  <si>
    <t>Giridih</t>
  </si>
  <si>
    <t>Type Test charges</t>
  </si>
  <si>
    <t>Ch. Manager(Tele-Contracts)</t>
  </si>
  <si>
    <t>1st Floor, CF-17, New Town Action Area-IC</t>
  </si>
  <si>
    <t>Rajarhat, Kolkata- 700 156</t>
  </si>
  <si>
    <t>Ex-works price of Goods including Type test charges</t>
  </si>
  <si>
    <t>Not Applicable; hence no cell is required to be filled up.</t>
  </si>
  <si>
    <t>No cell is required to be filled in by the bidder in this worksheet.</t>
  </si>
  <si>
    <t xml:space="preserve"> Installation charges </t>
  </si>
  <si>
    <t>(GRAND SUMMARY after discount)</t>
  </si>
  <si>
    <t xml:space="preserve">Specify type of Bidder         </t>
  </si>
  <si>
    <r>
      <t>General guidelines for filling up  the Price Schedules &amp; Bid Form for 2</t>
    </r>
    <r>
      <rPr>
        <b/>
        <vertAlign val="superscript"/>
        <sz val="12"/>
        <rFont val="Book Antiqua"/>
        <family val="1"/>
      </rPr>
      <t>nd</t>
    </r>
    <r>
      <rPr>
        <b/>
        <sz val="12"/>
        <rFont val="Book Antiqua"/>
        <family val="1"/>
      </rPr>
      <t xml:space="preserve"> Envelope</t>
    </r>
  </si>
  <si>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t>
  </si>
  <si>
    <t>(All prices are in Indian Rupees)</t>
  </si>
  <si>
    <t>A</t>
  </si>
  <si>
    <t>Training Charges</t>
  </si>
  <si>
    <t>1. Price Component of training to be imparted to Owner's Personnel by Bidder's instructor</t>
  </si>
  <si>
    <t>Country where training is to be imparted</t>
  </si>
  <si>
    <t>Item for which training is to be imparted</t>
  </si>
  <si>
    <t>Training duration in days</t>
  </si>
  <si>
    <t xml:space="preserve">Training Charges </t>
  </si>
  <si>
    <t>per DIEM Rate</t>
  </si>
  <si>
    <t>Total Amount</t>
  </si>
  <si>
    <t>Schedule - 5</t>
  </si>
  <si>
    <t>Schedule -6</t>
  </si>
  <si>
    <t>Schedule - 7</t>
  </si>
  <si>
    <t>Sch -5 : (Taxes &amp; Duties)</t>
  </si>
  <si>
    <t>Summary of all applicable taxes &amp; duties.</t>
  </si>
  <si>
    <t>Sch -6 : (Grand Total)</t>
  </si>
  <si>
    <t>Package Code</t>
  </si>
  <si>
    <t>Fill up unit rates excluding GST  for all the items in numeric values greater than 0 (zero). If unit rate is left blank, the corresponding item shall be deemed to be included in the total price.</t>
  </si>
  <si>
    <t>GST is excluded in unit rate.</t>
  </si>
  <si>
    <t>SAC/HSN Code</t>
  </si>
  <si>
    <t>Whether SAC/HSN in Column- 5  is confirmed. If not, mention SAC/HSN in Column-7</t>
  </si>
  <si>
    <t>Leave Blank if Bidder opts for same HSN/SAC No.; otherwise Provide applicable SAC/HSN no.</t>
  </si>
  <si>
    <t>GST Rate</t>
  </si>
  <si>
    <t>Whether GST rate in Column- 8  is confirmed. If not, mention GST rate in Column-10</t>
  </si>
  <si>
    <t>Leave Blank if Bidder opts for same GST rate, otherwise Provided applicable GST rate</t>
  </si>
  <si>
    <t>Unit Rate
(excluding GST)</t>
  </si>
  <si>
    <t>GST Amount</t>
  </si>
  <si>
    <t>Total Price 
(Including GST)</t>
  </si>
  <si>
    <t xml:space="preserve">    Notes:  1)     </t>
  </si>
  <si>
    <t>Price shall be quoted strictly as per above format indicating clear price break-up as sought above.</t>
  </si>
  <si>
    <t>2)</t>
  </si>
  <si>
    <t>Bidder Must Keep Column-7 BLANK if Opts for same SAC/HSN code in the Column 6; Otherwise quote applicable SAC/HSN code in Column-7.</t>
  </si>
  <si>
    <t>3)</t>
  </si>
  <si>
    <t>Bidder Must Keep Column-10 BLANK if Opts for same GST rate in Column 9; Otherwise quote applicable GST rate in Column-10.</t>
  </si>
  <si>
    <t>4)</t>
  </si>
  <si>
    <t>Rate shall be Exclusive of GST.</t>
  </si>
  <si>
    <t>5)</t>
  </si>
  <si>
    <t>Any conditional discount offered shall not be considered for at par evaluation of the bids, however the same shall be applicable at the time of awarding contract.</t>
  </si>
  <si>
    <t>6)</t>
  </si>
  <si>
    <t>The price shall be quoted on FIRM basis.</t>
  </si>
  <si>
    <t>Total GST on Goods and Servises</t>
  </si>
  <si>
    <t xml:space="preserve">
GRAND TOTAL </t>
  </si>
  <si>
    <t>Ex-works price of Goods including Type test charges, if any</t>
  </si>
  <si>
    <t>Local Transportation, In-transit Insurance,loading and unloading</t>
  </si>
  <si>
    <t>TOTAL SCHEDULE NO. 3 (Excluding GST)</t>
  </si>
  <si>
    <t>Training Charges. (Not Applicable)</t>
  </si>
  <si>
    <t>Taxes and Duties</t>
  </si>
  <si>
    <t>Grand Summary</t>
  </si>
  <si>
    <t>100% of applicable Taxes and Duties i.e. GST which are paybale by the employer under the contract,shall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</si>
  <si>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  </t>
  </si>
  <si>
    <t>We confirm that we have also registered/we shall also get registered in the GST Network with a GSTIN , in all the states where the project is located and the states from which we shall make our supply of goods.</t>
  </si>
  <si>
    <t>Total quantity for 1 year (Km/ No.)</t>
  </si>
  <si>
    <t xml:space="preserve">TOTAL </t>
  </si>
  <si>
    <t>Goods to be supplied including type test charges,if applicable, as per technical specification</t>
  </si>
  <si>
    <t>Installation charges, as per technical specification</t>
  </si>
  <si>
    <t xml:space="preserve">Local Transportation, Insurance and other incidental services applicable for supply of Goods (including all taxes &amp; duties) </t>
  </si>
  <si>
    <t>Supply and  Installation service</t>
  </si>
  <si>
    <t xml:space="preserve"> Total GST for Goods to be supplied including type test charges,if applicable, as per technical specification</t>
  </si>
  <si>
    <t xml:space="preserve"> Total GST on Installation charges, as per technical specification</t>
  </si>
  <si>
    <t>TOTAL SCHEDULE NO. 5</t>
  </si>
  <si>
    <t>Sch-3 (Installation charges ) :</t>
  </si>
  <si>
    <t>INCLUDED</t>
  </si>
  <si>
    <t>Rate should be quoted inclusive of taxes and duties.No separate taxes &amp; duties will be paid.</t>
  </si>
  <si>
    <t>Included in price.</t>
  </si>
  <si>
    <t>(*)</t>
  </si>
  <si>
    <t>Unit Freight &amp; Insurance Charges(F&amp;I)*</t>
  </si>
  <si>
    <t xml:space="preserve">Break-up of type test charges </t>
  </si>
  <si>
    <t xml:space="preserve">Employer has provided HSN/SAC code and corresponding GST Rate. Fill up SAC/HSN code and applicable GST rate if the bidder opts for different SAC/HSN Code and GST rate than that provided by the Employer. </t>
  </si>
  <si>
    <t>Local/Inland transportation, In-transit insurance , loading and unloading of the plant and eqipment shall be quoted  as composite supply of services, with local/inland transportation being the Principal Supply. It is the Purchaser’s understanding that as per extant provisions, on the charges for supply of services related to Inland transportation, In-transit insurance ,loading and unloading by the Bidder to the Purchaser, GST is not payable. The Bidder is, however, advised to check the position from their own sources. If payable, the same shall be to the Bidder’s account and Purchaser shall not reimburse any GST on this account.</t>
  </si>
  <si>
    <t xml:space="preserve">Fill up SAC/HSN code and GST rate if opted for different SAC/HSN Code and GST rate than that provided by Employer. </t>
  </si>
  <si>
    <t>Bidder Must Keep Column-7 BLANK if Opted for same SAC/HSN code as in the Column 6; Otherwise quote applicable SAC/HSN code in Column-7.</t>
  </si>
  <si>
    <t>Sch-1 (Ex-works Prices) : Not Applicable</t>
  </si>
  <si>
    <t>Sch-2 (Freight &amp; Insurance Charges including Local Transportation, In-transit Insurance,loading and unloading) : Not Applicable</t>
  </si>
  <si>
    <t>Sch-4 (Training charges) : Not Applicable</t>
  </si>
  <si>
    <t>Sch-7 (Break-up of type test charges) : Not Applicable</t>
  </si>
  <si>
    <t>B</t>
  </si>
  <si>
    <t>C</t>
  </si>
  <si>
    <t>Total Price 
(Excluding GST)</t>
  </si>
  <si>
    <t>14 =  (4X11)+(4X11X8 or 10)</t>
  </si>
  <si>
    <t>13= (4*11)</t>
  </si>
  <si>
    <t>Bidder's Name And Address</t>
  </si>
  <si>
    <t>Bidder as Individual Bidder</t>
  </si>
  <si>
    <t>(SCHEDULE OF RATES AND PRICES: Ex-works Prices)</t>
  </si>
  <si>
    <t>(SCHEDULE OF RATES AND PRICES: Installation charges)</t>
  </si>
  <si>
    <t>(Schedule of rates and prices: Training charges)</t>
  </si>
  <si>
    <t>Sch-1, 2, 4 is NOT APPLICABLE.</t>
  </si>
  <si>
    <t>TOTAL SCHEDULE NO. 7 (Not Applicable)</t>
  </si>
  <si>
    <t>TOTAL SCHEDULE NO. 1 (Not Applicable)</t>
  </si>
  <si>
    <t>TOTAL SCHEDULE NO. 2 (Not Applicable)</t>
  </si>
  <si>
    <t>Fill up only green shaded cells in  sheet "Name of Bidderes'',''Bid Form 2nd Envelope'', Sch- 3.</t>
  </si>
  <si>
    <t>Goods to be supplied including type test charges, if applicable, as per Technical Specification.(Not Applicable)</t>
  </si>
  <si>
    <t>Local Transportation, In-transit Insurance, loading and unloading. (Not Applicable)</t>
  </si>
  <si>
    <t>Type Test Charges. (Not Applicable)</t>
  </si>
  <si>
    <t>Total quantity</t>
  </si>
  <si>
    <t>12= (4*11)</t>
  </si>
  <si>
    <t>Amount per Month( Rs.)</t>
  </si>
  <si>
    <t>Amount per annum( Rs.)</t>
  </si>
  <si>
    <t>Rate per Unit (Rs.)</t>
  </si>
  <si>
    <t>13=12*12months</t>
  </si>
  <si>
    <t>Part-I :                   BILL OF QUANTITY OF ROUTINE AND BREAK-DOWN MAINTENANCE</t>
  </si>
  <si>
    <t>Part-II:                  BILL OF QUANTITY FOR PREVENTIVE MAINTENANCE AND LAST MILE CONNECTIVITY</t>
  </si>
  <si>
    <t>Amount for Three (3) years ( Rs.)</t>
  </si>
  <si>
    <t>TOTAL Part-I</t>
  </si>
  <si>
    <t>Insulated GI wire for O/H OFC</t>
  </si>
  <si>
    <t>Warning Tape</t>
  </si>
  <si>
    <t>Route Indicator</t>
  </si>
  <si>
    <t>Amount ( Rs.)</t>
  </si>
  <si>
    <t>For Single duct</t>
  </si>
  <si>
    <t>Stone Slab</t>
  </si>
  <si>
    <t>120 mm nominal size</t>
  </si>
  <si>
    <t>i)</t>
  </si>
  <si>
    <t>ii)</t>
  </si>
  <si>
    <t>Night</t>
  </si>
  <si>
    <t>Per Km / month</t>
  </si>
  <si>
    <t>TOTAL Part-II</t>
  </si>
  <si>
    <t>TOTAL Part-I + Part-II (Excluding GST)</t>
  </si>
  <si>
    <t>Excavation &amp; Backfilling</t>
  </si>
  <si>
    <t>Nos./ Month</t>
  </si>
  <si>
    <t>Annual Maintenance Contract/Last Mile Contract of POWERGRID’s underground/overhead OFC Network in Jalandhar &amp; Pathankot Intracity</t>
  </si>
  <si>
    <t>NRTCC/CS/19-20/AMC LMC/ JAL_PTK/1176</t>
  </si>
  <si>
    <t>Survey and Documentation</t>
  </si>
  <si>
    <t>For Two ducts</t>
  </si>
  <si>
    <t>Extra deployemnt of Jack Hammer for excavation</t>
  </si>
  <si>
    <t>Laying of PLB HDPE pipe O.D. 40 mm</t>
  </si>
  <si>
    <t>Couplers for PLB HDPE Pipe</t>
  </si>
  <si>
    <t>Installation</t>
  </si>
  <si>
    <t>Installation of PLB HDPE pipe by trenchless digging</t>
  </si>
  <si>
    <t>0-10 mtrs span (manual / hand augering)</t>
  </si>
  <si>
    <t>10-30 mtrs span (impact moling)</t>
  </si>
  <si>
    <t>more than 30 mtrs span (HDD)</t>
  </si>
  <si>
    <t>Extra for rock drilling</t>
  </si>
  <si>
    <t>For two duct</t>
  </si>
  <si>
    <t>G.I. Pipe</t>
  </si>
  <si>
    <t>50mm nominal bore (For single duct)</t>
  </si>
  <si>
    <t>100 mm nominal bore (For two ducts)</t>
  </si>
  <si>
    <t>RCC Hume Pipe (Full)</t>
  </si>
  <si>
    <t>80 mm internal dia ( for single duct)</t>
  </si>
  <si>
    <t>100 mm internal dia ( for two duct)</t>
  </si>
  <si>
    <t xml:space="preserve">Warning Brick </t>
  </si>
  <si>
    <t>DWC Pipe</t>
  </si>
  <si>
    <t>75 mm nominal size</t>
  </si>
  <si>
    <t>Laying of under ground optical fiber cable</t>
  </si>
  <si>
    <t>Upto 24 F</t>
  </si>
  <si>
    <t>48 F</t>
  </si>
  <si>
    <t xml:space="preserve">Installation of Joint box in under ground (including splicing and testing) </t>
  </si>
  <si>
    <t>6 Fibres</t>
  </si>
  <si>
    <t>12 Fibres</t>
  </si>
  <si>
    <t>24 Fibres</t>
  </si>
  <si>
    <t>48 Fibres</t>
  </si>
  <si>
    <t>Installation of Fiber management FMS/FDMS (including splicing and testing)</t>
  </si>
  <si>
    <t>up to 8 Fibre</t>
  </si>
  <si>
    <t>up to 12 Fibre</t>
  </si>
  <si>
    <t>up to 24 Fibre</t>
  </si>
  <si>
    <t>up to 48 Fibre</t>
  </si>
  <si>
    <t>Supply and  Installation of RCC man holes</t>
  </si>
  <si>
    <t>for joint locations as per tech spec.</t>
  </si>
  <si>
    <t>providing service loop as per tech spec</t>
  </si>
  <si>
    <t>Supply and  Installation of Brick walled  man holes</t>
  </si>
  <si>
    <t>Supply and  Installation of FRP Based man holes</t>
  </si>
  <si>
    <t>Duct integrity testing (DIT) of existing Duct</t>
  </si>
  <si>
    <t>Installation of PLB HDPE pipe on wall in building premise and routing of OFC inside it</t>
  </si>
  <si>
    <t>Supply and  Installation of flexible PVC conduit on wall/pantry/tray etc in building premise (including routing of OFC through it)</t>
  </si>
  <si>
    <t>Inspection of existing manholes</t>
  </si>
  <si>
    <t xml:space="preserve">Supply and Installation of overhead OFC </t>
  </si>
  <si>
    <t>06 F OFC, for over head subject to approval</t>
  </si>
  <si>
    <t>12 F OFC, for over head subject to approval</t>
  </si>
  <si>
    <t xml:space="preserve">Installation of Aerial  OFC/ UGOFC on overhead </t>
  </si>
  <si>
    <t>Aerial OFC 6/12/24 F</t>
  </si>
  <si>
    <t>Reinstatement of excavated area / damages</t>
  </si>
  <si>
    <t>PCC (1:2:4) over PLB /RCC/DWC etc. ( in case of less depth</t>
  </si>
  <si>
    <t>Supply and Installation of route marker (RCC/ Pre Cast)</t>
  </si>
  <si>
    <t>Supply and Installation of route marker (Stone)</t>
  </si>
  <si>
    <t>Mobilization Charges (One time) for last mile connectivity</t>
  </si>
  <si>
    <t xml:space="preserve">Night stay charges for OPGW section 
</t>
  </si>
  <si>
    <t>MovementCharges for splicing team for rectification in OPGW section</t>
  </si>
  <si>
    <t>2(a)</t>
  </si>
  <si>
    <t>2(b)</t>
  </si>
  <si>
    <t>iii</t>
  </si>
  <si>
    <t>iv</t>
  </si>
  <si>
    <t>b</t>
  </si>
  <si>
    <t>i</t>
  </si>
  <si>
    <t>m</t>
  </si>
  <si>
    <t>Nos.</t>
  </si>
  <si>
    <t>Cu.m</t>
  </si>
  <si>
    <t>km</t>
  </si>
  <si>
    <t>Sq. m</t>
  </si>
  <si>
    <t>All the cells in Sch-5 &amp; Sch-6 are auto filled; therefore no cell is required to be filled by bidder.</t>
  </si>
  <si>
    <t xml:space="preserve">Routine Patrolling and Breakdown maintenance including arranging of ROW permissions, fault identification, fault rectification, supply and installation of joint box / construction of manhole, PCC on exposed duct, laying of RCC/ GI pipes (excluding supply) etc. as per specifications and all associated activities for following Telecom UG &amp; OH OFC (Underground &amp; Overhead) links :                                                                                                                                                                                                                                                                                                                                                                                                                                                                                                                               </t>
  </si>
  <si>
    <t>Supply &amp; installation</t>
  </si>
  <si>
    <t>Supply &amp; Installation</t>
  </si>
  <si>
    <t>up to 96 Fibre</t>
  </si>
  <si>
    <t>Supply &amp; Installation of Fiber management FMS/FDMS (including splicing and testing)</t>
  </si>
  <si>
    <t>Sand Filling in the RCC/Brick Manholesfor Joint/Service loop</t>
  </si>
  <si>
    <t>UGOFC 12/24/48 F</t>
  </si>
  <si>
    <t>Providing of splicing team including four wheeler vehicle, Supervisor, splicer, helper to splicer, OTDR, Splicing machine, tools with a mobile phone etc for Carrying out telecom link maintenance as per Tech Spec'</t>
  </si>
  <si>
    <t>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t>
  </si>
  <si>
    <t xml:space="preserve">Specification No.: WRTCC/CS/20-21/AMC-LMC/B1 </t>
  </si>
  <si>
    <r>
      <rPr>
        <sz val="10"/>
        <rFont val="Book Antiqua"/>
        <family val="1"/>
      </rPr>
      <t>Sr. DGM (Tel-CS &amp; Wi-Fi) 
Power Grid Corporation of India Limited,
Western Region Telecom Control Center, 
1st Floor, Samruddhi Venture Park,
 MIDC Area, Marol, Andheri(East),
Mumbai-400093</t>
    </r>
    <r>
      <rPr>
        <b/>
        <sz val="11"/>
        <rFont val="Book Antiqua"/>
        <family val="1"/>
      </rPr>
      <t xml:space="preserve">
</t>
    </r>
  </si>
  <si>
    <t>Link 1- Vadodara Intracity including route upto Dhumad Chowkadi and up to Vasad (Tower 223) on NH-48 (minimum 1 No Patroller)</t>
  </si>
  <si>
    <t>Link-2  Vadodara-Ahmedabad Expressway (from Repeater MS-42.4 Nadiad to MS-95.0)</t>
  </si>
  <si>
    <t>15 (i)</t>
  </si>
  <si>
    <t>15 (ii)</t>
  </si>
  <si>
    <t xml:space="preserve">Supply &amp; Installation of Joint box above ground (including splicing and testing)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</si>
</sst>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quot;£&quot;* #,##0.00_-;\-&quot;£&quot;* #,##0.00_-;_-&quot;£&quot;* &quot;-&quot;??_-;_-@_-"/>
    <numFmt numFmtId="165" formatCode="_ * #,##0.00_ ;_ * \-#,##0.00_ ;_ * &quot;-&quot;??_ ;_ @_ "/>
    <numFmt numFmtId="166" formatCode="0.0"/>
    <numFmt numFmtId="167" formatCode="0.000"/>
    <numFmt numFmtId="168" formatCode="_(* #,##0_);_(* \(#,##0\);_(* \-??_);_(@_)"/>
    <numFmt numFmtId="169" formatCode="#,##0.0"/>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409]d\-mmm\-yy;@"/>
  </numFmts>
  <fonts count="78">
    <font>
      <sz val="11"/>
      <name val="Book Antiqua"/>
      <family val="1"/>
    </font>
    <font>
      <sz val="10"/>
      <name val="Arial"/>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2"/>
      <name val="Cambria"/>
      <family val="1"/>
    </font>
    <font>
      <sz val="11"/>
      <name val="Cambria"/>
      <family val="1"/>
    </font>
    <font>
      <sz val="10"/>
      <name val="Cambria"/>
      <family val="1"/>
    </font>
    <font>
      <sz val="9"/>
      <name val="Book Antiqua"/>
      <family val="1"/>
    </font>
    <font>
      <b/>
      <sz val="11"/>
      <color indexed="8"/>
      <name val="Cambria"/>
      <family val="1"/>
    </font>
    <font>
      <b/>
      <sz val="12"/>
      <color indexed="8"/>
      <name val="Cambria"/>
      <family val="1"/>
    </font>
    <font>
      <sz val="11"/>
      <color indexed="8"/>
      <name val="Cambria"/>
      <family val="1"/>
    </font>
    <font>
      <sz val="10"/>
      <color indexed="8"/>
      <name val="Cambria"/>
      <family val="1"/>
    </font>
    <font>
      <sz val="11"/>
      <color indexed="8"/>
      <name val="Book Antiqua"/>
      <family val="1"/>
    </font>
    <font>
      <b/>
      <sz val="14"/>
      <name val="Book Antiqua"/>
      <family val="1"/>
    </font>
    <font>
      <b/>
      <vertAlign val="superscript"/>
      <sz val="12"/>
      <color indexed="12"/>
      <name val="Book Antiqua"/>
      <family val="1"/>
    </font>
    <font>
      <b/>
      <sz val="14"/>
      <color indexed="12"/>
      <name val="Book Antiqua"/>
      <family val="1"/>
    </font>
    <font>
      <b/>
      <sz val="36"/>
      <name val="Book Antiqua"/>
      <family val="1"/>
    </font>
    <font>
      <sz val="12"/>
      <name val="Times New Roman"/>
      <family val="1"/>
    </font>
    <font>
      <sz val="11"/>
      <color indexed="8"/>
      <name val="Times New Roman"/>
      <family val="1"/>
    </font>
    <font>
      <sz val="11"/>
      <name val="Times New Roman"/>
      <family val="1"/>
    </font>
    <font>
      <b/>
      <sz val="16"/>
      <name val="Arial"/>
      <family val="2"/>
    </font>
    <font>
      <b/>
      <sz val="11"/>
      <name val="Arial"/>
      <family val="2"/>
    </font>
    <font>
      <b/>
      <sz val="48"/>
      <name val="Book Antiqua"/>
      <family val="1"/>
    </font>
    <font>
      <sz val="10"/>
      <name val="Aerial"/>
    </font>
    <font>
      <b/>
      <sz val="10"/>
      <name val="Aerial"/>
    </font>
    <font>
      <sz val="11"/>
      <color theme="1"/>
      <name val="Calibri"/>
      <family val="2"/>
      <scheme val="minor"/>
    </font>
    <font>
      <sz val="12"/>
      <color theme="0"/>
      <name val="Book Antiqua"/>
      <family val="1"/>
    </font>
    <font>
      <sz val="11"/>
      <color theme="0"/>
      <name val="Book Antiqua"/>
      <family val="1"/>
    </font>
    <font>
      <b/>
      <sz val="11"/>
      <color theme="1"/>
      <name val="Book Antiqua"/>
      <family val="1"/>
    </font>
    <font>
      <sz val="10"/>
      <color theme="0"/>
      <name val="Book Antiqua"/>
      <family val="1"/>
    </font>
    <font>
      <sz val="12"/>
      <color theme="1"/>
      <name val="Book Antiqua"/>
      <family val="1"/>
    </font>
    <font>
      <b/>
      <sz val="12"/>
      <color theme="1"/>
      <name val="Book Antiqua"/>
      <family val="1"/>
    </font>
    <font>
      <sz val="11"/>
      <color theme="1"/>
      <name val="Book Antiqua"/>
      <family val="1"/>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8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s>
  <cellStyleXfs count="62">
    <xf numFmtId="0" fontId="0" fillId="0" borderId="0"/>
    <xf numFmtId="9" fontId="7" fillId="0" borderId="0"/>
    <xf numFmtId="0" fontId="62"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6"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7"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0" fontId="33" fillId="0" borderId="0"/>
    <xf numFmtId="0" fontId="19" fillId="0" borderId="0"/>
    <xf numFmtId="0" fontId="16" fillId="0" borderId="0"/>
    <xf numFmtId="0" fontId="33"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 fillId="0" borderId="0"/>
    <xf numFmtId="0" fontId="16" fillId="0" borderId="0"/>
    <xf numFmtId="0" fontId="16" fillId="0" borderId="0"/>
    <xf numFmtId="0" fontId="1" fillId="0" borderId="0"/>
    <xf numFmtId="0" fontId="36" fillId="0" borderId="0"/>
    <xf numFmtId="0" fontId="1" fillId="0" borderId="0" applyNumberFormat="0" applyFont="0" applyFill="0" applyBorder="0" applyAlignment="0" applyProtection="0">
      <alignment vertical="top"/>
    </xf>
    <xf numFmtId="0" fontId="1" fillId="0" borderId="0"/>
    <xf numFmtId="9" fontId="1" fillId="0" borderId="0" applyFont="0" applyFill="0" applyBorder="0" applyAlignment="0" applyProtection="0"/>
    <xf numFmtId="0" fontId="12" fillId="0" borderId="0" applyFont="0"/>
    <xf numFmtId="0" fontId="13" fillId="0" borderId="0" applyNumberFormat="0" applyFill="0" applyBorder="0" applyAlignment="0" applyProtection="0">
      <alignment vertical="top"/>
      <protection locked="0"/>
    </xf>
    <xf numFmtId="0" fontId="14" fillId="0" borderId="0"/>
  </cellStyleXfs>
  <cellXfs count="1017">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51" applyFont="1" applyBorder="1" applyAlignment="1" applyProtection="1">
      <alignment vertical="center"/>
      <protection hidden="1"/>
    </xf>
    <xf numFmtId="0" fontId="4" fillId="0" borderId="0" xfId="51" applyFont="1" applyBorder="1" applyAlignment="1" applyProtection="1">
      <alignment vertical="center"/>
      <protection hidden="1"/>
    </xf>
    <xf numFmtId="0" fontId="20" fillId="0" borderId="0" xfId="51" applyFont="1" applyBorder="1" applyAlignment="1" applyProtection="1">
      <alignment vertical="center"/>
      <protection hidden="1"/>
    </xf>
    <xf numFmtId="0" fontId="20" fillId="0" borderId="0" xfId="51" applyFont="1" applyAlignment="1" applyProtection="1">
      <alignment vertical="center"/>
      <protection hidden="1"/>
    </xf>
    <xf numFmtId="0" fontId="20" fillId="0" borderId="0" xfId="51" applyFont="1" applyProtection="1">
      <protection hidden="1"/>
    </xf>
    <xf numFmtId="0" fontId="1" fillId="0" borderId="0" xfId="51" applyProtection="1">
      <protection hidden="1"/>
    </xf>
    <xf numFmtId="0" fontId="5" fillId="0" borderId="0" xfId="51" applyFont="1" applyBorder="1" applyAlignment="1" applyProtection="1">
      <alignment vertical="center"/>
      <protection hidden="1"/>
    </xf>
    <xf numFmtId="0" fontId="5" fillId="0" borderId="5" xfId="51" applyFont="1" applyBorder="1" applyAlignment="1" applyProtection="1">
      <alignment vertical="center"/>
      <protection hidden="1"/>
    </xf>
    <xf numFmtId="0" fontId="5" fillId="0" borderId="6" xfId="51" applyFont="1" applyBorder="1" applyAlignment="1" applyProtection="1">
      <alignment vertical="center"/>
      <protection hidden="1"/>
    </xf>
    <xf numFmtId="0" fontId="1" fillId="0" borderId="0" xfId="51"/>
    <xf numFmtId="0" fontId="5" fillId="0" borderId="7" xfId="51" applyFont="1" applyBorder="1" applyAlignment="1" applyProtection="1">
      <alignment vertical="center"/>
      <protection hidden="1"/>
    </xf>
    <xf numFmtId="0" fontId="24" fillId="0" borderId="6" xfId="51" applyFont="1" applyBorder="1" applyAlignment="1" applyProtection="1">
      <alignment vertical="center"/>
      <protection hidden="1"/>
    </xf>
    <xf numFmtId="0" fontId="1" fillId="0" borderId="0" xfId="51" applyAlignment="1" applyProtection="1">
      <alignment vertical="center"/>
      <protection hidden="1"/>
    </xf>
    <xf numFmtId="0" fontId="19" fillId="0" borderId="6" xfId="51" applyFont="1" applyBorder="1" applyAlignment="1" applyProtection="1">
      <alignment vertical="center"/>
      <protection hidden="1"/>
    </xf>
    <xf numFmtId="0" fontId="1" fillId="0" borderId="0" xfId="51" applyBorder="1" applyAlignment="1" applyProtection="1">
      <alignment vertical="center"/>
      <protection hidden="1"/>
    </xf>
    <xf numFmtId="0" fontId="26" fillId="0" borderId="5" xfId="51" applyFont="1" applyBorder="1" applyAlignment="1" applyProtection="1">
      <alignment vertical="center"/>
      <protection hidden="1"/>
    </xf>
    <xf numFmtId="0" fontId="26" fillId="0" borderId="0" xfId="51" applyFont="1" applyBorder="1" applyAlignment="1" applyProtection="1">
      <alignment vertical="center"/>
      <protection hidden="1"/>
    </xf>
    <xf numFmtId="0" fontId="19" fillId="0" borderId="7" xfId="51" applyFont="1" applyBorder="1" applyAlignment="1" applyProtection="1">
      <alignment vertical="center"/>
      <protection hidden="1"/>
    </xf>
    <xf numFmtId="0" fontId="5" fillId="0" borderId="0" xfId="51" applyFont="1" applyAlignment="1" applyProtection="1">
      <alignment vertical="center"/>
      <protection hidden="1"/>
    </xf>
    <xf numFmtId="0" fontId="5" fillId="0" borderId="8" xfId="51" applyFont="1" applyBorder="1" applyAlignment="1" applyProtection="1">
      <alignment vertical="center"/>
      <protection hidden="1"/>
    </xf>
    <xf numFmtId="0" fontId="19" fillId="0" borderId="0" xfId="51" applyFont="1" applyAlignment="1" applyProtection="1">
      <alignment vertical="center"/>
      <protection hidden="1"/>
    </xf>
    <xf numFmtId="0" fontId="15" fillId="0" borderId="0" xfId="52" applyFont="1" applyAlignment="1" applyProtection="1">
      <alignment vertical="center"/>
      <protection hidden="1"/>
    </xf>
    <xf numFmtId="0" fontId="16" fillId="0" borderId="0" xfId="52" applyFont="1" applyAlignment="1" applyProtection="1">
      <alignment vertical="center"/>
      <protection hidden="1"/>
    </xf>
    <xf numFmtId="0" fontId="15" fillId="0" borderId="0" xfId="52" applyFont="1" applyFill="1" applyAlignment="1" applyProtection="1">
      <alignment vertical="top"/>
      <protection hidden="1"/>
    </xf>
    <xf numFmtId="0" fontId="16" fillId="0" borderId="0" xfId="52"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51" applyFont="1" applyAlignment="1" applyProtection="1">
      <alignment vertical="top"/>
      <protection hidden="1"/>
    </xf>
    <xf numFmtId="0" fontId="27" fillId="0" borderId="0" xfId="51" applyFont="1" applyFill="1" applyAlignment="1" applyProtection="1">
      <alignment horizontal="center" vertical="center"/>
      <protection hidden="1"/>
    </xf>
    <xf numFmtId="0" fontId="15" fillId="0" borderId="0" xfId="51" applyFont="1" applyAlignment="1" applyProtection="1">
      <alignment vertical="center"/>
      <protection hidden="1"/>
    </xf>
    <xf numFmtId="0" fontId="16" fillId="0" borderId="0" xfId="51" applyFont="1" applyAlignment="1" applyProtection="1">
      <alignment vertical="center"/>
      <protection hidden="1"/>
    </xf>
    <xf numFmtId="0" fontId="15" fillId="0" borderId="0" xfId="54" applyFont="1" applyFill="1" applyAlignment="1" applyProtection="1">
      <alignment vertical="top"/>
      <protection hidden="1"/>
    </xf>
    <xf numFmtId="0" fontId="16" fillId="0" borderId="0" xfId="51" applyFont="1" applyFill="1" applyAlignment="1" applyProtection="1">
      <alignment vertical="top"/>
      <protection hidden="1"/>
    </xf>
    <xf numFmtId="0" fontId="27" fillId="0" borderId="0" xfId="51" applyFont="1" applyFill="1" applyAlignment="1" applyProtection="1">
      <alignment vertical="center"/>
      <protection hidden="1"/>
    </xf>
    <xf numFmtId="174" fontId="15" fillId="0" borderId="9" xfId="51" applyNumberFormat="1" applyFont="1" applyBorder="1" applyAlignment="1" applyProtection="1">
      <alignment horizontal="center" vertical="center"/>
      <protection hidden="1"/>
    </xf>
    <xf numFmtId="0" fontId="16" fillId="0" borderId="10" xfId="51" applyFont="1" applyBorder="1" applyAlignment="1" applyProtection="1">
      <alignment horizontal="center" vertical="center"/>
      <protection hidden="1"/>
    </xf>
    <xf numFmtId="0" fontId="16" fillId="0" borderId="11" xfId="51" applyFont="1" applyBorder="1" applyAlignment="1" applyProtection="1">
      <alignment horizontal="justify" vertical="center" wrapText="1"/>
      <protection hidden="1"/>
    </xf>
    <xf numFmtId="0" fontId="15" fillId="2" borderId="11" xfId="51"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51" applyNumberFormat="1" applyFont="1" applyBorder="1" applyAlignment="1" applyProtection="1">
      <alignment horizontal="justify" vertical="center" wrapText="1"/>
      <protection hidden="1"/>
    </xf>
    <xf numFmtId="0" fontId="16" fillId="0" borderId="10" xfId="51" applyFont="1" applyBorder="1" applyAlignment="1" applyProtection="1">
      <alignment vertical="center"/>
      <protection hidden="1"/>
    </xf>
    <xf numFmtId="0" fontId="16" fillId="0" borderId="12" xfId="51" applyFont="1" applyBorder="1" applyAlignment="1" applyProtection="1">
      <alignment vertical="center"/>
      <protection hidden="1"/>
    </xf>
    <xf numFmtId="0" fontId="16" fillId="0" borderId="0" xfId="51" applyFont="1" applyBorder="1" applyAlignment="1" applyProtection="1">
      <alignment vertical="center"/>
      <protection hidden="1"/>
    </xf>
    <xf numFmtId="0" fontId="15" fillId="0" borderId="0" xfId="51" applyFont="1" applyFill="1" applyBorder="1" applyAlignment="1" applyProtection="1">
      <alignment vertical="center" wrapText="1"/>
      <protection hidden="1"/>
    </xf>
    <xf numFmtId="4" fontId="15" fillId="0" borderId="0" xfId="51" applyNumberFormat="1" applyFont="1" applyBorder="1" applyAlignment="1" applyProtection="1">
      <alignment vertical="center"/>
      <protection hidden="1"/>
    </xf>
    <xf numFmtId="0" fontId="16" fillId="0" borderId="0" xfId="51" applyFont="1" applyAlignment="1" applyProtection="1">
      <alignment horizontal="left" vertical="center" wrapText="1"/>
      <protection hidden="1"/>
    </xf>
    <xf numFmtId="0" fontId="16" fillId="0" borderId="0" xfId="51" applyFont="1" applyAlignment="1" applyProtection="1">
      <alignment horizontal="right" vertical="center"/>
      <protection hidden="1"/>
    </xf>
    <xf numFmtId="0" fontId="16" fillId="0" borderId="0" xfId="51" applyFont="1" applyBorder="1" applyAlignment="1" applyProtection="1">
      <alignment horizontal="left" vertical="center"/>
      <protection hidden="1"/>
    </xf>
    <xf numFmtId="0" fontId="6" fillId="0" borderId="0" xfId="51" applyFont="1" applyAlignment="1" applyProtection="1">
      <alignment horizontal="center" vertical="top"/>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52"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51" applyNumberFormat="1" applyFont="1" applyFill="1" applyBorder="1" applyAlignment="1" applyProtection="1">
      <alignment horizontal="left" vertical="center" indent="1"/>
      <protection hidden="1"/>
    </xf>
    <xf numFmtId="0" fontId="16" fillId="0" borderId="0" xfId="54" applyFont="1" applyAlignment="1" applyProtection="1">
      <alignment horizontal="left" vertical="center" indent="1"/>
      <protection hidden="1"/>
    </xf>
    <xf numFmtId="0" fontId="16" fillId="0" borderId="0" xfId="51"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52" applyFont="1" applyFill="1" applyAlignment="1" applyProtection="1">
      <alignment vertical="center"/>
      <protection hidden="1"/>
    </xf>
    <xf numFmtId="0" fontId="16" fillId="0" borderId="0" xfId="52" applyFont="1" applyBorder="1" applyAlignment="1" applyProtection="1">
      <alignment horizontal="left" vertical="center"/>
      <protection hidden="1"/>
    </xf>
    <xf numFmtId="0" fontId="16" fillId="0" borderId="0" xfId="52" applyFont="1" applyFill="1" applyAlignment="1" applyProtection="1">
      <alignment vertical="center"/>
      <protection hidden="1"/>
    </xf>
    <xf numFmtId="0" fontId="16" fillId="0" borderId="0" xfId="52" applyFont="1" applyFill="1" applyBorder="1" applyAlignment="1" applyProtection="1">
      <alignment vertical="center"/>
      <protection hidden="1"/>
    </xf>
    <xf numFmtId="0" fontId="15" fillId="0" borderId="0" xfId="52" applyFont="1" applyAlignment="1" applyProtection="1">
      <alignment horizontal="left" vertical="center"/>
      <protection hidden="1"/>
    </xf>
    <xf numFmtId="0" fontId="16" fillId="0" borderId="0" xfId="52" applyFont="1" applyFill="1" applyAlignment="1" applyProtection="1">
      <alignment horizontal="left" vertical="center"/>
      <protection hidden="1"/>
    </xf>
    <xf numFmtId="0" fontId="15" fillId="0" borderId="0" xfId="51" applyFont="1" applyAlignment="1" applyProtection="1">
      <alignment horizontal="left" vertical="top" wrapText="1"/>
      <protection hidden="1"/>
    </xf>
    <xf numFmtId="0" fontId="15" fillId="0" borderId="9" xfId="51" applyFont="1" applyBorder="1" applyAlignment="1" applyProtection="1">
      <alignment horizontal="center" vertical="center" wrapText="1"/>
      <protection hidden="1"/>
    </xf>
    <xf numFmtId="0" fontId="16" fillId="0" borderId="0" xfId="51" applyFont="1" applyBorder="1" applyAlignment="1" applyProtection="1">
      <alignment horizontal="center" vertical="center"/>
      <protection hidden="1"/>
    </xf>
    <xf numFmtId="0" fontId="15" fillId="0" borderId="0" xfId="51" applyFont="1" applyFill="1" applyBorder="1" applyAlignment="1" applyProtection="1">
      <alignment horizontal="left" vertical="center" wrapText="1"/>
      <protection hidden="1"/>
    </xf>
    <xf numFmtId="0" fontId="15" fillId="0" borderId="0" xfId="51"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49"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47" applyNumberFormat="1" applyFont="1" applyFill="1" applyBorder="1" applyAlignment="1" applyProtection="1">
      <alignment vertical="center"/>
      <protection hidden="1"/>
    </xf>
    <xf numFmtId="0" fontId="16" fillId="0" borderId="0" xfId="47"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51" applyFont="1" applyAlignment="1" applyProtection="1">
      <alignment horizontal="left" vertical="center" indent="1"/>
      <protection hidden="1"/>
    </xf>
    <xf numFmtId="0" fontId="15" fillId="0" borderId="0" xfId="52"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52" applyFont="1" applyAlignment="1" applyProtection="1">
      <alignment horizontal="center" vertical="center"/>
      <protection hidden="1"/>
    </xf>
    <xf numFmtId="0" fontId="15" fillId="0" borderId="0" xfId="52"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52" applyFont="1" applyBorder="1" applyAlignment="1" applyProtection="1">
      <alignment horizontal="center" vertical="center"/>
      <protection hidden="1"/>
    </xf>
    <xf numFmtId="0" fontId="0" fillId="0" borderId="0" xfId="0" applyFill="1" applyProtection="1">
      <protection hidden="1"/>
    </xf>
    <xf numFmtId="0" fontId="16" fillId="0" borderId="11" xfId="52" applyFont="1" applyBorder="1" applyAlignment="1" applyProtection="1">
      <alignment horizontal="left" vertical="center" wrapText="1"/>
      <protection hidden="1"/>
    </xf>
    <xf numFmtId="0" fontId="16" fillId="0" borderId="0" xfId="52"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52"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52" applyFont="1" applyAlignment="1" applyProtection="1">
      <alignment horizontal="left" vertical="center"/>
      <protection hidden="1"/>
    </xf>
    <xf numFmtId="0" fontId="33" fillId="0" borderId="0" xfId="42" applyProtection="1">
      <protection hidden="1"/>
    </xf>
    <xf numFmtId="0" fontId="16" fillId="0" borderId="0" xfId="42" applyFont="1" applyAlignment="1" applyProtection="1">
      <alignment vertical="center"/>
      <protection hidden="1"/>
    </xf>
    <xf numFmtId="0" fontId="15" fillId="0" borderId="0" xfId="44" applyNumberFormat="1" applyFont="1" applyFill="1" applyBorder="1" applyAlignment="1" applyProtection="1">
      <alignment horizontal="left" vertical="center"/>
      <protection hidden="1"/>
    </xf>
    <xf numFmtId="0" fontId="16" fillId="0" borderId="0" xfId="53" applyFont="1" applyBorder="1" applyAlignment="1" applyProtection="1">
      <alignment horizontal="left" vertical="center"/>
      <protection hidden="1"/>
    </xf>
    <xf numFmtId="0" fontId="15" fillId="0" borderId="0" xfId="42" applyFont="1" applyAlignment="1" applyProtection="1">
      <alignment horizontal="righ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6"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justify" vertical="center"/>
      <protection hidden="1"/>
    </xf>
    <xf numFmtId="176" fontId="15" fillId="0" borderId="0" xfId="0" applyNumberFormat="1" applyFont="1" applyFill="1" applyBorder="1" applyAlignment="1" applyProtection="1">
      <alignment horizontal="left" vertical="center" indent="1"/>
      <protection hidden="1"/>
    </xf>
    <xf numFmtId="176" fontId="15" fillId="0" borderId="0" xfId="42" applyNumberFormat="1" applyFont="1" applyAlignment="1" applyProtection="1">
      <alignment vertical="center"/>
      <protection hidden="1"/>
    </xf>
    <xf numFmtId="0" fontId="15" fillId="0" borderId="0" xfId="42" applyFont="1" applyAlignment="1" applyProtection="1">
      <alignment horizontal="left" vertical="center" indent="1"/>
      <protection hidden="1"/>
    </xf>
    <xf numFmtId="0" fontId="16" fillId="0" borderId="0" xfId="42" applyFont="1" applyAlignment="1" applyProtection="1">
      <alignment horizontal="left" vertical="center" indent="1"/>
      <protection hidden="1"/>
    </xf>
    <xf numFmtId="0" fontId="36" fillId="0" borderId="0" xfId="46" applyFont="1" applyFill="1" applyBorder="1" applyAlignment="1" applyProtection="1">
      <alignment horizontal="center" vertical="center"/>
      <protection hidden="1"/>
    </xf>
    <xf numFmtId="0" fontId="36" fillId="0" borderId="0" xfId="46" applyFont="1" applyFill="1" applyBorder="1" applyAlignment="1" applyProtection="1">
      <alignment horizontal="left" vertical="center"/>
      <protection hidden="1"/>
    </xf>
    <xf numFmtId="0" fontId="1" fillId="0" borderId="0" xfId="46" applyAlignment="1" applyProtection="1">
      <alignment vertical="center"/>
      <protection hidden="1"/>
    </xf>
    <xf numFmtId="0" fontId="36" fillId="0" borderId="0" xfId="46" applyFont="1" applyFill="1" applyBorder="1" applyAlignment="1" applyProtection="1">
      <alignment vertical="center"/>
      <protection hidden="1"/>
    </xf>
    <xf numFmtId="0" fontId="1" fillId="0" borderId="0" xfId="46" applyProtection="1">
      <protection hidden="1"/>
    </xf>
    <xf numFmtId="0" fontId="1" fillId="0" borderId="0" xfId="46" applyAlignment="1" applyProtection="1">
      <alignment horizontal="left"/>
      <protection hidden="1"/>
    </xf>
    <xf numFmtId="0" fontId="1" fillId="0" borderId="0" xfId="46" applyAlignment="1" applyProtection="1">
      <alignment horizontal="center"/>
      <protection hidden="1"/>
    </xf>
    <xf numFmtId="0" fontId="1" fillId="0" borderId="0" xfId="57" applyAlignment="1" applyProtection="1">
      <alignment horizontal="center"/>
      <protection hidden="1"/>
    </xf>
    <xf numFmtId="0" fontId="1" fillId="0" borderId="0" xfId="57" applyFont="1" applyProtection="1">
      <protection hidden="1"/>
    </xf>
    <xf numFmtId="0" fontId="1" fillId="0" borderId="0" xfId="57"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6"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42" applyFont="1" applyAlignment="1" applyProtection="1">
      <alignment horizontal="left" vertical="center" indent="2"/>
      <protection hidden="1"/>
    </xf>
    <xf numFmtId="0" fontId="37" fillId="0" borderId="0" xfId="49"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49" applyFont="1" applyAlignment="1" applyProtection="1">
      <alignment horizontal="center" vertical="center" wrapText="1"/>
      <protection hidden="1"/>
    </xf>
    <xf numFmtId="0" fontId="38" fillId="0" borderId="0" xfId="49" applyNumberFormat="1" applyFont="1" applyFill="1" applyBorder="1" applyAlignment="1" applyProtection="1">
      <alignment vertical="top"/>
      <protection hidden="1"/>
    </xf>
    <xf numFmtId="0" fontId="16" fillId="0" borderId="0" xfId="49" applyNumberFormat="1" applyFont="1" applyFill="1" applyBorder="1" applyAlignment="1" applyProtection="1">
      <alignment vertical="center" wrapText="1"/>
      <protection hidden="1"/>
    </xf>
    <xf numFmtId="0" fontId="16" fillId="0" borderId="0" xfId="49" applyFont="1" applyAlignment="1" applyProtection="1">
      <alignment vertical="center"/>
      <protection hidden="1"/>
    </xf>
    <xf numFmtId="0" fontId="39" fillId="0" borderId="0" xfId="0" applyNumberFormat="1" applyFont="1" applyFill="1" applyBorder="1" applyAlignment="1" applyProtection="1">
      <alignment horizontal="left" vertical="center"/>
      <protection hidden="1"/>
    </xf>
    <xf numFmtId="0" fontId="39" fillId="0" borderId="0" xfId="0" applyNumberFormat="1" applyFont="1" applyFill="1" applyBorder="1" applyAlignment="1" applyProtection="1">
      <alignment horizontal="justify" vertical="center"/>
      <protection hidden="1"/>
    </xf>
    <xf numFmtId="0" fontId="39" fillId="0" borderId="0" xfId="0" applyNumberFormat="1" applyFont="1" applyFill="1" applyBorder="1" applyAlignment="1" applyProtection="1">
      <alignment horizontal="center" vertical="center"/>
      <protection hidden="1"/>
    </xf>
    <xf numFmtId="0" fontId="39" fillId="0" borderId="0" xfId="0" applyNumberFormat="1" applyFont="1" applyFill="1" applyBorder="1" applyAlignment="1" applyProtection="1">
      <alignment vertical="center"/>
      <protection hidden="1"/>
    </xf>
    <xf numFmtId="0" fontId="39" fillId="0" borderId="0" xfId="0" applyNumberFormat="1" applyFont="1" applyFill="1" applyBorder="1" applyAlignment="1" applyProtection="1">
      <alignment horizontal="left" vertical="center" indent="1"/>
      <protection hidden="1"/>
    </xf>
    <xf numFmtId="0" fontId="39" fillId="0" borderId="0" xfId="52" applyFont="1" applyBorder="1" applyAlignment="1" applyProtection="1">
      <alignment horizontal="left" vertical="center" indent="1"/>
      <protection hidden="1"/>
    </xf>
    <xf numFmtId="0" fontId="39" fillId="0" borderId="0" xfId="49" applyFont="1" applyAlignment="1" applyProtection="1">
      <alignment vertical="center"/>
      <protection hidden="1"/>
    </xf>
    <xf numFmtId="0" fontId="39" fillId="0" borderId="0" xfId="49" applyFont="1" applyAlignment="1" applyProtection="1">
      <alignment vertical="center" wrapText="1"/>
      <protection hidden="1"/>
    </xf>
    <xf numFmtId="0" fontId="39" fillId="0" borderId="0" xfId="49" applyNumberFormat="1" applyFont="1" applyFill="1" applyBorder="1" applyAlignment="1" applyProtection="1">
      <alignment vertical="center"/>
      <protection hidden="1"/>
    </xf>
    <xf numFmtId="0" fontId="16" fillId="0" borderId="0" xfId="49" applyNumberFormat="1" applyFont="1" applyFill="1" applyBorder="1" applyAlignment="1" applyProtection="1">
      <alignment horizontal="left" vertical="center" indent="6"/>
      <protection hidden="1"/>
    </xf>
    <xf numFmtId="0" fontId="38" fillId="0" borderId="14" xfId="49" applyNumberFormat="1" applyFont="1" applyFill="1" applyBorder="1" applyAlignment="1" applyProtection="1">
      <alignment vertical="top"/>
      <protection hidden="1"/>
    </xf>
    <xf numFmtId="0" fontId="38" fillId="0" borderId="15" xfId="49" applyNumberFormat="1" applyFont="1" applyFill="1" applyBorder="1" applyAlignment="1" applyProtection="1">
      <alignment vertical="top"/>
      <protection hidden="1"/>
    </xf>
    <xf numFmtId="0" fontId="15" fillId="0" borderId="10" xfId="49" applyFont="1" applyBorder="1" applyAlignment="1" applyProtection="1">
      <alignment horizontal="center" vertical="center" wrapText="1"/>
      <protection hidden="1"/>
    </xf>
    <xf numFmtId="0" fontId="15" fillId="0" borderId="12" xfId="49" applyFont="1" applyBorder="1" applyAlignment="1" applyProtection="1">
      <alignment horizontal="center" vertical="center" wrapText="1"/>
      <protection hidden="1"/>
    </xf>
    <xf numFmtId="0" fontId="16" fillId="0" borderId="11" xfId="49" applyFont="1" applyBorder="1" applyAlignment="1" applyProtection="1">
      <alignment horizontal="center" vertical="top"/>
      <protection hidden="1"/>
    </xf>
    <xf numFmtId="0" fontId="16" fillId="0" borderId="9" xfId="49" applyFont="1" applyBorder="1" applyAlignment="1" applyProtection="1">
      <alignment horizontal="center" vertical="top"/>
      <protection hidden="1"/>
    </xf>
    <xf numFmtId="0" fontId="15" fillId="0" borderId="0" xfId="49" applyFont="1" applyBorder="1" applyAlignment="1" applyProtection="1">
      <alignment horizontal="center" vertical="center" wrapText="1"/>
      <protection hidden="1"/>
    </xf>
    <xf numFmtId="0" fontId="16" fillId="0" borderId="0" xfId="49" applyFont="1" applyBorder="1" applyAlignment="1" applyProtection="1">
      <alignment horizontal="justify" vertical="center"/>
      <protection hidden="1"/>
    </xf>
    <xf numFmtId="0" fontId="38" fillId="0" borderId="16" xfId="49" applyNumberFormat="1" applyFont="1" applyFill="1" applyBorder="1" applyAlignment="1" applyProtection="1">
      <alignment horizontal="right" vertical="top"/>
      <protection hidden="1"/>
    </xf>
    <xf numFmtId="0" fontId="16" fillId="0" borderId="14" xfId="49" applyFont="1" applyBorder="1" applyAlignment="1" applyProtection="1">
      <alignment horizontal="center" vertical="center"/>
      <protection hidden="1"/>
    </xf>
    <xf numFmtId="10" fontId="16" fillId="3" borderId="11" xfId="49" applyNumberFormat="1" applyFont="1" applyFill="1" applyBorder="1" applyAlignment="1" applyProtection="1">
      <alignment horizontal="right" vertical="center"/>
      <protection locked="0"/>
    </xf>
    <xf numFmtId="168"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52" applyFont="1" applyFill="1" applyBorder="1" applyAlignment="1" applyProtection="1">
      <alignment horizontal="center" vertical="center"/>
      <protection hidden="1"/>
    </xf>
    <xf numFmtId="0" fontId="16" fillId="3" borderId="14" xfId="0" applyFont="1" applyFill="1" applyBorder="1" applyAlignment="1" applyProtection="1">
      <alignment horizontal="left" vertical="center"/>
      <protection locked="0"/>
    </xf>
    <xf numFmtId="0" fontId="33" fillId="0" borderId="0" xfId="45" applyProtection="1">
      <protection hidden="1"/>
    </xf>
    <xf numFmtId="0" fontId="41" fillId="0" borderId="0" xfId="45" applyFont="1" applyAlignment="1" applyProtection="1">
      <alignment vertical="center" wrapText="1"/>
      <protection hidden="1"/>
    </xf>
    <xf numFmtId="0" fontId="41" fillId="0" borderId="0" xfId="45" applyFont="1" applyAlignment="1" applyProtection="1">
      <alignment horizontal="center" vertical="center" wrapText="1"/>
      <protection hidden="1"/>
    </xf>
    <xf numFmtId="0" fontId="15" fillId="0" borderId="0" xfId="45" applyFont="1" applyBorder="1" applyAlignment="1" applyProtection="1">
      <alignment vertical="center"/>
      <protection hidden="1"/>
    </xf>
    <xf numFmtId="0" fontId="16" fillId="0" borderId="0" xfId="45" applyFont="1" applyAlignment="1" applyProtection="1">
      <alignment vertical="center"/>
      <protection hidden="1"/>
    </xf>
    <xf numFmtId="0" fontId="15" fillId="0" borderId="0" xfId="45" applyFont="1" applyBorder="1" applyAlignment="1" applyProtection="1">
      <alignment horizontal="center" vertical="center"/>
      <protection hidden="1"/>
    </xf>
    <xf numFmtId="0" fontId="16" fillId="0" borderId="0" xfId="45" applyFont="1" applyAlignment="1" applyProtection="1">
      <alignment horizontal="justify" vertical="center"/>
      <protection hidden="1"/>
    </xf>
    <xf numFmtId="0" fontId="33" fillId="0" borderId="0" xfId="45" applyAlignment="1" applyProtection="1">
      <alignment vertical="center"/>
      <protection hidden="1"/>
    </xf>
    <xf numFmtId="0" fontId="16" fillId="0" borderId="0" xfId="45" applyFont="1" applyAlignment="1" applyProtection="1">
      <alignment horizontal="center" vertical="center"/>
      <protection hidden="1"/>
    </xf>
    <xf numFmtId="0" fontId="16" fillId="0" borderId="0" xfId="45" applyFont="1" applyProtection="1">
      <protection hidden="1"/>
    </xf>
    <xf numFmtId="0" fontId="16" fillId="0" borderId="0" xfId="45" applyFont="1" applyAlignment="1" applyProtection="1">
      <alignment vertical="center" wrapText="1"/>
      <protection hidden="1"/>
    </xf>
    <xf numFmtId="0" fontId="16" fillId="0" borderId="17" xfId="45" applyFont="1" applyBorder="1" applyAlignment="1" applyProtection="1">
      <alignment vertical="center"/>
      <protection hidden="1"/>
    </xf>
    <xf numFmtId="0" fontId="16" fillId="0" borderId="18" xfId="45" applyFont="1" applyBorder="1" applyAlignment="1" applyProtection="1">
      <alignment vertical="center"/>
      <protection hidden="1"/>
    </xf>
    <xf numFmtId="0" fontId="16" fillId="0" borderId="19" xfId="45" applyFont="1" applyBorder="1" applyAlignment="1" applyProtection="1">
      <alignment vertical="center"/>
      <protection hidden="1"/>
    </xf>
    <xf numFmtId="0" fontId="16" fillId="0" borderId="20" xfId="45" applyFont="1" applyBorder="1" applyAlignment="1" applyProtection="1">
      <alignment vertical="center"/>
      <protection hidden="1"/>
    </xf>
    <xf numFmtId="0" fontId="16" fillId="0" borderId="21" xfId="45" applyFont="1" applyBorder="1" applyAlignment="1" applyProtection="1">
      <alignment vertical="center"/>
      <protection hidden="1"/>
    </xf>
    <xf numFmtId="0" fontId="16" fillId="0" borderId="22" xfId="45" applyFont="1" applyBorder="1" applyAlignment="1" applyProtection="1">
      <alignment vertical="center"/>
      <protection hidden="1"/>
    </xf>
    <xf numFmtId="0" fontId="16" fillId="0" borderId="23" xfId="45" applyFont="1" applyBorder="1" applyAlignment="1" applyProtection="1">
      <alignment vertical="center"/>
      <protection hidden="1"/>
    </xf>
    <xf numFmtId="0" fontId="16" fillId="0" borderId="7" xfId="45" applyFont="1" applyBorder="1" applyAlignment="1" applyProtection="1">
      <alignment vertical="center"/>
      <protection hidden="1"/>
    </xf>
    <xf numFmtId="0" fontId="16" fillId="0" borderId="24" xfId="45" applyFont="1" applyBorder="1" applyAlignment="1" applyProtection="1">
      <alignment horizontal="left" vertical="center"/>
      <protection hidden="1"/>
    </xf>
    <xf numFmtId="0" fontId="16" fillId="0" borderId="25" xfId="45" applyFont="1" applyBorder="1" applyAlignment="1" applyProtection="1">
      <alignment horizontal="left" vertical="center"/>
      <protection hidden="1"/>
    </xf>
    <xf numFmtId="0" fontId="16" fillId="0" borderId="0" xfId="45" applyFont="1" applyBorder="1" applyAlignment="1" applyProtection="1">
      <alignment horizontal="left" vertical="center"/>
      <protection hidden="1"/>
    </xf>
    <xf numFmtId="0" fontId="16" fillId="0" borderId="0" xfId="45" applyFont="1" applyAlignment="1" applyProtection="1">
      <alignment horizontal="left" vertical="center"/>
      <protection hidden="1"/>
    </xf>
    <xf numFmtId="0" fontId="15" fillId="0" borderId="0" xfId="47" applyNumberFormat="1" applyFont="1" applyFill="1" applyBorder="1" applyAlignment="1" applyProtection="1">
      <alignment horizontal="left" vertical="center"/>
    </xf>
    <xf numFmtId="0" fontId="15" fillId="0" borderId="0" xfId="52" applyFont="1" applyFill="1" applyBorder="1" applyAlignment="1" applyProtection="1">
      <alignment vertical="top"/>
      <protection hidden="1"/>
    </xf>
    <xf numFmtId="0" fontId="15" fillId="0" borderId="0" xfId="51" applyFont="1" applyFill="1" applyBorder="1" applyAlignment="1" applyProtection="1">
      <alignment vertical="top"/>
      <protection hidden="1"/>
    </xf>
    <xf numFmtId="0" fontId="16" fillId="0" borderId="19" xfId="49" applyNumberFormat="1" applyFont="1" applyFill="1" applyBorder="1" applyAlignment="1" applyProtection="1">
      <alignment horizontal="left" vertical="center" indent="3"/>
      <protection hidden="1"/>
    </xf>
    <xf numFmtId="0" fontId="16" fillId="0" borderId="14" xfId="49" applyFont="1" applyBorder="1" applyAlignment="1" applyProtection="1">
      <alignment horizontal="right" vertical="center"/>
      <protection hidden="1"/>
    </xf>
    <xf numFmtId="0" fontId="16" fillId="0" borderId="20" xfId="49" applyFont="1" applyBorder="1" applyAlignment="1" applyProtection="1">
      <alignment horizontal="right" vertical="center"/>
      <protection hidden="1"/>
    </xf>
    <xf numFmtId="0" fontId="16" fillId="0" borderId="26" xfId="49" applyFont="1" applyBorder="1" applyAlignment="1" applyProtection="1">
      <alignment horizontal="right" vertical="center"/>
      <protection hidden="1"/>
    </xf>
    <xf numFmtId="0" fontId="16" fillId="0" borderId="15" xfId="49" applyFont="1" applyBorder="1" applyAlignment="1" applyProtection="1">
      <alignment horizontal="right" vertical="center"/>
      <protection hidden="1"/>
    </xf>
    <xf numFmtId="0" fontId="43" fillId="0" borderId="19" xfId="51" applyFont="1" applyBorder="1" applyAlignment="1" applyProtection="1">
      <alignment horizontal="center" vertical="center"/>
      <protection hidden="1"/>
    </xf>
    <xf numFmtId="0" fontId="43" fillId="0" borderId="19" xfId="51"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45" applyFont="1" applyFill="1" applyAlignment="1" applyProtection="1">
      <alignment horizontal="left" vertical="center"/>
      <protection hidden="1"/>
    </xf>
    <xf numFmtId="10" fontId="16" fillId="3" borderId="27" xfId="49" applyNumberFormat="1" applyFont="1" applyFill="1" applyBorder="1" applyAlignment="1" applyProtection="1">
      <alignment horizontal="right" vertical="center" wrapText="1"/>
      <protection locked="0"/>
    </xf>
    <xf numFmtId="10" fontId="16" fillId="3" borderId="28" xfId="49"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4" fillId="0" borderId="0" xfId="45" applyFont="1" applyAlignment="1" applyProtection="1">
      <alignment vertical="center"/>
      <protection hidden="1"/>
    </xf>
    <xf numFmtId="0" fontId="44" fillId="0" borderId="0" xfId="45" applyFont="1" applyProtection="1">
      <protection hidden="1"/>
    </xf>
    <xf numFmtId="0" fontId="44" fillId="0" borderId="0" xfId="45"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47" applyNumberFormat="1" applyFont="1" applyFill="1" applyBorder="1" applyAlignment="1" applyProtection="1">
      <alignment horizontal="center" vertical="center" wrapText="1"/>
      <protection hidden="1"/>
    </xf>
    <xf numFmtId="2" fontId="32" fillId="0" borderId="0" xfId="47" applyNumberFormat="1" applyFont="1" applyFill="1" applyBorder="1" applyAlignment="1" applyProtection="1">
      <alignment horizontal="right" vertical="center"/>
      <protection hidden="1"/>
    </xf>
    <xf numFmtId="2" fontId="27" fillId="0" borderId="0" xfId="47" applyNumberFormat="1" applyFont="1" applyFill="1" applyBorder="1" applyAlignment="1" applyProtection="1">
      <alignment horizontal="right" vertical="center"/>
      <protection hidden="1"/>
    </xf>
    <xf numFmtId="0" fontId="40" fillId="0" borderId="0" xfId="51" applyFont="1" applyBorder="1" applyAlignment="1" applyProtection="1">
      <alignment vertical="top"/>
      <protection hidden="1"/>
    </xf>
    <xf numFmtId="2" fontId="40" fillId="0" borderId="0" xfId="51" applyNumberFormat="1" applyFont="1" applyBorder="1" applyAlignment="1" applyProtection="1">
      <alignment vertical="top"/>
      <protection hidden="1"/>
    </xf>
    <xf numFmtId="0" fontId="32" fillId="0" borderId="0" xfId="0" applyFont="1" applyBorder="1" applyProtection="1">
      <protection hidden="1"/>
    </xf>
    <xf numFmtId="2" fontId="32" fillId="0" borderId="0" xfId="52" applyNumberFormat="1" applyFont="1" applyFill="1" applyBorder="1" applyAlignment="1" applyProtection="1">
      <alignment vertical="center"/>
      <protection hidden="1"/>
    </xf>
    <xf numFmtId="0" fontId="32" fillId="0" borderId="0" xfId="0" applyFont="1" applyBorder="1" applyAlignment="1" applyProtection="1">
      <alignment horizontal="right"/>
      <protection hidden="1"/>
    </xf>
    <xf numFmtId="2" fontId="32" fillId="0" borderId="0" xfId="0" applyNumberFormat="1" applyFont="1" applyBorder="1" applyProtection="1">
      <protection hidden="1"/>
    </xf>
    <xf numFmtId="0" fontId="15" fillId="0" borderId="0" xfId="0" applyNumberFormat="1" applyFont="1" applyFill="1" applyBorder="1" applyAlignment="1" applyProtection="1">
      <alignment horizontal="center" vertical="center"/>
      <protection hidden="1"/>
    </xf>
    <xf numFmtId="0" fontId="33" fillId="0" borderId="0" xfId="45" applyFont="1" applyAlignment="1" applyProtection="1">
      <alignment vertical="center"/>
      <protection hidden="1"/>
    </xf>
    <xf numFmtId="0" fontId="33" fillId="0" borderId="0" xfId="45" applyFont="1" applyProtection="1">
      <protection hidden="1"/>
    </xf>
    <xf numFmtId="0" fontId="48" fillId="0" borderId="0" xfId="45" applyFont="1" applyAlignment="1" applyProtection="1">
      <alignment horizontal="center" vertical="center"/>
      <protection hidden="1"/>
    </xf>
    <xf numFmtId="0" fontId="32" fillId="0" borderId="0" xfId="0" applyFont="1" applyBorder="1" applyAlignment="1" applyProtection="1">
      <alignment horizontal="left" vertical="center"/>
      <protection hidden="1"/>
    </xf>
    <xf numFmtId="10" fontId="32" fillId="0" borderId="0" xfId="0" applyNumberFormat="1" applyFont="1" applyFill="1" applyBorder="1" applyAlignment="1" applyProtection="1">
      <alignment horizontal="center" vertical="center"/>
      <protection hidden="1"/>
    </xf>
    <xf numFmtId="10" fontId="32" fillId="0" borderId="0" xfId="0" applyNumberFormat="1" applyFont="1" applyBorder="1" applyAlignment="1" applyProtection="1">
      <alignment horizontal="center" vertical="center"/>
      <protection hidden="1"/>
    </xf>
    <xf numFmtId="0" fontId="28" fillId="0" borderId="0" xfId="47" applyNumberFormat="1" applyFont="1" applyFill="1" applyBorder="1" applyAlignment="1" applyProtection="1">
      <alignment vertical="center"/>
      <protection hidden="1"/>
    </xf>
    <xf numFmtId="0" fontId="28" fillId="0" borderId="0" xfId="47" applyNumberFormat="1" applyFont="1" applyFill="1" applyBorder="1" applyAlignment="1" applyProtection="1">
      <alignment vertical="center" wrapText="1"/>
      <protection hidden="1"/>
    </xf>
    <xf numFmtId="0" fontId="15" fillId="0" borderId="0" xfId="47" applyNumberFormat="1" applyFont="1" applyFill="1" applyBorder="1" applyAlignment="1" applyProtection="1">
      <alignment horizontal="left" vertical="center"/>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6" fillId="0" borderId="0" xfId="47" applyNumberFormat="1" applyFont="1" applyFill="1" applyBorder="1" applyAlignment="1" applyProtection="1">
      <alignment horizontal="center" vertical="center"/>
      <protection hidden="1"/>
    </xf>
    <xf numFmtId="4" fontId="16" fillId="0" borderId="0" xfId="47" applyNumberFormat="1" applyFont="1" applyFill="1" applyBorder="1" applyAlignment="1" applyProtection="1">
      <alignment vertical="center"/>
      <protection hidden="1"/>
    </xf>
    <xf numFmtId="0" fontId="15" fillId="0" borderId="0" xfId="47" applyNumberFormat="1" applyFont="1" applyFill="1" applyBorder="1" applyAlignment="1" applyProtection="1">
      <alignment vertical="center" wrapText="1"/>
      <protection hidden="1"/>
    </xf>
    <xf numFmtId="176"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2" fillId="0" borderId="0" xfId="0" applyFont="1" applyBorder="1" applyAlignment="1" applyProtection="1">
      <protection hidden="1"/>
    </xf>
    <xf numFmtId="0" fontId="0" fillId="0" borderId="0" xfId="0" applyAlignment="1" applyProtection="1">
      <alignment horizontal="center"/>
      <protection hidden="1"/>
    </xf>
    <xf numFmtId="0" fontId="32"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39" fillId="0" borderId="0" xfId="52" applyFont="1" applyFill="1" applyBorder="1" applyAlignment="1" applyProtection="1">
      <alignment vertical="center"/>
      <protection hidden="1"/>
    </xf>
    <xf numFmtId="0" fontId="39" fillId="0" borderId="0" xfId="0" applyFont="1" applyProtection="1">
      <protection hidden="1"/>
    </xf>
    <xf numFmtId="0" fontId="39"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6" fontId="16" fillId="0" borderId="11" xfId="52" applyNumberFormat="1" applyFont="1" applyBorder="1" applyAlignment="1" applyProtection="1">
      <alignment horizontal="center" vertical="center"/>
      <protection hidden="1"/>
    </xf>
    <xf numFmtId="2" fontId="16" fillId="2" borderId="11" xfId="52" applyNumberFormat="1" applyFont="1" applyFill="1" applyBorder="1" applyAlignment="1" applyProtection="1">
      <alignment vertical="center"/>
      <protection hidden="1"/>
    </xf>
    <xf numFmtId="2" fontId="32" fillId="0" borderId="0" xfId="0" applyNumberFormat="1" applyFont="1" applyBorder="1" applyAlignment="1" applyProtection="1">
      <protection hidden="1"/>
    </xf>
    <xf numFmtId="0" fontId="0" fillId="0" borderId="0" xfId="0" applyFill="1" applyBorder="1" applyAlignment="1" applyProtection="1">
      <protection hidden="1"/>
    </xf>
    <xf numFmtId="168" fontId="15" fillId="0" borderId="11" xfId="0" applyNumberFormat="1" applyFont="1" applyFill="1" applyBorder="1" applyAlignment="1" applyProtection="1">
      <alignment vertical="center" wrapText="1"/>
      <protection hidden="1"/>
    </xf>
    <xf numFmtId="0" fontId="16" fillId="0" borderId="11" xfId="52"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28"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6" fontId="16" fillId="0" borderId="11" xfId="56"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56"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56" applyNumberFormat="1" applyFont="1" applyFill="1" applyBorder="1" applyAlignment="1" applyProtection="1">
      <alignment horizontal="center" vertical="center"/>
      <protection hidden="1"/>
    </xf>
    <xf numFmtId="0" fontId="16" fillId="0" borderId="8" xfId="56" applyNumberFormat="1" applyFont="1" applyFill="1" applyBorder="1" applyAlignment="1" applyProtection="1">
      <alignment horizontal="center" vertical="center"/>
      <protection hidden="1"/>
    </xf>
    <xf numFmtId="0" fontId="15" fillId="0" borderId="8" xfId="56"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29"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8"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28" fillId="0" borderId="0" xfId="47"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vertical="center"/>
      <protection hidden="1"/>
    </xf>
    <xf numFmtId="166" fontId="16" fillId="0" borderId="11" xfId="56" quotePrefix="1" applyNumberFormat="1" applyFont="1" applyFill="1" applyBorder="1" applyAlignment="1" applyProtection="1">
      <alignment horizontal="center" vertical="center" wrapText="1"/>
      <protection hidden="1"/>
    </xf>
    <xf numFmtId="2" fontId="16" fillId="0" borderId="11" xfId="47" applyNumberFormat="1" applyFont="1" applyFill="1" applyBorder="1" applyAlignment="1" applyProtection="1">
      <alignment horizontal="right" vertical="center"/>
      <protection hidden="1"/>
    </xf>
    <xf numFmtId="0" fontId="15" fillId="0" borderId="11" xfId="48" applyNumberFormat="1" applyFont="1" applyFill="1" applyBorder="1" applyAlignment="1" applyProtection="1">
      <alignment vertical="center" wrapText="1"/>
      <protection hidden="1"/>
    </xf>
    <xf numFmtId="3" fontId="17" fillId="0" borderId="11" xfId="56" applyNumberFormat="1" applyFont="1" applyBorder="1" applyAlignment="1" applyProtection="1">
      <alignment horizontal="center" vertical="center" wrapText="1"/>
      <protection hidden="1"/>
    </xf>
    <xf numFmtId="3" fontId="18" fillId="0" borderId="11" xfId="56" applyNumberFormat="1" applyFont="1" applyFill="1" applyBorder="1" applyAlignment="1" applyProtection="1">
      <alignment horizontal="center" vertical="center" wrapText="1"/>
      <protection hidden="1"/>
    </xf>
    <xf numFmtId="2" fontId="18" fillId="0" borderId="11" xfId="47" applyNumberFormat="1" applyFont="1" applyFill="1" applyBorder="1" applyAlignment="1" applyProtection="1">
      <alignment horizontal="right" vertical="center"/>
      <protection hidden="1"/>
    </xf>
    <xf numFmtId="2" fontId="15" fillId="0" borderId="11" xfId="47" applyNumberFormat="1" applyFont="1" applyFill="1" applyBorder="1" applyAlignment="1" applyProtection="1">
      <alignment horizontal="right" vertical="center"/>
      <protection hidden="1"/>
    </xf>
    <xf numFmtId="0" fontId="18" fillId="0" borderId="0" xfId="47" applyNumberFormat="1" applyFont="1" applyFill="1" applyBorder="1" applyAlignment="1" applyProtection="1">
      <alignment horizontal="center" vertical="center"/>
      <protection hidden="1"/>
    </xf>
    <xf numFmtId="2" fontId="32"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5"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48" applyNumberFormat="1" applyFont="1" applyFill="1" applyBorder="1" applyAlignment="1" applyProtection="1">
      <alignment vertical="center" wrapText="1"/>
      <protection hidden="1"/>
    </xf>
    <xf numFmtId="0" fontId="15" fillId="0" borderId="0" xfId="48" applyNumberFormat="1" applyFont="1" applyFill="1" applyBorder="1" applyAlignment="1" applyProtection="1">
      <alignment vertical="center" wrapText="1"/>
      <protection hidden="1"/>
    </xf>
    <xf numFmtId="3" fontId="17" fillId="0" borderId="0" xfId="56" applyNumberFormat="1" applyFont="1" applyBorder="1" applyAlignment="1" applyProtection="1">
      <alignment horizontal="center" vertical="center" wrapText="1"/>
      <protection hidden="1"/>
    </xf>
    <xf numFmtId="3" fontId="18" fillId="0" borderId="0" xfId="56" applyNumberFormat="1" applyFont="1" applyFill="1" applyBorder="1" applyAlignment="1" applyProtection="1">
      <alignment horizontal="center" vertical="center" wrapText="1"/>
      <protection hidden="1"/>
    </xf>
    <xf numFmtId="2" fontId="18" fillId="0" borderId="0" xfId="47" applyNumberFormat="1" applyFont="1" applyFill="1" applyBorder="1" applyAlignment="1" applyProtection="1">
      <alignment horizontal="right" vertical="center"/>
      <protection hidden="1"/>
    </xf>
    <xf numFmtId="2" fontId="15" fillId="0" borderId="0" xfId="47"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52" applyNumberFormat="1" applyFont="1" applyFill="1" applyBorder="1" applyAlignment="1" applyProtection="1">
      <alignment vertical="center"/>
      <protection hidden="1"/>
    </xf>
    <xf numFmtId="0" fontId="36" fillId="3" borderId="0" xfId="21" applyFont="1" applyFill="1" applyAlignment="1" applyProtection="1">
      <alignment horizontal="center" vertical="center" wrapText="1"/>
    </xf>
    <xf numFmtId="0" fontId="0" fillId="3" borderId="0" xfId="0" applyFill="1" applyAlignment="1">
      <alignment horizontal="center" vertical="center" wrapText="1"/>
    </xf>
    <xf numFmtId="0" fontId="0" fillId="0" borderId="29" xfId="49" applyNumberFormat="1" applyFont="1" applyFill="1" applyBorder="1" applyAlignment="1" applyProtection="1">
      <alignment horizontal="left" vertical="center" indent="3"/>
      <protection hidden="1"/>
    </xf>
    <xf numFmtId="0" fontId="49" fillId="0" borderId="0" xfId="49" applyNumberFormat="1" applyFont="1" applyFill="1" applyBorder="1" applyAlignment="1" applyProtection="1">
      <alignment horizontal="center" vertical="top"/>
      <protection hidden="1"/>
    </xf>
    <xf numFmtId="0" fontId="51" fillId="0" borderId="0" xfId="49" applyNumberFormat="1" applyFont="1" applyFill="1" applyBorder="1" applyAlignment="1" applyProtection="1">
      <alignment vertical="top"/>
      <protection hidden="1"/>
    </xf>
    <xf numFmtId="0" fontId="50" fillId="0" borderId="0" xfId="49" applyNumberFormat="1" applyFont="1" applyFill="1" applyBorder="1" applyAlignment="1" applyProtection="1">
      <alignment vertical="top"/>
      <protection hidden="1"/>
    </xf>
    <xf numFmtId="4" fontId="16" fillId="3" borderId="11" xfId="49" applyNumberFormat="1" applyFont="1" applyFill="1" applyBorder="1" applyAlignment="1" applyProtection="1">
      <alignment horizontal="right" vertical="center"/>
      <protection locked="0"/>
    </xf>
    <xf numFmtId="4" fontId="16" fillId="3" borderId="27" xfId="49" applyNumberFormat="1" applyFont="1" applyFill="1" applyBorder="1" applyAlignment="1" applyProtection="1">
      <alignment horizontal="right" vertical="center" wrapText="1"/>
      <protection locked="0"/>
    </xf>
    <xf numFmtId="4" fontId="16" fillId="3" borderId="28" xfId="49" applyNumberFormat="1" applyFont="1" applyFill="1" applyBorder="1" applyAlignment="1" applyProtection="1">
      <alignment horizontal="right" vertical="center" wrapText="1"/>
      <protection locked="0"/>
    </xf>
    <xf numFmtId="0" fontId="16" fillId="0" borderId="11" xfId="0" applyNumberFormat="1" applyFont="1" applyFill="1" applyBorder="1" applyAlignment="1" applyProtection="1">
      <alignment horizontal="center" vertical="center"/>
    </xf>
    <xf numFmtId="2" fontId="39" fillId="3" borderId="11" xfId="52" applyNumberFormat="1" applyFont="1" applyFill="1" applyBorder="1" applyAlignment="1" applyProtection="1">
      <alignment vertical="center"/>
    </xf>
    <xf numFmtId="1" fontId="16" fillId="0" borderId="11" xfId="56" quotePrefix="1" applyNumberFormat="1" applyFont="1" applyFill="1" applyBorder="1" applyAlignment="1" applyProtection="1">
      <alignment horizontal="center" vertical="center" wrapText="1"/>
      <protection hidden="1"/>
    </xf>
    <xf numFmtId="0" fontId="16" fillId="0" borderId="11" xfId="56" quotePrefix="1" applyNumberFormat="1" applyFont="1" applyFill="1" applyBorder="1" applyAlignment="1" applyProtection="1">
      <alignment horizontal="center" vertical="center" wrapText="1"/>
      <protection hidden="1"/>
    </xf>
    <xf numFmtId="166" fontId="16" fillId="0" borderId="11" xfId="52" applyNumberFormat="1" applyFont="1" applyBorder="1" applyAlignment="1" applyProtection="1">
      <alignment horizontal="left" vertical="center"/>
      <protection hidden="1"/>
    </xf>
    <xf numFmtId="0" fontId="16" fillId="0" borderId="11" xfId="56" applyNumberFormat="1" applyFont="1" applyFill="1" applyBorder="1" applyAlignment="1" applyProtection="1">
      <alignment horizontal="center" vertical="center" wrapText="1"/>
      <protection hidden="1"/>
    </xf>
    <xf numFmtId="10" fontId="15" fillId="3" borderId="11" xfId="51" applyNumberFormat="1" applyFont="1" applyFill="1" applyBorder="1" applyAlignment="1" applyProtection="1">
      <alignment horizontal="center" vertical="center" wrapText="1"/>
      <protection hidden="1"/>
    </xf>
    <xf numFmtId="0" fontId="15" fillId="3" borderId="11" xfId="51" applyFont="1" applyFill="1" applyBorder="1" applyAlignment="1" applyProtection="1">
      <alignment horizontal="center" vertical="center" wrapText="1"/>
      <protection hidden="1"/>
    </xf>
    <xf numFmtId="0" fontId="0" fillId="3" borderId="16" xfId="45" applyFont="1" applyFill="1" applyBorder="1" applyAlignment="1" applyProtection="1">
      <alignment vertical="center" wrapText="1"/>
      <protection locked="0"/>
    </xf>
    <xf numFmtId="4" fontId="5" fillId="0" borderId="0" xfId="51" applyNumberFormat="1" applyFont="1" applyAlignment="1" applyProtection="1">
      <alignment vertical="top"/>
      <protection hidden="1"/>
    </xf>
    <xf numFmtId="2" fontId="16" fillId="0" borderId="11" xfId="51" applyNumberFormat="1" applyFont="1" applyBorder="1" applyAlignment="1" applyProtection="1">
      <alignment horizontal="justify" vertical="center" wrapText="1"/>
      <protection hidden="1"/>
    </xf>
    <xf numFmtId="1" fontId="16" fillId="0" borderId="0" xfId="55" applyNumberFormat="1" applyFont="1" applyBorder="1" applyAlignment="1" applyProtection="1">
      <alignment vertical="center" wrapText="1"/>
      <protection hidden="1"/>
    </xf>
    <xf numFmtId="1" fontId="15" fillId="0" borderId="0" xfId="55" applyNumberFormat="1" applyFont="1" applyBorder="1" applyAlignment="1" applyProtection="1">
      <alignment horizontal="center" vertical="center" wrapText="1"/>
      <protection hidden="1"/>
    </xf>
    <xf numFmtId="0" fontId="15" fillId="0" borderId="0" xfId="55" applyFont="1" applyBorder="1" applyAlignment="1" applyProtection="1">
      <alignment horizontal="center" vertical="center" wrapText="1"/>
      <protection hidden="1"/>
    </xf>
    <xf numFmtId="0" fontId="36" fillId="0" borderId="0" xfId="55" applyProtection="1">
      <protection hidden="1"/>
    </xf>
    <xf numFmtId="4" fontId="15" fillId="0" borderId="0" xfId="55" applyNumberFormat="1" applyFont="1" applyBorder="1" applyAlignment="1" applyProtection="1">
      <alignment horizontal="center" vertical="center" wrapText="1"/>
      <protection hidden="1"/>
    </xf>
    <xf numFmtId="0" fontId="19" fillId="0" borderId="0" xfId="55" applyFont="1" applyProtection="1">
      <protection hidden="1"/>
    </xf>
    <xf numFmtId="4" fontId="15" fillId="0" borderId="11" xfId="55" applyNumberFormat="1" applyFont="1" applyBorder="1" applyAlignment="1" applyProtection="1">
      <alignment horizontal="center" vertical="center" wrapText="1"/>
      <protection hidden="1"/>
    </xf>
    <xf numFmtId="1" fontId="15" fillId="0" borderId="11" xfId="55" applyNumberFormat="1" applyFont="1" applyBorder="1" applyAlignment="1" applyProtection="1">
      <alignment vertical="center" wrapText="1"/>
      <protection hidden="1"/>
    </xf>
    <xf numFmtId="4" fontId="15" fillId="0" borderId="11" xfId="55" applyNumberFormat="1" applyFont="1" applyBorder="1" applyAlignment="1" applyProtection="1">
      <alignment horizontal="right" vertical="center" wrapText="1"/>
      <protection hidden="1"/>
    </xf>
    <xf numFmtId="4" fontId="15" fillId="0" borderId="24" xfId="55" applyNumberFormat="1" applyFont="1" applyBorder="1" applyAlignment="1" applyProtection="1">
      <alignment horizontal="right" vertical="center" wrapText="1"/>
      <protection hidden="1"/>
    </xf>
    <xf numFmtId="4" fontId="16" fillId="0" borderId="25" xfId="55" applyNumberFormat="1" applyFont="1" applyBorder="1" applyAlignment="1" applyProtection="1">
      <alignment horizontal="right" vertical="center" wrapText="1"/>
      <protection hidden="1"/>
    </xf>
    <xf numFmtId="0" fontId="19" fillId="0" borderId="0" xfId="55" applyFont="1" applyAlignment="1" applyProtection="1">
      <alignment vertical="center"/>
      <protection hidden="1"/>
    </xf>
    <xf numFmtId="1" fontId="16" fillId="0" borderId="11" xfId="55" applyNumberFormat="1" applyFont="1" applyBorder="1" applyAlignment="1" applyProtection="1">
      <alignment horizontal="center" vertical="center" wrapText="1"/>
      <protection hidden="1"/>
    </xf>
    <xf numFmtId="0" fontId="15" fillId="0" borderId="24" xfId="55" applyFont="1" applyBorder="1" applyAlignment="1" applyProtection="1">
      <alignment vertical="center" wrapText="1"/>
      <protection hidden="1"/>
    </xf>
    <xf numFmtId="0" fontId="15" fillId="0" borderId="25" xfId="55" applyFont="1" applyBorder="1" applyAlignment="1" applyProtection="1">
      <alignment vertical="center" wrapText="1"/>
      <protection hidden="1"/>
    </xf>
    <xf numFmtId="4" fontId="16" fillId="0" borderId="11" xfId="55" applyNumberFormat="1" applyFont="1" applyFill="1" applyBorder="1" applyAlignment="1" applyProtection="1">
      <alignment vertical="center" wrapText="1"/>
      <protection hidden="1"/>
    </xf>
    <xf numFmtId="4" fontId="15" fillId="0" borderId="24" xfId="55" applyNumberFormat="1" applyFont="1" applyBorder="1" applyAlignment="1" applyProtection="1">
      <alignment vertical="center" wrapText="1"/>
      <protection hidden="1"/>
    </xf>
    <xf numFmtId="4" fontId="16" fillId="0" borderId="25" xfId="55" applyNumberFormat="1" applyFont="1" applyBorder="1" applyAlignment="1" applyProtection="1">
      <alignment vertical="center" wrapText="1"/>
      <protection hidden="1"/>
    </xf>
    <xf numFmtId="3" fontId="19" fillId="0" borderId="0" xfId="55" applyNumberFormat="1" applyFont="1" applyProtection="1">
      <protection hidden="1"/>
    </xf>
    <xf numFmtId="4" fontId="16" fillId="0" borderId="11" xfId="55" applyNumberFormat="1" applyFont="1" applyFill="1" applyBorder="1" applyAlignment="1" applyProtection="1">
      <alignment horizontal="right" vertical="center" wrapText="1"/>
      <protection hidden="1"/>
    </xf>
    <xf numFmtId="4" fontId="16" fillId="0" borderId="11" xfId="55" applyNumberFormat="1" applyFont="1" applyBorder="1" applyAlignment="1" applyProtection="1">
      <alignment horizontal="right" vertical="center" wrapText="1"/>
      <protection hidden="1"/>
    </xf>
    <xf numFmtId="4" fontId="15" fillId="0" borderId="11" xfId="55" applyNumberFormat="1" applyFont="1" applyBorder="1" applyAlignment="1" applyProtection="1">
      <alignment vertical="center" wrapText="1"/>
      <protection hidden="1"/>
    </xf>
    <xf numFmtId="4" fontId="15" fillId="0" borderId="25" xfId="55" applyNumberFormat="1" applyFont="1" applyBorder="1" applyAlignment="1" applyProtection="1">
      <alignment vertical="center" wrapText="1"/>
      <protection hidden="1"/>
    </xf>
    <xf numFmtId="0" fontId="15" fillId="5" borderId="24" xfId="55" applyFont="1" applyFill="1" applyBorder="1" applyAlignment="1" applyProtection="1">
      <alignment vertical="center" wrapText="1"/>
      <protection hidden="1"/>
    </xf>
    <xf numFmtId="0" fontId="16" fillId="0" borderId="25" xfId="55" applyFont="1" applyBorder="1" applyAlignment="1" applyProtection="1">
      <alignment vertical="center" wrapText="1"/>
      <protection hidden="1"/>
    </xf>
    <xf numFmtId="4" fontId="16" fillId="0" borderId="11" xfId="55" applyNumberFormat="1" applyFont="1" applyBorder="1" applyAlignment="1" applyProtection="1">
      <alignment vertical="center" wrapText="1"/>
      <protection hidden="1"/>
    </xf>
    <xf numFmtId="4" fontId="16" fillId="0" borderId="24" xfId="55" applyNumberFormat="1" applyFont="1" applyBorder="1" applyAlignment="1" applyProtection="1">
      <alignment vertical="center" wrapText="1"/>
      <protection hidden="1"/>
    </xf>
    <xf numFmtId="2" fontId="19" fillId="0" borderId="0" xfId="55" applyNumberFormat="1" applyFont="1" applyProtection="1">
      <protection hidden="1"/>
    </xf>
    <xf numFmtId="177" fontId="19" fillId="0" borderId="0" xfId="55" applyNumberFormat="1" applyFont="1" applyProtection="1">
      <protection hidden="1"/>
    </xf>
    <xf numFmtId="0" fontId="16" fillId="0" borderId="25" xfId="55" applyFont="1" applyFill="1" applyBorder="1" applyAlignment="1" applyProtection="1">
      <alignment horizontal="center" vertical="center" wrapText="1"/>
      <protection hidden="1"/>
    </xf>
    <xf numFmtId="3" fontId="16" fillId="0" borderId="11" xfId="55" applyNumberFormat="1" applyFont="1" applyFill="1" applyBorder="1" applyAlignment="1" applyProtection="1">
      <alignment horizontal="right" vertical="center" wrapText="1"/>
      <protection hidden="1"/>
    </xf>
    <xf numFmtId="3" fontId="16" fillId="0" borderId="24" xfId="55" applyNumberFormat="1" applyFont="1" applyFill="1" applyBorder="1" applyAlignment="1" applyProtection="1">
      <alignment horizontal="right" vertical="center" wrapText="1"/>
      <protection hidden="1"/>
    </xf>
    <xf numFmtId="3" fontId="15" fillId="0" borderId="24" xfId="55" applyNumberFormat="1" applyFont="1" applyBorder="1" applyAlignment="1" applyProtection="1">
      <alignment horizontal="right" vertical="center" wrapText="1"/>
      <protection hidden="1"/>
    </xf>
    <xf numFmtId="4" fontId="15" fillId="0" borderId="25" xfId="17" applyNumberFormat="1" applyFont="1" applyBorder="1" applyAlignment="1" applyProtection="1">
      <alignment horizontal="right" vertical="center" wrapText="1"/>
      <protection hidden="1"/>
    </xf>
    <xf numFmtId="3" fontId="15" fillId="0" borderId="11" xfId="17" applyNumberFormat="1" applyFont="1" applyBorder="1" applyAlignment="1" applyProtection="1">
      <alignment horizontal="right" vertical="center" wrapText="1"/>
      <protection hidden="1"/>
    </xf>
    <xf numFmtId="4" fontId="15" fillId="0" borderId="24" xfId="17" applyNumberFormat="1" applyFont="1" applyBorder="1" applyAlignment="1" applyProtection="1">
      <alignment horizontal="right" vertical="center" wrapText="1"/>
      <protection hidden="1"/>
    </xf>
    <xf numFmtId="4" fontId="15" fillId="0" borderId="24" xfId="55" applyNumberFormat="1" applyFont="1" applyBorder="1" applyAlignment="1" applyProtection="1">
      <alignment horizontal="center" vertical="center" wrapText="1"/>
      <protection hidden="1"/>
    </xf>
    <xf numFmtId="4" fontId="15" fillId="0" borderId="25" xfId="55" applyNumberFormat="1" applyFont="1" applyBorder="1" applyAlignment="1" applyProtection="1">
      <alignment horizontal="right" vertical="center" wrapText="1"/>
      <protection hidden="1"/>
    </xf>
    <xf numFmtId="1" fontId="16" fillId="0" borderId="30" xfId="55" applyNumberFormat="1" applyFont="1" applyBorder="1" applyAlignment="1" applyProtection="1">
      <alignment horizontal="center" vertical="center" wrapText="1"/>
      <protection hidden="1"/>
    </xf>
    <xf numFmtId="0" fontId="15" fillId="0" borderId="8" xfId="55" applyFont="1" applyBorder="1" applyAlignment="1" applyProtection="1">
      <alignment vertical="center" wrapText="1"/>
      <protection hidden="1"/>
    </xf>
    <xf numFmtId="4" fontId="16" fillId="0" borderId="8" xfId="55" applyNumberFormat="1" applyFont="1" applyBorder="1" applyAlignment="1" applyProtection="1">
      <alignment vertical="center" wrapText="1"/>
      <protection hidden="1"/>
    </xf>
    <xf numFmtId="4" fontId="15" fillId="0" borderId="8" xfId="55" applyNumberFormat="1" applyFont="1" applyBorder="1" applyAlignment="1" applyProtection="1">
      <alignment vertical="center" wrapText="1"/>
      <protection hidden="1"/>
    </xf>
    <xf numFmtId="4" fontId="16" fillId="0" borderId="31" xfId="55" applyNumberFormat="1" applyFont="1" applyBorder="1" applyAlignment="1" applyProtection="1">
      <alignment vertical="center" wrapText="1"/>
      <protection hidden="1"/>
    </xf>
    <xf numFmtId="0" fontId="19" fillId="0" borderId="0" xfId="55" applyFont="1" applyBorder="1" applyProtection="1">
      <protection hidden="1"/>
    </xf>
    <xf numFmtId="1" fontId="15" fillId="0" borderId="5" xfId="55" applyNumberFormat="1" applyFont="1" applyBorder="1" applyAlignment="1" applyProtection="1">
      <alignment horizontal="center" vertical="center" wrapText="1"/>
      <protection hidden="1"/>
    </xf>
    <xf numFmtId="0" fontId="16" fillId="0" borderId="0" xfId="55" applyFont="1" applyFill="1" applyBorder="1" applyAlignment="1" applyProtection="1">
      <alignment horizontal="justify" vertical="center" wrapText="1"/>
      <protection hidden="1"/>
    </xf>
    <xf numFmtId="2" fontId="0" fillId="0" borderId="5" xfId="55" applyNumberFormat="1" applyFont="1" applyBorder="1" applyAlignment="1" applyProtection="1">
      <alignment horizontal="left" vertical="center" wrapText="1" indent="3"/>
      <protection hidden="1"/>
    </xf>
    <xf numFmtId="0" fontId="0" fillId="0" borderId="0" xfId="55" applyFont="1" applyFill="1" applyBorder="1" applyAlignment="1" applyProtection="1">
      <alignment vertical="center" wrapText="1"/>
      <protection hidden="1"/>
    </xf>
    <xf numFmtId="2" fontId="16" fillId="0" borderId="0" xfId="55" applyNumberFormat="1" applyFont="1" applyFill="1" applyBorder="1" applyAlignment="1" applyProtection="1">
      <alignment horizontal="left" vertical="center" wrapText="1"/>
      <protection hidden="1"/>
    </xf>
    <xf numFmtId="0" fontId="0" fillId="0" borderId="0" xfId="55" applyFont="1" applyFill="1" applyBorder="1" applyAlignment="1" applyProtection="1">
      <alignment horizontal="justify" vertical="center" wrapText="1"/>
      <protection hidden="1"/>
    </xf>
    <xf numFmtId="3" fontId="16" fillId="0" borderId="6" xfId="55" applyNumberFormat="1" applyFont="1" applyFill="1" applyBorder="1" applyAlignment="1" applyProtection="1">
      <alignment horizontal="right" vertical="center" wrapText="1"/>
      <protection hidden="1"/>
    </xf>
    <xf numFmtId="10" fontId="16" fillId="0" borderId="0" xfId="55" applyNumberFormat="1" applyFont="1" applyFill="1" applyBorder="1" applyAlignment="1" applyProtection="1">
      <alignment horizontal="left" vertical="center" wrapText="1"/>
      <protection hidden="1"/>
    </xf>
    <xf numFmtId="4" fontId="16" fillId="0" borderId="6" xfId="55" applyNumberFormat="1" applyFont="1" applyFill="1" applyBorder="1" applyAlignment="1" applyProtection="1">
      <alignment horizontal="right" vertical="center" wrapText="1"/>
      <protection hidden="1"/>
    </xf>
    <xf numFmtId="1" fontId="15" fillId="0" borderId="5" xfId="55" applyNumberFormat="1" applyFont="1" applyFill="1" applyBorder="1" applyAlignment="1" applyProtection="1">
      <alignment horizontal="center" vertical="top" wrapText="1"/>
      <protection hidden="1"/>
    </xf>
    <xf numFmtId="0" fontId="36" fillId="0" borderId="0" xfId="55" applyFill="1" applyProtection="1">
      <protection hidden="1"/>
    </xf>
    <xf numFmtId="1" fontId="16" fillId="0" borderId="5" xfId="55" applyNumberFormat="1" applyFont="1" applyBorder="1" applyAlignment="1" applyProtection="1">
      <alignment horizontal="left" vertical="center" wrapText="1" indent="3"/>
      <protection hidden="1"/>
    </xf>
    <xf numFmtId="0" fontId="16" fillId="0" borderId="0" xfId="55" applyFont="1" applyFill="1" applyBorder="1" applyAlignment="1" applyProtection="1">
      <alignment vertical="center" wrapText="1"/>
      <protection hidden="1"/>
    </xf>
    <xf numFmtId="10" fontId="15" fillId="6" borderId="0" xfId="55" applyNumberFormat="1" applyFont="1" applyFill="1" applyBorder="1" applyAlignment="1" applyProtection="1">
      <alignment vertical="center" wrapText="1"/>
      <protection locked="0" hidden="1"/>
    </xf>
    <xf numFmtId="1" fontId="0" fillId="0" borderId="5" xfId="55" applyNumberFormat="1" applyFont="1" applyBorder="1" applyAlignment="1" applyProtection="1">
      <alignment horizontal="left" vertical="center" wrapText="1" indent="3"/>
      <protection hidden="1"/>
    </xf>
    <xf numFmtId="2" fontId="15" fillId="0" borderId="0" xfId="55" applyNumberFormat="1" applyFont="1" applyFill="1" applyBorder="1" applyAlignment="1" applyProtection="1">
      <alignment vertical="center" wrapText="1"/>
      <protection hidden="1"/>
    </xf>
    <xf numFmtId="4" fontId="16" fillId="6" borderId="6" xfId="55" applyNumberFormat="1" applyFont="1" applyFill="1" applyBorder="1" applyAlignment="1" applyProtection="1">
      <alignment horizontal="right" vertical="center" wrapText="1"/>
      <protection locked="0" hidden="1"/>
    </xf>
    <xf numFmtId="3" fontId="16" fillId="6" borderId="6" xfId="55" applyNumberFormat="1" applyFont="1" applyFill="1" applyBorder="1" applyAlignment="1" applyProtection="1">
      <alignment horizontal="right" vertical="center" wrapText="1"/>
      <protection locked="0" hidden="1"/>
    </xf>
    <xf numFmtId="4" fontId="16" fillId="0" borderId="6" xfId="55" applyNumberFormat="1" applyFont="1" applyFill="1" applyBorder="1" applyAlignment="1" applyProtection="1">
      <alignment horizontal="justify" vertical="center" wrapText="1"/>
      <protection hidden="1"/>
    </xf>
    <xf numFmtId="1" fontId="0" fillId="0" borderId="0" xfId="55" applyNumberFormat="1" applyFont="1" applyAlignment="1" applyProtection="1">
      <alignment vertical="center" wrapText="1"/>
      <protection hidden="1"/>
    </xf>
    <xf numFmtId="1" fontId="16" fillId="0" borderId="0" xfId="55" applyNumberFormat="1" applyFont="1" applyAlignment="1" applyProtection="1">
      <alignment vertical="center" wrapText="1"/>
      <protection hidden="1"/>
    </xf>
    <xf numFmtId="4" fontId="16" fillId="0" borderId="0" xfId="55" applyNumberFormat="1" applyFont="1" applyAlignment="1" applyProtection="1">
      <alignment vertical="center" wrapText="1"/>
      <protection hidden="1"/>
    </xf>
    <xf numFmtId="0" fontId="0" fillId="0" borderId="0" xfId="0" applyAlignment="1">
      <alignment vertical="top"/>
    </xf>
    <xf numFmtId="9" fontId="0" fillId="0" borderId="5" xfId="55"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14" fontId="0" fillId="0" borderId="0" xfId="0" applyNumberFormat="1" applyFont="1" applyFill="1" applyBorder="1" applyAlignment="1" applyProtection="1">
      <alignment horizontal="left" vertical="center"/>
    </xf>
    <xf numFmtId="0" fontId="0" fillId="0" borderId="0" xfId="51"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36" fillId="0" borderId="0" xfId="49" applyNumberFormat="1" applyFont="1" applyFill="1" applyBorder="1" applyAlignment="1" applyProtection="1">
      <alignment vertical="top"/>
      <protection hidden="1"/>
    </xf>
    <xf numFmtId="0" fontId="0" fillId="0" borderId="11" xfId="49" applyFont="1" applyBorder="1" applyAlignment="1" applyProtection="1">
      <alignment horizontal="center" vertical="top" wrapText="1"/>
      <protection hidden="1"/>
    </xf>
    <xf numFmtId="2" fontId="5" fillId="0" borderId="0" xfId="51" applyNumberFormat="1" applyFont="1" applyAlignment="1" applyProtection="1">
      <alignment vertical="top"/>
      <protection hidden="1"/>
    </xf>
    <xf numFmtId="43" fontId="5" fillId="0" borderId="0" xfId="51" applyNumberFormat="1" applyFont="1" applyAlignment="1" applyProtection="1">
      <alignment vertical="top"/>
      <protection hidden="1"/>
    </xf>
    <xf numFmtId="43" fontId="5" fillId="0" borderId="0" xfId="8" applyFont="1" applyAlignment="1" applyProtection="1">
      <alignment vertical="top"/>
      <protection hidden="1"/>
    </xf>
    <xf numFmtId="0" fontId="19" fillId="0" borderId="0" xfId="45" applyFont="1" applyProtection="1">
      <protection hidden="1"/>
    </xf>
    <xf numFmtId="0" fontId="52" fillId="0" borderId="0" xfId="54" applyFont="1" applyAlignment="1" applyProtection="1">
      <alignment horizontal="left" vertical="center" indent="1"/>
      <protection hidden="1"/>
    </xf>
    <xf numFmtId="0" fontId="53" fillId="0" borderId="0" xfId="49" applyNumberFormat="1" applyFont="1" applyFill="1" applyBorder="1" applyAlignment="1" applyProtection="1">
      <alignment horizontal="center" vertical="center"/>
      <protection hidden="1"/>
    </xf>
    <xf numFmtId="0" fontId="54" fillId="0" borderId="0" xfId="49" applyNumberFormat="1" applyFont="1" applyFill="1" applyBorder="1" applyAlignment="1" applyProtection="1">
      <alignment horizontal="center" vertical="center"/>
      <protection hidden="1"/>
    </xf>
    <xf numFmtId="0" fontId="54" fillId="0" borderId="0" xfId="49" applyNumberFormat="1" applyFont="1" applyFill="1" applyBorder="1" applyAlignment="1" applyProtection="1">
      <alignment horizontal="center" vertical="top"/>
      <protection hidden="1"/>
    </xf>
    <xf numFmtId="0" fontId="55" fillId="0" borderId="0" xfId="49" applyNumberFormat="1" applyFont="1" applyFill="1" applyBorder="1" applyAlignment="1" applyProtection="1">
      <alignment vertical="center"/>
      <protection hidden="1"/>
    </xf>
    <xf numFmtId="0" fontId="56" fillId="0" borderId="0" xfId="49" applyNumberFormat="1" applyFont="1" applyFill="1" applyBorder="1" applyAlignment="1" applyProtection="1">
      <alignment vertical="center"/>
      <protection hidden="1"/>
    </xf>
    <xf numFmtId="0" fontId="56" fillId="0" borderId="0" xfId="49" applyNumberFormat="1" applyFont="1" applyFill="1" applyBorder="1" applyAlignment="1" applyProtection="1">
      <alignment vertical="top"/>
      <protection hidden="1"/>
    </xf>
    <xf numFmtId="0" fontId="56" fillId="0" borderId="0" xfId="49" applyNumberFormat="1" applyFont="1" applyFill="1" applyBorder="1" applyAlignment="1" applyProtection="1">
      <alignment vertical="top" wrapText="1"/>
      <protection hidden="1"/>
    </xf>
    <xf numFmtId="43" fontId="56" fillId="0" borderId="0" xfId="8" applyFont="1" applyFill="1" applyBorder="1" applyAlignment="1" applyProtection="1">
      <alignment vertical="center"/>
      <protection hidden="1"/>
    </xf>
    <xf numFmtId="178" fontId="55" fillId="0" borderId="0" xfId="49" applyNumberFormat="1" applyFont="1" applyFill="1" applyBorder="1" applyAlignment="1" applyProtection="1">
      <alignment vertical="center"/>
      <protection hidden="1"/>
    </xf>
    <xf numFmtId="2" fontId="56" fillId="0" borderId="0" xfId="49" applyNumberFormat="1" applyFont="1" applyFill="1" applyBorder="1" applyAlignment="1" applyProtection="1">
      <alignment vertical="center"/>
      <protection hidden="1"/>
    </xf>
    <xf numFmtId="10" fontId="56" fillId="0" borderId="0" xfId="49" applyNumberFormat="1" applyFont="1" applyFill="1" applyBorder="1" applyAlignment="1" applyProtection="1">
      <alignment vertical="top"/>
      <protection hidden="1"/>
    </xf>
    <xf numFmtId="0" fontId="55" fillId="0" borderId="0" xfId="49" applyNumberFormat="1" applyFont="1" applyFill="1" applyBorder="1" applyAlignment="1" applyProtection="1">
      <alignment vertical="top"/>
      <protection hidden="1"/>
    </xf>
    <xf numFmtId="2" fontId="55" fillId="0" borderId="0" xfId="49" applyNumberFormat="1" applyFont="1" applyFill="1" applyBorder="1" applyAlignment="1" applyProtection="1">
      <alignment vertical="center"/>
      <protection hidden="1"/>
    </xf>
    <xf numFmtId="178" fontId="55" fillId="0" borderId="0" xfId="49" applyNumberFormat="1" applyFont="1" applyFill="1" applyBorder="1" applyAlignment="1" applyProtection="1">
      <alignment vertical="top"/>
      <protection hidden="1"/>
    </xf>
    <xf numFmtId="0" fontId="57" fillId="0" borderId="19" xfId="49" applyNumberFormat="1" applyFont="1" applyFill="1" applyBorder="1" applyAlignment="1" applyProtection="1">
      <alignment horizontal="left" vertical="center" indent="3"/>
      <protection hidden="1"/>
    </xf>
    <xf numFmtId="10" fontId="55" fillId="0" borderId="0" xfId="49" applyNumberFormat="1" applyFont="1" applyFill="1" applyBorder="1" applyAlignment="1" applyProtection="1">
      <alignment vertical="top"/>
      <protection hidden="1"/>
    </xf>
    <xf numFmtId="0" fontId="55" fillId="0" borderId="0" xfId="0" applyFont="1" applyAlignment="1" applyProtection="1">
      <alignment horizontal="justify" vertical="center"/>
      <protection hidden="1"/>
    </xf>
    <xf numFmtId="0" fontId="55" fillId="0" borderId="0" xfId="42" applyFont="1" applyAlignment="1" applyProtection="1">
      <alignment horizontal="left" vertical="center"/>
      <protection hidden="1"/>
    </xf>
    <xf numFmtId="0" fontId="55" fillId="0" borderId="0" xfId="42" applyFont="1" applyAlignment="1" applyProtection="1">
      <alignment vertical="center"/>
      <protection hidden="1"/>
    </xf>
    <xf numFmtId="0" fontId="0" fillId="0" borderId="0" xfId="0" applyBorder="1" applyProtection="1">
      <protection hidden="1"/>
    </xf>
    <xf numFmtId="0" fontId="16" fillId="0" borderId="0" xfId="0" applyFont="1" applyBorder="1" applyAlignment="1" applyProtection="1">
      <alignment vertical="top"/>
      <protection hidden="1"/>
    </xf>
    <xf numFmtId="0" fontId="5"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5" fillId="0" borderId="0" xfId="0" applyFont="1" applyBorder="1" applyProtection="1">
      <protection hidden="1"/>
    </xf>
    <xf numFmtId="0" fontId="5" fillId="0" borderId="0" xfId="0" applyFont="1" applyAlignment="1" applyProtection="1">
      <alignment horizontal="justify"/>
      <protection hidden="1"/>
    </xf>
    <xf numFmtId="0" fontId="21" fillId="0" borderId="0" xfId="0" applyFont="1" applyBorder="1" applyAlignment="1" applyProtection="1">
      <alignment horizontal="center" vertical="top"/>
      <protection hidden="1"/>
    </xf>
    <xf numFmtId="166" fontId="6" fillId="0" borderId="0" xfId="0" quotePrefix="1" applyNumberFormat="1" applyFont="1" applyBorder="1" applyAlignment="1" applyProtection="1">
      <alignment horizontal="left" vertical="top" wrapText="1"/>
      <protection hidden="1"/>
    </xf>
    <xf numFmtId="0" fontId="20" fillId="0" borderId="0" xfId="0" applyFont="1" applyBorder="1" applyAlignment="1" applyProtection="1">
      <alignment vertical="top" wrapText="1"/>
      <protection hidden="1"/>
    </xf>
    <xf numFmtId="0" fontId="5" fillId="0" borderId="0" xfId="0" applyFont="1" applyAlignment="1" applyProtection="1">
      <alignment horizontal="justify" vertical="center"/>
      <protection hidden="1"/>
    </xf>
    <xf numFmtId="0" fontId="5" fillId="0" borderId="0" xfId="0" applyFont="1" applyAlignment="1" applyProtection="1">
      <alignment horizontal="justify" vertical="top"/>
      <protection hidden="1"/>
    </xf>
    <xf numFmtId="0" fontId="5" fillId="0" borderId="0" xfId="0" applyFont="1" applyBorder="1" applyAlignment="1" applyProtection="1">
      <alignment horizontal="center" vertical="top" wrapText="1"/>
      <protection hidden="1"/>
    </xf>
    <xf numFmtId="0" fontId="21" fillId="0" borderId="0" xfId="0" applyFont="1" applyAlignment="1" applyProtection="1">
      <alignment horizontal="justify" vertical="center"/>
      <protection hidden="1"/>
    </xf>
    <xf numFmtId="0" fontId="5" fillId="0" borderId="0" xfId="0" applyFont="1" applyBorder="1" applyAlignment="1" applyProtection="1">
      <alignment horizontal="right" vertical="top" wrapText="1"/>
      <protection hidden="1"/>
    </xf>
    <xf numFmtId="0" fontId="5" fillId="0" borderId="0" xfId="0" applyFont="1" applyAlignment="1" applyProtection="1">
      <alignment vertical="top"/>
      <protection hidden="1"/>
    </xf>
    <xf numFmtId="0" fontId="15" fillId="0" borderId="0" xfId="0" applyFont="1" applyBorder="1" applyAlignment="1" applyProtection="1">
      <alignment horizontal="center" vertical="top"/>
      <protection hidden="1"/>
    </xf>
    <xf numFmtId="166" fontId="6" fillId="0" borderId="0" xfId="0" quotePrefix="1" applyNumberFormat="1" applyFont="1" applyBorder="1" applyAlignment="1" applyProtection="1">
      <alignment horizontal="left" vertical="top" wrapText="1" indent="1"/>
      <protection hidden="1"/>
    </xf>
    <xf numFmtId="0" fontId="20" fillId="0" borderId="0" xfId="0" applyFont="1" applyBorder="1" applyProtection="1">
      <protection hidden="1"/>
    </xf>
    <xf numFmtId="0" fontId="5" fillId="0" borderId="0" xfId="0" applyFont="1" applyAlignment="1" applyProtection="1">
      <alignment vertical="center"/>
      <protection hidden="1"/>
    </xf>
    <xf numFmtId="0" fontId="4" fillId="0" borderId="0" xfId="0" applyFont="1" applyBorder="1" applyAlignment="1" applyProtection="1">
      <protection hidden="1"/>
    </xf>
    <xf numFmtId="0" fontId="60" fillId="0" borderId="0" xfId="0" applyFont="1" applyAlignment="1" applyProtection="1">
      <alignment horizontal="center" vertical="center" wrapText="1"/>
      <protection hidden="1"/>
    </xf>
    <xf numFmtId="0" fontId="16" fillId="10" borderId="18" xfId="45" applyFont="1" applyFill="1" applyBorder="1" applyAlignment="1" applyProtection="1">
      <alignment vertical="center"/>
      <protection hidden="1"/>
    </xf>
    <xf numFmtId="0" fontId="16" fillId="10" borderId="19" xfId="45" applyFont="1" applyFill="1" applyBorder="1" applyAlignment="1" applyProtection="1">
      <alignment vertical="center"/>
      <protection hidden="1"/>
    </xf>
    <xf numFmtId="0" fontId="16" fillId="10" borderId="20" xfId="45" applyFont="1" applyFill="1" applyBorder="1" applyAlignment="1" applyProtection="1">
      <alignment vertical="center"/>
      <protection hidden="1"/>
    </xf>
    <xf numFmtId="0" fontId="0" fillId="0" borderId="19" xfId="49" applyNumberFormat="1" applyFont="1" applyFill="1" applyBorder="1" applyAlignment="1" applyProtection="1">
      <alignment horizontal="left" vertical="center" indent="3"/>
      <protection hidden="1"/>
    </xf>
    <xf numFmtId="0" fontId="17" fillId="0" borderId="19" xfId="49" applyNumberFormat="1" applyFont="1" applyFill="1" applyBorder="1" applyAlignment="1" applyProtection="1">
      <alignment horizontal="left" vertical="center" indent="3"/>
      <protection hidden="1"/>
    </xf>
    <xf numFmtId="4" fontId="0" fillId="3" borderId="27" xfId="49" applyNumberFormat="1" applyFont="1" applyFill="1" applyBorder="1" applyAlignment="1" applyProtection="1">
      <alignment horizontal="right" vertical="center" wrapText="1"/>
      <protection locked="0"/>
    </xf>
    <xf numFmtId="0" fontId="16" fillId="10" borderId="0" xfId="0" applyFont="1" applyFill="1" applyAlignment="1" applyProtection="1">
      <alignment vertical="center"/>
      <protection hidden="1"/>
    </xf>
    <xf numFmtId="0" fontId="38" fillId="11" borderId="0" xfId="49" applyNumberFormat="1" applyFont="1" applyFill="1" applyBorder="1" applyAlignment="1" applyProtection="1">
      <alignment vertical="top"/>
      <protection hidden="1"/>
    </xf>
    <xf numFmtId="0" fontId="15" fillId="0" borderId="10" xfId="49" applyFont="1" applyFill="1" applyBorder="1" applyAlignment="1" applyProtection="1">
      <alignment horizontal="center" vertical="center" wrapText="1"/>
      <protection hidden="1"/>
    </xf>
    <xf numFmtId="0" fontId="16" fillId="0" borderId="14" xfId="49" applyFont="1" applyFill="1" applyBorder="1" applyAlignment="1" applyProtection="1">
      <alignment horizontal="center" vertical="center"/>
      <protection hidden="1"/>
    </xf>
    <xf numFmtId="0" fontId="16" fillId="0" borderId="20" xfId="49" applyFont="1" applyFill="1" applyBorder="1" applyAlignment="1" applyProtection="1">
      <alignment horizontal="right" vertical="center"/>
      <protection hidden="1"/>
    </xf>
    <xf numFmtId="0" fontId="17" fillId="0" borderId="29" xfId="49" applyNumberFormat="1" applyFont="1" applyFill="1" applyBorder="1" applyAlignment="1" applyProtection="1">
      <alignment horizontal="left" vertical="center" indent="3"/>
      <protection hidden="1"/>
    </xf>
    <xf numFmtId="178" fontId="56" fillId="0" borderId="0" xfId="49" applyNumberFormat="1" applyFont="1" applyFill="1" applyBorder="1" applyAlignment="1" applyProtection="1">
      <alignment vertical="top"/>
      <protection hidden="1"/>
    </xf>
    <xf numFmtId="165" fontId="56" fillId="0" borderId="0" xfId="49" applyNumberFormat="1" applyFont="1" applyFill="1" applyBorder="1" applyAlignment="1" applyProtection="1">
      <alignment vertical="top"/>
      <protection hidden="1"/>
    </xf>
    <xf numFmtId="0" fontId="15" fillId="0" borderId="0" xfId="51" applyFont="1" applyFill="1" applyAlignment="1" applyProtection="1">
      <alignment horizontal="left" vertical="top" wrapText="1"/>
      <protection hidden="1"/>
    </xf>
    <xf numFmtId="0" fontId="16" fillId="10" borderId="29" xfId="45" applyFont="1" applyFill="1" applyBorder="1" applyAlignment="1" applyProtection="1">
      <alignment vertical="center"/>
      <protection hidden="1"/>
    </xf>
    <xf numFmtId="0" fontId="16" fillId="10" borderId="26" xfId="45" applyFont="1" applyFill="1" applyBorder="1" applyAlignment="1" applyProtection="1">
      <alignment vertical="center"/>
      <protection hidden="1"/>
    </xf>
    <xf numFmtId="0" fontId="0" fillId="3" borderId="11" xfId="45" applyFont="1" applyFill="1" applyBorder="1" applyAlignment="1" applyProtection="1">
      <alignment vertical="center" wrapText="1"/>
      <protection locked="0"/>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5" fillId="0" borderId="32" xfId="51" applyFont="1" applyBorder="1" applyAlignment="1" applyProtection="1">
      <alignment horizontal="center" vertical="center" wrapText="1"/>
      <protection hidden="1"/>
    </xf>
    <xf numFmtId="174" fontId="15" fillId="0" borderId="33" xfId="51" applyNumberFormat="1" applyFont="1" applyBorder="1" applyAlignment="1" applyProtection="1">
      <alignment horizontal="center" vertical="center"/>
      <protection hidden="1"/>
    </xf>
    <xf numFmtId="0" fontId="16" fillId="0" borderId="34" xfId="51" applyFont="1" applyBorder="1" applyAlignment="1" applyProtection="1">
      <alignment horizontal="center" vertical="center"/>
      <protection hidden="1"/>
    </xf>
    <xf numFmtId="0" fontId="16" fillId="0" borderId="35" xfId="51" applyFont="1" applyBorder="1" applyAlignment="1" applyProtection="1">
      <alignment horizontal="center" vertical="center"/>
      <protection hidden="1"/>
    </xf>
    <xf numFmtId="4" fontId="15" fillId="0" borderId="36" xfId="51" applyNumberFormat="1" applyFont="1" applyFill="1" applyBorder="1" applyAlignment="1" applyProtection="1">
      <alignment horizontal="center" vertical="center" wrapText="1"/>
      <protection hidden="1"/>
    </xf>
    <xf numFmtId="0" fontId="0" fillId="0" borderId="17" xfId="45" applyFont="1" applyBorder="1" applyAlignment="1" applyProtection="1">
      <alignment vertical="center"/>
      <protection hidden="1"/>
    </xf>
    <xf numFmtId="179" fontId="0" fillId="3" borderId="16" xfId="45" applyNumberFormat="1" applyFont="1" applyFill="1" applyBorder="1" applyAlignment="1" applyProtection="1">
      <alignment horizontal="left" vertical="center" wrapText="1"/>
      <protection locked="0"/>
    </xf>
    <xf numFmtId="0" fontId="15" fillId="0" borderId="35" xfId="51" applyFont="1" applyBorder="1" applyAlignment="1" applyProtection="1">
      <alignment horizontal="center" vertical="center" wrapText="1"/>
      <protection hidden="1"/>
    </xf>
    <xf numFmtId="0" fontId="15" fillId="0" borderId="0" xfId="52" applyFont="1" applyFill="1" applyBorder="1" applyAlignment="1" applyProtection="1">
      <alignment horizontal="left" vertical="center" wrapText="1"/>
      <protection hidden="1"/>
    </xf>
    <xf numFmtId="174" fontId="15" fillId="0" borderId="32" xfId="51" applyNumberFormat="1" applyFont="1" applyBorder="1" applyAlignment="1" applyProtection="1">
      <alignment horizontal="center" vertical="center"/>
      <protection hidden="1"/>
    </xf>
    <xf numFmtId="0" fontId="16" fillId="0" borderId="37" xfId="51" applyFont="1" applyBorder="1" applyAlignment="1" applyProtection="1">
      <alignment horizontal="center" vertical="center"/>
      <protection hidden="1"/>
    </xf>
    <xf numFmtId="4" fontId="15" fillId="0" borderId="38" xfId="51" applyNumberFormat="1" applyFont="1" applyFill="1" applyBorder="1" applyAlignment="1" applyProtection="1">
      <alignment horizontal="center" vertical="center"/>
      <protection hidden="1"/>
    </xf>
    <xf numFmtId="175" fontId="15" fillId="0" borderId="39" xfId="51" applyNumberFormat="1" applyFont="1" applyFill="1" applyBorder="1" applyAlignment="1" applyProtection="1">
      <alignment horizontal="center" vertical="center"/>
      <protection hidden="1"/>
    </xf>
    <xf numFmtId="0" fontId="15" fillId="0" borderId="39" xfId="51" applyFont="1" applyFill="1" applyBorder="1" applyAlignment="1" applyProtection="1">
      <alignment horizontal="center" vertical="center"/>
      <protection hidden="1"/>
    </xf>
    <xf numFmtId="0" fontId="16" fillId="0" borderId="37" xfId="51" applyFont="1" applyBorder="1" applyAlignment="1" applyProtection="1">
      <alignment vertical="center"/>
      <protection hidden="1"/>
    </xf>
    <xf numFmtId="2" fontId="15" fillId="0" borderId="38" xfId="51" applyNumberFormat="1" applyFont="1" applyFill="1" applyBorder="1" applyAlignment="1" applyProtection="1">
      <alignment horizontal="center" vertical="center"/>
      <protection hidden="1"/>
    </xf>
    <xf numFmtId="4" fontId="15" fillId="0" borderId="39" xfId="51" applyNumberFormat="1" applyFont="1" applyFill="1" applyBorder="1" applyAlignment="1" applyProtection="1">
      <alignment horizontal="center" vertical="center"/>
      <protection hidden="1"/>
    </xf>
    <xf numFmtId="43" fontId="15" fillId="0" borderId="40" xfId="8" applyFont="1" applyFill="1" applyBorder="1" applyAlignment="1" applyProtection="1">
      <alignment horizontal="center" vertical="center"/>
      <protection hidden="1"/>
    </xf>
    <xf numFmtId="0" fontId="16" fillId="0" borderId="34" xfId="51" applyFont="1" applyBorder="1" applyAlignment="1" applyProtection="1">
      <alignment vertical="center"/>
      <protection hidden="1"/>
    </xf>
    <xf numFmtId="174" fontId="15" fillId="0" borderId="34" xfId="51" applyNumberFormat="1" applyFont="1" applyBorder="1" applyAlignment="1" applyProtection="1">
      <alignment horizontal="center" vertical="center"/>
      <protection hidden="1"/>
    </xf>
    <xf numFmtId="4" fontId="15" fillId="0" borderId="40" xfId="51" applyNumberFormat="1" applyFont="1" applyFill="1" applyBorder="1" applyAlignment="1" applyProtection="1">
      <alignment vertical="center"/>
      <protection hidden="1"/>
    </xf>
    <xf numFmtId="0" fontId="15" fillId="0" borderId="36" xfId="51" applyFont="1" applyBorder="1" applyAlignment="1" applyProtection="1">
      <alignment horizontal="right" vertical="center" wrapText="1" indent="5"/>
      <protection hidden="1"/>
    </xf>
    <xf numFmtId="0" fontId="43" fillId="0" borderId="14" xfId="51" applyFont="1" applyBorder="1" applyAlignment="1" applyProtection="1">
      <alignment horizontal="justify" vertical="center"/>
      <protection hidden="1"/>
    </xf>
    <xf numFmtId="0" fontId="43" fillId="0" borderId="20" xfId="51" applyFont="1" applyBorder="1" applyAlignment="1" applyProtection="1">
      <alignment horizontal="justify" vertical="center"/>
      <protection hidden="1"/>
    </xf>
    <xf numFmtId="0" fontId="16" fillId="0" borderId="0" xfId="0" applyFont="1" applyBorder="1" applyAlignment="1" applyProtection="1">
      <alignment horizontal="justify" vertical="top" wrapText="1"/>
      <protection hidden="1"/>
    </xf>
    <xf numFmtId="0" fontId="71" fillId="0" borderId="0" xfId="51" applyFont="1" applyBorder="1" applyAlignment="1" applyProtection="1">
      <alignment vertical="top"/>
      <protection hidden="1"/>
    </xf>
    <xf numFmtId="0" fontId="15" fillId="0" borderId="0" xfId="52" applyFont="1" applyFill="1" applyBorder="1" applyAlignment="1" applyProtection="1">
      <alignment vertical="center" wrapText="1"/>
      <protection hidden="1"/>
    </xf>
    <xf numFmtId="0" fontId="2" fillId="0" borderId="0" xfId="21" quotePrefix="1" applyAlignment="1" applyProtection="1">
      <alignment vertical="center"/>
      <protection hidden="1"/>
    </xf>
    <xf numFmtId="0" fontId="2" fillId="0" borderId="20" xfId="21" quotePrefix="1" applyBorder="1" applyAlignment="1" applyProtection="1">
      <alignment horizontal="justify" vertical="center"/>
      <protection hidden="1"/>
    </xf>
    <xf numFmtId="0" fontId="2" fillId="0" borderId="14" xfId="21" quotePrefix="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protection hidden="1"/>
    </xf>
    <xf numFmtId="0" fontId="72" fillId="0" borderId="0" xfId="45" applyFont="1" applyAlignment="1" applyProtection="1">
      <alignment horizontal="center" vertical="center"/>
      <protection hidden="1"/>
    </xf>
    <xf numFmtId="0" fontId="72" fillId="0" borderId="0" xfId="45" applyFont="1" applyProtection="1">
      <protection hidden="1"/>
    </xf>
    <xf numFmtId="0" fontId="73" fillId="0" borderId="0" xfId="0" applyFont="1" applyFill="1" applyBorder="1" applyAlignment="1" applyProtection="1">
      <alignment vertical="center"/>
      <protection hidden="1"/>
    </xf>
    <xf numFmtId="0" fontId="15" fillId="0" borderId="0" xfId="49" applyFont="1" applyAlignment="1" applyProtection="1">
      <alignment vertical="top"/>
      <protection hidden="1"/>
    </xf>
    <xf numFmtId="0" fontId="16" fillId="0" borderId="41" xfId="51" applyFont="1" applyBorder="1" applyAlignment="1" applyProtection="1">
      <alignment horizontal="center" vertical="center"/>
      <protection hidden="1"/>
    </xf>
    <xf numFmtId="0" fontId="72" fillId="0" borderId="0" xfId="0" applyFont="1" applyBorder="1" applyAlignment="1" applyProtection="1">
      <alignment horizontal="justify" vertical="top" wrapText="1"/>
      <protection hidden="1"/>
    </xf>
    <xf numFmtId="0" fontId="5" fillId="0" borderId="0" xfId="50" applyFont="1" applyAlignment="1" applyProtection="1">
      <alignment vertical="top"/>
      <protection locked="0"/>
    </xf>
    <xf numFmtId="0" fontId="6" fillId="0" borderId="11" xfId="50" applyFont="1" applyBorder="1" applyAlignment="1" applyProtection="1">
      <alignment horizontal="center" vertical="top" wrapText="1"/>
      <protection locked="0"/>
    </xf>
    <xf numFmtId="0" fontId="6" fillId="0" borderId="42" xfId="50" applyFont="1" applyBorder="1" applyAlignment="1" applyProtection="1">
      <alignment horizontal="center" vertical="top" wrapText="1"/>
      <protection locked="0"/>
    </xf>
    <xf numFmtId="0" fontId="6" fillId="0" borderId="9" xfId="50" applyFont="1" applyBorder="1" applyAlignment="1" applyProtection="1">
      <alignment horizontal="center" vertical="top"/>
      <protection locked="0"/>
    </xf>
    <xf numFmtId="0" fontId="6" fillId="0" borderId="39" xfId="50" applyFont="1" applyBorder="1" applyAlignment="1" applyProtection="1">
      <alignment horizontal="center" vertical="top"/>
      <protection locked="0"/>
    </xf>
    <xf numFmtId="0" fontId="5" fillId="0" borderId="0"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2" fontId="15" fillId="0" borderId="24" xfId="51" applyNumberFormat="1" applyFont="1" applyFill="1" applyBorder="1" applyAlignment="1" applyProtection="1">
      <alignment horizontal="center" vertical="center" wrapText="1"/>
      <protection hidden="1"/>
    </xf>
    <xf numFmtId="0" fontId="15" fillId="10" borderId="0" xfId="0" applyFont="1" applyFill="1" applyBorder="1" applyAlignment="1" applyProtection="1">
      <alignment vertical="center"/>
      <protection hidden="1"/>
    </xf>
    <xf numFmtId="0" fontId="5" fillId="0" borderId="0" xfId="35" applyFont="1" applyAlignment="1" applyProtection="1">
      <alignment horizontal="justify" vertical="top"/>
      <protection hidden="1"/>
    </xf>
    <xf numFmtId="0" fontId="15" fillId="0" borderId="43" xfId="0" applyFont="1" applyFill="1" applyBorder="1" applyAlignment="1" applyProtection="1">
      <alignment horizontal="center" vertical="center" wrapText="1"/>
      <protection hidden="1"/>
    </xf>
    <xf numFmtId="0" fontId="15" fillId="0" borderId="44" xfId="0" applyFont="1" applyFill="1" applyBorder="1" applyAlignment="1" applyProtection="1">
      <alignment horizontal="center" vertical="center" wrapText="1"/>
      <protection hidden="1"/>
    </xf>
    <xf numFmtId="0" fontId="15" fillId="0" borderId="45" xfId="0" applyFont="1" applyFill="1" applyBorder="1" applyAlignment="1" applyProtection="1">
      <alignment horizontal="center" vertical="center" wrapText="1"/>
      <protection hidden="1"/>
    </xf>
    <xf numFmtId="0" fontId="15" fillId="0" borderId="45" xfId="0" applyFont="1" applyFill="1" applyBorder="1" applyAlignment="1" applyProtection="1">
      <alignment horizontal="center" vertical="center" wrapText="1"/>
    </xf>
    <xf numFmtId="0" fontId="15" fillId="0" borderId="46" xfId="0" applyFont="1" applyFill="1" applyBorder="1" applyAlignment="1" applyProtection="1">
      <alignment horizontal="center" vertical="center" wrapText="1"/>
      <protection hidden="1"/>
    </xf>
    <xf numFmtId="0" fontId="15" fillId="0" borderId="33" xfId="0" applyFont="1" applyFill="1" applyBorder="1" applyAlignment="1" applyProtection="1">
      <alignment horizontal="center" vertical="center" wrapText="1"/>
      <protection hidden="1"/>
    </xf>
    <xf numFmtId="0" fontId="15" fillId="0" borderId="30" xfId="0" applyFont="1" applyFill="1" applyBorder="1" applyAlignment="1" applyProtection="1">
      <alignment horizontal="center" vertical="center" wrapText="1"/>
      <protection hidden="1"/>
    </xf>
    <xf numFmtId="0" fontId="15" fillId="0" borderId="9" xfId="0" applyFont="1" applyFill="1" applyBorder="1" applyAlignment="1" applyProtection="1">
      <alignment horizontal="center" vertical="center" wrapText="1"/>
      <protection hidden="1"/>
    </xf>
    <xf numFmtId="0" fontId="15" fillId="0" borderId="39" xfId="0" applyFont="1" applyFill="1" applyBorder="1" applyAlignment="1" applyProtection="1">
      <alignment horizontal="center" vertical="center" wrapText="1"/>
      <protection hidden="1"/>
    </xf>
    <xf numFmtId="0" fontId="15" fillId="0" borderId="37" xfId="0" applyFont="1" applyBorder="1" applyAlignment="1" applyProtection="1">
      <alignment horizontal="center" vertical="center"/>
      <protection hidden="1"/>
    </xf>
    <xf numFmtId="0" fontId="0" fillId="0" borderId="12" xfId="0" applyFont="1" applyFill="1" applyBorder="1" applyAlignment="1" applyProtection="1">
      <alignment horizontal="center" vertical="center" wrapText="1"/>
      <protection hidden="1"/>
    </xf>
    <xf numFmtId="2" fontId="15" fillId="0" borderId="42" xfId="0" applyNumberFormat="1" applyFont="1" applyFill="1" applyBorder="1" applyAlignment="1" applyProtection="1">
      <alignment horizontal="center" vertical="center" wrapText="1"/>
      <protection hidden="1"/>
    </xf>
    <xf numFmtId="0" fontId="63" fillId="0" borderId="0" xfId="47" applyNumberFormat="1" applyFont="1" applyFill="1" applyBorder="1" applyAlignment="1" applyProtection="1">
      <alignment vertical="center"/>
      <protection hidden="1"/>
    </xf>
    <xf numFmtId="0" fontId="64" fillId="0" borderId="0" xfId="47" applyNumberFormat="1" applyFont="1" applyFill="1" applyBorder="1" applyAlignment="1" applyProtection="1">
      <alignment vertical="center"/>
      <protection hidden="1"/>
    </xf>
    <xf numFmtId="0" fontId="64" fillId="0" borderId="0" xfId="47" applyNumberFormat="1" applyFont="1" applyFill="1" applyBorder="1" applyAlignment="1" applyProtection="1">
      <alignment vertical="center" wrapText="1"/>
      <protection hidden="1"/>
    </xf>
    <xf numFmtId="2" fontId="15" fillId="0" borderId="47" xfId="0" applyNumberFormat="1" applyFont="1" applyFill="1" applyBorder="1" applyAlignment="1" applyProtection="1">
      <alignment horizontal="center" vertical="center" wrapText="1"/>
      <protection hidden="1"/>
    </xf>
    <xf numFmtId="2" fontId="15" fillId="0" borderId="36" xfId="0" applyNumberFormat="1"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6" fillId="0" borderId="0" xfId="35" applyFont="1" applyFill="1" applyBorder="1" applyAlignment="1" applyProtection="1">
      <alignment vertical="top" wrapText="1"/>
      <protection hidden="1"/>
    </xf>
    <xf numFmtId="0" fontId="5" fillId="0" borderId="0" xfId="35" applyFont="1" applyBorder="1" applyAlignment="1" applyProtection="1">
      <alignment horizontal="justify" vertical="center" wrapText="1"/>
      <protection hidden="1"/>
    </xf>
    <xf numFmtId="0" fontId="5" fillId="0" borderId="0" xfId="35" applyFont="1" applyFill="1" applyBorder="1" applyAlignment="1" applyProtection="1">
      <alignment horizontal="justify" vertical="top" wrapText="1"/>
      <protection hidden="1"/>
    </xf>
    <xf numFmtId="0" fontId="5" fillId="0" borderId="0" xfId="35" applyFont="1" applyBorder="1" applyAlignment="1" applyProtection="1">
      <alignment horizontal="justify" vertical="top" wrapText="1"/>
      <protection hidden="1"/>
    </xf>
    <xf numFmtId="0" fontId="16" fillId="0" borderId="0" xfId="0" applyFont="1" applyBorder="1" applyAlignment="1" applyProtection="1">
      <alignment horizontal="center" vertical="top" wrapText="1"/>
      <protection hidden="1"/>
    </xf>
    <xf numFmtId="0" fontId="16" fillId="0" borderId="11" xfId="51" applyFont="1" applyBorder="1" applyAlignment="1" applyProtection="1">
      <alignment vertical="center"/>
      <protection hidden="1"/>
    </xf>
    <xf numFmtId="0" fontId="15" fillId="0" borderId="4" xfId="43" applyFont="1" applyBorder="1" applyAlignment="1" applyProtection="1">
      <alignment vertical="center"/>
      <protection hidden="1"/>
    </xf>
    <xf numFmtId="0" fontId="16" fillId="0" borderId="4" xfId="43" applyFont="1" applyBorder="1" applyAlignment="1" applyProtection="1">
      <alignment vertical="center"/>
      <protection hidden="1"/>
    </xf>
    <xf numFmtId="0" fontId="15" fillId="0" borderId="4" xfId="43" applyFont="1" applyBorder="1" applyAlignment="1" applyProtection="1">
      <alignment horizontal="right" vertical="center"/>
      <protection hidden="1"/>
    </xf>
    <xf numFmtId="0" fontId="19" fillId="0" borderId="0" xfId="43" applyAlignment="1" applyProtection="1">
      <alignment vertical="center"/>
      <protection hidden="1"/>
    </xf>
    <xf numFmtId="0" fontId="19" fillId="0" borderId="0" xfId="43" applyProtection="1">
      <protection hidden="1"/>
    </xf>
    <xf numFmtId="0" fontId="44" fillId="0" borderId="0" xfId="43" applyFont="1" applyBorder="1" applyProtection="1">
      <protection hidden="1"/>
    </xf>
    <xf numFmtId="0" fontId="19" fillId="0" borderId="0" xfId="43" applyFont="1" applyBorder="1" applyProtection="1">
      <protection hidden="1"/>
    </xf>
    <xf numFmtId="0" fontId="19" fillId="0" borderId="0" xfId="43" applyFont="1" applyBorder="1" applyAlignment="1" applyProtection="1">
      <alignment horizontal="center" vertical="center"/>
      <protection hidden="1"/>
    </xf>
    <xf numFmtId="0" fontId="44" fillId="0" borderId="0" xfId="43" applyFont="1" applyBorder="1" applyAlignment="1" applyProtection="1">
      <alignment horizontal="center" vertical="center"/>
      <protection hidden="1"/>
    </xf>
    <xf numFmtId="0" fontId="16" fillId="0" borderId="0" xfId="43" applyFont="1" applyAlignment="1" applyProtection="1">
      <alignment vertical="center"/>
      <protection hidden="1"/>
    </xf>
    <xf numFmtId="0" fontId="74" fillId="0" borderId="0" xfId="43" applyFont="1" applyProtection="1">
      <protection hidden="1"/>
    </xf>
    <xf numFmtId="0" fontId="74" fillId="0" borderId="0" xfId="43" applyFont="1" applyBorder="1" applyProtection="1">
      <protection hidden="1"/>
    </xf>
    <xf numFmtId="0" fontId="74" fillId="0" borderId="0" xfId="43" applyFont="1" applyBorder="1" applyAlignment="1" applyProtection="1">
      <alignment horizontal="center" vertical="center"/>
      <protection hidden="1"/>
    </xf>
    <xf numFmtId="0" fontId="15" fillId="0" borderId="0" xfId="43" applyFont="1" applyAlignment="1" applyProtection="1">
      <alignment horizontal="center" vertical="center"/>
      <protection hidden="1"/>
    </xf>
    <xf numFmtId="0" fontId="16" fillId="0" borderId="0" xfId="43" applyFont="1" applyAlignment="1" applyProtection="1">
      <alignment horizontal="left" vertical="center"/>
      <protection hidden="1"/>
    </xf>
    <xf numFmtId="176" fontId="16" fillId="0" borderId="0" xfId="43" applyNumberFormat="1" applyFont="1" applyFill="1" applyAlignment="1" applyProtection="1">
      <alignment horizontal="left" vertical="center"/>
      <protection hidden="1"/>
    </xf>
    <xf numFmtId="0" fontId="74" fillId="0" borderId="0" xfId="43" applyFont="1" applyBorder="1" applyAlignment="1" applyProtection="1">
      <alignment horizontal="center"/>
      <protection hidden="1"/>
    </xf>
    <xf numFmtId="0" fontId="16" fillId="0" borderId="0" xfId="43" applyFont="1" applyAlignment="1" applyProtection="1">
      <alignment horizontal="justify" vertical="center"/>
      <protection hidden="1"/>
    </xf>
    <xf numFmtId="0" fontId="15" fillId="0" borderId="0" xfId="43" applyFont="1" applyAlignment="1" applyProtection="1">
      <alignment vertical="top"/>
      <protection hidden="1"/>
    </xf>
    <xf numFmtId="166" fontId="6" fillId="0" borderId="0" xfId="43" applyNumberFormat="1" applyFont="1" applyAlignment="1" applyProtection="1">
      <alignment horizontal="center" vertical="top"/>
      <protection hidden="1"/>
    </xf>
    <xf numFmtId="166" fontId="5" fillId="0" borderId="0" xfId="43" applyNumberFormat="1" applyFont="1" applyAlignment="1" applyProtection="1">
      <alignment horizontal="center" vertical="top"/>
      <protection hidden="1"/>
    </xf>
    <xf numFmtId="0" fontId="19" fillId="0" borderId="0" xfId="43" applyNumberFormat="1" applyFont="1" applyBorder="1" applyAlignment="1" applyProtection="1">
      <alignment horizontal="justify"/>
      <protection hidden="1"/>
    </xf>
    <xf numFmtId="0" fontId="19" fillId="0" borderId="0" xfId="43" quotePrefix="1" applyNumberFormat="1" applyFont="1" applyBorder="1" applyAlignment="1" applyProtection="1">
      <alignment horizontal="justify"/>
      <protection hidden="1"/>
    </xf>
    <xf numFmtId="4" fontId="24" fillId="0" borderId="0" xfId="43" applyNumberFormat="1" applyFont="1" applyBorder="1" applyAlignment="1" applyProtection="1">
      <alignment vertical="center"/>
      <protection hidden="1"/>
    </xf>
    <xf numFmtId="0" fontId="24" fillId="0" borderId="0" xfId="43" applyFont="1" applyBorder="1" applyAlignment="1" applyProtection="1">
      <alignment horizontal="justify" vertical="center"/>
      <protection hidden="1"/>
    </xf>
    <xf numFmtId="166" fontId="5" fillId="0" borderId="0" xfId="43" applyNumberFormat="1" applyFont="1" applyAlignment="1" applyProtection="1">
      <alignment horizontal="center" vertical="center"/>
      <protection hidden="1"/>
    </xf>
    <xf numFmtId="0" fontId="74" fillId="0" borderId="0" xfId="43" applyFont="1" applyAlignment="1" applyProtection="1">
      <alignment vertical="center"/>
      <protection hidden="1"/>
    </xf>
    <xf numFmtId="0" fontId="74" fillId="0" borderId="0" xfId="43" applyFont="1" applyBorder="1" applyAlignment="1" applyProtection="1">
      <alignment vertical="center"/>
      <protection hidden="1"/>
    </xf>
    <xf numFmtId="0" fontId="44" fillId="0" borderId="0" xfId="43" applyFont="1" applyBorder="1" applyAlignment="1" applyProtection="1">
      <alignment vertical="center"/>
      <protection hidden="1"/>
    </xf>
    <xf numFmtId="0" fontId="5" fillId="0" borderId="0" xfId="43" applyFont="1" applyFill="1" applyAlignment="1" applyProtection="1">
      <alignment vertical="center"/>
      <protection hidden="1"/>
    </xf>
    <xf numFmtId="0" fontId="16" fillId="0" borderId="0" xfId="43" applyFont="1" applyFill="1" applyAlignment="1" applyProtection="1">
      <alignment vertical="center"/>
      <protection hidden="1"/>
    </xf>
    <xf numFmtId="0" fontId="0" fillId="0" borderId="0" xfId="43" applyFont="1" applyFill="1" applyAlignment="1" applyProtection="1">
      <alignment vertical="center"/>
      <protection hidden="1"/>
    </xf>
    <xf numFmtId="0" fontId="19" fillId="0" borderId="0" xfId="43" applyFill="1" applyAlignment="1" applyProtection="1">
      <alignment vertical="center"/>
      <protection hidden="1"/>
    </xf>
    <xf numFmtId="0" fontId="42" fillId="0" borderId="0" xfId="43" applyFont="1" applyAlignment="1" applyProtection="1">
      <alignment vertical="center"/>
      <protection hidden="1"/>
    </xf>
    <xf numFmtId="0" fontId="19" fillId="0" borderId="0" xfId="43" applyFont="1" applyBorder="1" applyAlignment="1" applyProtection="1">
      <alignment vertical="center"/>
      <protection hidden="1"/>
    </xf>
    <xf numFmtId="0" fontId="5" fillId="0" borderId="0" xfId="43" applyFont="1" applyAlignment="1" applyProtection="1">
      <alignment horizontal="center" vertical="top"/>
      <protection hidden="1"/>
    </xf>
    <xf numFmtId="176" fontId="15" fillId="0" borderId="0" xfId="43" applyNumberFormat="1" applyFont="1" applyAlignment="1" applyProtection="1">
      <alignment vertical="center"/>
      <protection hidden="1"/>
    </xf>
    <xf numFmtId="0" fontId="15" fillId="0" borderId="0" xfId="43" applyFont="1" applyAlignment="1" applyProtection="1">
      <alignment horizontal="right" vertical="center"/>
      <protection hidden="1"/>
    </xf>
    <xf numFmtId="0" fontId="15" fillId="0" borderId="0" xfId="43" applyFont="1" applyAlignment="1" applyProtection="1">
      <alignment horizontal="left" vertical="center" indent="2"/>
      <protection hidden="1"/>
    </xf>
    <xf numFmtId="0" fontId="19" fillId="0" borderId="0" xfId="43" applyFont="1" applyProtection="1">
      <protection hidden="1"/>
    </xf>
    <xf numFmtId="0" fontId="15" fillId="0" borderId="0" xfId="43" applyFont="1" applyAlignment="1" applyProtection="1">
      <alignment horizontal="left" vertical="center" indent="1"/>
      <protection hidden="1"/>
    </xf>
    <xf numFmtId="0" fontId="16" fillId="0" borderId="0" xfId="43" applyFont="1" applyAlignment="1" applyProtection="1">
      <alignment horizontal="left" vertical="center" indent="1"/>
      <protection hidden="1"/>
    </xf>
    <xf numFmtId="0" fontId="5" fillId="0" borderId="0" xfId="43" applyFont="1" applyAlignment="1" applyProtection="1">
      <alignment horizontal="left" vertical="center"/>
      <protection hidden="1"/>
    </xf>
    <xf numFmtId="0" fontId="0" fillId="0" borderId="11" xfId="0" applyFont="1" applyFill="1" applyBorder="1" applyAlignment="1" applyProtection="1">
      <alignment horizontal="center" vertical="center" wrapText="1"/>
      <protection hidden="1"/>
    </xf>
    <xf numFmtId="0" fontId="58" fillId="0" borderId="11" xfId="0" applyFont="1" applyBorder="1" applyAlignment="1" applyProtection="1">
      <alignment horizontal="center" vertical="center"/>
      <protection hidden="1"/>
    </xf>
    <xf numFmtId="9" fontId="0" fillId="0" borderId="12" xfId="0" applyNumberFormat="1" applyFont="1" applyFill="1" applyBorder="1" applyAlignment="1" applyProtection="1">
      <alignment horizontal="center" vertical="center" wrapText="1"/>
      <protection hidden="1"/>
    </xf>
    <xf numFmtId="0" fontId="16" fillId="0" borderId="6" xfId="51" applyFont="1" applyBorder="1" applyAlignment="1" applyProtection="1">
      <alignment horizontal="center" vertical="center"/>
      <protection hidden="1"/>
    </xf>
    <xf numFmtId="0" fontId="21" fillId="0" borderId="0" xfId="0" applyFont="1" applyAlignment="1" applyProtection="1">
      <alignment vertical="top" wrapText="1"/>
      <protection hidden="1"/>
    </xf>
    <xf numFmtId="0" fontId="15" fillId="0" borderId="0" xfId="0" applyFont="1" applyBorder="1" applyAlignment="1" applyProtection="1">
      <alignment horizontal="center" vertical="center"/>
      <protection hidden="1"/>
    </xf>
    <xf numFmtId="0" fontId="6" fillId="0" borderId="0" xfId="50" applyFont="1" applyAlignment="1" applyProtection="1">
      <alignment vertical="top"/>
      <protection hidden="1"/>
    </xf>
    <xf numFmtId="0" fontId="5" fillId="0" borderId="0" xfId="50" applyFont="1" applyAlignment="1" applyProtection="1">
      <alignment vertical="top" wrapText="1"/>
      <protection hidden="1"/>
    </xf>
    <xf numFmtId="0" fontId="5" fillId="0" borderId="0" xfId="50" applyFont="1" applyAlignment="1" applyProtection="1">
      <alignment vertical="top"/>
      <protection hidden="1"/>
    </xf>
    <xf numFmtId="0" fontId="6" fillId="0" borderId="33" xfId="50" applyFont="1" applyBorder="1" applyAlignment="1" applyProtection="1">
      <alignment horizontal="center" vertical="top"/>
      <protection hidden="1"/>
    </xf>
    <xf numFmtId="0" fontId="6" fillId="0" borderId="31" xfId="50" applyFont="1" applyBorder="1" applyAlignment="1" applyProtection="1">
      <alignment horizontal="center" vertical="top"/>
      <protection hidden="1"/>
    </xf>
    <xf numFmtId="0" fontId="6" fillId="0" borderId="9" xfId="50" applyFont="1" applyBorder="1" applyAlignment="1" applyProtection="1">
      <alignment horizontal="center" vertical="top"/>
      <protection hidden="1"/>
    </xf>
    <xf numFmtId="0" fontId="15" fillId="0" borderId="0" xfId="51" applyFont="1" applyFill="1" applyAlignment="1" applyProtection="1">
      <alignment vertical="top" wrapText="1"/>
      <protection hidden="1"/>
    </xf>
    <xf numFmtId="2" fontId="15" fillId="0" borderId="23" xfId="51" applyNumberFormat="1" applyFont="1" applyFill="1" applyBorder="1" applyAlignment="1" applyProtection="1">
      <alignment horizontal="center" vertical="center" wrapText="1"/>
      <protection hidden="1"/>
    </xf>
    <xf numFmtId="0" fontId="15" fillId="0" borderId="11" xfId="0" applyFont="1" applyFill="1" applyBorder="1" applyAlignment="1" applyProtection="1">
      <alignment horizontal="center" vertical="center" wrapText="1"/>
      <protection hidden="1"/>
    </xf>
    <xf numFmtId="0" fontId="31" fillId="7" borderId="0" xfId="0" applyFont="1" applyFill="1" applyAlignment="1" applyProtection="1">
      <alignment horizontal="center" vertical="center"/>
      <protection hidden="1"/>
    </xf>
    <xf numFmtId="0" fontId="0" fillId="0" borderId="0" xfId="0" applyFont="1" applyAlignment="1" applyProtection="1">
      <alignment horizontal="left" vertical="top" wrapText="1"/>
      <protection hidden="1"/>
    </xf>
    <xf numFmtId="0" fontId="0" fillId="0" borderId="0" xfId="0" applyFont="1" applyAlignment="1" applyProtection="1">
      <alignment vertical="top" wrapText="1"/>
      <protection hidden="1"/>
    </xf>
    <xf numFmtId="0" fontId="65" fillId="0" borderId="11" xfId="0" applyFont="1" applyFill="1" applyBorder="1" applyAlignment="1" applyProtection="1">
      <alignment horizontal="center" vertical="center" wrapText="1"/>
      <protection hidden="1"/>
    </xf>
    <xf numFmtId="0" fontId="66" fillId="0" borderId="11" xfId="0" applyFont="1" applyFill="1" applyBorder="1" applyAlignment="1" applyProtection="1">
      <alignment horizontal="center" vertical="center" wrapText="1"/>
      <protection hidden="1"/>
    </xf>
    <xf numFmtId="2" fontId="66" fillId="0" borderId="11" xfId="51" applyNumberFormat="1" applyFont="1" applyFill="1" applyBorder="1" applyAlignment="1" applyProtection="1">
      <alignment horizontal="center" vertical="center" wrapText="1"/>
      <protection hidden="1"/>
    </xf>
    <xf numFmtId="0" fontId="20" fillId="0" borderId="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right" vertical="center" wrapText="1"/>
      <protection hidden="1"/>
    </xf>
    <xf numFmtId="0" fontId="65" fillId="0" borderId="46" xfId="0" applyFont="1" applyFill="1" applyBorder="1" applyAlignment="1" applyProtection="1">
      <alignment horizontal="center" vertical="center" wrapText="1"/>
      <protection hidden="1"/>
    </xf>
    <xf numFmtId="0" fontId="66" fillId="0" borderId="42" xfId="0" applyFont="1" applyFill="1" applyBorder="1" applyAlignment="1" applyProtection="1">
      <alignment horizontal="center" vertical="center" wrapText="1"/>
      <protection hidden="1"/>
    </xf>
    <xf numFmtId="2" fontId="66" fillId="0" borderId="42" xfId="51" applyNumberFormat="1" applyFont="1" applyFill="1" applyBorder="1" applyAlignment="1" applyProtection="1">
      <alignment horizontal="center" vertical="center" wrapText="1"/>
      <protection hidden="1"/>
    </xf>
    <xf numFmtId="0" fontId="6" fillId="0" borderId="35"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protection hidden="1"/>
    </xf>
    <xf numFmtId="0" fontId="6" fillId="0" borderId="48"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protection hidden="1"/>
    </xf>
    <xf numFmtId="0" fontId="6" fillId="3" borderId="12" xfId="51" applyFont="1" applyFill="1" applyBorder="1" applyAlignment="1" applyProtection="1">
      <alignment horizontal="center" vertical="center" wrapText="1"/>
      <protection locked="0" hidden="1"/>
    </xf>
    <xf numFmtId="9" fontId="5" fillId="0" borderId="12" xfId="0" applyNumberFormat="1" applyFont="1" applyFill="1" applyBorder="1" applyAlignment="1" applyProtection="1">
      <alignment horizontal="center" vertical="center" wrapText="1"/>
      <protection hidden="1"/>
    </xf>
    <xf numFmtId="9" fontId="6" fillId="3" borderId="12" xfId="58" applyFont="1" applyFill="1" applyBorder="1" applyAlignment="1" applyProtection="1">
      <alignment horizontal="center" vertical="center" wrapText="1"/>
      <protection locked="0" hidden="1"/>
    </xf>
    <xf numFmtId="166" fontId="6" fillId="0" borderId="38" xfId="51" applyNumberFormat="1"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9" fontId="5" fillId="0" borderId="11" xfId="0" applyNumberFormat="1" applyFont="1" applyFill="1" applyBorder="1" applyAlignment="1" applyProtection="1">
      <alignment horizontal="center" vertical="center" wrapText="1"/>
      <protection hidden="1"/>
    </xf>
    <xf numFmtId="0" fontId="6" fillId="3" borderId="11" xfId="51" applyFont="1" applyFill="1" applyBorder="1" applyAlignment="1" applyProtection="1">
      <alignment horizontal="center" vertical="center" wrapText="1"/>
      <protection locked="0" hidden="1"/>
    </xf>
    <xf numFmtId="9" fontId="6" fillId="3" borderId="11" xfId="58" applyFont="1" applyFill="1" applyBorder="1" applyAlignment="1" applyProtection="1">
      <alignment horizontal="center" vertical="center" wrapText="1"/>
      <protection locked="0" hidden="1"/>
    </xf>
    <xf numFmtId="2" fontId="6" fillId="0" borderId="49" xfId="0" applyNumberFormat="1" applyFont="1" applyFill="1" applyBorder="1" applyAlignment="1" applyProtection="1">
      <alignment horizontal="center" vertical="center" wrapText="1"/>
      <protection hidden="1"/>
    </xf>
    <xf numFmtId="2" fontId="6" fillId="0" borderId="12"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right" vertical="center" wrapText="1"/>
      <protection hidden="1"/>
    </xf>
    <xf numFmtId="2" fontId="6" fillId="0" borderId="0" xfId="0" applyNumberFormat="1" applyFont="1" applyFill="1" applyBorder="1" applyAlignment="1" applyProtection="1">
      <alignment horizontal="center" vertical="center" wrapText="1"/>
      <protection hidden="1"/>
    </xf>
    <xf numFmtId="0" fontId="6" fillId="0" borderId="50"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xf>
    <xf numFmtId="169" fontId="6" fillId="0" borderId="11" xfId="51" applyNumberFormat="1" applyFont="1" applyFill="1" applyBorder="1" applyAlignment="1" applyProtection="1">
      <alignment horizontal="center" vertical="center" wrapText="1"/>
      <protection hidden="1"/>
    </xf>
    <xf numFmtId="0" fontId="6" fillId="0" borderId="50" xfId="0" applyFont="1" applyBorder="1" applyAlignment="1" applyProtection="1">
      <alignment horizontal="center" vertical="center"/>
      <protection hidden="1"/>
    </xf>
    <xf numFmtId="4" fontId="6" fillId="0" borderId="11" xfId="51" applyNumberFormat="1" applyFont="1" applyFill="1" applyBorder="1" applyAlignment="1" applyProtection="1">
      <alignment horizontal="center" vertical="center" wrapText="1"/>
      <protection hidden="1"/>
    </xf>
    <xf numFmtId="2" fontId="6" fillId="0" borderId="51"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2" fontId="6" fillId="0" borderId="0" xfId="51" applyNumberFormat="1"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2" fontId="6" fillId="0" borderId="0" xfId="0" applyNumberFormat="1" applyFont="1" applyFill="1" applyBorder="1" applyAlignment="1" applyProtection="1">
      <alignment horizontal="right" vertical="center" wrapText="1"/>
      <protection hidden="1"/>
    </xf>
    <xf numFmtId="166" fontId="6" fillId="0" borderId="0" xfId="0" applyNumberFormat="1" applyFont="1" applyFill="1" applyBorder="1" applyAlignment="1" applyProtection="1">
      <alignment horizontal="center" vertical="center" wrapText="1"/>
      <protection hidden="1"/>
    </xf>
    <xf numFmtId="2" fontId="6" fillId="3" borderId="12" xfId="58" applyNumberFormat="1" applyFont="1" applyFill="1" applyBorder="1" applyAlignment="1" applyProtection="1">
      <alignment horizontal="center" vertical="center" wrapText="1"/>
      <protection locked="0" hidden="1"/>
    </xf>
    <xf numFmtId="2" fontId="6" fillId="3" borderId="11" xfId="58" applyNumberFormat="1" applyFont="1" applyFill="1" applyBorder="1" applyAlignment="1" applyProtection="1">
      <alignment horizontal="center" vertical="center" wrapText="1"/>
      <protection locked="0" hidden="1"/>
    </xf>
    <xf numFmtId="2" fontId="6" fillId="3" borderId="11" xfId="51" applyNumberFormat="1" applyFont="1" applyFill="1" applyBorder="1" applyAlignment="1" applyProtection="1">
      <alignment horizontal="center" vertical="center" wrapText="1"/>
      <protection locked="0" hidden="1"/>
    </xf>
    <xf numFmtId="0" fontId="19" fillId="0" borderId="0" xfId="0" applyFont="1" applyAlignment="1" applyProtection="1">
      <alignment vertical="center"/>
    </xf>
    <xf numFmtId="0" fontId="5" fillId="0" borderId="11" xfId="0" applyFont="1" applyBorder="1" applyAlignment="1" applyProtection="1">
      <alignment horizontal="center" vertical="center" wrapText="1"/>
    </xf>
    <xf numFmtId="0" fontId="6" fillId="0" borderId="11" xfId="0" applyFont="1" applyFill="1" applyBorder="1" applyAlignment="1" applyProtection="1">
      <alignment horizontal="center" vertical="center"/>
    </xf>
    <xf numFmtId="166" fontId="5" fillId="0" borderId="11" xfId="2" applyNumberFormat="1" applyFont="1" applyBorder="1" applyAlignment="1" applyProtection="1">
      <alignment horizontal="center" vertical="center" wrapText="1"/>
    </xf>
    <xf numFmtId="2" fontId="19" fillId="0" borderId="0" xfId="0" applyNumberFormat="1" applyFont="1" applyAlignment="1" applyProtection="1">
      <alignment vertical="center"/>
    </xf>
    <xf numFmtId="0" fontId="5" fillId="5" borderId="11" xfId="30" applyFont="1" applyFill="1" applyBorder="1" applyAlignment="1" applyProtection="1">
      <alignment horizontal="center" vertical="center" wrapText="1"/>
    </xf>
    <xf numFmtId="0" fontId="5" fillId="5" borderId="11" xfId="31" applyFont="1" applyFill="1" applyBorder="1" applyAlignment="1" applyProtection="1">
      <alignment horizontal="left" vertical="center" wrapText="1"/>
    </xf>
    <xf numFmtId="166" fontId="5" fillId="0" borderId="12" xfId="2" applyNumberFormat="1" applyFont="1" applyBorder="1" applyAlignment="1" applyProtection="1">
      <alignment horizontal="center" vertical="center" wrapText="1"/>
    </xf>
    <xf numFmtId="0" fontId="75" fillId="0" borderId="0" xfId="31" applyFont="1" applyProtection="1"/>
    <xf numFmtId="0" fontId="5" fillId="5" borderId="11" xfId="31" applyFont="1" applyFill="1" applyBorder="1" applyAlignment="1" applyProtection="1">
      <alignment vertical="center" wrapText="1"/>
    </xf>
    <xf numFmtId="0" fontId="5" fillId="0" borderId="12" xfId="31" applyFont="1" applyBorder="1" applyAlignment="1" applyProtection="1">
      <alignment vertical="center" wrapText="1"/>
    </xf>
    <xf numFmtId="0" fontId="5" fillId="5" borderId="9" xfId="31" applyFont="1" applyFill="1" applyBorder="1" applyAlignment="1" applyProtection="1">
      <alignment vertical="center" wrapText="1"/>
    </xf>
    <xf numFmtId="0" fontId="5" fillId="0" borderId="11" xfId="31" applyFont="1" applyBorder="1" applyAlignment="1" applyProtection="1">
      <alignment vertical="center" wrapText="1"/>
    </xf>
    <xf numFmtId="0" fontId="75" fillId="12" borderId="11" xfId="31" applyFont="1" applyFill="1" applyBorder="1" applyAlignment="1" applyProtection="1">
      <alignment horizontal="left" vertical="center" wrapText="1"/>
    </xf>
    <xf numFmtId="0" fontId="5" fillId="5" borderId="11" xfId="31" applyFont="1" applyFill="1" applyBorder="1" applyAlignment="1" applyProtection="1">
      <alignment vertical="center"/>
    </xf>
    <xf numFmtId="0" fontId="5" fillId="0" borderId="11" xfId="31" applyFont="1" applyBorder="1" applyAlignment="1" applyProtection="1">
      <alignment vertical="center"/>
    </xf>
    <xf numFmtId="0" fontId="5" fillId="0" borderId="0" xfId="0" applyFont="1" applyAlignment="1" applyProtection="1">
      <alignment vertical="center"/>
    </xf>
    <xf numFmtId="0" fontId="5" fillId="5" borderId="10" xfId="31" applyFont="1" applyFill="1" applyBorder="1" applyAlignment="1" applyProtection="1">
      <alignment vertical="center" wrapText="1"/>
    </xf>
    <xf numFmtId="0" fontId="15" fillId="0" borderId="0" xfId="0" applyFont="1" applyAlignment="1" applyProtection="1">
      <alignment vertical="center"/>
    </xf>
    <xf numFmtId="0" fontId="5" fillId="5" borderId="12" xfId="31" applyFont="1" applyFill="1" applyBorder="1" applyAlignment="1" applyProtection="1">
      <alignment vertical="center" wrapText="1"/>
    </xf>
    <xf numFmtId="0" fontId="75" fillId="0" borderId="11" xfId="30" applyFont="1" applyBorder="1" applyAlignment="1" applyProtection="1">
      <alignment horizontal="center" vertical="center" wrapText="1"/>
    </xf>
    <xf numFmtId="0" fontId="76" fillId="0" borderId="0" xfId="0" applyFont="1" applyAlignment="1" applyProtection="1">
      <alignment horizontal="center" vertical="center"/>
    </xf>
    <xf numFmtId="0" fontId="73" fillId="0" borderId="0" xfId="0" applyFont="1" applyAlignment="1" applyProtection="1">
      <alignment horizontal="center" vertical="center"/>
    </xf>
    <xf numFmtId="0" fontId="77" fillId="0" borderId="0" xfId="0" applyFont="1" applyAlignment="1" applyProtection="1">
      <alignment horizontal="right" vertical="center"/>
    </xf>
    <xf numFmtId="0" fontId="77" fillId="0" borderId="0" xfId="0" applyFont="1" applyAlignment="1" applyProtection="1">
      <alignment horizontal="left" vertical="center" wrapText="1"/>
    </xf>
    <xf numFmtId="1" fontId="17" fillId="10" borderId="11" xfId="0" applyNumberFormat="1" applyFont="1" applyFill="1" applyBorder="1" applyAlignment="1" applyProtection="1">
      <alignment horizontal="center" vertical="center" wrapText="1"/>
    </xf>
    <xf numFmtId="166" fontId="0" fillId="0" borderId="11" xfId="2" applyNumberFormat="1" applyFont="1" applyBorder="1" applyAlignment="1" applyProtection="1">
      <alignment horizontal="center" vertical="center" wrapText="1"/>
    </xf>
    <xf numFmtId="9" fontId="15" fillId="3" borderId="11" xfId="58" applyFont="1" applyFill="1" applyBorder="1" applyAlignment="1" applyProtection="1">
      <alignment horizontal="center" vertical="center" wrapText="1"/>
      <protection hidden="1"/>
    </xf>
    <xf numFmtId="4" fontId="15" fillId="3" borderId="11" xfId="51" applyNumberFormat="1" applyFont="1" applyFill="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5" fillId="0" borderId="52" xfId="0" applyFont="1" applyBorder="1" applyAlignment="1" applyProtection="1">
      <alignment horizontal="center" vertical="center"/>
    </xf>
    <xf numFmtId="0" fontId="15" fillId="0" borderId="52" xfId="0" applyFont="1" applyBorder="1" applyAlignment="1" applyProtection="1">
      <alignment horizontal="center" vertical="center" wrapText="1"/>
    </xf>
    <xf numFmtId="0" fontId="16" fillId="0" borderId="0" xfId="0" applyFont="1" applyAlignment="1" applyProtection="1">
      <alignment horizontal="center" vertical="center"/>
    </xf>
    <xf numFmtId="0" fontId="72" fillId="0" borderId="0" xfId="0" applyFont="1" applyAlignment="1" applyProtection="1">
      <alignment horizontal="center" vertical="center"/>
    </xf>
    <xf numFmtId="0" fontId="15" fillId="0" borderId="53" xfId="0" applyFont="1" applyBorder="1" applyAlignment="1" applyProtection="1">
      <alignment horizontal="center" vertical="center"/>
    </xf>
    <xf numFmtId="0" fontId="16" fillId="0" borderId="0" xfId="0" applyFont="1" applyAlignment="1" applyProtection="1">
      <alignment vertical="center"/>
    </xf>
    <xf numFmtId="0" fontId="72" fillId="0" borderId="0" xfId="0" applyFont="1" applyAlignment="1" applyProtection="1">
      <alignment vertical="center"/>
    </xf>
    <xf numFmtId="0" fontId="15" fillId="0" borderId="11" xfId="0" applyFont="1" applyBorder="1" applyAlignment="1" applyProtection="1">
      <alignment horizontal="center" vertical="center" wrapText="1"/>
    </xf>
    <xf numFmtId="0" fontId="15"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15" fillId="0" borderId="0" xfId="0" applyFont="1" applyAlignment="1" applyProtection="1">
      <alignment horizontal="right" vertical="center"/>
    </xf>
    <xf numFmtId="0" fontId="6" fillId="0" borderId="47" xfId="0" applyFont="1" applyFill="1" applyBorder="1" applyAlignment="1" applyProtection="1">
      <alignment horizontal="center" vertical="center" wrapText="1"/>
      <protection hidden="1"/>
    </xf>
    <xf numFmtId="166" fontId="6" fillId="0" borderId="23" xfId="51" applyNumberFormat="1" applyFont="1" applyFill="1" applyBorder="1" applyAlignment="1" applyProtection="1">
      <alignment horizontal="center" vertical="center" wrapText="1"/>
      <protection hidden="1"/>
    </xf>
    <xf numFmtId="166" fontId="6" fillId="0" borderId="24" xfId="51" applyNumberFormat="1"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2" fontId="68" fillId="0" borderId="5" xfId="0" applyNumberFormat="1" applyFont="1" applyFill="1" applyBorder="1" applyAlignment="1" applyProtection="1">
      <alignment horizontal="right" vertical="center" wrapText="1"/>
    </xf>
    <xf numFmtId="2" fontId="6" fillId="0" borderId="11" xfId="0" applyNumberFormat="1" applyFont="1" applyFill="1" applyBorder="1" applyAlignment="1" applyProtection="1">
      <alignment horizontal="center" vertical="center" wrapText="1"/>
      <protection hidden="1"/>
    </xf>
    <xf numFmtId="2" fontId="5" fillId="0" borderId="11" xfId="2" applyNumberFormat="1" applyFont="1" applyBorder="1" applyAlignment="1" applyProtection="1">
      <alignment horizontal="center" vertical="center" wrapText="1"/>
    </xf>
    <xf numFmtId="2" fontId="68" fillId="0" borderId="5" xfId="0" applyNumberFormat="1" applyFont="1" applyFill="1" applyBorder="1" applyAlignment="1" applyProtection="1">
      <alignment horizontal="right" vertical="center"/>
    </xf>
    <xf numFmtId="2" fontId="69" fillId="0" borderId="5" xfId="0" applyNumberFormat="1" applyFont="1" applyFill="1" applyBorder="1" applyAlignment="1" applyProtection="1">
      <alignment horizontal="right" vertical="center"/>
    </xf>
    <xf numFmtId="166" fontId="5" fillId="0" borderId="11" xfId="2" applyNumberFormat="1" applyFont="1" applyFill="1" applyBorder="1" applyAlignment="1" applyProtection="1">
      <alignment horizontal="center" vertical="center" wrapText="1"/>
    </xf>
    <xf numFmtId="0" fontId="6" fillId="0" borderId="11" xfId="51" applyFont="1" applyFill="1" applyBorder="1" applyAlignment="1" applyProtection="1">
      <alignment horizontal="center" vertical="center" wrapText="1"/>
      <protection hidden="1"/>
    </xf>
    <xf numFmtId="2" fontId="6" fillId="0" borderId="11" xfId="51" applyNumberFormat="1" applyFont="1" applyFill="1" applyBorder="1" applyAlignment="1" applyProtection="1">
      <alignment horizontal="center" vertical="center" wrapText="1"/>
      <protection hidden="1"/>
    </xf>
    <xf numFmtId="2" fontId="66" fillId="0" borderId="0" xfId="51" applyNumberFormat="1" applyFont="1" applyFill="1" applyBorder="1" applyAlignment="1" applyProtection="1">
      <alignment horizontal="center" vertical="center" wrapText="1"/>
      <protection hidden="1"/>
    </xf>
    <xf numFmtId="1" fontId="5" fillId="10" borderId="11" xfId="0" applyNumberFormat="1" applyFont="1" applyFill="1" applyBorder="1" applyAlignment="1">
      <alignment horizontal="center" vertical="center" wrapText="1"/>
    </xf>
    <xf numFmtId="1" fontId="5" fillId="10" borderId="11" xfId="0" applyNumberFormat="1" applyFont="1" applyFill="1" applyBorder="1" applyAlignment="1">
      <alignment horizontal="center" vertical="center"/>
    </xf>
    <xf numFmtId="0" fontId="0" fillId="0" borderId="54" xfId="0" applyFill="1" applyBorder="1" applyAlignment="1" applyProtection="1">
      <alignment horizontal="left" vertical="center"/>
      <protection locked="0"/>
    </xf>
    <xf numFmtId="0" fontId="46" fillId="0" borderId="14" xfId="0" applyFont="1" applyFill="1" applyBorder="1" applyAlignment="1" applyProtection="1">
      <alignment horizontal="left" vertical="center"/>
      <protection locked="0"/>
    </xf>
    <xf numFmtId="0" fontId="46" fillId="0" borderId="55" xfId="0" applyFont="1" applyFill="1" applyBorder="1" applyAlignment="1" applyProtection="1">
      <alignment horizontal="left" vertical="center"/>
      <protection locked="0"/>
    </xf>
    <xf numFmtId="0" fontId="31" fillId="7" borderId="0" xfId="0" applyFont="1" applyFill="1" applyAlignment="1" applyProtection="1">
      <alignment horizontal="center" vertical="center"/>
      <protection hidden="1"/>
    </xf>
    <xf numFmtId="0" fontId="5" fillId="0" borderId="54" xfId="51" applyFont="1" applyFill="1" applyBorder="1" applyAlignment="1" applyProtection="1">
      <alignment horizontal="justify" vertical="top" wrapText="1"/>
      <protection locked="0"/>
    </xf>
    <xf numFmtId="0" fontId="5" fillId="0" borderId="14" xfId="51" applyFont="1" applyFill="1" applyBorder="1" applyAlignment="1" applyProtection="1">
      <alignment horizontal="justify" vertical="top" wrapText="1"/>
      <protection locked="0"/>
    </xf>
    <xf numFmtId="0" fontId="5" fillId="0" borderId="55" xfId="51"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23" fillId="0" borderId="5" xfId="51" applyFont="1" applyBorder="1" applyAlignment="1" applyProtection="1">
      <alignment horizontal="right" vertical="center"/>
      <protection hidden="1"/>
    </xf>
    <xf numFmtId="0" fontId="23" fillId="0" borderId="0" xfId="51" applyFont="1" applyBorder="1" applyAlignment="1" applyProtection="1">
      <alignment horizontal="right" vertical="center"/>
      <protection hidden="1"/>
    </xf>
    <xf numFmtId="0" fontId="43" fillId="0" borderId="14" xfId="51" applyFont="1" applyBorder="1" applyAlignment="1" applyProtection="1">
      <alignment horizontal="justify" vertical="center"/>
      <protection hidden="1"/>
    </xf>
    <xf numFmtId="0" fontId="43" fillId="0" borderId="20" xfId="51" applyFont="1" applyBorder="1" applyAlignment="1" applyProtection="1">
      <alignment horizontal="justify" vertical="center"/>
      <protection hidden="1"/>
    </xf>
    <xf numFmtId="0" fontId="1" fillId="0" borderId="5" xfId="51" applyBorder="1"/>
    <xf numFmtId="0" fontId="1" fillId="0" borderId="0" xfId="51" applyBorder="1"/>
    <xf numFmtId="0" fontId="1" fillId="0" borderId="6" xfId="51" applyBorder="1"/>
    <xf numFmtId="0" fontId="25" fillId="0" borderId="5" xfId="51" applyFont="1" applyBorder="1" applyAlignment="1" applyProtection="1">
      <alignment horizontal="right" vertical="center"/>
      <protection hidden="1"/>
    </xf>
    <xf numFmtId="0" fontId="25" fillId="0" borderId="0" xfId="51" applyFont="1" applyBorder="1" applyAlignment="1" applyProtection="1">
      <alignment horizontal="right" vertical="center"/>
      <protection hidden="1"/>
    </xf>
    <xf numFmtId="0" fontId="25" fillId="0" borderId="23" xfId="51" applyFont="1" applyBorder="1" applyAlignment="1" applyProtection="1">
      <alignment horizontal="right" vertical="center"/>
      <protection hidden="1"/>
    </xf>
    <xf numFmtId="0" fontId="25" fillId="0" borderId="4" xfId="51" applyFont="1" applyBorder="1" applyAlignment="1" applyProtection="1">
      <alignment horizontal="right" vertical="center"/>
      <protection hidden="1"/>
    </xf>
    <xf numFmtId="0" fontId="6" fillId="8" borderId="24" xfId="51" applyFont="1" applyFill="1" applyBorder="1" applyAlignment="1" applyProtection="1">
      <alignment horizontal="center" vertical="center"/>
      <protection hidden="1"/>
    </xf>
    <xf numFmtId="0" fontId="6" fillId="8" borderId="3" xfId="51" applyFont="1" applyFill="1" applyBorder="1" applyAlignment="1" applyProtection="1">
      <alignment horizontal="center" vertical="center"/>
      <protection hidden="1"/>
    </xf>
    <xf numFmtId="0" fontId="6" fillId="8" borderId="25" xfId="51" applyFont="1" applyFill="1" applyBorder="1" applyAlignment="1" applyProtection="1">
      <alignment horizontal="center" vertical="center"/>
      <protection hidden="1"/>
    </xf>
    <xf numFmtId="0" fontId="21" fillId="0" borderId="5" xfId="51" applyFont="1" applyBorder="1" applyAlignment="1" applyProtection="1">
      <alignment horizontal="center" vertical="center" wrapText="1"/>
      <protection hidden="1"/>
    </xf>
    <xf numFmtId="0" fontId="21" fillId="0" borderId="0" xfId="51" applyFont="1" applyBorder="1" applyAlignment="1" applyProtection="1">
      <alignment horizontal="center" vertical="center" wrapText="1"/>
      <protection hidden="1"/>
    </xf>
    <xf numFmtId="0" fontId="21" fillId="0" borderId="6" xfId="51" applyFont="1" applyBorder="1" applyAlignment="1" applyProtection="1">
      <alignment horizontal="center" vertical="center" wrapText="1"/>
      <protection hidden="1"/>
    </xf>
    <xf numFmtId="0" fontId="22" fillId="0" borderId="5" xfId="51" applyFont="1" applyBorder="1" applyAlignment="1" applyProtection="1">
      <alignment horizontal="center" vertical="center"/>
      <protection hidden="1"/>
    </xf>
    <xf numFmtId="0" fontId="22" fillId="0" borderId="0" xfId="51" applyFont="1" applyBorder="1" applyAlignment="1" applyProtection="1">
      <alignment horizontal="center" vertical="center"/>
      <protection hidden="1"/>
    </xf>
    <xf numFmtId="0" fontId="22" fillId="0" borderId="6" xfId="51" applyFont="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58" fillId="0" borderId="0" xfId="0" applyFont="1" applyBorder="1" applyAlignment="1" applyProtection="1">
      <alignment horizontal="center" vertical="top"/>
      <protection hidden="1"/>
    </xf>
    <xf numFmtId="0" fontId="58" fillId="0" borderId="56" xfId="0" applyFont="1" applyBorder="1" applyAlignment="1" applyProtection="1">
      <alignment horizontal="center" vertical="top"/>
      <protection hidden="1"/>
    </xf>
    <xf numFmtId="0" fontId="21" fillId="0" borderId="14" xfId="0" applyFont="1" applyBorder="1" applyAlignment="1" applyProtection="1">
      <alignment horizontal="center" vertical="center"/>
      <protection hidden="1"/>
    </xf>
    <xf numFmtId="0" fontId="21" fillId="0" borderId="0" xfId="0" applyFont="1" applyAlignment="1" applyProtection="1">
      <alignment horizontal="left" vertical="top" wrapText="1"/>
      <protection hidden="1"/>
    </xf>
    <xf numFmtId="0" fontId="31" fillId="7" borderId="0" xfId="0" applyFont="1" applyFill="1" applyAlignment="1" applyProtection="1">
      <alignment horizontal="center" vertical="top" wrapText="1"/>
      <protection hidden="1"/>
    </xf>
    <xf numFmtId="0" fontId="27" fillId="7" borderId="0" xfId="45" applyFont="1" applyFill="1" applyBorder="1" applyAlignment="1" applyProtection="1">
      <alignment horizontal="center" vertical="center"/>
      <protection hidden="1"/>
    </xf>
    <xf numFmtId="0" fontId="41" fillId="0" borderId="4" xfId="45" applyFont="1" applyBorder="1" applyAlignment="1" applyProtection="1">
      <alignment horizontal="center" vertical="center" wrapText="1"/>
      <protection hidden="1"/>
    </xf>
    <xf numFmtId="0" fontId="15" fillId="0" borderId="3" xfId="45" applyFont="1" applyBorder="1" applyAlignment="1" applyProtection="1">
      <alignment horizontal="center" vertical="center"/>
      <protection hidden="1"/>
    </xf>
    <xf numFmtId="0" fontId="0" fillId="0" borderId="24" xfId="45" applyFont="1" applyBorder="1" applyAlignment="1" applyProtection="1">
      <alignment horizontal="left" vertical="center" wrapText="1"/>
      <protection hidden="1"/>
    </xf>
    <xf numFmtId="0" fontId="0" fillId="0" borderId="25" xfId="45" applyFont="1" applyBorder="1" applyAlignment="1" applyProtection="1">
      <alignment horizontal="left" vertical="center" wrapText="1"/>
      <protection hidden="1"/>
    </xf>
    <xf numFmtId="0" fontId="73" fillId="0" borderId="0" xfId="0" applyFont="1" applyAlignment="1" applyProtection="1">
      <alignment horizontal="left" vertical="center" wrapText="1"/>
    </xf>
    <xf numFmtId="0" fontId="73" fillId="0" borderId="0" xfId="0" applyFont="1" applyFill="1" applyBorder="1" applyAlignment="1" applyProtection="1">
      <alignment horizontal="left" vertical="center"/>
      <protection hidden="1"/>
    </xf>
    <xf numFmtId="0" fontId="15" fillId="0" borderId="35" xfId="0" applyFont="1" applyFill="1" applyBorder="1" applyAlignment="1" applyProtection="1">
      <alignment horizontal="center" vertical="center" wrapText="1"/>
      <protection hidden="1"/>
    </xf>
    <xf numFmtId="0" fontId="15" fillId="0" borderId="48"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protection hidden="1"/>
    </xf>
    <xf numFmtId="0" fontId="0" fillId="0" borderId="12" xfId="0" applyFont="1" applyBorder="1" applyAlignment="1" applyProtection="1">
      <alignment horizontal="left" vertical="center" wrapText="1"/>
      <protection hidden="1"/>
    </xf>
    <xf numFmtId="0" fontId="67" fillId="0" borderId="12" xfId="0" applyFont="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5" fillId="0" borderId="0" xfId="0" applyFont="1" applyFill="1" applyBorder="1" applyAlignment="1" applyProtection="1">
      <alignment horizontal="right" vertical="center" wrapText="1"/>
      <protection hidden="1"/>
    </xf>
    <xf numFmtId="0" fontId="15" fillId="0" borderId="44" xfId="0" applyFont="1" applyFill="1" applyBorder="1" applyAlignment="1" applyProtection="1">
      <alignment horizontal="center" vertical="center" wrapText="1"/>
      <protection hidden="1"/>
    </xf>
    <xf numFmtId="0" fontId="15" fillId="0" borderId="57" xfId="0" applyFont="1" applyFill="1" applyBorder="1" applyAlignment="1" applyProtection="1">
      <alignment horizontal="center" vertical="center" wrapText="1"/>
      <protection hidden="1"/>
    </xf>
    <xf numFmtId="0" fontId="15" fillId="0" borderId="30" xfId="0" applyFont="1" applyFill="1" applyBorder="1" applyAlignment="1" applyProtection="1">
      <alignment horizontal="center" vertical="center" wrapText="1"/>
      <protection hidden="1"/>
    </xf>
    <xf numFmtId="0" fontId="15" fillId="0" borderId="31" xfId="0" applyFont="1" applyFill="1" applyBorder="1" applyAlignment="1" applyProtection="1">
      <alignment horizontal="center" vertical="center" wrapText="1"/>
      <protection hidden="1"/>
    </xf>
    <xf numFmtId="0" fontId="15" fillId="0" borderId="0" xfId="0" applyFont="1" applyAlignment="1" applyProtection="1">
      <alignment horizontal="left" vertical="top" wrapText="1"/>
      <protection hidden="1"/>
    </xf>
    <xf numFmtId="0" fontId="15" fillId="0" borderId="0" xfId="0" applyFont="1" applyFill="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5" fillId="0" borderId="11" xfId="56" applyNumberFormat="1" applyFont="1" applyFill="1" applyBorder="1" applyAlignment="1" applyProtection="1">
      <alignment horizontal="left" vertical="center"/>
      <protection hidden="1"/>
    </xf>
    <xf numFmtId="0" fontId="15" fillId="0" borderId="11" xfId="56" applyNumberFormat="1" applyFont="1" applyFill="1" applyBorder="1" applyAlignment="1" applyProtection="1">
      <alignment horizontal="left" vertical="center" wrapText="1"/>
      <protection hidden="1"/>
    </xf>
    <xf numFmtId="0" fontId="29" fillId="0" borderId="0" xfId="0" applyNumberFormat="1" applyFont="1" applyFill="1" applyBorder="1" applyAlignment="1" applyProtection="1">
      <alignment horizontal="justify" vertical="center" wrapText="1"/>
      <protection hidden="1"/>
    </xf>
    <xf numFmtId="0" fontId="16" fillId="0" borderId="0" xfId="0" applyFont="1" applyAlignment="1" applyProtection="1">
      <alignment horizontal="justify" vertical="center" wrapText="1"/>
      <protection hidden="1"/>
    </xf>
    <xf numFmtId="0" fontId="15" fillId="0" borderId="11" xfId="56" applyFont="1" applyFill="1" applyBorder="1" applyAlignment="1" applyProtection="1">
      <alignment horizontal="left" vertical="center" wrapText="1"/>
      <protection hidden="1"/>
    </xf>
    <xf numFmtId="0" fontId="15" fillId="0" borderId="0" xfId="52" applyFont="1" applyFill="1" applyAlignment="1" applyProtection="1">
      <alignment horizontal="left" vertical="center"/>
      <protection hidden="1"/>
    </xf>
    <xf numFmtId="0" fontId="27" fillId="7"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justify" vertical="center" wrapText="1"/>
      <protection hidden="1"/>
    </xf>
    <xf numFmtId="0" fontId="15" fillId="0" borderId="60"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15" fillId="0" borderId="60" xfId="0" applyFont="1" applyBorder="1" applyAlignment="1" applyProtection="1">
      <alignment horizontal="center" vertical="center"/>
    </xf>
    <xf numFmtId="0" fontId="15" fillId="0" borderId="53" xfId="0" applyFont="1" applyBorder="1" applyAlignment="1" applyProtection="1">
      <alignment horizontal="center" vertical="center"/>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58"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protection hidden="1"/>
    </xf>
    <xf numFmtId="0" fontId="15" fillId="0" borderId="0" xfId="0" applyFont="1" applyBorder="1" applyAlignment="1" applyProtection="1">
      <alignment horizontal="left" vertical="center" wrapText="1"/>
      <protection hidden="1"/>
    </xf>
    <xf numFmtId="0" fontId="15" fillId="0" borderId="64"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69"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63" xfId="0" applyFont="1" applyBorder="1" applyAlignment="1" applyProtection="1">
      <alignment horizontal="center" vertical="center"/>
    </xf>
    <xf numFmtId="0" fontId="52" fillId="0" borderId="0" xfId="0" applyFont="1" applyAlignment="1" applyProtection="1">
      <alignment horizontal="left" vertical="top" wrapText="1"/>
      <protection hidden="1"/>
    </xf>
    <xf numFmtId="0" fontId="15" fillId="0" borderId="52"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52" xfId="0" applyFont="1" applyBorder="1" applyAlignment="1" applyProtection="1">
      <alignment horizontal="center" vertical="center" wrapText="1"/>
    </xf>
    <xf numFmtId="0" fontId="15" fillId="0" borderId="59" xfId="0" applyFont="1" applyBorder="1" applyAlignment="1" applyProtection="1">
      <alignment horizontal="left" vertical="center" wrapText="1"/>
      <protection hidden="1"/>
    </xf>
    <xf numFmtId="0" fontId="15" fillId="0" borderId="0" xfId="52"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wrapText="1"/>
      <protection hidden="1"/>
    </xf>
    <xf numFmtId="0" fontId="6" fillId="5" borderId="11" xfId="29" applyFont="1" applyFill="1" applyBorder="1" applyAlignment="1" applyProtection="1">
      <alignment horizontal="center" vertical="center" wrapText="1"/>
    </xf>
    <xf numFmtId="0" fontId="36" fillId="0" borderId="11" xfId="0" applyFont="1" applyBorder="1" applyAlignment="1">
      <alignment horizontal="left" vertical="top" wrapText="1"/>
    </xf>
    <xf numFmtId="0" fontId="5" fillId="0" borderId="11" xfId="0" applyFont="1" applyBorder="1" applyAlignment="1" applyProtection="1">
      <alignment horizontal="left" vertical="center" wrapText="1"/>
      <protection hidden="1"/>
    </xf>
    <xf numFmtId="0" fontId="6" fillId="0" borderId="43" xfId="0" applyFont="1" applyFill="1" applyBorder="1" applyAlignment="1" applyProtection="1">
      <alignment horizontal="center" vertical="center" wrapText="1"/>
      <protection hidden="1"/>
    </xf>
    <xf numFmtId="0" fontId="6" fillId="0" borderId="45"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70" xfId="0" applyFont="1" applyFill="1" applyBorder="1" applyAlignment="1" applyProtection="1">
      <alignment horizontal="center" vertical="center" wrapText="1"/>
      <protection hidden="1"/>
    </xf>
    <xf numFmtId="0" fontId="6" fillId="0" borderId="71" xfId="0" applyFont="1" applyFill="1" applyBorder="1" applyAlignment="1" applyProtection="1">
      <alignment horizontal="right" vertical="center" wrapText="1"/>
      <protection hidden="1"/>
    </xf>
    <xf numFmtId="0" fontId="6" fillId="0" borderId="51" xfId="0" applyFont="1" applyFill="1" applyBorder="1" applyAlignment="1" applyProtection="1">
      <alignment horizontal="right" vertical="center" wrapText="1"/>
      <protection hidden="1"/>
    </xf>
    <xf numFmtId="0" fontId="6" fillId="0" borderId="11"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right" vertical="center" wrapText="1"/>
      <protection hidden="1"/>
    </xf>
    <xf numFmtId="0" fontId="6" fillId="0" borderId="3" xfId="0" applyFont="1" applyFill="1" applyBorder="1" applyAlignment="1" applyProtection="1">
      <alignment horizontal="right" vertical="center" wrapText="1"/>
      <protection hidden="1"/>
    </xf>
    <xf numFmtId="0" fontId="6" fillId="0" borderId="25" xfId="0" applyFont="1" applyFill="1" applyBorder="1" applyAlignment="1" applyProtection="1">
      <alignment horizontal="right" vertical="center" wrapText="1"/>
      <protection hidden="1"/>
    </xf>
    <xf numFmtId="0" fontId="5" fillId="0" borderId="24"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76" fillId="0" borderId="0" xfId="0" applyFont="1" applyAlignment="1" applyProtection="1">
      <alignment horizontal="left" vertical="center" wrapText="1"/>
    </xf>
    <xf numFmtId="0" fontId="6" fillId="0" borderId="72" xfId="0" applyFont="1" applyFill="1" applyBorder="1" applyAlignment="1" applyProtection="1">
      <alignment horizontal="right" vertical="center" wrapText="1"/>
      <protection hidden="1"/>
    </xf>
    <xf numFmtId="0" fontId="6" fillId="0" borderId="73" xfId="0" applyFont="1" applyFill="1" applyBorder="1" applyAlignment="1" applyProtection="1">
      <alignment horizontal="right" vertical="center" wrapText="1"/>
      <protection hidden="1"/>
    </xf>
    <xf numFmtId="0" fontId="6" fillId="0" borderId="74" xfId="0" applyFont="1" applyFill="1" applyBorder="1" applyAlignment="1" applyProtection="1">
      <alignment horizontal="right" vertical="center" wrapText="1"/>
      <protection hidden="1"/>
    </xf>
    <xf numFmtId="0" fontId="6" fillId="0" borderId="0" xfId="0" applyFont="1" applyFill="1" applyBorder="1" applyAlignment="1" applyProtection="1">
      <alignment horizontal="left" vertical="center" wrapText="1"/>
    </xf>
    <xf numFmtId="0" fontId="6" fillId="0" borderId="0" xfId="51" applyFont="1" applyFill="1" applyBorder="1" applyAlignment="1" applyProtection="1">
      <alignment horizontal="left" vertical="center" wrapText="1"/>
      <protection hidden="1"/>
    </xf>
    <xf numFmtId="0" fontId="6" fillId="0" borderId="32" xfId="50" applyFont="1" applyBorder="1" applyAlignment="1" applyProtection="1">
      <alignment horizontal="center" vertical="top" wrapText="1"/>
      <protection hidden="1"/>
    </xf>
    <xf numFmtId="0" fontId="0" fillId="0" borderId="37" xfId="0" applyBorder="1" applyAlignment="1" applyProtection="1">
      <alignment horizontal="center" vertical="top"/>
      <protection hidden="1"/>
    </xf>
    <xf numFmtId="0" fontId="6" fillId="0" borderId="75" xfId="50" applyFont="1" applyBorder="1" applyAlignment="1" applyProtection="1">
      <alignment horizontal="center" vertical="top"/>
      <protection hidden="1"/>
    </xf>
    <xf numFmtId="0" fontId="6" fillId="0" borderId="7" xfId="50" applyFont="1" applyBorder="1" applyAlignment="1" applyProtection="1">
      <alignment horizontal="center" vertical="top"/>
      <protection hidden="1"/>
    </xf>
    <xf numFmtId="0" fontId="6" fillId="0" borderId="45" xfId="50" applyFont="1" applyBorder="1" applyAlignment="1" applyProtection="1">
      <alignment horizontal="center" vertical="top" wrapText="1"/>
      <protection hidden="1"/>
    </xf>
    <xf numFmtId="0" fontId="6" fillId="0" borderId="11" xfId="50" applyFont="1" applyBorder="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15" fillId="0" borderId="0" xfId="51" applyFont="1" applyBorder="1" applyAlignment="1" applyProtection="1">
      <alignment horizontal="center" vertical="center" wrapText="1"/>
      <protection hidden="1"/>
    </xf>
    <xf numFmtId="0" fontId="27" fillId="7" borderId="0" xfId="51" applyFont="1" applyFill="1" applyAlignment="1" applyProtection="1">
      <alignment horizontal="center" vertical="center"/>
      <protection hidden="1"/>
    </xf>
    <xf numFmtId="0" fontId="6" fillId="0" borderId="44" xfId="50" applyFont="1" applyBorder="1" applyAlignment="1" applyProtection="1">
      <alignment horizontal="center" vertical="top"/>
      <protection locked="0"/>
    </xf>
    <xf numFmtId="0" fontId="6" fillId="0" borderId="63" xfId="50" applyFont="1" applyBorder="1" applyAlignment="1" applyProtection="1">
      <alignment horizontal="center" vertical="top"/>
      <protection locked="0"/>
    </xf>
    <xf numFmtId="0" fontId="61" fillId="0" borderId="64" xfId="50" applyFont="1" applyBorder="1" applyAlignment="1" applyProtection="1">
      <alignment horizontal="center" vertical="center"/>
      <protection hidden="1"/>
    </xf>
    <xf numFmtId="0" fontId="61" fillId="0" borderId="76" xfId="50" quotePrefix="1" applyFont="1" applyBorder="1" applyAlignment="1" applyProtection="1">
      <alignment horizontal="center" vertical="center"/>
      <protection hidden="1"/>
    </xf>
    <xf numFmtId="0" fontId="61" fillId="0" borderId="65" xfId="50" quotePrefix="1" applyFont="1" applyBorder="1" applyAlignment="1" applyProtection="1">
      <alignment horizontal="center" vertical="center"/>
      <protection hidden="1"/>
    </xf>
    <xf numFmtId="0" fontId="61" fillId="0" borderId="66" xfId="50" quotePrefix="1" applyFont="1" applyBorder="1" applyAlignment="1" applyProtection="1">
      <alignment horizontal="center" vertical="center"/>
      <protection hidden="1"/>
    </xf>
    <xf numFmtId="0" fontId="61" fillId="0" borderId="0" xfId="50" quotePrefix="1" applyFont="1" applyBorder="1" applyAlignment="1" applyProtection="1">
      <alignment horizontal="center" vertical="center"/>
      <protection hidden="1"/>
    </xf>
    <xf numFmtId="0" fontId="61" fillId="0" borderId="67" xfId="50" quotePrefix="1" applyFont="1" applyBorder="1" applyAlignment="1" applyProtection="1">
      <alignment horizontal="center" vertical="center"/>
      <protection hidden="1"/>
    </xf>
    <xf numFmtId="0" fontId="61" fillId="0" borderId="77" xfId="50" quotePrefix="1" applyFont="1" applyBorder="1" applyAlignment="1" applyProtection="1">
      <alignment horizontal="center" vertical="center"/>
      <protection hidden="1"/>
    </xf>
    <xf numFmtId="0" fontId="61" fillId="0" borderId="59" xfId="50" quotePrefix="1" applyFont="1" applyBorder="1" applyAlignment="1" applyProtection="1">
      <alignment horizontal="center" vertical="center"/>
      <protection hidden="1"/>
    </xf>
    <xf numFmtId="0" fontId="61" fillId="0" borderId="78" xfId="50" quotePrefix="1" applyFont="1" applyBorder="1" applyAlignment="1" applyProtection="1">
      <alignment horizontal="center" vertical="center"/>
      <protection hidden="1"/>
    </xf>
    <xf numFmtId="0" fontId="0" fillId="0" borderId="0" xfId="51" applyFont="1" applyFill="1" applyBorder="1" applyAlignment="1" applyProtection="1">
      <alignment horizontal="left" vertical="center" wrapText="1"/>
      <protection hidden="1"/>
    </xf>
    <xf numFmtId="0" fontId="0" fillId="0" borderId="0" xfId="0" applyAlignment="1">
      <alignment vertical="center"/>
    </xf>
    <xf numFmtId="0" fontId="15" fillId="0" borderId="47" xfId="51" applyFont="1" applyBorder="1" applyAlignment="1" applyProtection="1">
      <alignment horizontal="center" vertical="center" wrapText="1"/>
      <protection hidden="1"/>
    </xf>
    <xf numFmtId="0" fontId="15" fillId="0" borderId="79" xfId="51" applyFont="1" applyBorder="1" applyAlignment="1" applyProtection="1">
      <alignment horizontal="center" vertical="center" wrapText="1"/>
      <protection hidden="1"/>
    </xf>
    <xf numFmtId="0" fontId="15" fillId="2" borderId="44" xfId="51" applyFont="1" applyFill="1" applyBorder="1" applyAlignment="1" applyProtection="1">
      <alignment horizontal="left" vertical="center" wrapText="1"/>
      <protection hidden="1"/>
    </xf>
    <xf numFmtId="0" fontId="15" fillId="2" borderId="63" xfId="51" applyFont="1" applyFill="1" applyBorder="1" applyAlignment="1" applyProtection="1">
      <alignment horizontal="left" vertical="center" wrapText="1"/>
      <protection hidden="1"/>
    </xf>
    <xf numFmtId="2" fontId="0" fillId="0" borderId="11" xfId="51" applyNumberFormat="1" applyFont="1" applyBorder="1" applyAlignment="1" applyProtection="1">
      <alignment horizontal="center" vertical="center" wrapText="1"/>
      <protection hidden="1"/>
    </xf>
    <xf numFmtId="0" fontId="15" fillId="2" borderId="80" xfId="51" applyFont="1" applyFill="1" applyBorder="1" applyAlignment="1" applyProtection="1">
      <alignment horizontal="left" vertical="center" wrapText="1"/>
      <protection hidden="1"/>
    </xf>
    <xf numFmtId="0" fontId="15" fillId="2" borderId="75" xfId="51" applyFont="1" applyFill="1" applyBorder="1" applyAlignment="1" applyProtection="1">
      <alignment horizontal="left" vertical="center" wrapText="1"/>
      <protection hidden="1"/>
    </xf>
    <xf numFmtId="0" fontId="0" fillId="0" borderId="9" xfId="51" applyFont="1" applyBorder="1" applyAlignment="1" applyProtection="1">
      <alignment horizontal="left" vertical="center" wrapText="1"/>
      <protection hidden="1"/>
    </xf>
    <xf numFmtId="2" fontId="0" fillId="0" borderId="9" xfId="51" applyNumberFormat="1" applyFont="1" applyBorder="1" applyAlignment="1" applyProtection="1">
      <alignment horizontal="center" vertical="center" wrapText="1"/>
      <protection hidden="1"/>
    </xf>
    <xf numFmtId="0" fontId="15" fillId="0" borderId="81" xfId="51" applyFont="1" applyBorder="1" applyAlignment="1" applyProtection="1">
      <alignment horizontal="center" vertical="center" wrapText="1"/>
      <protection hidden="1"/>
    </xf>
    <xf numFmtId="0" fontId="15" fillId="0" borderId="11" xfId="51" applyFont="1" applyFill="1" applyBorder="1" applyAlignment="1" applyProtection="1">
      <alignment horizontal="center" vertical="center" wrapText="1"/>
      <protection hidden="1"/>
    </xf>
    <xf numFmtId="0" fontId="15" fillId="0" borderId="0" xfId="51" applyFont="1" applyFill="1" applyBorder="1" applyAlignment="1" applyProtection="1">
      <alignment horizontal="center" vertical="center" wrapText="1"/>
      <protection hidden="1"/>
    </xf>
    <xf numFmtId="0" fontId="16" fillId="0" borderId="0" xfId="51" applyFont="1" applyAlignment="1" applyProtection="1">
      <alignment horizontal="justify" vertical="center" wrapText="1"/>
      <protection hidden="1"/>
    </xf>
    <xf numFmtId="2" fontId="15" fillId="2" borderId="11" xfId="51" applyNumberFormat="1" applyFont="1" applyFill="1" applyBorder="1" applyAlignment="1" applyProtection="1">
      <alignment horizontal="center" vertical="center" wrapText="1"/>
      <protection hidden="1"/>
    </xf>
    <xf numFmtId="0" fontId="16" fillId="0" borderId="24" xfId="51" applyNumberFormat="1" applyFont="1" applyBorder="1" applyAlignment="1" applyProtection="1">
      <alignment horizontal="justify" vertical="center" wrapText="1"/>
      <protection hidden="1"/>
    </xf>
    <xf numFmtId="0" fontId="16" fillId="0" borderId="25" xfId="51" applyNumberFormat="1" applyFont="1" applyBorder="1" applyAlignment="1" applyProtection="1">
      <alignment horizontal="justify" vertical="center" wrapText="1"/>
      <protection hidden="1"/>
    </xf>
    <xf numFmtId="0" fontId="15" fillId="3" borderId="11" xfId="51" applyFont="1" applyFill="1" applyBorder="1" applyAlignment="1" applyProtection="1">
      <alignment horizontal="center" vertical="center" wrapText="1"/>
      <protection locked="0" hidden="1"/>
    </xf>
    <xf numFmtId="0" fontId="16" fillId="0" borderId="11" xfId="51" applyNumberFormat="1" applyFont="1" applyBorder="1" applyAlignment="1" applyProtection="1">
      <alignment horizontal="justify" vertical="center" wrapText="1"/>
      <protection hidden="1"/>
    </xf>
    <xf numFmtId="0" fontId="16" fillId="0" borderId="11" xfId="51" applyFont="1" applyBorder="1" applyAlignment="1" applyProtection="1">
      <alignment horizontal="center" vertical="center"/>
      <protection hidden="1"/>
    </xf>
    <xf numFmtId="0" fontId="15" fillId="0" borderId="11" xfId="51" applyFont="1" applyFill="1" applyBorder="1" applyAlignment="1" applyProtection="1">
      <alignment horizontal="left" vertical="center" wrapText="1"/>
      <protection hidden="1"/>
    </xf>
    <xf numFmtId="2" fontId="15" fillId="0" borderId="11" xfId="51" applyNumberFormat="1" applyFont="1" applyFill="1" applyBorder="1" applyAlignment="1" applyProtection="1">
      <alignment horizontal="center" vertical="center"/>
      <protection hidden="1"/>
    </xf>
    <xf numFmtId="3" fontId="15" fillId="3" borderId="24" xfId="51" applyNumberFormat="1" applyFont="1" applyFill="1" applyBorder="1" applyAlignment="1" applyProtection="1">
      <alignment horizontal="right" vertical="center"/>
      <protection locked="0" hidden="1"/>
    </xf>
    <xf numFmtId="3" fontId="15" fillId="3" borderId="25" xfId="51" applyNumberFormat="1" applyFont="1" applyFill="1" applyBorder="1" applyAlignment="1" applyProtection="1">
      <alignment horizontal="right" vertical="center"/>
      <protection locked="0" hidden="1"/>
    </xf>
    <xf numFmtId="0" fontId="16" fillId="0" borderId="11" xfId="51" applyFont="1" applyBorder="1" applyAlignment="1" applyProtection="1">
      <alignment horizontal="justify" vertical="center" wrapText="1"/>
      <protection hidden="1"/>
    </xf>
    <xf numFmtId="0" fontId="15" fillId="3" borderId="30" xfId="51" applyFont="1" applyFill="1" applyBorder="1" applyAlignment="1" applyProtection="1">
      <alignment horizontal="center" vertical="center" wrapText="1"/>
      <protection locked="0" hidden="1"/>
    </xf>
    <xf numFmtId="0" fontId="15" fillId="3" borderId="31" xfId="51" applyFont="1" applyFill="1" applyBorder="1" applyAlignment="1" applyProtection="1">
      <alignment horizontal="center" vertical="center" wrapText="1"/>
      <protection locked="0" hidden="1"/>
    </xf>
    <xf numFmtId="0" fontId="15" fillId="3" borderId="5" xfId="51" applyFont="1" applyFill="1" applyBorder="1" applyAlignment="1" applyProtection="1">
      <alignment horizontal="center" vertical="center" wrapText="1"/>
      <protection locked="0" hidden="1"/>
    </xf>
    <xf numFmtId="0" fontId="15" fillId="3" borderId="6" xfId="51" applyFont="1" applyFill="1" applyBorder="1" applyAlignment="1" applyProtection="1">
      <alignment horizontal="center" vertical="center" wrapText="1"/>
      <protection locked="0" hidden="1"/>
    </xf>
    <xf numFmtId="0" fontId="15" fillId="3" borderId="23" xfId="51" applyFont="1" applyFill="1" applyBorder="1" applyAlignment="1" applyProtection="1">
      <alignment horizontal="center" vertical="center" wrapText="1"/>
      <protection locked="0" hidden="1"/>
    </xf>
    <xf numFmtId="0" fontId="15" fillId="3" borderId="7" xfId="51" applyFont="1" applyFill="1" applyBorder="1" applyAlignment="1" applyProtection="1">
      <alignment horizontal="center" vertical="center" wrapText="1"/>
      <protection locked="0" hidden="1"/>
    </xf>
    <xf numFmtId="2" fontId="15" fillId="0" borderId="11" xfId="51" applyNumberFormat="1" applyFont="1" applyFill="1" applyBorder="1" applyAlignment="1" applyProtection="1">
      <alignment horizontal="center" vertical="center" wrapText="1"/>
      <protection hidden="1"/>
    </xf>
    <xf numFmtId="2" fontId="15" fillId="0" borderId="24" xfId="51" applyNumberFormat="1" applyFont="1" applyFill="1" applyBorder="1" applyAlignment="1" applyProtection="1">
      <alignment horizontal="center" vertical="center" wrapText="1"/>
      <protection hidden="1"/>
    </xf>
    <xf numFmtId="2" fontId="15" fillId="0" borderId="25" xfId="51" applyNumberFormat="1" applyFont="1" applyFill="1" applyBorder="1" applyAlignment="1" applyProtection="1">
      <alignment horizontal="center" vertical="center" wrapText="1"/>
      <protection hidden="1"/>
    </xf>
    <xf numFmtId="9" fontId="15" fillId="3" borderId="11" xfId="51" applyNumberFormat="1" applyFont="1" applyFill="1" applyBorder="1" applyAlignment="1" applyProtection="1">
      <alignment horizontal="center" vertical="center" wrapText="1"/>
      <protection locked="0" hidden="1"/>
    </xf>
    <xf numFmtId="0" fontId="15" fillId="0" borderId="24" xfId="51" applyFont="1" applyBorder="1" applyAlignment="1" applyProtection="1">
      <alignment horizontal="left" vertical="center" wrapText="1"/>
      <protection hidden="1"/>
    </xf>
    <xf numFmtId="0" fontId="15" fillId="0" borderId="25" xfId="51" applyFont="1" applyBorder="1" applyAlignment="1" applyProtection="1">
      <alignment horizontal="left" vertical="center" wrapText="1"/>
      <protection hidden="1"/>
    </xf>
    <xf numFmtId="0" fontId="15" fillId="0" borderId="24" xfId="51" applyFont="1" applyBorder="1" applyAlignment="1" applyProtection="1">
      <alignment horizontal="center" vertical="center" wrapText="1"/>
      <protection hidden="1"/>
    </xf>
    <xf numFmtId="0" fontId="15" fillId="0" borderId="25" xfId="51" applyFont="1" applyBorder="1" applyAlignment="1" applyProtection="1">
      <alignment horizontal="center" vertical="center" wrapText="1"/>
      <protection hidden="1"/>
    </xf>
    <xf numFmtId="0" fontId="15" fillId="2" borderId="24" xfId="51" applyFont="1" applyFill="1" applyBorder="1" applyAlignment="1" applyProtection="1">
      <alignment horizontal="left" vertical="center" wrapText="1"/>
      <protection hidden="1"/>
    </xf>
    <xf numFmtId="0" fontId="15" fillId="2" borderId="3" xfId="51" applyFont="1" applyFill="1" applyBorder="1" applyAlignment="1" applyProtection="1">
      <alignment horizontal="left" vertical="center" wrapText="1"/>
      <protection hidden="1"/>
    </xf>
    <xf numFmtId="0" fontId="15" fillId="0" borderId="0" xfId="51" applyFont="1" applyFill="1" applyAlignment="1" applyProtection="1">
      <alignment horizontal="left" vertical="top"/>
      <protection hidden="1"/>
    </xf>
    <xf numFmtId="0" fontId="0" fillId="0" borderId="30" xfId="51" applyFont="1" applyBorder="1" applyAlignment="1" applyProtection="1">
      <alignment horizontal="left" vertical="center"/>
      <protection hidden="1"/>
    </xf>
    <xf numFmtId="0" fontId="0" fillId="0" borderId="31" xfId="51" applyFont="1" applyBorder="1" applyAlignment="1" applyProtection="1">
      <alignment horizontal="left" vertical="center"/>
      <protection hidden="1"/>
    </xf>
    <xf numFmtId="0" fontId="15" fillId="2" borderId="11" xfId="51" applyFont="1" applyFill="1" applyBorder="1" applyAlignment="1" applyProtection="1">
      <alignment horizontal="left" vertical="center" wrapText="1"/>
      <protection hidden="1"/>
    </xf>
    <xf numFmtId="0" fontId="0" fillId="0" borderId="30" xfId="51" applyFont="1" applyBorder="1" applyAlignment="1" applyProtection="1">
      <alignment horizontal="justify" vertical="center" wrapText="1"/>
      <protection hidden="1"/>
    </xf>
    <xf numFmtId="0" fontId="16" fillId="0" borderId="31" xfId="51" applyFont="1" applyBorder="1" applyAlignment="1" applyProtection="1">
      <alignment horizontal="justify" vertical="center" wrapText="1"/>
      <protection hidden="1"/>
    </xf>
    <xf numFmtId="0" fontId="15" fillId="0" borderId="41" xfId="51" applyFont="1" applyFill="1" applyBorder="1" applyAlignment="1" applyProtection="1">
      <alignment horizontal="center" vertical="center" wrapText="1"/>
      <protection hidden="1"/>
    </xf>
    <xf numFmtId="0" fontId="15" fillId="0" borderId="79" xfId="51" applyFont="1" applyFill="1" applyBorder="1" applyAlignment="1" applyProtection="1">
      <alignment horizontal="center" vertical="center" wrapText="1"/>
      <protection hidden="1"/>
    </xf>
    <xf numFmtId="0" fontId="0" fillId="0" borderId="24" xfId="51" applyFont="1" applyBorder="1" applyAlignment="1" applyProtection="1">
      <alignment horizontal="justify" vertical="center" wrapText="1"/>
      <protection hidden="1"/>
    </xf>
    <xf numFmtId="0" fontId="16" fillId="0" borderId="25" xfId="51" applyFont="1" applyBorder="1" applyAlignment="1" applyProtection="1">
      <alignment horizontal="justify" vertical="center" wrapText="1"/>
      <protection hidden="1"/>
    </xf>
    <xf numFmtId="0" fontId="0" fillId="0" borderId="24" xfId="51" applyFont="1" applyBorder="1" applyAlignment="1" applyProtection="1">
      <alignment horizontal="justify" vertical="center"/>
      <protection hidden="1"/>
    </xf>
    <xf numFmtId="0" fontId="16" fillId="0" borderId="25" xfId="51" applyFont="1" applyBorder="1" applyAlignment="1" applyProtection="1">
      <alignment horizontal="justify" vertical="center"/>
      <protection hidden="1"/>
    </xf>
    <xf numFmtId="0" fontId="15" fillId="2" borderId="12" xfId="51" applyFont="1" applyFill="1" applyBorder="1" applyAlignment="1" applyProtection="1">
      <alignment horizontal="left" vertical="center" wrapText="1"/>
      <protection hidden="1"/>
    </xf>
    <xf numFmtId="0" fontId="15" fillId="0" borderId="0" xfId="52" applyFont="1" applyFill="1" applyBorder="1" applyAlignment="1" applyProtection="1">
      <alignment horizontal="left" vertical="center" wrapText="1"/>
      <protection hidden="1"/>
    </xf>
    <xf numFmtId="174" fontId="58" fillId="0" borderId="72" xfId="51" applyNumberFormat="1" applyFont="1" applyBorder="1" applyAlignment="1" applyProtection="1">
      <alignment horizontal="center" vertical="center"/>
      <protection hidden="1"/>
    </xf>
    <xf numFmtId="174" fontId="58" fillId="0" borderId="73" xfId="51" applyNumberFormat="1" applyFont="1" applyBorder="1" applyAlignment="1" applyProtection="1">
      <alignment horizontal="center" vertical="center"/>
      <protection hidden="1"/>
    </xf>
    <xf numFmtId="174" fontId="58" fillId="0" borderId="82" xfId="51" applyNumberFormat="1" applyFont="1" applyBorder="1" applyAlignment="1" applyProtection="1">
      <alignment horizontal="center" vertical="center"/>
      <protection hidden="1"/>
    </xf>
    <xf numFmtId="0" fontId="15" fillId="0" borderId="44" xfId="51" applyFont="1" applyBorder="1" applyAlignment="1" applyProtection="1">
      <alignment horizontal="left" vertical="center" wrapText="1"/>
      <protection hidden="1"/>
    </xf>
    <xf numFmtId="0" fontId="15" fillId="0" borderId="57" xfId="51" applyFont="1" applyBorder="1" applyAlignment="1" applyProtection="1">
      <alignment horizontal="left" vertical="center" wrapText="1"/>
      <protection hidden="1"/>
    </xf>
    <xf numFmtId="0" fontId="15" fillId="0" borderId="44" xfId="51" applyFont="1" applyBorder="1" applyAlignment="1" applyProtection="1">
      <alignment horizontal="center" vertical="center" wrapText="1"/>
      <protection hidden="1"/>
    </xf>
    <xf numFmtId="0" fontId="15" fillId="0" borderId="63" xfId="51" applyFont="1" applyBorder="1" applyAlignment="1" applyProtection="1">
      <alignment horizontal="center" vertical="center" wrapText="1"/>
      <protection hidden="1"/>
    </xf>
    <xf numFmtId="0" fontId="15" fillId="0" borderId="0" xfId="51" applyFont="1" applyFill="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6" fillId="0" borderId="0" xfId="43" applyFont="1" applyAlignment="1" applyProtection="1">
      <alignment horizontal="justify" vertical="center"/>
      <protection hidden="1"/>
    </xf>
    <xf numFmtId="0" fontId="5" fillId="0" borderId="0" xfId="43" applyFont="1" applyAlignment="1" applyProtection="1">
      <alignment horizontal="justify" vertical="top"/>
      <protection hidden="1"/>
    </xf>
    <xf numFmtId="0" fontId="0" fillId="0" borderId="0" xfId="43" applyFont="1" applyFill="1" applyAlignment="1" applyProtection="1">
      <alignment vertical="center"/>
      <protection hidden="1"/>
    </xf>
    <xf numFmtId="0" fontId="16" fillId="0" borderId="0" xfId="43" applyFont="1" applyFill="1" applyAlignment="1" applyProtection="1">
      <alignment vertical="center"/>
      <protection hidden="1"/>
    </xf>
    <xf numFmtId="0" fontId="16" fillId="0" borderId="56" xfId="0" applyFont="1" applyBorder="1" applyAlignment="1" applyProtection="1">
      <alignment horizontal="left" vertical="center" indent="2"/>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0" fillId="0" borderId="0" xfId="43" applyFont="1" applyFill="1" applyAlignment="1" applyProtection="1">
      <alignment vertical="center" wrapText="1"/>
      <protection hidden="1"/>
    </xf>
    <xf numFmtId="0" fontId="0" fillId="0" borderId="0" xfId="0" applyFill="1" applyAlignment="1">
      <alignment vertical="center" wrapText="1"/>
    </xf>
    <xf numFmtId="0" fontId="15" fillId="0" borderId="0" xfId="43" applyFont="1" applyAlignment="1" applyProtection="1">
      <alignment horizontal="center" vertical="center"/>
      <protection hidden="1"/>
    </xf>
    <xf numFmtId="0" fontId="0" fillId="3" borderId="0" xfId="43" applyFont="1" applyFill="1" applyAlignment="1" applyProtection="1">
      <alignment horizontal="left" vertical="center"/>
      <protection locked="0"/>
    </xf>
    <xf numFmtId="0" fontId="16" fillId="3" borderId="0" xfId="43" applyFont="1" applyFill="1" applyAlignment="1" applyProtection="1">
      <alignment horizontal="left" vertical="center"/>
      <protection locked="0"/>
    </xf>
    <xf numFmtId="176" fontId="16" fillId="0" borderId="0" xfId="43" applyNumberFormat="1" applyFont="1" applyFill="1" applyAlignment="1" applyProtection="1">
      <alignment horizontal="left" vertical="center"/>
      <protection hidden="1"/>
    </xf>
    <xf numFmtId="0" fontId="6" fillId="0" borderId="0" xfId="43" applyFont="1" applyAlignment="1" applyProtection="1">
      <alignment horizontal="justify" vertical="top"/>
      <protection hidden="1"/>
    </xf>
    <xf numFmtId="0" fontId="5" fillId="0" borderId="0" xfId="43" applyFont="1" applyAlignment="1" applyProtection="1">
      <alignment horizontal="justify" vertical="center"/>
      <protection hidden="1"/>
    </xf>
    <xf numFmtId="0" fontId="16" fillId="0" borderId="0" xfId="53" applyFont="1" applyBorder="1" applyAlignment="1" applyProtection="1">
      <alignment horizontal="left" vertical="top" wrapText="1"/>
      <protection hidden="1"/>
    </xf>
    <xf numFmtId="0" fontId="16" fillId="0" borderId="14" xfId="0" applyFont="1" applyBorder="1" applyAlignment="1" applyProtection="1">
      <alignment horizontal="left" vertical="center" indent="2"/>
      <protection hidden="1"/>
    </xf>
    <xf numFmtId="176" fontId="15" fillId="0" borderId="0" xfId="43" applyNumberFormat="1" applyFont="1" applyAlignment="1" applyProtection="1">
      <alignment horizontal="left" vertical="center" indent="1"/>
      <protection hidden="1"/>
    </xf>
    <xf numFmtId="0" fontId="5" fillId="0" borderId="0" xfId="43" applyFont="1" applyAlignment="1" applyProtection="1">
      <alignment vertical="top" wrapText="1"/>
      <protection hidden="1"/>
    </xf>
    <xf numFmtId="2" fontId="32" fillId="0" borderId="0" xfId="52"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6" fillId="0" borderId="0" xfId="52" applyFont="1" applyBorder="1" applyAlignment="1" applyProtection="1">
      <alignment horizontal="justify" vertical="top"/>
      <protection hidden="1"/>
    </xf>
    <xf numFmtId="0" fontId="15" fillId="3" borderId="0" xfId="52" applyFont="1" applyFill="1" applyBorder="1" applyAlignment="1" applyProtection="1">
      <alignment horizontal="justify" vertical="top"/>
      <protection locked="0"/>
    </xf>
    <xf numFmtId="2" fontId="32" fillId="0" borderId="0" xfId="52" applyNumberFormat="1" applyFont="1" applyFill="1" applyBorder="1" applyAlignment="1" applyProtection="1">
      <alignment vertical="center"/>
      <protection hidden="1"/>
    </xf>
    <xf numFmtId="168" fontId="27" fillId="0" borderId="0" xfId="0" applyNumberFormat="1" applyFont="1" applyFill="1" applyBorder="1" applyAlignment="1" applyProtection="1">
      <alignment horizontal="center" vertical="center" wrapText="1"/>
      <protection hidden="1"/>
    </xf>
    <xf numFmtId="0" fontId="27" fillId="0" borderId="0" xfId="52" applyFont="1" applyFill="1" applyBorder="1" applyAlignment="1" applyProtection="1">
      <alignment horizontal="center" vertical="center"/>
      <protection hidden="1"/>
    </xf>
    <xf numFmtId="0" fontId="32" fillId="0" borderId="0" xfId="52" applyFont="1" applyFill="1" applyBorder="1" applyAlignment="1" applyProtection="1">
      <alignment horizontal="center" vertical="center"/>
      <protection hidden="1"/>
    </xf>
    <xf numFmtId="0" fontId="15" fillId="0" borderId="0" xfId="52" applyFont="1" applyFill="1" applyBorder="1" applyAlignment="1" applyProtection="1">
      <alignment horizontal="center" vertical="center" wrapText="1"/>
      <protection hidden="1"/>
    </xf>
    <xf numFmtId="0" fontId="0" fillId="0" borderId="30" xfId="51" applyFont="1" applyBorder="1" applyAlignment="1" applyProtection="1">
      <alignment horizontal="justify" vertical="center"/>
      <protection hidden="1"/>
    </xf>
    <xf numFmtId="0" fontId="16" fillId="0" borderId="31" xfId="51" applyFont="1" applyBorder="1" applyAlignment="1" applyProtection="1">
      <alignment horizontal="justify" vertical="center"/>
      <protection hidden="1"/>
    </xf>
    <xf numFmtId="0" fontId="15" fillId="0" borderId="48" xfId="51" applyFont="1" applyFill="1" applyBorder="1" applyAlignment="1" applyProtection="1">
      <alignment horizontal="left" vertical="center" wrapText="1"/>
      <protection hidden="1"/>
    </xf>
    <xf numFmtId="0" fontId="15" fillId="0" borderId="0" xfId="42" applyFont="1" applyAlignment="1" applyProtection="1">
      <alignment horizontal="left" vertical="center" indent="2"/>
      <protection hidden="1"/>
    </xf>
    <xf numFmtId="0" fontId="15" fillId="0" borderId="24" xfId="49" applyFont="1" applyBorder="1" applyAlignment="1" applyProtection="1">
      <alignment horizontal="justify" vertical="top"/>
      <protection hidden="1"/>
    </xf>
    <xf numFmtId="0" fontId="16" fillId="0" borderId="3" xfId="49" applyFont="1" applyBorder="1" applyAlignment="1" applyProtection="1">
      <alignment horizontal="justify" vertical="top"/>
      <protection hidden="1"/>
    </xf>
    <xf numFmtId="0" fontId="16" fillId="0" borderId="25" xfId="49" applyFont="1" applyBorder="1" applyAlignment="1" applyProtection="1">
      <alignment horizontal="justify" vertical="top"/>
      <protection hidden="1"/>
    </xf>
    <xf numFmtId="0" fontId="15" fillId="0" borderId="17" xfId="49" applyFont="1" applyBorder="1" applyAlignment="1" applyProtection="1">
      <alignment horizontal="justify" vertical="top"/>
      <protection hidden="1"/>
    </xf>
    <xf numFmtId="0" fontId="16" fillId="0" borderId="83" xfId="49" applyFont="1" applyBorder="1" applyAlignment="1" applyProtection="1">
      <alignment horizontal="justify" vertical="top"/>
      <protection hidden="1"/>
    </xf>
    <xf numFmtId="0" fontId="16" fillId="0" borderId="18" xfId="49" applyFont="1" applyBorder="1" applyAlignment="1" applyProtection="1">
      <alignment horizontal="justify" vertical="top"/>
      <protection hidden="1"/>
    </xf>
    <xf numFmtId="0" fontId="15" fillId="0" borderId="17" xfId="49" applyFont="1" applyBorder="1" applyAlignment="1" applyProtection="1">
      <alignment horizontal="justify" vertical="center"/>
      <protection hidden="1"/>
    </xf>
    <xf numFmtId="0" fontId="16" fillId="0" borderId="83" xfId="49" applyFont="1" applyBorder="1" applyAlignment="1" applyProtection="1">
      <alignment horizontal="justify" vertical="center"/>
      <protection hidden="1"/>
    </xf>
    <xf numFmtId="0" fontId="16" fillId="0" borderId="18" xfId="49" applyFont="1" applyBorder="1" applyAlignment="1" applyProtection="1">
      <alignment horizontal="justify" vertical="center"/>
      <protection hidden="1"/>
    </xf>
    <xf numFmtId="0" fontId="0" fillId="0" borderId="8" xfId="49" applyFont="1" applyBorder="1" applyAlignment="1" applyProtection="1">
      <alignment horizontal="left" vertical="center" wrapText="1"/>
      <protection hidden="1"/>
    </xf>
    <xf numFmtId="0" fontId="16" fillId="0" borderId="8" xfId="49" applyFont="1" applyBorder="1" applyAlignment="1" applyProtection="1">
      <alignment horizontal="left" vertical="center" wrapText="1"/>
      <protection hidden="1"/>
    </xf>
    <xf numFmtId="0" fontId="15" fillId="9" borderId="0" xfId="49"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39" fillId="0" borderId="0" xfId="49"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6" fillId="0" borderId="0" xfId="49" applyNumberFormat="1" applyFont="1" applyFill="1" applyBorder="1" applyAlignment="1" applyProtection="1">
      <alignment horizontal="center" vertical="top" wrapText="1"/>
      <protection hidden="1"/>
    </xf>
    <xf numFmtId="0" fontId="0" fillId="0" borderId="11" xfId="49" applyFont="1" applyBorder="1" applyAlignment="1" applyProtection="1">
      <alignment horizontal="left" vertical="top" wrapText="1"/>
      <protection hidden="1"/>
    </xf>
    <xf numFmtId="0" fontId="16" fillId="0" borderId="11" xfId="49" applyFont="1" applyBorder="1" applyAlignment="1" applyProtection="1">
      <alignment horizontal="left" vertical="top" wrapText="1"/>
      <protection hidden="1"/>
    </xf>
    <xf numFmtId="0" fontId="0" fillId="0" borderId="24" xfId="49" applyFont="1" applyBorder="1" applyAlignment="1" applyProtection="1">
      <alignment horizontal="left" vertical="top" wrapText="1"/>
      <protection hidden="1"/>
    </xf>
    <xf numFmtId="0" fontId="16" fillId="0" borderId="3" xfId="49" applyFont="1" applyBorder="1" applyAlignment="1" applyProtection="1">
      <alignment horizontal="left" vertical="top" wrapText="1"/>
      <protection hidden="1"/>
    </xf>
    <xf numFmtId="0" fontId="16" fillId="0" borderId="25" xfId="49" applyFont="1" applyBorder="1" applyAlignment="1" applyProtection="1">
      <alignment horizontal="left" vertical="top" wrapText="1"/>
      <protection hidden="1"/>
    </xf>
    <xf numFmtId="10" fontId="16" fillId="3" borderId="24" xfId="49" applyNumberFormat="1" applyFont="1" applyFill="1" applyBorder="1" applyAlignment="1" applyProtection="1">
      <alignment horizontal="center" vertical="center"/>
      <protection locked="0"/>
    </xf>
    <xf numFmtId="10" fontId="16" fillId="3" borderId="3" xfId="49" applyNumberFormat="1" applyFont="1" applyFill="1" applyBorder="1" applyAlignment="1" applyProtection="1">
      <alignment horizontal="center" vertical="center"/>
      <protection locked="0"/>
    </xf>
    <xf numFmtId="10" fontId="16" fillId="3" borderId="25" xfId="49" applyNumberFormat="1" applyFont="1" applyFill="1" applyBorder="1" applyAlignment="1" applyProtection="1">
      <alignment horizontal="center" vertical="center"/>
      <protection locked="0"/>
    </xf>
    <xf numFmtId="0" fontId="31" fillId="7" borderId="0" xfId="0" applyFont="1" applyFill="1" applyAlignment="1" applyProtection="1">
      <alignment horizontal="center" vertical="center" wrapText="1"/>
      <protection hidden="1"/>
    </xf>
    <xf numFmtId="0" fontId="31" fillId="7" borderId="6" xfId="0" applyFont="1" applyFill="1" applyBorder="1" applyAlignment="1" applyProtection="1">
      <alignment horizontal="center" vertical="center" wrapText="1"/>
      <protection hidden="1"/>
    </xf>
    <xf numFmtId="0" fontId="16" fillId="0" borderId="0" xfId="55"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0" fontId="16" fillId="0" borderId="0" xfId="55" applyFont="1" applyFill="1" applyBorder="1" applyAlignment="1" applyProtection="1">
      <alignment horizontal="justify" vertical="center" wrapText="1"/>
      <protection hidden="1"/>
    </xf>
    <xf numFmtId="1" fontId="24" fillId="0" borderId="11" xfId="55" applyNumberFormat="1" applyFont="1" applyFill="1" applyBorder="1" applyAlignment="1" applyProtection="1">
      <alignment horizontal="justify" vertical="center" wrapText="1"/>
      <protection hidden="1"/>
    </xf>
    <xf numFmtId="4" fontId="15" fillId="0" borderId="24" xfId="55" applyNumberFormat="1" applyFont="1" applyBorder="1" applyAlignment="1" applyProtection="1">
      <alignment horizontal="center" vertical="center" wrapText="1"/>
      <protection hidden="1"/>
    </xf>
    <xf numFmtId="4" fontId="15" fillId="0" borderId="3" xfId="55" applyNumberFormat="1" applyFont="1" applyBorder="1" applyAlignment="1" applyProtection="1">
      <alignment horizontal="center" vertical="center" wrapText="1"/>
      <protection hidden="1"/>
    </xf>
    <xf numFmtId="1" fontId="16" fillId="0" borderId="0" xfId="55" applyNumberFormat="1" applyFont="1" applyFill="1" applyBorder="1" applyAlignment="1" applyProtection="1">
      <alignment horizontal="justify" vertical="top" wrapText="1"/>
      <protection hidden="1"/>
    </xf>
    <xf numFmtId="0" fontId="16" fillId="0" borderId="0" xfId="55" applyFont="1" applyFill="1" applyBorder="1" applyAlignment="1" applyProtection="1">
      <alignment horizontal="justify" vertical="top" wrapText="1"/>
      <protection hidden="1"/>
    </xf>
    <xf numFmtId="0" fontId="16" fillId="0" borderId="6" xfId="55" applyFont="1" applyFill="1" applyBorder="1" applyAlignment="1" applyProtection="1">
      <alignment horizontal="justify" vertical="top" wrapText="1"/>
      <protection hidden="1"/>
    </xf>
    <xf numFmtId="1" fontId="15" fillId="0" borderId="0" xfId="55" applyNumberFormat="1" applyFont="1" applyBorder="1" applyAlignment="1" applyProtection="1">
      <alignment horizontal="center" vertical="center" wrapText="1"/>
      <protection hidden="1"/>
    </xf>
    <xf numFmtId="0" fontId="15" fillId="0" borderId="0" xfId="55" applyFont="1" applyBorder="1" applyAlignment="1" applyProtection="1">
      <alignment horizontal="center" vertical="center" wrapText="1"/>
      <protection hidden="1"/>
    </xf>
    <xf numFmtId="4" fontId="15" fillId="0" borderId="0" xfId="55" applyNumberFormat="1" applyFont="1" applyBorder="1" applyAlignment="1" applyProtection="1">
      <alignment horizontal="right" vertical="center" wrapText="1"/>
      <protection hidden="1"/>
    </xf>
    <xf numFmtId="1" fontId="15" fillId="0" borderId="11" xfId="55" applyNumberFormat="1" applyFont="1" applyBorder="1" applyAlignment="1" applyProtection="1">
      <alignment horizontal="center" vertical="center" wrapText="1"/>
      <protection hidden="1"/>
    </xf>
    <xf numFmtId="4" fontId="15" fillId="0" borderId="11" xfId="55" applyNumberFormat="1" applyFont="1" applyBorder="1" applyAlignment="1" applyProtection="1">
      <alignment horizontal="center" vertical="center" wrapText="1"/>
      <protection hidden="1"/>
    </xf>
    <xf numFmtId="0" fontId="19" fillId="0" borderId="0" xfId="55" applyFont="1" applyAlignment="1" applyProtection="1">
      <alignment horizontal="left"/>
      <protection hidden="1"/>
    </xf>
    <xf numFmtId="0" fontId="19" fillId="0" borderId="6" xfId="55" applyFont="1" applyBorder="1" applyAlignment="1" applyProtection="1">
      <alignment horizontal="left"/>
      <protection hidden="1"/>
    </xf>
    <xf numFmtId="1" fontId="15" fillId="0" borderId="24" xfId="55" applyNumberFormat="1" applyFont="1" applyBorder="1" applyAlignment="1" applyProtection="1">
      <alignment horizontal="center" vertical="center" wrapText="1"/>
      <protection hidden="1"/>
    </xf>
    <xf numFmtId="1" fontId="15" fillId="0" borderId="25" xfId="55" applyNumberFormat="1" applyFont="1" applyBorder="1" applyAlignment="1" applyProtection="1">
      <alignment horizontal="center" vertical="center" wrapText="1"/>
      <protection hidden="1"/>
    </xf>
    <xf numFmtId="4" fontId="15" fillId="0" borderId="24" xfId="55" applyNumberFormat="1" applyFont="1" applyBorder="1" applyAlignment="1" applyProtection="1">
      <alignment horizontal="right" vertical="center" wrapText="1"/>
      <protection hidden="1"/>
    </xf>
    <xf numFmtId="4" fontId="16" fillId="0" borderId="25" xfId="55" applyNumberFormat="1" applyFont="1" applyBorder="1" applyAlignment="1" applyProtection="1">
      <alignment horizontal="right" vertical="center" wrapText="1"/>
      <protection hidden="1"/>
    </xf>
    <xf numFmtId="0" fontId="16" fillId="0" borderId="6" xfId="55" applyFont="1" applyFill="1" applyBorder="1" applyAlignment="1" applyProtection="1">
      <alignment horizontal="justify" vertical="center" wrapText="1"/>
      <protection hidden="1"/>
    </xf>
    <xf numFmtId="2" fontId="35" fillId="0" borderId="0" xfId="46" applyNumberFormat="1" applyFont="1" applyFill="1" applyBorder="1" applyAlignment="1" applyProtection="1">
      <alignment horizontal="left" vertical="center"/>
      <protection hidden="1"/>
    </xf>
  </cellXfs>
  <cellStyles count="62">
    <cellStyle name="75" xfId="1" xr:uid="{00000000-0005-0000-0000-000000000000}"/>
    <cellStyle name="9"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 2" xfId="17" xr:uid="{00000000-0005-0000-0000-000010000000}"/>
    <cellStyle name="Formula" xfId="18" xr:uid="{00000000-0005-0000-0000-000011000000}"/>
    <cellStyle name="Header1" xfId="19" xr:uid="{00000000-0005-0000-0000-000012000000}"/>
    <cellStyle name="Header2" xfId="20" xr:uid="{00000000-0005-0000-0000-000013000000}"/>
    <cellStyle name="Hyperlink" xfId="21" builtinId="8"/>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1" xfId="26" xr:uid="{00000000-0005-0000-0000-00001A000000}"/>
    <cellStyle name="Normal 12" xfId="27" xr:uid="{00000000-0005-0000-0000-00001B000000}"/>
    <cellStyle name="Normal 13" xfId="28" xr:uid="{00000000-0005-0000-0000-00001C000000}"/>
    <cellStyle name="Normal 14" xfId="29" xr:uid="{00000000-0005-0000-0000-00001D000000}"/>
    <cellStyle name="Normal 15" xfId="30" xr:uid="{00000000-0005-0000-0000-00001E000000}"/>
    <cellStyle name="Normal 16" xfId="31" xr:uid="{00000000-0005-0000-0000-00001F000000}"/>
    <cellStyle name="Normal 17" xfId="32" xr:uid="{00000000-0005-0000-0000-000020000000}"/>
    <cellStyle name="Normal 18" xfId="33" xr:uid="{00000000-0005-0000-0000-000021000000}"/>
    <cellStyle name="Normal 19" xfId="34" xr:uid="{00000000-0005-0000-0000-000022000000}"/>
    <cellStyle name="Normal 2" xfId="35" xr:uid="{00000000-0005-0000-0000-000023000000}"/>
    <cellStyle name="Normal 4" xfId="36" xr:uid="{00000000-0005-0000-0000-000024000000}"/>
    <cellStyle name="Normal 5" xfId="37" xr:uid="{00000000-0005-0000-0000-000025000000}"/>
    <cellStyle name="Normal 6" xfId="38" xr:uid="{00000000-0005-0000-0000-000026000000}"/>
    <cellStyle name="Normal 7" xfId="39" xr:uid="{00000000-0005-0000-0000-000027000000}"/>
    <cellStyle name="Normal 8" xfId="40" xr:uid="{00000000-0005-0000-0000-000028000000}"/>
    <cellStyle name="Normal 9" xfId="41" xr:uid="{00000000-0005-0000-0000-000029000000}"/>
    <cellStyle name="Normal_Annexures TW 04" xfId="42" xr:uid="{00000000-0005-0000-0000-00002A000000}"/>
    <cellStyle name="Normal_Annexures TW 04 2" xfId="43" xr:uid="{00000000-0005-0000-0000-00002B000000}"/>
    <cellStyle name="Normal_Attach 3(JV)" xfId="44" xr:uid="{00000000-0005-0000-0000-00002C000000}"/>
    <cellStyle name="Normal_Attacments TW 04" xfId="45" xr:uid="{00000000-0005-0000-0000-00002D000000}"/>
    <cellStyle name="Normal_Entertainment Form" xfId="46" xr:uid="{00000000-0005-0000-0000-00002E000000}"/>
    <cellStyle name="Normal_pgcil-tivim-pricesched" xfId="47" xr:uid="{00000000-0005-0000-0000-00002F000000}"/>
    <cellStyle name="Normal_pgcil-tivim-pricesched_Sch-1" xfId="48" xr:uid="{00000000-0005-0000-0000-000030000000}"/>
    <cellStyle name="Normal_PRICE SCHEDULE-4 to 6-A4" xfId="49" xr:uid="{00000000-0005-0000-0000-000031000000}"/>
    <cellStyle name="Normal_Price Schedules-4a-4b--5-6"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PRICE-SCHE Bihar-Rev-2-corrections_Price_Schedules for Insulator Package Rev-01" xfId="54" xr:uid="{00000000-0005-0000-0000-000036000000}"/>
    <cellStyle name="Normal_QUOTED CORRECTED 2" xfId="55" xr:uid="{00000000-0005-0000-0000-000037000000}"/>
    <cellStyle name="Normal_Sch-1" xfId="56" xr:uid="{00000000-0005-0000-0000-000038000000}"/>
    <cellStyle name="Normal_Sheet1" xfId="57" xr:uid="{00000000-0005-0000-0000-000039000000}"/>
    <cellStyle name="Percent" xfId="58" builtinId="5"/>
    <cellStyle name="Popis" xfId="59" xr:uid="{00000000-0005-0000-0000-00003B000000}"/>
    <cellStyle name="Sledovaný hypertextový odkaz" xfId="60" xr:uid="{00000000-0005-0000-0000-00003C000000}"/>
    <cellStyle name="Standard_BS14" xfId="61" xr:uid="{00000000-0005-0000-0000-00003D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ch-3'!Print_Area"/><Relationship Id="rId1" Type="http://schemas.openxmlformats.org/officeDocument/2006/relationships/hyperlink" Target="#'Sch-3 '!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2" Type="http://schemas.openxmlformats.org/officeDocument/2006/relationships/hyperlink" Target="#'Sch-6'!A1"/><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2" Type="http://schemas.openxmlformats.org/officeDocument/2006/relationships/hyperlink" Target="#'Sch-7'!A1"/><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1" Type="http://schemas.openxmlformats.org/officeDocument/2006/relationships/hyperlink" Target="#Discount!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5'!A1"/></Relationships>
</file>

<file path=xl/drawings/_rels/drawing1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6.xml.rels><?xml version="1.0" encoding="UTF-8" standalone="yes"?>
<Relationships xmlns="http://schemas.openxmlformats.org/package/2006/relationships"><Relationship Id="rId1" Type="http://schemas.openxmlformats.org/officeDocument/2006/relationships/hyperlink" Target="#'Sch-4'!A1"/></Relationships>
</file>

<file path=xl/drawings/_rels/drawing17.xml.rels><?xml version="1.0" encoding="UTF-8" standalone="yes"?>
<Relationships xmlns="http://schemas.openxmlformats.org/package/2006/relationships"><Relationship Id="rId1" Type="http://schemas.openxmlformats.org/officeDocument/2006/relationships/hyperlink" Target="#'Sch-4'!A1"/></Relationships>
</file>

<file path=xl/drawings/_rels/drawing18.xml.rels><?xml version="1.0" encoding="UTF-8" standalone="yes"?>
<Relationships xmlns="http://schemas.openxmlformats.org/package/2006/relationships"><Relationship Id="rId1" Type="http://schemas.openxmlformats.org/officeDocument/2006/relationships/hyperlink" Target="#'Sch-4'!A1"/></Relationships>
</file>

<file path=xl/drawings/drawing1.xml><?xml version="1.0" encoding="utf-8"?>
<xdr:wsDr xmlns:xdr="http://schemas.openxmlformats.org/drawingml/2006/spreadsheetDrawing" xmlns:a="http://schemas.openxmlformats.org/drawingml/2006/main">
  <xdr:twoCellAnchor>
    <xdr:from>
      <xdr:col>1</xdr:col>
      <xdr:colOff>13878</xdr:colOff>
      <xdr:row>9</xdr:row>
      <xdr:rowOff>59531</xdr:rowOff>
    </xdr:from>
    <xdr:to>
      <xdr:col>4</xdr:col>
      <xdr:colOff>1147164</xdr:colOff>
      <xdr:row>10</xdr:row>
      <xdr:rowOff>189315</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EBB442BC-08E2-46A4-A852-8FB65D59B41E}"/>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2</xdr:col>
      <xdr:colOff>2724150</xdr:colOff>
      <xdr:row>12</xdr:row>
      <xdr:rowOff>104775</xdr:rowOff>
    </xdr:from>
    <xdr:to>
      <xdr:col>4</xdr:col>
      <xdr:colOff>1181100</xdr:colOff>
      <xdr:row>14</xdr:row>
      <xdr:rowOff>276225</xdr:rowOff>
    </xdr:to>
    <xdr:pic>
      <xdr:nvPicPr>
        <xdr:cNvPr id="165112" name="Picture 3">
          <a:extLst>
            <a:ext uri="{FF2B5EF4-FFF2-40B4-BE49-F238E27FC236}">
              <a16:creationId xmlns:a16="http://schemas.microsoft.com/office/drawing/2014/main" id="{FFE38263-3403-448E-8AA4-2B651F3D1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981" t="27950" r="31090" b="55093"/>
        <a:stretch>
          <a:fillRect/>
        </a:stretch>
      </xdr:blipFill>
      <xdr:spPr bwMode="auto">
        <a:xfrm>
          <a:off x="4229100" y="3962400"/>
          <a:ext cx="4171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12</xdr:row>
      <xdr:rowOff>133350</xdr:rowOff>
    </xdr:from>
    <xdr:to>
      <xdr:col>2</xdr:col>
      <xdr:colOff>1076325</xdr:colOff>
      <xdr:row>14</xdr:row>
      <xdr:rowOff>114300</xdr:rowOff>
    </xdr:to>
    <xdr:pic>
      <xdr:nvPicPr>
        <xdr:cNvPr id="165113" name="Picture 4">
          <a:extLst>
            <a:ext uri="{FF2B5EF4-FFF2-40B4-BE49-F238E27FC236}">
              <a16:creationId xmlns:a16="http://schemas.microsoft.com/office/drawing/2014/main" id="{5E569F21-B1BD-4D20-BD7F-649A995033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0" y="3990975"/>
          <a:ext cx="1590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4457700</xdr:colOff>
      <xdr:row>50</xdr:row>
      <xdr:rowOff>0</xdr:rowOff>
    </xdr:from>
    <xdr:to>
      <xdr:col>2</xdr:col>
      <xdr:colOff>4981575</xdr:colOff>
      <xdr:row>50</xdr:row>
      <xdr:rowOff>0</xdr:rowOff>
    </xdr:to>
    <xdr:pic>
      <xdr:nvPicPr>
        <xdr:cNvPr id="164315" name="Picture 4">
          <a:extLst>
            <a:ext uri="{FF2B5EF4-FFF2-40B4-BE49-F238E27FC236}">
              <a16:creationId xmlns:a16="http://schemas.microsoft.com/office/drawing/2014/main" id="{E2AF6585-AE30-4384-A4BB-5852E996D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157448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200025</xdr:colOff>
      <xdr:row>0</xdr:row>
      <xdr:rowOff>57150</xdr:rowOff>
    </xdr:from>
    <xdr:to>
      <xdr:col>3</xdr:col>
      <xdr:colOff>1409700</xdr:colOff>
      <xdr:row>2</xdr:row>
      <xdr:rowOff>28575</xdr:rowOff>
    </xdr:to>
    <xdr:grpSp>
      <xdr:nvGrpSpPr>
        <xdr:cNvPr id="164316" name="Group 1">
          <a:hlinkClick xmlns:r="http://schemas.openxmlformats.org/officeDocument/2006/relationships" r:id="rId2" tooltip="Click to Proceed"/>
          <a:extLst>
            <a:ext uri="{FF2B5EF4-FFF2-40B4-BE49-F238E27FC236}">
              <a16:creationId xmlns:a16="http://schemas.microsoft.com/office/drawing/2014/main" id="{A53C4B66-4C7D-4ADA-B72A-664FAEDB70E3}"/>
            </a:ext>
          </a:extLst>
        </xdr:cNvPr>
        <xdr:cNvGrpSpPr>
          <a:grpSpLocks/>
        </xdr:cNvGrpSpPr>
      </xdr:nvGrpSpPr>
      <xdr:grpSpPr bwMode="auto">
        <a:xfrm>
          <a:off x="8696325" y="57150"/>
          <a:ext cx="1209675" cy="762000"/>
          <a:chOff x="804" y="5"/>
          <a:chExt cx="116" cy="73"/>
        </a:xfrm>
      </xdr:grpSpPr>
      <xdr:sp macro="" textlink="">
        <xdr:nvSpPr>
          <xdr:cNvPr id="164318" name="AutoShape 2">
            <a:extLst>
              <a:ext uri="{FF2B5EF4-FFF2-40B4-BE49-F238E27FC236}">
                <a16:creationId xmlns:a16="http://schemas.microsoft.com/office/drawing/2014/main" id="{C79EB6A5-0442-4475-BE0B-22EA1DFA37C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extLst>
              <a:ext uri="{FF2B5EF4-FFF2-40B4-BE49-F238E27FC236}">
                <a16:creationId xmlns:a16="http://schemas.microsoft.com/office/drawing/2014/main" id="{BCB6E1B5-1977-4817-BFDB-3AD3EDE7F69A}"/>
              </a:ext>
            </a:extLst>
          </xdr:cNvPr>
          <xdr:cNvSpPr txBox="1">
            <a:spLocks noChangeArrowheads="1"/>
          </xdr:cNvSpPr>
        </xdr:nvSpPr>
        <xdr:spPr bwMode="auto">
          <a:xfrm>
            <a:off x="819" y="23"/>
            <a:ext cx="10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4448175</xdr:colOff>
      <xdr:row>46</xdr:row>
      <xdr:rowOff>0</xdr:rowOff>
    </xdr:from>
    <xdr:to>
      <xdr:col>2</xdr:col>
      <xdr:colOff>4972050</xdr:colOff>
      <xdr:row>46</xdr:row>
      <xdr:rowOff>0</xdr:rowOff>
    </xdr:to>
    <xdr:pic>
      <xdr:nvPicPr>
        <xdr:cNvPr id="164317" name="Picture 4">
          <a:extLst>
            <a:ext uri="{FF2B5EF4-FFF2-40B4-BE49-F238E27FC236}">
              <a16:creationId xmlns:a16="http://schemas.microsoft.com/office/drawing/2014/main" id="{8ECB125F-9198-49D3-A386-ECA00473A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148304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66173" name="Group 6">
          <a:hlinkClick xmlns:r="http://schemas.openxmlformats.org/officeDocument/2006/relationships" r:id="rId1" tooltip="Click for Sch-1"/>
          <a:extLst>
            <a:ext uri="{FF2B5EF4-FFF2-40B4-BE49-F238E27FC236}">
              <a16:creationId xmlns:a16="http://schemas.microsoft.com/office/drawing/2014/main" id="{545B525D-F81A-47E9-9445-E64CC5D2BE0C}"/>
            </a:ext>
          </a:extLst>
        </xdr:cNvPr>
        <xdr:cNvGrpSpPr>
          <a:grpSpLocks/>
        </xdr:cNvGrpSpPr>
      </xdr:nvGrpSpPr>
      <xdr:grpSpPr bwMode="auto">
        <a:xfrm>
          <a:off x="8001000" y="209550"/>
          <a:ext cx="1104900" cy="1171575"/>
          <a:chOff x="804" y="5"/>
          <a:chExt cx="116" cy="73"/>
        </a:xfrm>
      </xdr:grpSpPr>
      <xdr:sp macro="" textlink="">
        <xdr:nvSpPr>
          <xdr:cNvPr id="166174" name="AutoShape 2">
            <a:extLst>
              <a:ext uri="{FF2B5EF4-FFF2-40B4-BE49-F238E27FC236}">
                <a16:creationId xmlns:a16="http://schemas.microsoft.com/office/drawing/2014/main" id="{51C70715-5F48-4A4C-A513-5802B775315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8A887325-A35C-404B-9FDD-34090813AD22}"/>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17</xdr:col>
      <xdr:colOff>523875</xdr:colOff>
      <xdr:row>2</xdr:row>
      <xdr:rowOff>266700</xdr:rowOff>
    </xdr:to>
    <xdr:grpSp>
      <xdr:nvGrpSpPr>
        <xdr:cNvPr id="184699" name="Group 38">
          <a:hlinkClick xmlns:r="http://schemas.openxmlformats.org/officeDocument/2006/relationships" r:id="rId1" tooltip="Click for Sch-2"/>
          <a:extLst>
            <a:ext uri="{FF2B5EF4-FFF2-40B4-BE49-F238E27FC236}">
              <a16:creationId xmlns:a16="http://schemas.microsoft.com/office/drawing/2014/main" id="{CF9C29D8-59F6-4B7F-AD20-E7DCB192244C}"/>
            </a:ext>
          </a:extLst>
        </xdr:cNvPr>
        <xdr:cNvGrpSpPr>
          <a:grpSpLocks/>
        </xdr:cNvGrpSpPr>
      </xdr:nvGrpSpPr>
      <xdr:grpSpPr bwMode="auto">
        <a:xfrm>
          <a:off x="21746936" y="28575"/>
          <a:ext cx="1759403" cy="700768"/>
          <a:chOff x="804" y="5"/>
          <a:chExt cx="116" cy="73"/>
        </a:xfrm>
      </xdr:grpSpPr>
      <xdr:sp macro="" textlink="">
        <xdr:nvSpPr>
          <xdr:cNvPr id="184702" name="AutoShape 39">
            <a:extLst>
              <a:ext uri="{FF2B5EF4-FFF2-40B4-BE49-F238E27FC236}">
                <a16:creationId xmlns:a16="http://schemas.microsoft.com/office/drawing/2014/main" id="{63DEF1ED-4DC5-4B4B-9061-BADA60CA5E1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774474FA-9164-43E4-8B5D-D0B1CC27E4B3}"/>
              </a:ext>
            </a:extLst>
          </xdr:cNvPr>
          <xdr:cNvSpPr txBox="1">
            <a:spLocks noChangeArrowheads="1"/>
          </xdr:cNvSpPr>
        </xdr:nvSpPr>
        <xdr:spPr bwMode="auto">
          <a:xfrm>
            <a:off x="819" y="23"/>
            <a:ext cx="42"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twoCellAnchor editAs="oneCell">
    <xdr:from>
      <xdr:col>1</xdr:col>
      <xdr:colOff>2038350</xdr:colOff>
      <xdr:row>18</xdr:row>
      <xdr:rowOff>0</xdr:rowOff>
    </xdr:from>
    <xdr:to>
      <xdr:col>1</xdr:col>
      <xdr:colOff>2038350</xdr:colOff>
      <xdr:row>18</xdr:row>
      <xdr:rowOff>38100</xdr:rowOff>
    </xdr:to>
    <xdr:pic>
      <xdr:nvPicPr>
        <xdr:cNvPr id="184700" name="Picture 3">
          <a:extLst>
            <a:ext uri="{FF2B5EF4-FFF2-40B4-BE49-F238E27FC236}">
              <a16:creationId xmlns:a16="http://schemas.microsoft.com/office/drawing/2014/main" id="{D2234085-ED11-4343-9296-B74FF330B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68294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18</xdr:row>
      <xdr:rowOff>0</xdr:rowOff>
    </xdr:from>
    <xdr:to>
      <xdr:col>1</xdr:col>
      <xdr:colOff>1952625</xdr:colOff>
      <xdr:row>18</xdr:row>
      <xdr:rowOff>66675</xdr:rowOff>
    </xdr:to>
    <xdr:pic>
      <xdr:nvPicPr>
        <xdr:cNvPr id="184701" name="Picture 1" descr="http://www.borosil.com/images/home_sub_images/5360-Flasks1.jpg">
          <a:extLst>
            <a:ext uri="{FF2B5EF4-FFF2-40B4-BE49-F238E27FC236}">
              <a16:creationId xmlns:a16="http://schemas.microsoft.com/office/drawing/2014/main" id="{847B696F-2F2D-427C-9AB1-C3BD6F9B8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6829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895350</xdr:colOff>
      <xdr:row>0</xdr:row>
      <xdr:rowOff>0</xdr:rowOff>
    </xdr:from>
    <xdr:to>
      <xdr:col>14</xdr:col>
      <xdr:colOff>0</xdr:colOff>
      <xdr:row>2</xdr:row>
      <xdr:rowOff>333375</xdr:rowOff>
    </xdr:to>
    <xdr:grpSp>
      <xdr:nvGrpSpPr>
        <xdr:cNvPr id="183507" name="Group 1">
          <a:hlinkClick xmlns:r="http://schemas.openxmlformats.org/officeDocument/2006/relationships" r:id="rId1" tooltip="Click for Sch-3"/>
          <a:extLst>
            <a:ext uri="{FF2B5EF4-FFF2-40B4-BE49-F238E27FC236}">
              <a16:creationId xmlns:a16="http://schemas.microsoft.com/office/drawing/2014/main" id="{FEDCFECD-F0F1-44E2-B6E0-D015E98F1A5C}"/>
            </a:ext>
          </a:extLst>
        </xdr:cNvPr>
        <xdr:cNvGrpSpPr>
          <a:grpSpLocks/>
        </xdr:cNvGrpSpPr>
      </xdr:nvGrpSpPr>
      <xdr:grpSpPr bwMode="auto">
        <a:xfrm>
          <a:off x="11452225" y="0"/>
          <a:ext cx="1343025" cy="777875"/>
          <a:chOff x="804" y="5"/>
          <a:chExt cx="116" cy="73"/>
        </a:xfrm>
      </xdr:grpSpPr>
      <xdr:sp macro="" textlink="">
        <xdr:nvSpPr>
          <xdr:cNvPr id="183518" name="AutoShape 2">
            <a:extLst>
              <a:ext uri="{FF2B5EF4-FFF2-40B4-BE49-F238E27FC236}">
                <a16:creationId xmlns:a16="http://schemas.microsoft.com/office/drawing/2014/main" id="{06D4D105-22C7-4C7B-A5E9-982E1858A146}"/>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hlinkClick xmlns:r="http://schemas.openxmlformats.org/officeDocument/2006/relationships" r:id="rId2"/>
            <a:extLst>
              <a:ext uri="{FF2B5EF4-FFF2-40B4-BE49-F238E27FC236}">
                <a16:creationId xmlns:a16="http://schemas.microsoft.com/office/drawing/2014/main" id="{0B39EA77-7DFD-4331-9CB7-DCDE56DA01C4}"/>
              </a:ext>
            </a:extLst>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twoCellAnchor editAs="oneCell">
    <xdr:from>
      <xdr:col>1</xdr:col>
      <xdr:colOff>2038350</xdr:colOff>
      <xdr:row>20</xdr:row>
      <xdr:rowOff>0</xdr:rowOff>
    </xdr:from>
    <xdr:to>
      <xdr:col>1</xdr:col>
      <xdr:colOff>2038350</xdr:colOff>
      <xdr:row>20</xdr:row>
      <xdr:rowOff>38100</xdr:rowOff>
    </xdr:to>
    <xdr:pic>
      <xdr:nvPicPr>
        <xdr:cNvPr id="183508" name="Picture 3">
          <a:extLst>
            <a:ext uri="{FF2B5EF4-FFF2-40B4-BE49-F238E27FC236}">
              <a16:creationId xmlns:a16="http://schemas.microsoft.com/office/drawing/2014/main" id="{DEA02C72-AE12-490F-A119-0045245BEC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77724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20</xdr:row>
      <xdr:rowOff>0</xdr:rowOff>
    </xdr:from>
    <xdr:to>
      <xdr:col>1</xdr:col>
      <xdr:colOff>1962150</xdr:colOff>
      <xdr:row>20</xdr:row>
      <xdr:rowOff>66675</xdr:rowOff>
    </xdr:to>
    <xdr:pic>
      <xdr:nvPicPr>
        <xdr:cNvPr id="183509" name="Picture 1" descr="http://www.borosil.com/images/home_sub_images/5360-Flasks1.jpg">
          <a:extLst>
            <a:ext uri="{FF2B5EF4-FFF2-40B4-BE49-F238E27FC236}">
              <a16:creationId xmlns:a16="http://schemas.microsoft.com/office/drawing/2014/main" id="{96FCD87B-096F-4BAB-851C-8BD0F80EEF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77724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510" name="Picture 3">
          <a:extLst>
            <a:ext uri="{FF2B5EF4-FFF2-40B4-BE49-F238E27FC236}">
              <a16:creationId xmlns:a16="http://schemas.microsoft.com/office/drawing/2014/main" id="{897AC06F-B93B-4BC0-9BA3-3F29D44A78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511" name="Picture 1" descr="http://www.borosil.com/images/home_sub_images/5360-Flasks1.jpg">
          <a:extLst>
            <a:ext uri="{FF2B5EF4-FFF2-40B4-BE49-F238E27FC236}">
              <a16:creationId xmlns:a16="http://schemas.microsoft.com/office/drawing/2014/main" id="{E34CC34F-B8F4-44E9-8A09-20E881AF72B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512" name="Picture 3">
          <a:extLst>
            <a:ext uri="{FF2B5EF4-FFF2-40B4-BE49-F238E27FC236}">
              <a16:creationId xmlns:a16="http://schemas.microsoft.com/office/drawing/2014/main" id="{6D6F7ABD-1C4E-4807-802D-FFA644CC2A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513" name="Picture 1" descr="http://www.borosil.com/images/home_sub_images/5360-Flasks1.jpg">
          <a:extLst>
            <a:ext uri="{FF2B5EF4-FFF2-40B4-BE49-F238E27FC236}">
              <a16:creationId xmlns:a16="http://schemas.microsoft.com/office/drawing/2014/main" id="{426D7C6B-6959-46BB-AEE3-6B949C5DD0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514" name="Picture 3">
          <a:extLst>
            <a:ext uri="{FF2B5EF4-FFF2-40B4-BE49-F238E27FC236}">
              <a16:creationId xmlns:a16="http://schemas.microsoft.com/office/drawing/2014/main" id="{4E68ECAD-FD6D-4F3B-B813-6915A4165B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515" name="Picture 1" descr="http://www.borosil.com/images/home_sub_images/5360-Flasks1.jpg">
          <a:extLst>
            <a:ext uri="{FF2B5EF4-FFF2-40B4-BE49-F238E27FC236}">
              <a16:creationId xmlns:a16="http://schemas.microsoft.com/office/drawing/2014/main" id="{B059CF75-5DC6-45F9-BC51-3A1EF9CE1A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18</xdr:row>
      <xdr:rowOff>0</xdr:rowOff>
    </xdr:from>
    <xdr:to>
      <xdr:col>1</xdr:col>
      <xdr:colOff>2038350</xdr:colOff>
      <xdr:row>18</xdr:row>
      <xdr:rowOff>38100</xdr:rowOff>
    </xdr:to>
    <xdr:pic>
      <xdr:nvPicPr>
        <xdr:cNvPr id="183516" name="Picture 3">
          <a:extLst>
            <a:ext uri="{FF2B5EF4-FFF2-40B4-BE49-F238E27FC236}">
              <a16:creationId xmlns:a16="http://schemas.microsoft.com/office/drawing/2014/main" id="{E20021E9-1673-4D46-B2DC-CCF620492C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60483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1962150</xdr:colOff>
      <xdr:row>18</xdr:row>
      <xdr:rowOff>0</xdr:rowOff>
    </xdr:from>
    <xdr:to>
      <xdr:col>1</xdr:col>
      <xdr:colOff>1962150</xdr:colOff>
      <xdr:row>18</xdr:row>
      <xdr:rowOff>76200</xdr:rowOff>
    </xdr:to>
    <xdr:pic>
      <xdr:nvPicPr>
        <xdr:cNvPr id="183517" name="Picture 1" descr="http://www.borosil.com/images/home_sub_images/5360-Flasks1.jpg">
          <a:extLst>
            <a:ext uri="{FF2B5EF4-FFF2-40B4-BE49-F238E27FC236}">
              <a16:creationId xmlns:a16="http://schemas.microsoft.com/office/drawing/2014/main" id="{3E92062B-DECF-49DD-8762-79882B402B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0" y="604837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171450</xdr:colOff>
      <xdr:row>0</xdr:row>
      <xdr:rowOff>133350</xdr:rowOff>
    </xdr:from>
    <xdr:to>
      <xdr:col>18</xdr:col>
      <xdr:colOff>76200</xdr:colOff>
      <xdr:row>2</xdr:row>
      <xdr:rowOff>438150</xdr:rowOff>
    </xdr:to>
    <xdr:grpSp>
      <xdr:nvGrpSpPr>
        <xdr:cNvPr id="182900" name="Group 1">
          <a:hlinkClick xmlns:r="http://schemas.openxmlformats.org/officeDocument/2006/relationships" r:id="rId1" tooltip="Click for Sch-4"/>
          <a:extLst>
            <a:ext uri="{FF2B5EF4-FFF2-40B4-BE49-F238E27FC236}">
              <a16:creationId xmlns:a16="http://schemas.microsoft.com/office/drawing/2014/main" id="{9648DEF6-0631-45AF-B1BF-B2F9BC6B9AEC}"/>
            </a:ext>
          </a:extLst>
        </xdr:cNvPr>
        <xdr:cNvGrpSpPr>
          <a:grpSpLocks/>
        </xdr:cNvGrpSpPr>
      </xdr:nvGrpSpPr>
      <xdr:grpSpPr bwMode="auto">
        <a:xfrm>
          <a:off x="25298400" y="133350"/>
          <a:ext cx="1504950" cy="762000"/>
          <a:chOff x="804" y="5"/>
          <a:chExt cx="116" cy="73"/>
        </a:xfrm>
      </xdr:grpSpPr>
      <xdr:sp macro="" textlink="">
        <xdr:nvSpPr>
          <xdr:cNvPr id="182925" name="AutoShape 2">
            <a:extLst>
              <a:ext uri="{FF2B5EF4-FFF2-40B4-BE49-F238E27FC236}">
                <a16:creationId xmlns:a16="http://schemas.microsoft.com/office/drawing/2014/main" id="{87C59183-9727-45A6-8969-2963051BD4C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hlinkClick xmlns:r="http://schemas.openxmlformats.org/officeDocument/2006/relationships" r:id="rId1"/>
            <a:extLst>
              <a:ext uri="{FF2B5EF4-FFF2-40B4-BE49-F238E27FC236}">
                <a16:creationId xmlns:a16="http://schemas.microsoft.com/office/drawing/2014/main" id="{3C7CB61F-F206-4661-AB96-D86FD567324A}"/>
              </a:ext>
            </a:extLst>
          </xdr:cNvPr>
          <xdr:cNvSpPr txBox="1">
            <a:spLocks noChangeArrowheads="1"/>
          </xdr:cNvSpPr>
        </xdr:nvSpPr>
        <xdr:spPr bwMode="auto">
          <a:xfrm>
            <a:off x="819" y="23"/>
            <a:ext cx="101" cy="37"/>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twoCellAnchor editAs="oneCell">
    <xdr:from>
      <xdr:col>1</xdr:col>
      <xdr:colOff>2038350</xdr:colOff>
      <xdr:row>123</xdr:row>
      <xdr:rowOff>0</xdr:rowOff>
    </xdr:from>
    <xdr:to>
      <xdr:col>1</xdr:col>
      <xdr:colOff>2038350</xdr:colOff>
      <xdr:row>123</xdr:row>
      <xdr:rowOff>38100</xdr:rowOff>
    </xdr:to>
    <xdr:pic>
      <xdr:nvPicPr>
        <xdr:cNvPr id="182901" name="Picture 3">
          <a:extLst>
            <a:ext uri="{FF2B5EF4-FFF2-40B4-BE49-F238E27FC236}">
              <a16:creationId xmlns:a16="http://schemas.microsoft.com/office/drawing/2014/main" id="{24859DE6-72BB-4BC1-91C5-4F299F55D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6706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123</xdr:row>
      <xdr:rowOff>0</xdr:rowOff>
    </xdr:from>
    <xdr:to>
      <xdr:col>1</xdr:col>
      <xdr:colOff>1952625</xdr:colOff>
      <xdr:row>123</xdr:row>
      <xdr:rowOff>57150</xdr:rowOff>
    </xdr:to>
    <xdr:pic>
      <xdr:nvPicPr>
        <xdr:cNvPr id="182902" name="Picture 1" descr="http://www.borosil.com/images/home_sub_images/5360-Flasks1.jpg">
          <a:extLst>
            <a:ext uri="{FF2B5EF4-FFF2-40B4-BE49-F238E27FC236}">
              <a16:creationId xmlns:a16="http://schemas.microsoft.com/office/drawing/2014/main" id="{3D442673-63AD-4666-84BF-4B67F2038B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670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123</xdr:row>
      <xdr:rowOff>0</xdr:rowOff>
    </xdr:from>
    <xdr:to>
      <xdr:col>1</xdr:col>
      <xdr:colOff>2038350</xdr:colOff>
      <xdr:row>123</xdr:row>
      <xdr:rowOff>38100</xdr:rowOff>
    </xdr:to>
    <xdr:pic>
      <xdr:nvPicPr>
        <xdr:cNvPr id="182903" name="Picture 3">
          <a:extLst>
            <a:ext uri="{FF2B5EF4-FFF2-40B4-BE49-F238E27FC236}">
              <a16:creationId xmlns:a16="http://schemas.microsoft.com/office/drawing/2014/main" id="{8B9180BE-20B4-4C19-A0E0-D358C3D5E3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6706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123</xdr:row>
      <xdr:rowOff>0</xdr:rowOff>
    </xdr:from>
    <xdr:to>
      <xdr:col>1</xdr:col>
      <xdr:colOff>1952625</xdr:colOff>
      <xdr:row>123</xdr:row>
      <xdr:rowOff>57150</xdr:rowOff>
    </xdr:to>
    <xdr:pic>
      <xdr:nvPicPr>
        <xdr:cNvPr id="182904" name="Picture 1" descr="http://www.borosil.com/images/home_sub_images/5360-Flasks1.jpg">
          <a:extLst>
            <a:ext uri="{FF2B5EF4-FFF2-40B4-BE49-F238E27FC236}">
              <a16:creationId xmlns:a16="http://schemas.microsoft.com/office/drawing/2014/main" id="{04EE538C-3822-403F-A849-1CFC183761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670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123</xdr:row>
      <xdr:rowOff>0</xdr:rowOff>
    </xdr:from>
    <xdr:to>
      <xdr:col>1</xdr:col>
      <xdr:colOff>2038350</xdr:colOff>
      <xdr:row>123</xdr:row>
      <xdr:rowOff>38100</xdr:rowOff>
    </xdr:to>
    <xdr:pic>
      <xdr:nvPicPr>
        <xdr:cNvPr id="182905" name="Picture 3">
          <a:extLst>
            <a:ext uri="{FF2B5EF4-FFF2-40B4-BE49-F238E27FC236}">
              <a16:creationId xmlns:a16="http://schemas.microsoft.com/office/drawing/2014/main" id="{12F6B735-C542-45A9-9489-4B37531D6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6706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123</xdr:row>
      <xdr:rowOff>0</xdr:rowOff>
    </xdr:from>
    <xdr:to>
      <xdr:col>1</xdr:col>
      <xdr:colOff>1952625</xdr:colOff>
      <xdr:row>123</xdr:row>
      <xdr:rowOff>57150</xdr:rowOff>
    </xdr:to>
    <xdr:pic>
      <xdr:nvPicPr>
        <xdr:cNvPr id="182906" name="Picture 1" descr="http://www.borosil.com/images/home_sub_images/5360-Flasks1.jpg">
          <a:extLst>
            <a:ext uri="{FF2B5EF4-FFF2-40B4-BE49-F238E27FC236}">
              <a16:creationId xmlns:a16="http://schemas.microsoft.com/office/drawing/2014/main" id="{4DAC07A2-DD48-44FD-BC37-B04CFB0731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670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123</xdr:row>
      <xdr:rowOff>0</xdr:rowOff>
    </xdr:from>
    <xdr:to>
      <xdr:col>1</xdr:col>
      <xdr:colOff>2038350</xdr:colOff>
      <xdr:row>123</xdr:row>
      <xdr:rowOff>38100</xdr:rowOff>
    </xdr:to>
    <xdr:pic>
      <xdr:nvPicPr>
        <xdr:cNvPr id="182907" name="Picture 3">
          <a:extLst>
            <a:ext uri="{FF2B5EF4-FFF2-40B4-BE49-F238E27FC236}">
              <a16:creationId xmlns:a16="http://schemas.microsoft.com/office/drawing/2014/main" id="{1798C655-09B2-48D5-8920-852C3EE90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6706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123</xdr:row>
      <xdr:rowOff>0</xdr:rowOff>
    </xdr:from>
    <xdr:to>
      <xdr:col>1</xdr:col>
      <xdr:colOff>1876425</xdr:colOff>
      <xdr:row>123</xdr:row>
      <xdr:rowOff>57150</xdr:rowOff>
    </xdr:to>
    <xdr:pic>
      <xdr:nvPicPr>
        <xdr:cNvPr id="182908" name="Picture 1" descr="http://www.borosil.com/images/home_sub_images/5360-Flasks1.jpg">
          <a:extLst>
            <a:ext uri="{FF2B5EF4-FFF2-40B4-BE49-F238E27FC236}">
              <a16:creationId xmlns:a16="http://schemas.microsoft.com/office/drawing/2014/main" id="{4BB5F8A9-C7CF-48D7-9A8C-7B6E41209B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1670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909" name="Picture 3">
          <a:extLst>
            <a:ext uri="{FF2B5EF4-FFF2-40B4-BE49-F238E27FC236}">
              <a16:creationId xmlns:a16="http://schemas.microsoft.com/office/drawing/2014/main" id="{5071CFC1-A73C-41E4-8F42-F47DBA87DC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9820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910" name="Picture 1" descr="http://www.borosil.com/images/home_sub_images/5360-Flasks1.jpg">
          <a:extLst>
            <a:ext uri="{FF2B5EF4-FFF2-40B4-BE49-F238E27FC236}">
              <a16:creationId xmlns:a16="http://schemas.microsoft.com/office/drawing/2014/main" id="{D0F602A5-5921-432F-B27B-CE33BD6DB4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9820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911" name="Picture 3">
          <a:extLst>
            <a:ext uri="{FF2B5EF4-FFF2-40B4-BE49-F238E27FC236}">
              <a16:creationId xmlns:a16="http://schemas.microsoft.com/office/drawing/2014/main" id="{BA72D672-8581-41CB-B07B-7E6D16DEE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9820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912" name="Picture 1" descr="http://www.borosil.com/images/home_sub_images/5360-Flasks1.jpg">
          <a:extLst>
            <a:ext uri="{FF2B5EF4-FFF2-40B4-BE49-F238E27FC236}">
              <a16:creationId xmlns:a16="http://schemas.microsoft.com/office/drawing/2014/main" id="{262EA24B-96E5-49C1-A785-5E7A5D33D3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9820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913" name="Picture 3">
          <a:extLst>
            <a:ext uri="{FF2B5EF4-FFF2-40B4-BE49-F238E27FC236}">
              <a16:creationId xmlns:a16="http://schemas.microsoft.com/office/drawing/2014/main" id="{9FE9B288-45B8-475D-ACA8-C2C2DD2108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9820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914" name="Picture 1" descr="http://www.borosil.com/images/home_sub_images/5360-Flasks1.jpg">
          <a:extLst>
            <a:ext uri="{FF2B5EF4-FFF2-40B4-BE49-F238E27FC236}">
              <a16:creationId xmlns:a16="http://schemas.microsoft.com/office/drawing/2014/main" id="{67AD95C5-E677-4F2A-B461-581FE6C745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9820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21</xdr:row>
      <xdr:rowOff>0</xdr:rowOff>
    </xdr:from>
    <xdr:to>
      <xdr:col>1</xdr:col>
      <xdr:colOff>2038350</xdr:colOff>
      <xdr:row>21</xdr:row>
      <xdr:rowOff>38100</xdr:rowOff>
    </xdr:to>
    <xdr:pic>
      <xdr:nvPicPr>
        <xdr:cNvPr id="182915" name="Picture 3">
          <a:extLst>
            <a:ext uri="{FF2B5EF4-FFF2-40B4-BE49-F238E27FC236}">
              <a16:creationId xmlns:a16="http://schemas.microsoft.com/office/drawing/2014/main" id="{A252922C-5678-4DEB-AA82-193FA5C8F0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89820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21</xdr:row>
      <xdr:rowOff>0</xdr:rowOff>
    </xdr:from>
    <xdr:to>
      <xdr:col>1</xdr:col>
      <xdr:colOff>1952625</xdr:colOff>
      <xdr:row>21</xdr:row>
      <xdr:rowOff>66675</xdr:rowOff>
    </xdr:to>
    <xdr:pic>
      <xdr:nvPicPr>
        <xdr:cNvPr id="182916" name="Picture 1" descr="http://www.borosil.com/images/home_sub_images/5360-Flasks1.jpg">
          <a:extLst>
            <a:ext uri="{FF2B5EF4-FFF2-40B4-BE49-F238E27FC236}">
              <a16:creationId xmlns:a16="http://schemas.microsoft.com/office/drawing/2014/main" id="{6C1E7DC7-0F40-4793-9D2E-7F9C57184F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89820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182917" name="Picture 3">
          <a:extLst>
            <a:ext uri="{FF2B5EF4-FFF2-40B4-BE49-F238E27FC236}">
              <a16:creationId xmlns:a16="http://schemas.microsoft.com/office/drawing/2014/main" id="{75027F3E-BCA8-4E3E-AD0F-12C2B79A43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889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66675</xdr:rowOff>
    </xdr:to>
    <xdr:pic>
      <xdr:nvPicPr>
        <xdr:cNvPr id="182918" name="Picture 1" descr="http://www.borosil.com/images/home_sub_images/5360-Flasks1.jpg">
          <a:extLst>
            <a:ext uri="{FF2B5EF4-FFF2-40B4-BE49-F238E27FC236}">
              <a16:creationId xmlns:a16="http://schemas.microsoft.com/office/drawing/2014/main" id="{C812D41E-2BE8-463B-BB26-1D7C5DB3DA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8897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182919" name="Picture 3">
          <a:extLst>
            <a:ext uri="{FF2B5EF4-FFF2-40B4-BE49-F238E27FC236}">
              <a16:creationId xmlns:a16="http://schemas.microsoft.com/office/drawing/2014/main" id="{B17CF32D-BC7E-4192-A743-3C2B54B26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889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66675</xdr:rowOff>
    </xdr:to>
    <xdr:pic>
      <xdr:nvPicPr>
        <xdr:cNvPr id="182920" name="Picture 1" descr="http://www.borosil.com/images/home_sub_images/5360-Flasks1.jpg">
          <a:extLst>
            <a:ext uri="{FF2B5EF4-FFF2-40B4-BE49-F238E27FC236}">
              <a16:creationId xmlns:a16="http://schemas.microsoft.com/office/drawing/2014/main" id="{1A56A29E-5CBF-48E2-A129-92ED7B19EA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8897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182921" name="Picture 3">
          <a:extLst>
            <a:ext uri="{FF2B5EF4-FFF2-40B4-BE49-F238E27FC236}">
              <a16:creationId xmlns:a16="http://schemas.microsoft.com/office/drawing/2014/main" id="{3018D865-A3C2-48AB-9029-A9C0C933F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889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1952625</xdr:colOff>
      <xdr:row>124</xdr:row>
      <xdr:rowOff>0</xdr:rowOff>
    </xdr:from>
    <xdr:to>
      <xdr:col>1</xdr:col>
      <xdr:colOff>1952625</xdr:colOff>
      <xdr:row>124</xdr:row>
      <xdr:rowOff>66675</xdr:rowOff>
    </xdr:to>
    <xdr:pic>
      <xdr:nvPicPr>
        <xdr:cNvPr id="182922" name="Picture 1" descr="http://www.borosil.com/images/home_sub_images/5360-Flasks1.jpg">
          <a:extLst>
            <a:ext uri="{FF2B5EF4-FFF2-40B4-BE49-F238E27FC236}">
              <a16:creationId xmlns:a16="http://schemas.microsoft.com/office/drawing/2014/main" id="{8D3E8FF9-8D0C-42F1-B540-00BF8566D3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318897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2038350</xdr:colOff>
      <xdr:row>124</xdr:row>
      <xdr:rowOff>0</xdr:rowOff>
    </xdr:from>
    <xdr:to>
      <xdr:col>1</xdr:col>
      <xdr:colOff>2038350</xdr:colOff>
      <xdr:row>124</xdr:row>
      <xdr:rowOff>38100</xdr:rowOff>
    </xdr:to>
    <xdr:pic>
      <xdr:nvPicPr>
        <xdr:cNvPr id="182923" name="Picture 3">
          <a:extLst>
            <a:ext uri="{FF2B5EF4-FFF2-40B4-BE49-F238E27FC236}">
              <a16:creationId xmlns:a16="http://schemas.microsoft.com/office/drawing/2014/main" id="{28469CAF-B155-47F7-AA8B-FD260C048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7975" y="318897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1876425</xdr:colOff>
      <xdr:row>124</xdr:row>
      <xdr:rowOff>0</xdr:rowOff>
    </xdr:from>
    <xdr:to>
      <xdr:col>1</xdr:col>
      <xdr:colOff>1876425</xdr:colOff>
      <xdr:row>124</xdr:row>
      <xdr:rowOff>66675</xdr:rowOff>
    </xdr:to>
    <xdr:pic>
      <xdr:nvPicPr>
        <xdr:cNvPr id="182924" name="Picture 1" descr="http://www.borosil.com/images/home_sub_images/5360-Flasks1.jpg">
          <a:extLst>
            <a:ext uri="{FF2B5EF4-FFF2-40B4-BE49-F238E27FC236}">
              <a16:creationId xmlns:a16="http://schemas.microsoft.com/office/drawing/2014/main" id="{C1A89ECA-9781-464D-BE49-FB7BAEFBC7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6050" y="318897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1524000</xdr:colOff>
      <xdr:row>0</xdr:row>
      <xdr:rowOff>28575</xdr:rowOff>
    </xdr:from>
    <xdr:to>
      <xdr:col>8</xdr:col>
      <xdr:colOff>514350</xdr:colOff>
      <xdr:row>2</xdr:row>
      <xdr:rowOff>390525</xdr:rowOff>
    </xdr:to>
    <xdr:grpSp>
      <xdr:nvGrpSpPr>
        <xdr:cNvPr id="168221" name="Group 25">
          <a:hlinkClick xmlns:r="http://schemas.openxmlformats.org/officeDocument/2006/relationships" r:id="rId1" tooltip="Click for Sch-5"/>
          <a:extLst>
            <a:ext uri="{FF2B5EF4-FFF2-40B4-BE49-F238E27FC236}">
              <a16:creationId xmlns:a16="http://schemas.microsoft.com/office/drawing/2014/main" id="{0F2545CB-D2FE-4A73-ADF1-AF2D64014370}"/>
            </a:ext>
          </a:extLst>
        </xdr:cNvPr>
        <xdr:cNvGrpSpPr>
          <a:grpSpLocks/>
        </xdr:cNvGrpSpPr>
      </xdr:nvGrpSpPr>
      <xdr:grpSpPr bwMode="auto">
        <a:xfrm>
          <a:off x="8905875" y="28575"/>
          <a:ext cx="1514475" cy="781050"/>
          <a:chOff x="804" y="5"/>
          <a:chExt cx="116" cy="73"/>
        </a:xfrm>
      </xdr:grpSpPr>
      <xdr:sp macro="" textlink="">
        <xdr:nvSpPr>
          <xdr:cNvPr id="168222" name="AutoShape 26">
            <a:extLst>
              <a:ext uri="{FF2B5EF4-FFF2-40B4-BE49-F238E27FC236}">
                <a16:creationId xmlns:a16="http://schemas.microsoft.com/office/drawing/2014/main" id="{97940D6F-71F3-47DA-8CA4-5DADC487D45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1"/>
            <a:extLst>
              <a:ext uri="{FF2B5EF4-FFF2-40B4-BE49-F238E27FC236}">
                <a16:creationId xmlns:a16="http://schemas.microsoft.com/office/drawing/2014/main" id="{F6E38F25-B3E5-44A5-905B-FA85C7C533E4}"/>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28575</xdr:rowOff>
    </xdr:from>
    <xdr:to>
      <xdr:col>8</xdr:col>
      <xdr:colOff>514350</xdr:colOff>
      <xdr:row>2</xdr:row>
      <xdr:rowOff>390525</xdr:rowOff>
    </xdr:to>
    <xdr:grpSp>
      <xdr:nvGrpSpPr>
        <xdr:cNvPr id="170269" name="Group 25">
          <a:hlinkClick xmlns:r="http://schemas.openxmlformats.org/officeDocument/2006/relationships" r:id="rId1" tooltip="Click for Sch-5"/>
          <a:extLst>
            <a:ext uri="{FF2B5EF4-FFF2-40B4-BE49-F238E27FC236}">
              <a16:creationId xmlns:a16="http://schemas.microsoft.com/office/drawing/2014/main" id="{137D01BF-F87C-4123-A952-61B1BA1FA1B3}"/>
            </a:ext>
          </a:extLst>
        </xdr:cNvPr>
        <xdr:cNvGrpSpPr>
          <a:grpSpLocks/>
        </xdr:cNvGrpSpPr>
      </xdr:nvGrpSpPr>
      <xdr:grpSpPr bwMode="auto">
        <a:xfrm>
          <a:off x="9267825" y="28575"/>
          <a:ext cx="1276350" cy="781050"/>
          <a:chOff x="804" y="5"/>
          <a:chExt cx="116" cy="73"/>
        </a:xfrm>
      </xdr:grpSpPr>
      <xdr:sp macro="" textlink="">
        <xdr:nvSpPr>
          <xdr:cNvPr id="170270" name="AutoShape 26">
            <a:extLst>
              <a:ext uri="{FF2B5EF4-FFF2-40B4-BE49-F238E27FC236}">
                <a16:creationId xmlns:a16="http://schemas.microsoft.com/office/drawing/2014/main" id="{D5792DA2-D072-4F0F-9480-732E3C954D4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a:extLst>
              <a:ext uri="{FF2B5EF4-FFF2-40B4-BE49-F238E27FC236}">
                <a16:creationId xmlns:a16="http://schemas.microsoft.com/office/drawing/2014/main" id="{9DF05470-AF1C-47F1-9322-E548EF8F256D}"/>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71293" name="Group 25">
          <a:hlinkClick xmlns:r="http://schemas.openxmlformats.org/officeDocument/2006/relationships" r:id="rId1" tooltip="Click for Sch-5"/>
          <a:extLst>
            <a:ext uri="{FF2B5EF4-FFF2-40B4-BE49-F238E27FC236}">
              <a16:creationId xmlns:a16="http://schemas.microsoft.com/office/drawing/2014/main" id="{A5FCE639-95AA-40AE-9AFD-DAE5F0E77B00}"/>
            </a:ext>
          </a:extLst>
        </xdr:cNvPr>
        <xdr:cNvGrpSpPr>
          <a:grpSpLocks/>
        </xdr:cNvGrpSpPr>
      </xdr:nvGrpSpPr>
      <xdr:grpSpPr bwMode="auto">
        <a:xfrm>
          <a:off x="9534525" y="47625"/>
          <a:ext cx="1104900" cy="695325"/>
          <a:chOff x="804" y="5"/>
          <a:chExt cx="116" cy="73"/>
        </a:xfrm>
      </xdr:grpSpPr>
      <xdr:sp macro="" textlink="">
        <xdr:nvSpPr>
          <xdr:cNvPr id="171294" name="AutoShape 26">
            <a:extLst>
              <a:ext uri="{FF2B5EF4-FFF2-40B4-BE49-F238E27FC236}">
                <a16:creationId xmlns:a16="http://schemas.microsoft.com/office/drawing/2014/main" id="{DD102338-5298-4B71-8159-C986DE51C3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67E5ED52-87DA-41F5-92F8-D14615210CA5}"/>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323850</xdr:colOff>
      <xdr:row>0</xdr:row>
      <xdr:rowOff>161925</xdr:rowOff>
    </xdr:from>
    <xdr:to>
      <xdr:col>5</xdr:col>
      <xdr:colOff>838200</xdr:colOff>
      <xdr:row>2</xdr:row>
      <xdr:rowOff>476250</xdr:rowOff>
    </xdr:to>
    <xdr:grpSp>
      <xdr:nvGrpSpPr>
        <xdr:cNvPr id="172317" name="Group 25">
          <a:hlinkClick xmlns:r="http://schemas.openxmlformats.org/officeDocument/2006/relationships" r:id="rId1" tooltip="Click for Sch-5"/>
          <a:extLst>
            <a:ext uri="{FF2B5EF4-FFF2-40B4-BE49-F238E27FC236}">
              <a16:creationId xmlns:a16="http://schemas.microsoft.com/office/drawing/2014/main" id="{EF7EDEA3-37B3-469E-8A09-6446C641D8F9}"/>
            </a:ext>
          </a:extLst>
        </xdr:cNvPr>
        <xdr:cNvGrpSpPr>
          <a:grpSpLocks/>
        </xdr:cNvGrpSpPr>
      </xdr:nvGrpSpPr>
      <xdr:grpSpPr bwMode="auto">
        <a:xfrm>
          <a:off x="7991475" y="161925"/>
          <a:ext cx="1276350" cy="771525"/>
          <a:chOff x="804" y="5"/>
          <a:chExt cx="116" cy="73"/>
        </a:xfrm>
      </xdr:grpSpPr>
      <xdr:sp macro="" textlink="">
        <xdr:nvSpPr>
          <xdr:cNvPr id="172318" name="AutoShape 26">
            <a:extLst>
              <a:ext uri="{FF2B5EF4-FFF2-40B4-BE49-F238E27FC236}">
                <a16:creationId xmlns:a16="http://schemas.microsoft.com/office/drawing/2014/main" id="{42676F3C-7A51-4E83-B987-8D164DABFCC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27">
            <a:hlinkClick xmlns:r="http://schemas.openxmlformats.org/officeDocument/2006/relationships" r:id="rId2"/>
            <a:extLst>
              <a:ext uri="{FF2B5EF4-FFF2-40B4-BE49-F238E27FC236}">
                <a16:creationId xmlns:a16="http://schemas.microsoft.com/office/drawing/2014/main" id="{7B396597-D807-4996-97CC-4E574E56C379}"/>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sch-7 </a:t>
            </a:r>
            <a:endParaRPr lang="en-US" sz="1000" b="1" i="0" strike="noStrike">
              <a:solidFill>
                <a:srgbClr val="000000"/>
              </a:solidFill>
              <a:latin typeface="Book Antiqua"/>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438150</xdr:colOff>
      <xdr:row>0</xdr:row>
      <xdr:rowOff>228600</xdr:rowOff>
    </xdr:from>
    <xdr:to>
      <xdr:col>8</xdr:col>
      <xdr:colOff>409575</xdr:colOff>
      <xdr:row>4</xdr:row>
      <xdr:rowOff>57150</xdr:rowOff>
    </xdr:to>
    <xdr:grpSp>
      <xdr:nvGrpSpPr>
        <xdr:cNvPr id="178461" name="Group 25">
          <a:hlinkClick xmlns:r="http://schemas.openxmlformats.org/officeDocument/2006/relationships" r:id="rId1" tooltip="Click for Sch-5"/>
          <a:extLst>
            <a:ext uri="{FF2B5EF4-FFF2-40B4-BE49-F238E27FC236}">
              <a16:creationId xmlns:a16="http://schemas.microsoft.com/office/drawing/2014/main" id="{04CEC75A-22A6-42CF-B9A4-6B31E56A8ED8}"/>
            </a:ext>
          </a:extLst>
        </xdr:cNvPr>
        <xdr:cNvGrpSpPr>
          <a:grpSpLocks/>
        </xdr:cNvGrpSpPr>
      </xdr:nvGrpSpPr>
      <xdr:grpSpPr bwMode="auto">
        <a:xfrm>
          <a:off x="9763125" y="228600"/>
          <a:ext cx="1628775" cy="1571625"/>
          <a:chOff x="804" y="5"/>
          <a:chExt cx="116" cy="73"/>
        </a:xfrm>
      </xdr:grpSpPr>
      <xdr:sp macro="" textlink="">
        <xdr:nvSpPr>
          <xdr:cNvPr id="178462" name="AutoShape 26">
            <a:extLst>
              <a:ext uri="{FF2B5EF4-FFF2-40B4-BE49-F238E27FC236}">
                <a16:creationId xmlns:a16="http://schemas.microsoft.com/office/drawing/2014/main" id="{2DDCE257-D64B-4EA5-8FC9-D8BD9AA7C199}"/>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a:extLst>
              <a:ext uri="{FF2B5EF4-FFF2-40B4-BE49-F238E27FC236}">
                <a16:creationId xmlns:a16="http://schemas.microsoft.com/office/drawing/2014/main" id="{2BA0E830-0B02-414A-9D9E-F9793E8C5491}"/>
              </a:ext>
            </a:extLst>
          </xdr:cNvPr>
          <xdr:cNvSpPr txBox="1">
            <a:spLocks noChangeArrowheads="1"/>
          </xdr:cNvSpPr>
        </xdr:nvSpPr>
        <xdr:spPr bwMode="auto">
          <a:xfrm>
            <a:off x="819" y="23"/>
            <a:ext cx="100"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 2nd envelope </a:t>
            </a:r>
            <a:endParaRPr lang="en-US" sz="1000" b="1" i="0" strike="noStrike">
              <a:solidFill>
                <a:srgbClr val="000000"/>
              </a:solidFill>
              <a:latin typeface="Book Antiqua"/>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133350</xdr:rowOff>
    </xdr:to>
    <xdr:grpSp>
      <xdr:nvGrpSpPr>
        <xdr:cNvPr id="169245" name="Group 5">
          <a:hlinkClick xmlns:r="http://schemas.openxmlformats.org/officeDocument/2006/relationships" r:id="rId1" tooltip="Back to Cover Page"/>
          <a:extLst>
            <a:ext uri="{FF2B5EF4-FFF2-40B4-BE49-F238E27FC236}">
              <a16:creationId xmlns:a16="http://schemas.microsoft.com/office/drawing/2014/main" id="{6E8DEAC7-9EB1-4ADD-A1DA-53C2A9E0E64D}"/>
            </a:ext>
          </a:extLst>
        </xdr:cNvPr>
        <xdr:cNvGrpSpPr>
          <a:grpSpLocks/>
        </xdr:cNvGrpSpPr>
      </xdr:nvGrpSpPr>
      <xdr:grpSpPr bwMode="auto">
        <a:xfrm>
          <a:off x="10791825" y="57150"/>
          <a:ext cx="1685925" cy="685800"/>
          <a:chOff x="762" y="5"/>
          <a:chExt cx="116" cy="73"/>
        </a:xfrm>
      </xdr:grpSpPr>
      <xdr:sp macro="" textlink="">
        <xdr:nvSpPr>
          <xdr:cNvPr id="169246" name="AutoShape 2">
            <a:extLst>
              <a:ext uri="{FF2B5EF4-FFF2-40B4-BE49-F238E27FC236}">
                <a16:creationId xmlns:a16="http://schemas.microsoft.com/office/drawing/2014/main" id="{DE000F8C-9624-4D34-A726-1B58A20A37C1}"/>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9B960FE5-410F-4F42-B397-EAC28C2DFD16}"/>
              </a:ext>
            </a:extLst>
          </xdr:cNvPr>
          <xdr:cNvSpPr txBox="1">
            <a:spLocks noChangeArrowheads="1"/>
          </xdr:cNvSpPr>
        </xdr:nvSpPr>
        <xdr:spPr bwMode="auto">
          <a:xfrm>
            <a:off x="776" y="21"/>
            <a:ext cx="82" cy="4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247650</xdr:rowOff>
    </xdr:to>
    <xdr:grpSp>
      <xdr:nvGrpSpPr>
        <xdr:cNvPr id="173341" name="Group 5">
          <a:hlinkClick xmlns:r="http://schemas.openxmlformats.org/officeDocument/2006/relationships" r:id="rId1" tooltip="Click for Discount Letter"/>
          <a:extLst>
            <a:ext uri="{FF2B5EF4-FFF2-40B4-BE49-F238E27FC236}">
              <a16:creationId xmlns:a16="http://schemas.microsoft.com/office/drawing/2014/main" id="{9922FAAD-6BFD-4896-B219-C518D8CA8AE4}"/>
            </a:ext>
          </a:extLst>
        </xdr:cNvPr>
        <xdr:cNvGrpSpPr>
          <a:grpSpLocks/>
        </xdr:cNvGrpSpPr>
      </xdr:nvGrpSpPr>
      <xdr:grpSpPr bwMode="auto">
        <a:xfrm>
          <a:off x="7629525" y="19050"/>
          <a:ext cx="1104900" cy="685800"/>
          <a:chOff x="762" y="2"/>
          <a:chExt cx="116" cy="73"/>
        </a:xfrm>
      </xdr:grpSpPr>
      <xdr:sp macro="" textlink="">
        <xdr:nvSpPr>
          <xdr:cNvPr id="173342" name="AutoShape 2">
            <a:extLst>
              <a:ext uri="{FF2B5EF4-FFF2-40B4-BE49-F238E27FC236}">
                <a16:creationId xmlns:a16="http://schemas.microsoft.com/office/drawing/2014/main" id="{BA1FD343-4B8B-4748-8468-578133123D18}"/>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C9BCC2A5-BA9C-47C5-8BD7-5897DF472E84}"/>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323850</xdr:colOff>
      <xdr:row>0</xdr:row>
      <xdr:rowOff>161925</xdr:rowOff>
    </xdr:from>
    <xdr:to>
      <xdr:col>5</xdr:col>
      <xdr:colOff>428625</xdr:colOff>
      <xdr:row>2</xdr:row>
      <xdr:rowOff>400050</xdr:rowOff>
    </xdr:to>
    <xdr:grpSp>
      <xdr:nvGrpSpPr>
        <xdr:cNvPr id="174365" name="Group 25">
          <a:hlinkClick xmlns:r="http://schemas.openxmlformats.org/officeDocument/2006/relationships" r:id="rId1" tooltip="Click for Sch-5"/>
          <a:extLst>
            <a:ext uri="{FF2B5EF4-FFF2-40B4-BE49-F238E27FC236}">
              <a16:creationId xmlns:a16="http://schemas.microsoft.com/office/drawing/2014/main" id="{57603819-6FFC-4B1E-AE51-DED2B52A0281}"/>
            </a:ext>
          </a:extLst>
        </xdr:cNvPr>
        <xdr:cNvGrpSpPr>
          <a:grpSpLocks/>
        </xdr:cNvGrpSpPr>
      </xdr:nvGrpSpPr>
      <xdr:grpSpPr bwMode="auto">
        <a:xfrm>
          <a:off x="7534275" y="161925"/>
          <a:ext cx="866775" cy="695325"/>
          <a:chOff x="804" y="5"/>
          <a:chExt cx="116" cy="73"/>
        </a:xfrm>
      </xdr:grpSpPr>
      <xdr:sp macro="" textlink="">
        <xdr:nvSpPr>
          <xdr:cNvPr id="174366" name="AutoShape 26">
            <a:extLst>
              <a:ext uri="{FF2B5EF4-FFF2-40B4-BE49-F238E27FC236}">
                <a16:creationId xmlns:a16="http://schemas.microsoft.com/office/drawing/2014/main" id="{5036C4FA-969B-4E63-A6AC-E640BF0D92B3}"/>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hlinkClick xmlns:r="http://schemas.openxmlformats.org/officeDocument/2006/relationships" r:id="rId2"/>
            <a:extLst>
              <a:ext uri="{FF2B5EF4-FFF2-40B4-BE49-F238E27FC236}">
                <a16:creationId xmlns:a16="http://schemas.microsoft.com/office/drawing/2014/main" id="{A9A33687-663D-4720-AFD6-8524848D51FD}"/>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a:t>
            </a:r>
            <a:r>
              <a:rPr lang="en-US" sz="1000" b="1" i="0" strike="noStrike" baseline="0">
                <a:solidFill>
                  <a:srgbClr val="000000"/>
                </a:solidFill>
                <a:latin typeface="Book Antiqua"/>
              </a:rPr>
              <a:t> Bid form</a:t>
            </a:r>
            <a:endParaRPr lang="en-US" sz="1000" b="1" i="0" strike="noStrike">
              <a:solidFill>
                <a:srgbClr val="000000"/>
              </a:solidFill>
              <a:latin typeface="Book Antiqua"/>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752475</xdr:colOff>
      <xdr:row>3</xdr:row>
      <xdr:rowOff>0</xdr:rowOff>
    </xdr:to>
    <xdr:grpSp>
      <xdr:nvGrpSpPr>
        <xdr:cNvPr id="175389" name="Group 4">
          <a:hlinkClick xmlns:r="http://schemas.openxmlformats.org/officeDocument/2006/relationships" r:id="rId1" tooltip="Click for Bid Form"/>
          <a:extLst>
            <a:ext uri="{FF2B5EF4-FFF2-40B4-BE49-F238E27FC236}">
              <a16:creationId xmlns:a16="http://schemas.microsoft.com/office/drawing/2014/main" id="{3B181D09-8A5E-494B-AEC7-66430F0D90D4}"/>
            </a:ext>
          </a:extLst>
        </xdr:cNvPr>
        <xdr:cNvGrpSpPr>
          <a:grpSpLocks/>
        </xdr:cNvGrpSpPr>
      </xdr:nvGrpSpPr>
      <xdr:grpSpPr bwMode="auto">
        <a:xfrm>
          <a:off x="7515225" y="28575"/>
          <a:ext cx="1838325" cy="933450"/>
          <a:chOff x="784" y="2"/>
          <a:chExt cx="116" cy="73"/>
        </a:xfrm>
      </xdr:grpSpPr>
      <xdr:sp macro="" textlink="">
        <xdr:nvSpPr>
          <xdr:cNvPr id="175390" name="AutoShape 2">
            <a:extLst>
              <a:ext uri="{FF2B5EF4-FFF2-40B4-BE49-F238E27FC236}">
                <a16:creationId xmlns:a16="http://schemas.microsoft.com/office/drawing/2014/main" id="{25C6600B-7DEF-4D27-BAA1-373B8FCBCF08}"/>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D8D556DB-24B9-4F9E-AB05-8D2C042814F5}"/>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8C8789AB-35AC-4553-8907-FCAA13D9E351}"/>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377401</xdr:colOff>
      <xdr:row>1</xdr:row>
      <xdr:rowOff>99483</xdr:rowOff>
    </xdr:from>
    <xdr:to>
      <xdr:col>7</xdr:col>
      <xdr:colOff>206761</xdr:colOff>
      <xdr:row>2</xdr:row>
      <xdr:rowOff>87755</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8B34FC8F-8065-4F6A-872B-DBBE4E35EDFA}"/>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377401</xdr:colOff>
      <xdr:row>1</xdr:row>
      <xdr:rowOff>99483</xdr:rowOff>
    </xdr:from>
    <xdr:to>
      <xdr:col>7</xdr:col>
      <xdr:colOff>206761</xdr:colOff>
      <xdr:row>2</xdr:row>
      <xdr:rowOff>87755</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823C9B2D-E839-49CF-9634-A6DA186ABF69}"/>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65325/Desktop/12%20%20Price%20Schedule%20Vol-III%20Pk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sheetName val="Sch-4"/>
      <sheetName val="Sch-5"/>
      <sheetName val="Sch-4 Dis"/>
      <sheetName val="Sch-6"/>
      <sheetName val="Sch-6 Dis"/>
      <sheetName val="Sch-5 after discount"/>
      <sheetName val="Discount"/>
      <sheetName val="Octroi"/>
      <sheetName val="Entry Tax"/>
      <sheetName val="Other taxes &amp; duties"/>
      <sheetName val="Sch-7"/>
      <sheetName val="Bid Form 2nd Envelope"/>
      <sheetName val="Q &amp; C"/>
      <sheetName val="T &amp; D"/>
      <sheetName val="N to W"/>
      <sheetName val="Sheet1"/>
    </sheetNames>
    <sheetDataSet>
      <sheetData sheetId="0" refreshError="1">
        <row r="9">
          <cell r="C9" t="str">
            <v>Pkg-A</v>
          </cell>
        </row>
      </sheetData>
      <sheetData sheetId="1" refreshError="1"/>
      <sheetData sheetId="2" refreshError="1"/>
      <sheetData sheetId="3" refreshError="1">
        <row r="6">
          <cell r="AA6" t="e">
            <v>#REF!</v>
          </cell>
        </row>
      </sheetData>
      <sheetData sheetId="4" refreshError="1">
        <row r="6">
          <cell r="L6" t="str">
            <v>To:</v>
          </cell>
        </row>
        <row r="8">
          <cell r="B8"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drawing" Target="../drawings/drawing1.xml"/><Relationship Id="rId5" Type="http://schemas.openxmlformats.org/officeDocument/2006/relationships/printerSettings" Target="../printerSettings/printerSettings14.bin"/><Relationship Id="rId10" Type="http://schemas.openxmlformats.org/officeDocument/2006/relationships/printerSettings" Target="../printerSettings/printerSettings19.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drawing" Target="../drawings/drawing3.xml"/><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drawing" Target="../drawings/drawing4.xml"/><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drawing" Target="../drawings/drawing5.xml"/><Relationship Id="rId5" Type="http://schemas.openxmlformats.org/officeDocument/2006/relationships/printerSettings" Target="../printerSettings/printerSettings5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drawing" Target="../drawings/drawing8.xml"/><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10" Type="http://schemas.openxmlformats.org/officeDocument/2006/relationships/drawing" Target="../drawings/drawing9.xml"/><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11" Type="http://schemas.openxmlformats.org/officeDocument/2006/relationships/drawing" Target="../drawings/drawing10.xml"/><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10" Type="http://schemas.openxmlformats.org/officeDocument/2006/relationships/drawing" Target="../drawings/drawing12.xml"/><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10" Type="http://schemas.openxmlformats.org/officeDocument/2006/relationships/drawing" Target="../drawings/drawing13.xml"/><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10" Type="http://schemas.openxmlformats.org/officeDocument/2006/relationships/drawing" Target="../drawings/drawing15.xml"/><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10" Type="http://schemas.openxmlformats.org/officeDocument/2006/relationships/drawing" Target="../drawings/drawing16.xml"/><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5.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5" Type="http://schemas.openxmlformats.org/officeDocument/2006/relationships/printerSettings" Target="../printerSettings/printerSettings142.bin"/><Relationship Id="rId10" Type="http://schemas.openxmlformats.org/officeDocument/2006/relationships/drawing" Target="../drawings/drawing17.xml"/><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9"/>
  <sheetViews>
    <sheetView showGridLines="0" workbookViewId="0">
      <selection activeCell="C15" sqref="C15"/>
    </sheetView>
  </sheetViews>
  <sheetFormatPr defaultRowHeight="16.5"/>
  <cols>
    <col min="1" max="1" width="3.5" style="297" customWidth="1"/>
    <col min="2" max="2" width="18" style="305" customWidth="1"/>
    <col min="3" max="3" width="6.625" style="305" customWidth="1"/>
    <col min="4" max="4" width="43.75" style="305" customWidth="1"/>
    <col min="5" max="5" width="11" style="305" customWidth="1"/>
    <col min="6" max="6" width="29.5" style="305" customWidth="1"/>
    <col min="7" max="16384" width="9" style="299"/>
  </cols>
  <sheetData>
    <row r="1" spans="1:6">
      <c r="B1" s="298"/>
      <c r="C1" s="298"/>
      <c r="D1" s="298"/>
      <c r="E1" s="298"/>
      <c r="F1" s="298"/>
    </row>
    <row r="2" spans="1:6" ht="18.75">
      <c r="A2" s="741" t="s">
        <v>150</v>
      </c>
      <c r="B2" s="741"/>
      <c r="C2" s="741"/>
      <c r="D2" s="741"/>
      <c r="E2" s="741"/>
      <c r="F2" s="741"/>
    </row>
    <row r="3" spans="1:6">
      <c r="A3" s="745" t="s">
        <v>152</v>
      </c>
      <c r="B3" s="745"/>
      <c r="C3" s="745"/>
      <c r="D3" s="745"/>
      <c r="E3" s="745"/>
      <c r="F3" s="745"/>
    </row>
    <row r="4" spans="1:6">
      <c r="B4" s="301"/>
      <c r="C4" s="301"/>
      <c r="D4" s="301"/>
      <c r="E4" s="301"/>
      <c r="F4" s="301"/>
    </row>
    <row r="5" spans="1:6" ht="41.25" customHeight="1">
      <c r="A5" s="302">
        <v>1</v>
      </c>
      <c r="B5" s="303" t="s">
        <v>149</v>
      </c>
      <c r="C5" s="742" t="s">
        <v>573</v>
      </c>
      <c r="D5" s="743"/>
      <c r="E5" s="743"/>
      <c r="F5" s="744"/>
    </row>
    <row r="6" spans="1:6">
      <c r="A6" s="300"/>
      <c r="B6" s="304"/>
    </row>
    <row r="7" spans="1:6" ht="25.15" customHeight="1">
      <c r="A7" s="300">
        <v>2</v>
      </c>
      <c r="B7" s="304" t="s">
        <v>151</v>
      </c>
      <c r="C7" s="738" t="s">
        <v>574</v>
      </c>
      <c r="D7" s="739"/>
      <c r="E7" s="739"/>
      <c r="F7" s="740"/>
    </row>
    <row r="9" spans="1:6">
      <c r="A9" s="297">
        <v>3</v>
      </c>
      <c r="B9" s="304" t="s">
        <v>471</v>
      </c>
      <c r="C9" s="554"/>
    </row>
  </sheetData>
  <sheetProtection selectLockedCells="1" selectUnlockedCells="1"/>
  <customSheetViews>
    <customSheetView guid="{9CA44E70-650F-49CD-967F-298619682CA2}" showGridLines="0" hiddenRows="1" state="hidden" topLeftCell="A7">
      <selection activeCell="C9" sqref="C9:F9"/>
      <pageMargins left="0.5" right="0.5" top="1" bottom="1" header="0.5" footer="0.5"/>
      <pageSetup orientation="portrait" r:id="rId1"/>
      <headerFooter alignWithMargins="0"/>
    </customSheetView>
    <customSheetView guid="{C39F923C-6CD3-45D8-86F8-6C4D806DDD7E}" showGridLines="0" hiddenRows="1" state="hidden">
      <selection activeCell="D22" sqref="D22"/>
      <pageMargins left="0.5" right="0.5" top="1" bottom="1" header="0.5" footer="0.5"/>
      <pageSetup orientation="portrait" r:id="rId2"/>
      <headerFooter alignWithMargins="0"/>
    </customSheetView>
    <customSheetView guid="{B1277D53-29D6-4226-81E2-084FB62977B6}" showGridLines="0" hiddenRows="1" state="hidden">
      <selection activeCell="I14" sqref="I14"/>
      <pageMargins left="0.75" right="0.75" top="1" bottom="1" header="0.5" footer="0.5"/>
      <pageSetup orientation="portrait" r:id="rId3"/>
      <headerFooter alignWithMargins="0"/>
    </customSheetView>
    <customSheetView guid="{58D82F59-8CF6-455F-B9F4-081499FDF243}" showGridLines="0" hiddenRows="1" state="hidden">
      <selection activeCell="I14" sqref="I14"/>
      <pageMargins left="0.75" right="0.75" top="1" bottom="1" header="0.5" footer="0.5"/>
      <pageSetup orientation="portrait" r:id="rId4"/>
      <headerFooter alignWithMargins="0"/>
    </customSheetView>
    <customSheetView guid="{696D9240-6693-44E8-B9A4-2BFADD101EE2}" showGridLines="0" hiddenRows="1" state="hidden">
      <selection activeCell="C9" sqref="C9:F9"/>
      <pageMargins left="0.75" right="0.75" top="1" bottom="1" header="0.5" footer="0.5"/>
      <pageSetup orientation="portrait" r:id="rId5"/>
      <headerFooter alignWithMargins="0"/>
    </customSheetView>
    <customSheetView guid="{B0EE7D76-5806-4718-BDAD-3A3EA691E5E4}" showGridLines="0" hiddenRows="1" state="hidden">
      <selection activeCell="I14" sqref="I14"/>
      <pageMargins left="0.75" right="0.75" top="1" bottom="1" header="0.5" footer="0.5"/>
      <pageSetup orientation="portrait" r:id="rId6"/>
      <headerFooter alignWithMargins="0"/>
    </customSheetView>
    <customSheetView guid="{E95B21C1-D936-4435-AF6F-90CF0B6A7506}" showGridLines="0" hiddenRows="1" state="hidden">
      <selection activeCell="C7" sqref="C7:F7"/>
      <pageMargins left="0.75" right="0.75" top="1" bottom="1" header="0.5" footer="0.5"/>
      <pageSetup orientation="portrait" r:id="rId7"/>
      <headerFooter alignWithMargins="0"/>
    </customSheetView>
    <customSheetView guid="{08A645C4-A23F-4400-B0CE-1685BC312A6F}" showGridLines="0" hiddenRows="1" state="hidden">
      <selection activeCell="C9" sqref="C9:F9"/>
      <pageMargins left="0.5" right="0.5" top="1" bottom="1" header="0.5" footer="0.5"/>
      <pageSetup orientation="portrait" r:id="rId8"/>
      <headerFooter alignWithMargins="0"/>
    </customSheetView>
  </customSheetViews>
  <mergeCells count="4">
    <mergeCell ref="C7:F7"/>
    <mergeCell ref="A2:F2"/>
    <mergeCell ref="C5:F5"/>
    <mergeCell ref="A3:F3"/>
  </mergeCells>
  <phoneticPr fontId="30" type="noConversion"/>
  <pageMargins left="0.5" right="0.5" top="1" bottom="1" header="0.5" footer="0.5"/>
  <pageSetup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2" zoomScaleNormal="112" zoomScaleSheetLayoutView="100" workbookViewId="0">
      <selection activeCell="I3" sqref="I3"/>
    </sheetView>
  </sheetViews>
  <sheetFormatPr defaultColWidth="8" defaultRowHeight="13.5"/>
  <cols>
    <col min="1" max="1" width="8.625" style="28" customWidth="1"/>
    <col min="2" max="2" width="11.125" style="28" customWidth="1"/>
    <col min="3" max="3" width="38.625" style="28" customWidth="1"/>
    <col min="4" max="4" width="36.375" style="28" customWidth="1"/>
    <col min="5" max="5" width="19.5" style="28" customWidth="1"/>
    <col min="6" max="6" width="8.625" style="20" customWidth="1"/>
    <col min="7" max="9" width="8" style="20" customWidth="1"/>
    <col min="10" max="16384" width="8" style="13"/>
  </cols>
  <sheetData>
    <row r="1" spans="1:10" ht="30.75" customHeight="1">
      <c r="A1" s="8"/>
      <c r="B1" s="757" t="s">
        <v>453</v>
      </c>
      <c r="C1" s="758"/>
      <c r="D1" s="758"/>
      <c r="E1" s="759"/>
      <c r="F1" s="9"/>
      <c r="G1" s="10"/>
      <c r="H1" s="11"/>
      <c r="I1" s="11"/>
      <c r="J1" s="12"/>
    </row>
    <row r="2" spans="1:10" ht="96" customHeight="1">
      <c r="A2" s="14"/>
      <c r="B2" s="760" t="s">
        <v>650</v>
      </c>
      <c r="C2" s="761"/>
      <c r="D2" s="761"/>
      <c r="E2" s="762"/>
      <c r="F2" s="10"/>
      <c r="G2" s="10"/>
      <c r="H2" s="11"/>
      <c r="I2" s="11"/>
      <c r="J2" s="12"/>
    </row>
    <row r="3" spans="1:10" ht="23.25" customHeight="1">
      <c r="A3" s="14"/>
      <c r="B3" s="763" t="s">
        <v>651</v>
      </c>
      <c r="C3" s="764"/>
      <c r="D3" s="764"/>
      <c r="E3" s="765"/>
      <c r="F3" s="10"/>
      <c r="G3" s="10"/>
      <c r="H3" s="11"/>
      <c r="I3" s="11"/>
      <c r="J3" s="12"/>
    </row>
    <row r="4" spans="1:10" ht="30" customHeight="1">
      <c r="A4" s="14"/>
      <c r="B4" s="209">
        <v>1</v>
      </c>
      <c r="C4" s="748" t="s">
        <v>544</v>
      </c>
      <c r="D4" s="748"/>
      <c r="E4" s="749"/>
      <c r="F4" s="10"/>
      <c r="G4" s="17"/>
      <c r="H4" s="17"/>
      <c r="I4" s="11"/>
      <c r="J4" s="12"/>
    </row>
    <row r="5" spans="1:10" ht="38.25" customHeight="1">
      <c r="A5" s="14"/>
      <c r="B5" s="209">
        <v>2</v>
      </c>
      <c r="C5" s="748" t="s">
        <v>641</v>
      </c>
      <c r="D5" s="748"/>
      <c r="E5" s="749"/>
      <c r="F5" s="10"/>
      <c r="G5" s="10"/>
      <c r="H5" s="11"/>
      <c r="I5" s="11"/>
      <c r="J5" s="12"/>
    </row>
    <row r="6" spans="1:10" ht="28.5" customHeight="1">
      <c r="A6" s="14"/>
      <c r="B6" s="209">
        <v>3</v>
      </c>
      <c r="C6" s="530" t="s">
        <v>540</v>
      </c>
      <c r="D6" s="530"/>
      <c r="E6" s="531"/>
      <c r="F6" s="10"/>
      <c r="G6" s="10"/>
      <c r="H6" s="11"/>
      <c r="I6" s="11"/>
      <c r="J6" s="12"/>
    </row>
    <row r="7" spans="1:10" ht="38.25" hidden="1" customHeight="1">
      <c r="A7" s="14"/>
      <c r="B7" s="209">
        <v>4</v>
      </c>
      <c r="C7" s="530" t="s">
        <v>432</v>
      </c>
      <c r="D7" s="537" t="s">
        <v>431</v>
      </c>
      <c r="E7" s="536" t="s">
        <v>433</v>
      </c>
      <c r="F7" s="10"/>
      <c r="G7" s="10"/>
      <c r="H7" s="11"/>
      <c r="I7" s="11"/>
      <c r="J7" s="12"/>
    </row>
    <row r="8" spans="1:10" s="20" customFormat="1" ht="24.75" customHeight="1">
      <c r="A8" s="14"/>
      <c r="B8" s="209">
        <v>4</v>
      </c>
      <c r="C8" s="748" t="s">
        <v>141</v>
      </c>
      <c r="D8" s="748"/>
      <c r="E8" s="749"/>
      <c r="F8" s="10"/>
      <c r="G8" s="10"/>
      <c r="H8" s="11"/>
      <c r="I8" s="11"/>
      <c r="J8" s="11"/>
    </row>
    <row r="9" spans="1:10" ht="52.5" hidden="1" customHeight="1">
      <c r="A9" s="14"/>
      <c r="B9" s="210">
        <v>4</v>
      </c>
      <c r="C9" s="748" t="s">
        <v>224</v>
      </c>
      <c r="D9" s="748"/>
      <c r="E9" s="749"/>
      <c r="F9" s="10"/>
      <c r="G9" s="10"/>
      <c r="H9" s="11"/>
      <c r="I9" s="11"/>
      <c r="J9" s="12"/>
    </row>
    <row r="10" spans="1:10" ht="12" customHeight="1">
      <c r="A10" s="14"/>
      <c r="B10" s="15"/>
      <c r="C10" s="14"/>
      <c r="D10" s="14"/>
      <c r="E10" s="16"/>
      <c r="F10" s="10"/>
      <c r="G10" s="10"/>
      <c r="H10" s="11"/>
      <c r="I10" s="11"/>
      <c r="J10" s="12"/>
    </row>
    <row r="11" spans="1:10" ht="20.25" customHeight="1">
      <c r="A11" s="14"/>
      <c r="B11" s="750"/>
      <c r="C11" s="751"/>
      <c r="D11" s="751"/>
      <c r="E11" s="752"/>
      <c r="F11" s="10"/>
      <c r="G11" s="10"/>
      <c r="H11" s="11"/>
      <c r="I11" s="11"/>
      <c r="J11" s="12"/>
    </row>
    <row r="12" spans="1:10" ht="33.75" hidden="1" customHeight="1">
      <c r="A12" s="14"/>
      <c r="B12" s="15"/>
      <c r="C12" s="14"/>
      <c r="D12" s="14"/>
      <c r="E12" s="18"/>
      <c r="F12" s="10"/>
      <c r="G12" s="10"/>
      <c r="H12" s="11"/>
      <c r="I12" s="11"/>
      <c r="J12" s="12"/>
    </row>
    <row r="13" spans="1:10" ht="24" customHeight="1">
      <c r="A13" s="8"/>
      <c r="B13" s="746"/>
      <c r="C13" s="747"/>
      <c r="D13" s="747"/>
      <c r="E13" s="19"/>
    </row>
    <row r="14" spans="1:10" ht="16.149999999999999" customHeight="1">
      <c r="A14" s="8"/>
      <c r="B14" s="753"/>
      <c r="C14" s="754"/>
      <c r="D14" s="754"/>
      <c r="E14" s="21"/>
      <c r="F14" s="22"/>
      <c r="G14" s="10"/>
      <c r="H14" s="11"/>
      <c r="I14" s="11"/>
      <c r="J14" s="12"/>
    </row>
    <row r="15" spans="1:10" ht="24" customHeight="1">
      <c r="A15" s="8"/>
      <c r="B15" s="746"/>
      <c r="C15" s="747"/>
      <c r="D15" s="747"/>
      <c r="E15" s="19"/>
      <c r="F15" s="23"/>
      <c r="G15" s="24"/>
      <c r="H15" s="24"/>
      <c r="I15" s="24"/>
      <c r="J15" s="24"/>
    </row>
    <row r="16" spans="1:10" ht="16.149999999999999" customHeight="1">
      <c r="A16" s="8"/>
      <c r="B16" s="755"/>
      <c r="C16" s="756"/>
      <c r="D16" s="756"/>
      <c r="E16" s="25"/>
      <c r="F16" s="23"/>
      <c r="G16" s="24"/>
      <c r="H16" s="24"/>
      <c r="I16" s="24"/>
      <c r="J16" s="24"/>
    </row>
    <row r="17" spans="1:10" ht="15.75">
      <c r="A17" s="26"/>
      <c r="B17" s="27"/>
      <c r="C17" s="27"/>
      <c r="D17" s="27"/>
      <c r="E17" s="27"/>
      <c r="F17" s="11"/>
      <c r="G17" s="11"/>
      <c r="H17" s="11"/>
      <c r="I17" s="11"/>
      <c r="J17" s="12"/>
    </row>
    <row r="18" spans="1:10" ht="15.75">
      <c r="A18" s="26"/>
      <c r="B18" s="14"/>
      <c r="C18" s="14"/>
      <c r="D18" s="14"/>
      <c r="E18" s="14"/>
      <c r="F18" s="11"/>
      <c r="G18" s="11"/>
      <c r="H18" s="11"/>
      <c r="I18" s="11"/>
      <c r="J18" s="12"/>
    </row>
    <row r="19" spans="1:10" ht="15.75">
      <c r="A19" s="26"/>
      <c r="B19" s="26"/>
      <c r="C19" s="26"/>
      <c r="D19" s="26"/>
      <c r="E19" s="26"/>
      <c r="F19" s="11"/>
      <c r="G19" s="11"/>
      <c r="H19" s="11"/>
      <c r="I19" s="11"/>
      <c r="J19" s="12"/>
    </row>
  </sheetData>
  <sheetProtection formatColumns="0" formatRows="0" selectLockedCells="1"/>
  <customSheetViews>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5"/>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08A645C4-A23F-4400-B0CE-1685BC312A6F}" showGridLines="0" hiddenRows="1">
      <selection activeCell="B14" sqref="B14:D14"/>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s>
  <mergeCells count="12">
    <mergeCell ref="B15:D15"/>
    <mergeCell ref="B16:D16"/>
    <mergeCell ref="B1:E1"/>
    <mergeCell ref="C4:E4"/>
    <mergeCell ref="C5:E5"/>
    <mergeCell ref="B2:E2"/>
    <mergeCell ref="B3:E3"/>
    <mergeCell ref="B13:D13"/>
    <mergeCell ref="C8:E8"/>
    <mergeCell ref="B11:E11"/>
    <mergeCell ref="C9:E9"/>
    <mergeCell ref="B14:D14"/>
  </mergeCells>
  <phoneticPr fontId="3" type="noConversion"/>
  <hyperlinks>
    <hyperlink ref="D7" location="'BOQ_Kolkata '!A1" display="'BOQ_Kolkata '!A1" xr:uid="{00000000-0004-0000-0100-000000000000}"/>
    <hyperlink ref="E7" location="'BOQ_Guwahati '!A1" display="'BOQ_Guwahati '!A1" xr:uid="{00000000-0004-0000-0100-000001000000}"/>
  </hyperlinks>
  <printOptions horizontalCentered="1"/>
  <pageMargins left="0.15748031496062992" right="0.23622047244094491" top="0.78740157480314965" bottom="0.98425196850393704" header="0.35433070866141736" footer="0.51181102362204722"/>
  <pageSetup paperSize="9" orientation="landscape"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30"/>
  <sheetViews>
    <sheetView showGridLines="0" topLeftCell="A37" zoomScaleNormal="100" workbookViewId="0">
      <selection sqref="A1:C1"/>
    </sheetView>
  </sheetViews>
  <sheetFormatPr defaultRowHeight="16.5"/>
  <cols>
    <col min="1" max="1" width="9.375" style="470" customWidth="1"/>
    <col min="2" max="2" width="9" style="469"/>
    <col min="3" max="3" width="93.125" style="469" customWidth="1"/>
    <col min="4" max="4" width="66.125" style="468" customWidth="1"/>
    <col min="5" max="16384" width="9" style="467"/>
  </cols>
  <sheetData>
    <row r="1" spans="1:11" ht="44.25" customHeight="1">
      <c r="A1" s="771" t="s">
        <v>413</v>
      </c>
      <c r="B1" s="771"/>
      <c r="C1" s="771"/>
      <c r="D1" s="487"/>
      <c r="E1" s="486"/>
      <c r="F1" s="486"/>
      <c r="G1" s="486"/>
      <c r="H1" s="486"/>
      <c r="I1" s="486"/>
      <c r="J1" s="486"/>
      <c r="K1" s="486"/>
    </row>
    <row r="2" spans="1:11" ht="18" customHeight="1">
      <c r="C2" s="481"/>
      <c r="D2" s="485"/>
      <c r="E2" s="484"/>
      <c r="F2" s="484"/>
      <c r="G2" s="484"/>
      <c r="H2" s="484"/>
      <c r="I2" s="484"/>
      <c r="J2" s="484"/>
      <c r="K2" s="484"/>
    </row>
    <row r="3" spans="1:11" ht="18" customHeight="1">
      <c r="A3" s="482" t="s">
        <v>394</v>
      </c>
      <c r="B3" s="481" t="s">
        <v>393</v>
      </c>
      <c r="C3" s="481"/>
      <c r="D3" s="476"/>
      <c r="E3" s="475"/>
      <c r="F3" s="475"/>
      <c r="G3" s="475"/>
      <c r="H3" s="475"/>
      <c r="I3" s="475"/>
      <c r="J3" s="475"/>
      <c r="K3" s="475"/>
    </row>
    <row r="4" spans="1:11" ht="18" customHeight="1">
      <c r="B4" s="483" t="s">
        <v>392</v>
      </c>
      <c r="C4" s="477" t="s">
        <v>391</v>
      </c>
      <c r="D4" s="476"/>
      <c r="E4" s="475"/>
      <c r="F4" s="475"/>
      <c r="G4" s="475"/>
      <c r="H4" s="475"/>
      <c r="I4" s="475"/>
      <c r="J4" s="475"/>
      <c r="K4" s="475"/>
    </row>
    <row r="5" spans="1:11" ht="34.15" customHeight="1">
      <c r="B5" s="483" t="s">
        <v>390</v>
      </c>
      <c r="C5" s="477" t="s">
        <v>389</v>
      </c>
      <c r="D5" s="476"/>
      <c r="E5" s="475"/>
      <c r="F5" s="475"/>
      <c r="G5" s="475"/>
      <c r="H5" s="475"/>
      <c r="I5" s="475"/>
      <c r="J5" s="475"/>
      <c r="K5" s="475"/>
    </row>
    <row r="6" spans="1:11" ht="18" customHeight="1">
      <c r="B6" s="483" t="s">
        <v>388</v>
      </c>
      <c r="C6" s="477" t="s">
        <v>387</v>
      </c>
      <c r="D6" s="476"/>
      <c r="E6" s="475"/>
      <c r="F6" s="475"/>
      <c r="G6" s="475"/>
      <c r="H6" s="475"/>
      <c r="I6" s="475"/>
      <c r="J6" s="475"/>
      <c r="K6" s="475"/>
    </row>
    <row r="7" spans="1:11" ht="18" customHeight="1">
      <c r="B7" s="483" t="s">
        <v>386</v>
      </c>
      <c r="C7" s="477" t="s">
        <v>385</v>
      </c>
      <c r="D7" s="476"/>
      <c r="E7" s="475"/>
      <c r="F7" s="475"/>
      <c r="G7" s="475"/>
      <c r="H7" s="475"/>
      <c r="I7" s="475"/>
      <c r="J7" s="475"/>
      <c r="K7" s="475"/>
    </row>
    <row r="8" spans="1:11" ht="18" customHeight="1">
      <c r="B8" s="483" t="s">
        <v>384</v>
      </c>
      <c r="C8" s="477" t="s">
        <v>383</v>
      </c>
      <c r="D8" s="476"/>
      <c r="E8" s="475"/>
      <c r="F8" s="475"/>
      <c r="G8" s="475"/>
      <c r="H8" s="475"/>
      <c r="I8" s="475"/>
      <c r="J8" s="475"/>
      <c r="K8" s="475"/>
    </row>
    <row r="9" spans="1:11" ht="18" customHeight="1">
      <c r="B9" s="483" t="s">
        <v>382</v>
      </c>
      <c r="C9" s="477" t="s">
        <v>381</v>
      </c>
      <c r="D9" s="476"/>
      <c r="E9" s="475"/>
      <c r="F9" s="475"/>
      <c r="G9" s="475"/>
      <c r="H9" s="475"/>
      <c r="I9" s="475"/>
      <c r="J9" s="475"/>
      <c r="K9" s="475"/>
    </row>
    <row r="10" spans="1:11" ht="18" customHeight="1">
      <c r="B10" s="483"/>
      <c r="C10" s="477"/>
      <c r="D10" s="476"/>
      <c r="E10" s="475"/>
      <c r="F10" s="475"/>
      <c r="G10" s="475"/>
      <c r="H10" s="475"/>
      <c r="I10" s="475"/>
      <c r="J10" s="475"/>
      <c r="K10" s="475"/>
    </row>
    <row r="11" spans="1:11" ht="18" customHeight="1">
      <c r="A11" s="482" t="s">
        <v>380</v>
      </c>
      <c r="B11" s="481" t="s">
        <v>379</v>
      </c>
      <c r="C11" s="481"/>
      <c r="D11" s="476"/>
      <c r="E11" s="475"/>
      <c r="F11" s="475"/>
      <c r="G11" s="475"/>
      <c r="H11" s="475"/>
      <c r="I11" s="475"/>
      <c r="J11" s="475"/>
      <c r="K11" s="475"/>
    </row>
    <row r="12" spans="1:11" ht="18" customHeight="1">
      <c r="B12" s="766" t="s">
        <v>378</v>
      </c>
      <c r="C12" s="766"/>
      <c r="D12" s="479"/>
      <c r="E12" s="475"/>
      <c r="F12" s="475"/>
      <c r="G12" s="475"/>
      <c r="H12" s="475"/>
      <c r="I12" s="475"/>
      <c r="J12" s="475"/>
      <c r="K12" s="475"/>
    </row>
    <row r="13" spans="1:11" ht="18" customHeight="1">
      <c r="B13" s="480"/>
      <c r="C13" s="477" t="s">
        <v>377</v>
      </c>
      <c r="D13" s="476"/>
      <c r="E13" s="475"/>
      <c r="F13" s="475"/>
      <c r="G13" s="475"/>
      <c r="H13" s="475"/>
      <c r="I13" s="475"/>
      <c r="J13" s="475"/>
      <c r="K13" s="475"/>
    </row>
    <row r="14" spans="1:11" ht="18" customHeight="1">
      <c r="B14" s="766" t="s">
        <v>376</v>
      </c>
      <c r="C14" s="766"/>
      <c r="D14" s="479"/>
      <c r="E14" s="475"/>
      <c r="F14" s="475"/>
      <c r="G14" s="475"/>
      <c r="H14" s="475"/>
      <c r="I14" s="475"/>
      <c r="J14" s="475"/>
      <c r="K14" s="475"/>
    </row>
    <row r="15" spans="1:11" ht="22.5" customHeight="1">
      <c r="B15" s="478" t="s">
        <v>371</v>
      </c>
      <c r="C15" s="477" t="s">
        <v>430</v>
      </c>
      <c r="D15" s="476"/>
      <c r="E15" s="475"/>
      <c r="F15" s="475"/>
      <c r="G15" s="475"/>
      <c r="H15" s="475"/>
      <c r="I15" s="475"/>
      <c r="J15" s="475"/>
      <c r="K15" s="475"/>
    </row>
    <row r="16" spans="1:11" ht="18" customHeight="1">
      <c r="B16" s="478" t="s">
        <v>371</v>
      </c>
      <c r="C16" s="477" t="s">
        <v>415</v>
      </c>
      <c r="D16" s="476"/>
      <c r="E16" s="475"/>
      <c r="F16" s="475"/>
      <c r="G16" s="475"/>
      <c r="H16" s="475"/>
      <c r="I16" s="475"/>
      <c r="J16" s="475"/>
      <c r="K16" s="475"/>
    </row>
    <row r="17" spans="2:11" ht="18" customHeight="1">
      <c r="B17" s="478" t="s">
        <v>371</v>
      </c>
      <c r="C17" s="477" t="s">
        <v>375</v>
      </c>
      <c r="D17" s="476"/>
      <c r="E17" s="475"/>
      <c r="F17" s="475"/>
      <c r="G17" s="475"/>
      <c r="H17" s="475"/>
      <c r="I17" s="475"/>
      <c r="J17" s="475"/>
      <c r="K17" s="475"/>
    </row>
    <row r="18" spans="2:11" ht="18" customHeight="1">
      <c r="B18" s="766" t="s">
        <v>526</v>
      </c>
      <c r="C18" s="766"/>
      <c r="D18" s="479"/>
      <c r="E18" s="475"/>
      <c r="F18" s="475"/>
      <c r="G18" s="475"/>
      <c r="H18" s="475"/>
      <c r="I18" s="475"/>
      <c r="J18" s="475"/>
      <c r="K18" s="475"/>
    </row>
    <row r="19" spans="2:11" ht="49.15" customHeight="1">
      <c r="B19" s="478" t="s">
        <v>371</v>
      </c>
      <c r="C19" s="477" t="s">
        <v>472</v>
      </c>
      <c r="D19" s="476"/>
      <c r="E19" s="475"/>
      <c r="F19" s="475"/>
      <c r="G19" s="475"/>
      <c r="H19" s="475"/>
      <c r="I19" s="475"/>
      <c r="J19" s="475"/>
      <c r="K19" s="475"/>
    </row>
    <row r="20" spans="2:11" ht="51" customHeight="1">
      <c r="B20" s="478" t="s">
        <v>371</v>
      </c>
      <c r="C20" s="555" t="s">
        <v>522</v>
      </c>
      <c r="D20" s="479"/>
    </row>
    <row r="21" spans="2:11" ht="39" customHeight="1">
      <c r="B21" s="770" t="s">
        <v>527</v>
      </c>
      <c r="C21" s="770"/>
      <c r="D21" s="627"/>
      <c r="E21" s="475"/>
      <c r="F21" s="475"/>
      <c r="G21" s="475"/>
      <c r="H21" s="475"/>
      <c r="I21" s="475"/>
      <c r="J21" s="475"/>
      <c r="K21" s="475"/>
    </row>
    <row r="22" spans="2:11" ht="21.75" customHeight="1">
      <c r="B22" s="478"/>
      <c r="C22" s="477" t="s">
        <v>517</v>
      </c>
      <c r="D22" s="476"/>
      <c r="E22" s="475"/>
      <c r="F22" s="475"/>
      <c r="G22" s="475"/>
      <c r="H22" s="475"/>
      <c r="I22" s="475"/>
      <c r="J22" s="475"/>
      <c r="K22" s="475"/>
    </row>
    <row r="23" spans="2:11" ht="37.5" customHeight="1">
      <c r="B23" s="770" t="s">
        <v>515</v>
      </c>
      <c r="C23" s="770"/>
      <c r="D23" s="479"/>
    </row>
    <row r="24" spans="2:11" ht="51.6" customHeight="1">
      <c r="B24" s="478" t="s">
        <v>371</v>
      </c>
      <c r="C24" s="477" t="s">
        <v>472</v>
      </c>
      <c r="D24" s="479"/>
    </row>
    <row r="25" spans="2:11" ht="51" customHeight="1">
      <c r="B25" s="478" t="s">
        <v>371</v>
      </c>
      <c r="C25" s="555" t="s">
        <v>524</v>
      </c>
      <c r="D25" s="479"/>
    </row>
    <row r="26" spans="2:11" ht="36" customHeight="1">
      <c r="B26" s="478" t="s">
        <v>371</v>
      </c>
      <c r="C26" s="477" t="s">
        <v>374</v>
      </c>
      <c r="D26" s="476"/>
      <c r="E26" s="475"/>
      <c r="F26" s="475"/>
      <c r="G26" s="475"/>
      <c r="H26" s="475"/>
      <c r="I26" s="475"/>
      <c r="J26" s="475"/>
      <c r="K26" s="475"/>
    </row>
    <row r="27" spans="2:11" ht="18" customHeight="1">
      <c r="B27" s="766" t="s">
        <v>528</v>
      </c>
      <c r="C27" s="766"/>
      <c r="D27" s="479"/>
    </row>
    <row r="28" spans="2:11" ht="42" customHeight="1">
      <c r="B28" s="478" t="s">
        <v>371</v>
      </c>
      <c r="C28" s="477" t="s">
        <v>448</v>
      </c>
      <c r="D28" s="476"/>
      <c r="E28" s="475"/>
      <c r="F28" s="475"/>
      <c r="G28" s="475"/>
      <c r="H28" s="475"/>
      <c r="I28" s="475"/>
      <c r="J28" s="475"/>
      <c r="K28" s="475"/>
    </row>
    <row r="29" spans="2:11">
      <c r="B29" s="766" t="s">
        <v>468</v>
      </c>
      <c r="C29" s="766"/>
      <c r="D29" s="476"/>
      <c r="E29" s="475"/>
      <c r="F29" s="475"/>
      <c r="G29" s="475"/>
      <c r="H29" s="475"/>
      <c r="I29" s="475"/>
      <c r="J29" s="475"/>
      <c r="K29" s="475"/>
    </row>
    <row r="30" spans="2:11" ht="25.15" customHeight="1">
      <c r="B30" s="478" t="s">
        <v>371</v>
      </c>
      <c r="C30" s="477" t="s">
        <v>469</v>
      </c>
      <c r="D30" s="476"/>
      <c r="E30" s="475"/>
      <c r="F30" s="475"/>
      <c r="G30" s="475"/>
      <c r="H30" s="475"/>
      <c r="I30" s="475"/>
      <c r="J30" s="475"/>
      <c r="K30" s="475"/>
    </row>
    <row r="31" spans="2:11" ht="25.15" customHeight="1">
      <c r="B31" s="478" t="s">
        <v>371</v>
      </c>
      <c r="C31" s="477" t="s">
        <v>473</v>
      </c>
      <c r="D31" s="476"/>
      <c r="E31" s="475"/>
      <c r="F31" s="475"/>
      <c r="G31" s="475"/>
      <c r="H31" s="475"/>
      <c r="I31" s="475"/>
      <c r="J31" s="475"/>
      <c r="K31" s="475"/>
    </row>
    <row r="32" spans="2:11" ht="18" customHeight="1">
      <c r="B32" s="766" t="s">
        <v>470</v>
      </c>
      <c r="C32" s="766"/>
    </row>
    <row r="33" spans="1:11" ht="24" customHeight="1">
      <c r="B33" s="478" t="s">
        <v>371</v>
      </c>
      <c r="C33" s="477" t="s">
        <v>374</v>
      </c>
    </row>
    <row r="34" spans="1:11" ht="40.5" customHeight="1">
      <c r="B34" s="478" t="s">
        <v>371</v>
      </c>
      <c r="C34" s="477" t="s">
        <v>449</v>
      </c>
    </row>
    <row r="35" spans="1:11" ht="18" customHeight="1">
      <c r="B35" s="766" t="s">
        <v>529</v>
      </c>
      <c r="C35" s="766"/>
    </row>
    <row r="36" spans="1:11" ht="32.25" customHeight="1">
      <c r="B36" s="550" t="s">
        <v>371</v>
      </c>
      <c r="C36" s="476" t="s">
        <v>518</v>
      </c>
    </row>
    <row r="37" spans="1:11" ht="18" customHeight="1">
      <c r="B37" s="766" t="s">
        <v>373</v>
      </c>
      <c r="C37" s="766"/>
    </row>
    <row r="38" spans="1:11" ht="18" customHeight="1">
      <c r="B38" s="478" t="s">
        <v>371</v>
      </c>
      <c r="C38" s="477" t="s">
        <v>372</v>
      </c>
      <c r="D38" s="476"/>
      <c r="E38" s="475"/>
      <c r="F38" s="475"/>
      <c r="G38" s="475"/>
      <c r="H38" s="475"/>
      <c r="I38" s="475"/>
      <c r="J38" s="475"/>
      <c r="K38" s="475"/>
    </row>
    <row r="39" spans="1:11" ht="18" customHeight="1">
      <c r="B39" s="478" t="s">
        <v>371</v>
      </c>
      <c r="C39" s="477" t="s">
        <v>416</v>
      </c>
      <c r="D39" s="476"/>
      <c r="E39" s="475"/>
      <c r="F39" s="475"/>
      <c r="G39" s="475"/>
      <c r="H39" s="475"/>
      <c r="I39" s="475"/>
      <c r="J39" s="475"/>
      <c r="K39" s="475"/>
    </row>
    <row r="40" spans="1:11" ht="22.5" customHeight="1">
      <c r="B40" s="478" t="s">
        <v>371</v>
      </c>
      <c r="C40" s="477" t="s">
        <v>395</v>
      </c>
      <c r="D40" s="476"/>
      <c r="E40" s="475"/>
      <c r="F40" s="475"/>
      <c r="G40" s="475"/>
      <c r="H40" s="475"/>
      <c r="I40" s="475"/>
      <c r="J40" s="475"/>
      <c r="K40" s="475"/>
    </row>
    <row r="41" spans="1:11" ht="18" customHeight="1">
      <c r="B41" s="478" t="s">
        <v>371</v>
      </c>
      <c r="C41" s="477" t="s">
        <v>370</v>
      </c>
      <c r="D41" s="476"/>
      <c r="E41" s="475"/>
      <c r="F41" s="475"/>
      <c r="G41" s="475"/>
      <c r="H41" s="475"/>
      <c r="I41" s="475"/>
      <c r="J41" s="475"/>
      <c r="K41" s="475"/>
    </row>
    <row r="42" spans="1:11" ht="18" customHeight="1">
      <c r="A42" s="469"/>
      <c r="C42" s="471"/>
    </row>
    <row r="43" spans="1:11" ht="18" customHeight="1">
      <c r="A43" s="767"/>
      <c r="B43" s="767"/>
      <c r="C43" s="767"/>
      <c r="D43" s="474"/>
    </row>
    <row r="44" spans="1:11" ht="18" customHeight="1">
      <c r="A44" s="768" t="s">
        <v>369</v>
      </c>
      <c r="B44" s="768"/>
      <c r="C44" s="768"/>
      <c r="D44" s="474"/>
    </row>
    <row r="45" spans="1:11" ht="36" customHeight="1">
      <c r="A45" s="769" t="s">
        <v>368</v>
      </c>
      <c r="B45" s="769"/>
      <c r="C45" s="769"/>
    </row>
    <row r="46" spans="1:11" ht="18" customHeight="1">
      <c r="B46" s="473"/>
      <c r="C46" s="473"/>
    </row>
    <row r="47" spans="1:11" ht="18" customHeight="1">
      <c r="C47" s="472"/>
    </row>
    <row r="48" spans="1:11" ht="18" customHeight="1">
      <c r="C48" s="471"/>
    </row>
    <row r="49" spans="2:3" ht="18" customHeight="1">
      <c r="C49" s="472"/>
    </row>
    <row r="50" spans="2:3" ht="18" customHeight="1">
      <c r="B50" s="471"/>
      <c r="C50" s="471"/>
    </row>
    <row r="51" spans="2:3" ht="18" customHeight="1">
      <c r="B51" s="471"/>
      <c r="C51" s="471"/>
    </row>
    <row r="52" spans="2:3" ht="18" customHeight="1">
      <c r="B52" s="471"/>
      <c r="C52" s="471"/>
    </row>
    <row r="53" spans="2:3" ht="18" customHeight="1">
      <c r="B53" s="471"/>
      <c r="C53" s="471"/>
    </row>
    <row r="54" spans="2:3" ht="18" customHeight="1">
      <c r="B54" s="471"/>
      <c r="C54" s="471"/>
    </row>
    <row r="55" spans="2:3" ht="18" customHeight="1">
      <c r="B55" s="471"/>
      <c r="C55" s="471"/>
    </row>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sheetData>
  <sheetProtection password="CA92" sheet="1" formatColumns="0" formatRows="0" selectLockedCells="1"/>
  <customSheetViews>
    <customSheetView guid="{08A645C4-A23F-4400-B0CE-1685BC312A6F}" showGridLines="0" printArea="1" hiddenRows="1">
      <selection activeCell="A62" sqref="A62:C62"/>
      <pageMargins left="0.75" right="0.75" top="0.55000000000000004" bottom="0.47" header="0.32" footer="0.25"/>
      <pageSetup orientation="portrait" r:id="rId1"/>
      <headerFooter alignWithMargins="0">
        <oddFooter>&amp;RPage &amp;P of &amp;N</oddFooter>
      </headerFooter>
    </customSheetView>
  </customSheetViews>
  <mergeCells count="14">
    <mergeCell ref="B21:C21"/>
    <mergeCell ref="B23:C23"/>
    <mergeCell ref="B35:C35"/>
    <mergeCell ref="A1:C1"/>
    <mergeCell ref="B12:C12"/>
    <mergeCell ref="B14:C14"/>
    <mergeCell ref="B18:C18"/>
    <mergeCell ref="B27:C27"/>
    <mergeCell ref="B32:C32"/>
    <mergeCell ref="B37:C37"/>
    <mergeCell ref="A43:C43"/>
    <mergeCell ref="A44:C44"/>
    <mergeCell ref="B29:C29"/>
    <mergeCell ref="A45:C45"/>
  </mergeCells>
  <phoneticPr fontId="30" type="noConversion"/>
  <pageMargins left="0.75" right="0.75" top="0.55000000000000004" bottom="0.47" header="0.32" footer="0.25"/>
  <pageSetup scale="85" orientation="portrait" r:id="rId2"/>
  <headerFooter alignWithMargins="0">
    <oddFooter>&amp;RPage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C22"/>
  <sheetViews>
    <sheetView showGridLines="0" zoomScaleNormal="100" zoomScaleSheetLayoutView="100" workbookViewId="0">
      <selection activeCell="D20" sqref="D20"/>
    </sheetView>
  </sheetViews>
  <sheetFormatPr defaultColWidth="8" defaultRowHeight="16.5"/>
  <cols>
    <col min="1" max="1" width="8" style="178" customWidth="1"/>
    <col min="2" max="2" width="28.875" style="182" customWidth="1"/>
    <col min="3" max="3" width="10.25" style="182" customWidth="1"/>
    <col min="4" max="4" width="50.75" style="182" customWidth="1"/>
    <col min="5" max="5" width="10.375" style="182" customWidth="1"/>
    <col min="6" max="25" width="10.375" style="187" customWidth="1"/>
    <col min="26" max="26" width="8" style="178" customWidth="1"/>
    <col min="27" max="27" width="12.125" style="231" customWidth="1"/>
    <col min="28" max="16384" width="8" style="178"/>
  </cols>
  <sheetData>
    <row r="1" spans="2:29" s="185" customFormat="1" ht="92.25" customHeight="1">
      <c r="B1" s="773"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C1" s="773"/>
      <c r="D1" s="773"/>
      <c r="E1" s="179"/>
      <c r="F1" s="212"/>
      <c r="G1" s="180"/>
      <c r="H1" s="180"/>
      <c r="I1" s="180"/>
      <c r="J1" s="180"/>
      <c r="K1" s="180"/>
      <c r="L1" s="180"/>
      <c r="M1" s="180"/>
      <c r="N1" s="180"/>
      <c r="O1" s="180"/>
      <c r="P1" s="180"/>
      <c r="Q1" s="180"/>
      <c r="R1" s="180"/>
      <c r="S1" s="180"/>
      <c r="T1" s="180"/>
      <c r="U1" s="180"/>
      <c r="V1" s="180"/>
      <c r="W1" s="180"/>
      <c r="X1" s="180"/>
      <c r="Y1" s="180"/>
      <c r="AA1" s="230"/>
      <c r="AB1" s="216"/>
      <c r="AC1" s="216"/>
    </row>
    <row r="2" spans="2:29" ht="31.5" customHeight="1">
      <c r="B2" s="774" t="str">
        <f>Cover!B3</f>
        <v xml:space="preserve">Specification No.: WRTCC/CS/20-21/AMC-LMC/B1 </v>
      </c>
      <c r="C2" s="774"/>
      <c r="D2" s="774"/>
      <c r="E2" s="181"/>
      <c r="F2" s="182"/>
      <c r="G2" s="182"/>
      <c r="H2" s="182"/>
      <c r="I2" s="182"/>
      <c r="J2" s="182"/>
      <c r="K2" s="182"/>
      <c r="L2" s="182"/>
      <c r="M2" s="182"/>
      <c r="N2" s="182"/>
      <c r="O2" s="182"/>
      <c r="P2" s="182"/>
      <c r="Q2" s="182"/>
      <c r="R2" s="182"/>
      <c r="S2" s="182"/>
      <c r="T2" s="182"/>
      <c r="U2" s="182"/>
      <c r="V2" s="182"/>
      <c r="W2" s="182"/>
      <c r="X2" s="182"/>
      <c r="Y2" s="182"/>
      <c r="AA2" s="446" t="s">
        <v>404</v>
      </c>
      <c r="AB2" s="218">
        <v>1</v>
      </c>
      <c r="AC2" s="217"/>
    </row>
    <row r="3" spans="2:29" ht="12" customHeight="1">
      <c r="B3" s="183"/>
      <c r="C3" s="183"/>
      <c r="D3" s="183"/>
      <c r="E3" s="183"/>
      <c r="F3" s="182"/>
      <c r="G3" s="182"/>
      <c r="H3" s="182"/>
      <c r="I3" s="182"/>
      <c r="J3" s="182"/>
      <c r="K3" s="182"/>
      <c r="L3" s="182"/>
      <c r="M3" s="182"/>
      <c r="N3" s="182"/>
      <c r="O3" s="182"/>
      <c r="P3" s="182"/>
      <c r="Q3" s="182"/>
      <c r="R3" s="182"/>
      <c r="S3" s="182"/>
      <c r="T3" s="182"/>
      <c r="U3" s="182"/>
      <c r="V3" s="182"/>
      <c r="W3" s="182"/>
      <c r="X3" s="182"/>
      <c r="Y3" s="182"/>
      <c r="AA3" s="446" t="s">
        <v>405</v>
      </c>
      <c r="AB3" s="218">
        <v>2</v>
      </c>
      <c r="AC3" s="217"/>
    </row>
    <row r="4" spans="2:29" ht="20.100000000000001" customHeight="1">
      <c r="B4" s="772" t="s">
        <v>134</v>
      </c>
      <c r="C4" s="772"/>
      <c r="D4" s="772"/>
      <c r="E4" s="183"/>
      <c r="F4" s="182"/>
      <c r="G4" s="182"/>
      <c r="H4" s="182"/>
      <c r="I4" s="182"/>
      <c r="J4" s="182"/>
      <c r="K4" s="182"/>
      <c r="L4" s="182"/>
      <c r="M4" s="182"/>
      <c r="N4" s="182"/>
      <c r="O4" s="182"/>
      <c r="P4" s="182"/>
      <c r="Q4" s="182"/>
      <c r="R4" s="182"/>
      <c r="S4" s="182"/>
      <c r="T4" s="182"/>
      <c r="U4" s="182"/>
      <c r="V4" s="182"/>
      <c r="W4" s="182"/>
      <c r="X4" s="182"/>
      <c r="Y4" s="182"/>
      <c r="AA4" s="446" t="s">
        <v>406</v>
      </c>
      <c r="AB4" s="218"/>
      <c r="AC4" s="217"/>
    </row>
    <row r="5" spans="2:29" ht="26.25" customHeight="1">
      <c r="B5" s="184"/>
      <c r="C5" s="184"/>
      <c r="F5" s="182"/>
      <c r="G5" s="182"/>
      <c r="H5" s="182"/>
      <c r="I5" s="182"/>
      <c r="J5" s="182"/>
      <c r="K5" s="182"/>
      <c r="L5" s="182"/>
      <c r="M5" s="182"/>
      <c r="N5" s="182"/>
      <c r="O5" s="182"/>
      <c r="P5" s="182"/>
      <c r="Q5" s="182"/>
      <c r="R5" s="182"/>
      <c r="S5" s="182"/>
      <c r="T5" s="182"/>
      <c r="U5" s="182"/>
      <c r="V5" s="182"/>
      <c r="W5" s="182"/>
      <c r="X5" s="182"/>
      <c r="Y5" s="182"/>
      <c r="AA5" s="446"/>
      <c r="AB5" s="217"/>
      <c r="AC5" s="217"/>
    </row>
    <row r="6" spans="2:29" s="185" customFormat="1" ht="43.5" customHeight="1">
      <c r="B6" s="775" t="s">
        <v>452</v>
      </c>
      <c r="C6" s="776"/>
      <c r="D6" s="505"/>
      <c r="F6" s="186"/>
      <c r="G6" s="539"/>
      <c r="H6" s="539"/>
      <c r="I6" s="186"/>
      <c r="J6" s="186"/>
      <c r="K6" s="186"/>
      <c r="L6" s="186"/>
      <c r="M6" s="186"/>
      <c r="N6" s="186"/>
      <c r="O6" s="186"/>
      <c r="P6" s="186"/>
      <c r="Q6" s="186"/>
      <c r="R6" s="186"/>
      <c r="S6" s="186"/>
      <c r="U6" s="186"/>
      <c r="V6" s="186"/>
      <c r="W6" s="186"/>
      <c r="X6" s="186"/>
      <c r="Y6" s="186"/>
      <c r="AA6" s="232" t="e">
        <f xml:space="preserve"> IF(D6= "Sole Bidder", 0,#REF!)</f>
        <v>#REF!</v>
      </c>
      <c r="AB6" s="216"/>
      <c r="AC6" s="216"/>
    </row>
    <row r="7" spans="2:29" ht="19.5" customHeight="1">
      <c r="B7" s="188"/>
      <c r="C7" s="188"/>
      <c r="D7" s="186"/>
      <c r="G7" s="540"/>
      <c r="H7" s="540" t="s">
        <v>428</v>
      </c>
    </row>
    <row r="8" spans="2:29">
      <c r="B8" s="189" t="s">
        <v>407</v>
      </c>
      <c r="C8" s="190"/>
      <c r="D8" s="351"/>
      <c r="G8" s="540"/>
      <c r="H8" s="540" t="s">
        <v>427</v>
      </c>
    </row>
    <row r="9" spans="2:29">
      <c r="B9" s="191" t="s">
        <v>153</v>
      </c>
      <c r="C9" s="192"/>
      <c r="D9" s="351"/>
      <c r="G9" s="540"/>
      <c r="H9" s="540" t="s">
        <v>429</v>
      </c>
    </row>
    <row r="10" spans="2:29">
      <c r="B10" s="193"/>
      <c r="C10" s="194"/>
      <c r="D10" s="351"/>
      <c r="G10" s="540"/>
      <c r="H10" s="540"/>
    </row>
    <row r="11" spans="2:29">
      <c r="B11" s="195"/>
      <c r="C11" s="196"/>
      <c r="D11" s="505"/>
    </row>
    <row r="12" spans="2:29" ht="15" customHeight="1">
      <c r="D12" s="188"/>
    </row>
    <row r="13" spans="2:29">
      <c r="B13" s="513" t="s">
        <v>414</v>
      </c>
      <c r="C13" s="488"/>
      <c r="D13" s="351"/>
    </row>
    <row r="14" spans="2:29">
      <c r="B14" s="489"/>
      <c r="C14" s="490"/>
      <c r="D14" s="351"/>
    </row>
    <row r="15" spans="2:29">
      <c r="B15" s="503"/>
      <c r="C15" s="504"/>
      <c r="D15" s="505"/>
    </row>
    <row r="16" spans="2:29">
      <c r="D16" s="188"/>
    </row>
    <row r="17" spans="2:5">
      <c r="B17" s="197" t="s">
        <v>135</v>
      </c>
      <c r="C17" s="198"/>
      <c r="D17" s="351"/>
    </row>
    <row r="18" spans="2:5">
      <c r="B18" s="197" t="s">
        <v>136</v>
      </c>
      <c r="C18" s="198"/>
      <c r="D18" s="505"/>
    </row>
    <row r="19" spans="2:5" ht="21" customHeight="1">
      <c r="B19" s="199"/>
      <c r="C19" s="199"/>
      <c r="D19" s="200"/>
    </row>
    <row r="20" spans="2:5" ht="21" customHeight="1">
      <c r="B20" s="197" t="s">
        <v>137</v>
      </c>
      <c r="C20" s="198"/>
      <c r="D20" s="514"/>
      <c r="E20" s="187"/>
    </row>
    <row r="21" spans="2:5" ht="21" customHeight="1">
      <c r="B21" s="197" t="s">
        <v>138</v>
      </c>
      <c r="C21" s="198"/>
      <c r="D21" s="505"/>
      <c r="E21" s="187"/>
    </row>
    <row r="22" spans="2:5">
      <c r="E22" s="187"/>
    </row>
  </sheetData>
  <sheetProtection password="CB12" sheet="1" formatColumns="0" formatRows="0" selectLockedCells="1"/>
  <customSheetViews>
    <customSheetView guid="{9CA44E70-650F-49CD-967F-298619682CA2}" showGridLines="0" topLeftCell="A7">
      <selection activeCell="D11" sqref="D11"/>
      <pageMargins left="0.75" right="0.75" top="0.69" bottom="0.7" header="0.4" footer="0.37"/>
      <pageSetup orientation="portrait" r:id="rId1"/>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2"/>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3"/>
      <headerFooter alignWithMargins="0"/>
    </customSheetView>
    <customSheetView guid="{58D82F59-8CF6-455F-B9F4-081499FDF243}" showGridLines="0">
      <selection activeCell="D9" sqref="D9"/>
      <pageMargins left="0.75" right="0.75" top="0.69" bottom="0.7" header="0.4" footer="0.37"/>
      <pageSetup orientation="portrait" r:id="rId4"/>
      <headerFooter alignWithMargins="0"/>
    </customSheetView>
    <customSheetView guid="{696D9240-6693-44E8-B9A4-2BFADD101EE2}" showGridLines="0">
      <selection activeCell="D6" sqref="D6"/>
      <pageMargins left="0.75" right="0.75" top="0.69" bottom="0.7" header="0.4" footer="0.37"/>
      <pageSetup orientation="portrait" r:id="rId5"/>
      <headerFooter alignWithMargins="0"/>
    </customSheetView>
    <customSheetView guid="{B0EE7D76-5806-4718-BDAD-3A3EA691E5E4}" showGridLines="0" topLeftCell="A4">
      <selection activeCell="D22" sqref="D22"/>
      <pageMargins left="0.75" right="0.75" top="0.69" bottom="0.7" header="0.4" footer="0.37"/>
      <pageSetup orientation="portrait" r:id="rId6"/>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7"/>
      <headerFooter alignWithMargins="0"/>
    </customSheetView>
    <customSheetView guid="{08A645C4-A23F-4400-B0CE-1685BC312A6F}" showGridLines="0" printArea="1" hiddenColumns="1" topLeftCell="A4">
      <selection activeCell="D6" sqref="D6"/>
      <pageMargins left="0.75" right="0.75" top="0.69" bottom="0.7" header="0.4" footer="0.37"/>
      <pageSetup orientation="portrait" r:id="rId8"/>
      <headerFooter alignWithMargins="0"/>
    </customSheetView>
  </customSheetViews>
  <mergeCells count="4">
    <mergeCell ref="B4:D4"/>
    <mergeCell ref="B1:D1"/>
    <mergeCell ref="B2:D2"/>
    <mergeCell ref="B6:C6"/>
  </mergeCells>
  <phoneticPr fontId="34" type="noConversion"/>
  <conditionalFormatting sqref="D7">
    <cfRule type="expression" dxfId="2" priority="4" stopIfTrue="1">
      <formula>$AA$6=0</formula>
    </cfRule>
  </conditionalFormatting>
  <conditionalFormatting sqref="B14:C15 C13">
    <cfRule type="expression" dxfId="1" priority="5" stopIfTrue="1">
      <formula>$D$6= "Individual Firm"</formula>
    </cfRule>
  </conditionalFormatting>
  <conditionalFormatting sqref="D13:D15">
    <cfRule type="expression" dxfId="0" priority="2" stopIfTrue="1">
      <formula>$D$6= "Individual Firm"</formula>
    </cfRule>
  </conditionalFormatting>
  <dataValidations count="1">
    <dataValidation type="date" allowBlank="1" showInputMessage="1" showErrorMessage="1" error="Enter date in dd-mmm-yy format. Example 01-oct-10" sqref="D20" xr:uid="{00000000-0002-0000-0300-000000000000}">
      <formula1>AB16</formula1>
      <formula2>AB17</formula2>
    </dataValidation>
  </dataValidations>
  <pageMargins left="0.75" right="0.75" top="0.69" bottom="0.7" header="0.4" footer="0.37"/>
  <pageSetup orientation="portrait" r:id="rId9"/>
  <headerFooter alignWithMargins="0"/>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sheetPr>
  <dimension ref="A1:AB33"/>
  <sheetViews>
    <sheetView view="pageBreakPreview" topLeftCell="A6" zoomScale="70" zoomScaleNormal="87" zoomScaleSheetLayoutView="70" workbookViewId="0">
      <selection activeCell="L7" sqref="L7:O11"/>
    </sheetView>
  </sheetViews>
  <sheetFormatPr defaultRowHeight="16.5"/>
  <cols>
    <col min="1" max="1" width="10.625" style="90" customWidth="1"/>
    <col min="2" max="2" width="34.625" style="91" customWidth="1"/>
    <col min="3" max="3" width="30.75" style="91" customWidth="1"/>
    <col min="4" max="4" width="13.875" style="90" customWidth="1"/>
    <col min="5" max="5" width="13" style="90" customWidth="1"/>
    <col min="6" max="6" width="14.875" style="90" bestFit="1" customWidth="1"/>
    <col min="7" max="7" width="18" style="90" customWidth="1"/>
    <col min="8" max="8" width="17.25" style="90" customWidth="1"/>
    <col min="9" max="9" width="14.125" style="90" customWidth="1"/>
    <col min="10" max="10" width="21" style="90" customWidth="1"/>
    <col min="11" max="11" width="20" style="90" customWidth="1"/>
    <col min="12" max="12" width="16.75" style="507" customWidth="1"/>
    <col min="13" max="14" width="18.5" style="507" customWidth="1"/>
    <col min="15" max="15" width="19.875" style="79" customWidth="1"/>
    <col min="16" max="16" width="10.5" style="79" bestFit="1" customWidth="1"/>
    <col min="17" max="17" width="9" style="225"/>
    <col min="18" max="19" width="17.625" style="225" customWidth="1"/>
    <col min="20" max="22" width="9" style="225"/>
    <col min="23" max="16384" width="9" style="79"/>
  </cols>
  <sheetData>
    <row r="1" spans="1:19" ht="18" customHeight="1">
      <c r="A1" s="81" t="str">
        <f>Cover!B3</f>
        <v xml:space="preserve">Specification No.: WRTCC/CS/20-21/AMC-LMC/B1 </v>
      </c>
      <c r="B1" s="82"/>
      <c r="C1" s="82"/>
      <c r="D1" s="83"/>
      <c r="E1" s="83"/>
      <c r="F1" s="83"/>
      <c r="G1" s="83"/>
      <c r="H1" s="83"/>
      <c r="I1" s="83"/>
      <c r="J1" s="83"/>
      <c r="K1" s="83"/>
      <c r="L1" s="551"/>
      <c r="M1" s="551"/>
      <c r="N1" s="551"/>
      <c r="O1" s="85" t="s">
        <v>223</v>
      </c>
    </row>
    <row r="2" spans="1:19" ht="18" customHeight="1">
      <c r="A2" s="67"/>
      <c r="B2" s="87"/>
      <c r="C2" s="87"/>
      <c r="D2" s="88"/>
      <c r="E2" s="88"/>
      <c r="F2" s="88"/>
      <c r="G2" s="88"/>
      <c r="H2" s="88"/>
      <c r="I2" s="88"/>
      <c r="J2" s="88"/>
      <c r="K2" s="88"/>
    </row>
    <row r="3" spans="1:19" ht="54" customHeight="1">
      <c r="A3" s="785"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785"/>
      <c r="C3" s="785"/>
      <c r="D3" s="785"/>
      <c r="E3" s="785"/>
      <c r="F3" s="785"/>
      <c r="G3" s="785"/>
      <c r="H3" s="785"/>
      <c r="I3" s="785"/>
      <c r="J3" s="785"/>
      <c r="K3" s="785"/>
      <c r="L3" s="785"/>
      <c r="M3" s="785"/>
      <c r="N3" s="785"/>
      <c r="O3" s="785"/>
      <c r="Q3" s="233"/>
      <c r="S3" s="234"/>
    </row>
    <row r="4" spans="1:19" ht="22.15" customHeight="1">
      <c r="A4" s="741" t="s">
        <v>537</v>
      </c>
      <c r="B4" s="741"/>
      <c r="C4" s="741"/>
      <c r="D4" s="741"/>
      <c r="E4" s="741"/>
      <c r="F4" s="741"/>
      <c r="G4" s="741"/>
      <c r="H4" s="741"/>
      <c r="I4" s="741"/>
      <c r="J4" s="741"/>
      <c r="K4" s="741"/>
      <c r="L4" s="741"/>
      <c r="M4" s="741"/>
      <c r="N4" s="741"/>
      <c r="O4" s="741"/>
      <c r="Q4" s="233"/>
      <c r="S4" s="235"/>
    </row>
    <row r="5" spans="1:19" ht="18" customHeight="1">
      <c r="Q5" s="233"/>
      <c r="S5" s="235"/>
    </row>
    <row r="6" spans="1:19" ht="21.6" customHeight="1">
      <c r="A6" s="29" t="s">
        <v>535</v>
      </c>
      <c r="B6" s="30"/>
      <c r="C6" s="30"/>
      <c r="D6" s="30"/>
      <c r="H6" s="63"/>
      <c r="I6" s="63"/>
      <c r="J6" s="63"/>
      <c r="K6" s="63"/>
      <c r="L6" s="63" t="s">
        <v>198</v>
      </c>
      <c r="M6" s="63"/>
      <c r="N6" s="63"/>
      <c r="O6" s="63"/>
      <c r="Q6" s="233"/>
      <c r="S6" s="235"/>
    </row>
    <row r="7" spans="1:19" ht="21.6" customHeight="1">
      <c r="A7" s="29" t="s">
        <v>536</v>
      </c>
      <c r="H7" s="506"/>
      <c r="I7" s="506"/>
      <c r="J7" s="506"/>
      <c r="K7" s="506"/>
      <c r="L7" s="791" t="s">
        <v>652</v>
      </c>
      <c r="M7" s="791"/>
      <c r="N7" s="791"/>
      <c r="O7" s="791"/>
      <c r="Q7" s="233"/>
      <c r="S7" s="235"/>
    </row>
    <row r="8" spans="1:19" ht="21.6" customHeight="1">
      <c r="A8" s="68" t="s">
        <v>199</v>
      </c>
      <c r="B8" s="516">
        <f>'Names of Bidder'!D8</f>
        <v>0</v>
      </c>
      <c r="C8" s="516"/>
      <c r="D8" s="516"/>
      <c r="H8" s="506"/>
      <c r="I8" s="506"/>
      <c r="J8" s="506"/>
      <c r="K8" s="506"/>
      <c r="L8" s="791"/>
      <c r="M8" s="791"/>
      <c r="N8" s="791"/>
      <c r="O8" s="791"/>
      <c r="Q8" s="233"/>
      <c r="S8" s="235"/>
    </row>
    <row r="9" spans="1:19" ht="21.6" customHeight="1">
      <c r="A9" s="68" t="s">
        <v>201</v>
      </c>
      <c r="B9" s="516">
        <f>'Names of Bidder'!D9</f>
        <v>0</v>
      </c>
      <c r="C9" s="516"/>
      <c r="D9" s="516"/>
      <c r="H9" s="506"/>
      <c r="I9" s="506"/>
      <c r="J9" s="506"/>
      <c r="K9" s="506"/>
      <c r="L9" s="791"/>
      <c r="M9" s="791"/>
      <c r="N9" s="791"/>
      <c r="O9" s="791"/>
      <c r="Q9" s="233"/>
      <c r="S9" s="234"/>
    </row>
    <row r="10" spans="1:19" ht="21.6" customHeight="1">
      <c r="A10" s="68"/>
      <c r="B10" s="516">
        <f>'Names of Bidder'!D10</f>
        <v>0</v>
      </c>
      <c r="C10" s="516"/>
      <c r="D10" s="516"/>
      <c r="H10" s="506"/>
      <c r="I10" s="506"/>
      <c r="J10" s="506"/>
      <c r="K10" s="506"/>
      <c r="L10" s="791"/>
      <c r="M10" s="791"/>
      <c r="N10" s="791"/>
      <c r="O10" s="791"/>
      <c r="Q10" s="233"/>
      <c r="S10" s="234"/>
    </row>
    <row r="11" spans="1:19" ht="21.6" customHeight="1">
      <c r="A11" s="68"/>
      <c r="B11" s="516">
        <f>'Names of Bidder'!D11</f>
        <v>0</v>
      </c>
      <c r="C11" s="516"/>
      <c r="D11" s="516"/>
      <c r="H11" s="506"/>
      <c r="I11" s="506"/>
      <c r="J11" s="506"/>
      <c r="K11" s="506"/>
      <c r="L11" s="791"/>
      <c r="M11" s="791"/>
      <c r="N11" s="791"/>
      <c r="O11" s="791"/>
      <c r="Q11" s="233"/>
      <c r="S11" s="234"/>
    </row>
    <row r="12" spans="1:19">
      <c r="A12" s="70"/>
      <c r="B12" s="516" t="str">
        <f ca="1">IF('Sch-1'!B12=0, "", 'Sch-1'!B12)</f>
        <v/>
      </c>
      <c r="C12" s="516"/>
      <c r="D12" s="516"/>
      <c r="H12" s="506"/>
      <c r="I12" s="506"/>
      <c r="J12" s="506"/>
      <c r="K12" s="506"/>
      <c r="L12" s="506"/>
      <c r="M12" s="506"/>
      <c r="N12" s="506"/>
      <c r="O12" s="506"/>
    </row>
    <row r="13" spans="1:19" ht="18.600000000000001" customHeight="1">
      <c r="A13" s="70"/>
      <c r="B13" s="99"/>
      <c r="C13" s="99"/>
      <c r="D13" s="99"/>
      <c r="E13" s="99"/>
      <c r="F13" s="99"/>
      <c r="G13" s="99"/>
      <c r="H13" s="99"/>
      <c r="I13" s="99"/>
      <c r="J13" s="99"/>
      <c r="K13" s="99"/>
    </row>
    <row r="14" spans="1:19" s="681" customFormat="1" ht="18" customHeight="1">
      <c r="A14" s="782" t="s">
        <v>508</v>
      </c>
      <c r="B14" s="782"/>
      <c r="C14" s="782"/>
      <c r="D14" s="782"/>
      <c r="E14" s="782"/>
      <c r="F14" s="782"/>
      <c r="G14" s="782"/>
      <c r="H14" s="782"/>
      <c r="I14" s="782"/>
      <c r="J14" s="782"/>
      <c r="K14" s="782"/>
      <c r="L14" s="782"/>
      <c r="M14" s="782"/>
      <c r="N14" s="782"/>
      <c r="O14" s="782"/>
    </row>
    <row r="15" spans="1:19" s="681" customFormat="1" thickBot="1">
      <c r="A15" s="786" t="s">
        <v>455</v>
      </c>
      <c r="B15" s="786"/>
      <c r="C15" s="786"/>
      <c r="D15" s="786"/>
      <c r="E15" s="786"/>
      <c r="F15" s="786"/>
      <c r="G15" s="786"/>
      <c r="H15" s="786"/>
      <c r="I15" s="786"/>
      <c r="J15" s="786"/>
      <c r="K15" s="786"/>
      <c r="L15" s="786"/>
      <c r="M15" s="786"/>
      <c r="N15" s="786"/>
      <c r="O15" s="786"/>
    </row>
    <row r="16" spans="1:19" s="681" customFormat="1" ht="105">
      <c r="A16" s="556" t="s">
        <v>176</v>
      </c>
      <c r="B16" s="787" t="s">
        <v>180</v>
      </c>
      <c r="C16" s="788"/>
      <c r="D16" s="558" t="s">
        <v>174</v>
      </c>
      <c r="E16" s="558" t="s">
        <v>506</v>
      </c>
      <c r="F16" s="558" t="s">
        <v>474</v>
      </c>
      <c r="G16" s="559" t="s">
        <v>475</v>
      </c>
      <c r="H16" s="559" t="s">
        <v>476</v>
      </c>
      <c r="I16" s="559" t="s">
        <v>477</v>
      </c>
      <c r="J16" s="559" t="s">
        <v>478</v>
      </c>
      <c r="K16" s="559" t="s">
        <v>479</v>
      </c>
      <c r="L16" s="558" t="s">
        <v>480</v>
      </c>
      <c r="M16" s="557" t="s">
        <v>481</v>
      </c>
      <c r="N16" s="557" t="s">
        <v>532</v>
      </c>
      <c r="O16" s="560" t="s">
        <v>482</v>
      </c>
    </row>
    <row r="17" spans="1:28" s="681" customFormat="1" ht="30">
      <c r="A17" s="561">
        <v>1</v>
      </c>
      <c r="B17" s="789">
        <v>2</v>
      </c>
      <c r="C17" s="790"/>
      <c r="D17" s="563">
        <v>3</v>
      </c>
      <c r="E17" s="563">
        <v>4</v>
      </c>
      <c r="F17" s="563">
        <v>5</v>
      </c>
      <c r="G17" s="563">
        <v>6</v>
      </c>
      <c r="H17" s="563">
        <v>7</v>
      </c>
      <c r="I17" s="563">
        <v>8</v>
      </c>
      <c r="J17" s="563">
        <v>9</v>
      </c>
      <c r="K17" s="563">
        <v>10</v>
      </c>
      <c r="L17" s="563">
        <v>11</v>
      </c>
      <c r="M17" s="562">
        <v>12</v>
      </c>
      <c r="N17" s="637" t="s">
        <v>534</v>
      </c>
      <c r="O17" s="564" t="s">
        <v>533</v>
      </c>
    </row>
    <row r="18" spans="1:28" s="681" customFormat="1" ht="78" customHeight="1">
      <c r="A18" s="565" t="s">
        <v>456</v>
      </c>
      <c r="B18" s="784" t="s">
        <v>236</v>
      </c>
      <c r="C18" s="784"/>
      <c r="D18" s="566"/>
      <c r="E18" s="706">
        <v>0</v>
      </c>
      <c r="F18" s="566"/>
      <c r="G18" s="707" t="str">
        <f>IF(H18=0,"Confirmed",(IF(H18=F18,"Confirmed","Not Confirmed")))</f>
        <v>Confirmed</v>
      </c>
      <c r="H18" s="350"/>
      <c r="I18" s="625">
        <v>0.18</v>
      </c>
      <c r="J18" s="707" t="str">
        <f>IF(K18="","Confirmed",(IF(K18=I18,"Confirmed","Not Confirmed")))</f>
        <v>Confirmed</v>
      </c>
      <c r="K18" s="708"/>
      <c r="L18" s="709"/>
      <c r="M18" s="553">
        <f>IF(K18="",E18*I18*L18,(IF(K18=0,E18*K18*L18,E18*K18*L18)))</f>
        <v>0</v>
      </c>
      <c r="N18" s="636">
        <f>E18*L18</f>
        <v>0</v>
      </c>
      <c r="O18" s="567" t="str">
        <f>IF(L18=0, "Included", IF(ISERROR(L18*E18), L18, L18*E18+M18))</f>
        <v>Included</v>
      </c>
    </row>
    <row r="19" spans="1:28" s="681" customFormat="1" ht="71.25" customHeight="1">
      <c r="A19" s="565" t="s">
        <v>530</v>
      </c>
      <c r="B19" s="783"/>
      <c r="C19" s="783"/>
      <c r="D19" s="566"/>
      <c r="E19" s="706"/>
      <c r="F19" s="566"/>
      <c r="G19" s="707" t="str">
        <f>IF(H19=0,"Confirmed",(IF(H19=F19,"Confirmed","Not Confirmed")))</f>
        <v>Confirmed</v>
      </c>
      <c r="H19" s="350"/>
      <c r="I19" s="625">
        <v>0.18</v>
      </c>
      <c r="J19" s="707" t="str">
        <f>IF(K19="","Confirmed",(IF(K19=I19,"Confirmed","Not Confirmed")))</f>
        <v>Confirmed</v>
      </c>
      <c r="K19" s="708"/>
      <c r="L19" s="709"/>
      <c r="M19" s="553">
        <f>IF(K19="",E19*I19*L19,(IF(K19=0,E19*K19*L19,E19*K19*L19)))</f>
        <v>0</v>
      </c>
      <c r="N19" s="553">
        <f>E19*L19</f>
        <v>0</v>
      </c>
      <c r="O19" s="567" t="str">
        <f>IF(L19=0, "Included", IF(ISERROR(L19*E19), L19, L19*E19+M19))</f>
        <v>Included</v>
      </c>
    </row>
    <row r="20" spans="1:28" s="569" customFormat="1" ht="49.5" customHeight="1" thickBot="1">
      <c r="A20" s="565" t="s">
        <v>531</v>
      </c>
      <c r="B20" s="783"/>
      <c r="C20" s="783"/>
      <c r="D20" s="710"/>
      <c r="E20" s="706"/>
      <c r="F20" s="566"/>
      <c r="G20" s="707" t="str">
        <f>IF(H20=0,"Confirmed",(IF(H20=F20,"Confirmed","Not Confirmed")))</f>
        <v>Confirmed</v>
      </c>
      <c r="H20" s="350"/>
      <c r="I20" s="625">
        <v>0.18</v>
      </c>
      <c r="J20" s="707" t="str">
        <f>IF(K20="","Confirmed",(IF(K20=I20,"Confirmed","Not Confirmed")))</f>
        <v>Confirmed</v>
      </c>
      <c r="K20" s="708"/>
      <c r="L20" s="709"/>
      <c r="M20" s="553">
        <f>IF(K20="",E20*I20*L20,(IF(K20=0,E20*K20*L20,E20*K20*L20)))</f>
        <v>0</v>
      </c>
      <c r="N20" s="553">
        <f>E20*L20</f>
        <v>0</v>
      </c>
      <c r="O20" s="567" t="str">
        <f>IF(L20=0, "Included", IF(ISERROR(L20*E20), L20, L20*E20+M20))</f>
        <v>Included</v>
      </c>
      <c r="P20" s="568"/>
      <c r="Q20" s="568"/>
      <c r="R20" s="568"/>
      <c r="S20" s="568"/>
      <c r="AB20" s="570"/>
    </row>
    <row r="21" spans="1:28" s="681" customFormat="1" ht="32.25" customHeight="1" thickBot="1">
      <c r="A21" s="779" t="s">
        <v>507</v>
      </c>
      <c r="B21" s="780"/>
      <c r="C21" s="780"/>
      <c r="D21" s="780"/>
      <c r="E21" s="780"/>
      <c r="F21" s="780"/>
      <c r="G21" s="780"/>
      <c r="H21" s="780"/>
      <c r="I21" s="780"/>
      <c r="J21" s="780"/>
      <c r="K21" s="780"/>
      <c r="L21" s="780"/>
      <c r="M21" s="571">
        <f>SUM(M18:M20)</f>
        <v>0</v>
      </c>
      <c r="N21" s="571">
        <f>SUM(N18:N20)</f>
        <v>0</v>
      </c>
      <c r="O21" s="572">
        <f>SUM(O18:O20)</f>
        <v>0</v>
      </c>
      <c r="P21" s="685"/>
    </row>
    <row r="22" spans="1:28" s="681" customFormat="1" ht="26.25" customHeight="1">
      <c r="A22" s="573"/>
      <c r="B22" s="573"/>
      <c r="C22" s="573"/>
      <c r="D22" s="573"/>
      <c r="E22" s="573"/>
      <c r="F22" s="573"/>
      <c r="G22" s="573"/>
      <c r="H22" s="573"/>
      <c r="I22" s="573"/>
      <c r="J22" s="573"/>
      <c r="K22" s="573"/>
      <c r="L22" s="573"/>
      <c r="M22" s="573"/>
      <c r="N22" s="573"/>
      <c r="O22" s="573"/>
    </row>
    <row r="23" spans="1:28" s="681" customFormat="1" ht="39.75" customHeight="1">
      <c r="A23" s="703" t="s">
        <v>483</v>
      </c>
      <c r="B23" s="781" t="s">
        <v>484</v>
      </c>
      <c r="C23" s="781"/>
      <c r="D23" s="781"/>
      <c r="E23" s="781"/>
      <c r="F23" s="781"/>
      <c r="G23" s="781"/>
      <c r="H23" s="781"/>
      <c r="I23" s="781"/>
      <c r="J23" s="781"/>
      <c r="K23" s="781"/>
      <c r="L23" s="781"/>
      <c r="M23" s="781"/>
      <c r="N23" s="781"/>
      <c r="O23" s="781"/>
    </row>
    <row r="24" spans="1:28" s="681" customFormat="1" ht="39.75" customHeight="1">
      <c r="A24" s="703" t="s">
        <v>485</v>
      </c>
      <c r="B24" s="781" t="s">
        <v>525</v>
      </c>
      <c r="C24" s="781"/>
      <c r="D24" s="781"/>
      <c r="E24" s="781"/>
      <c r="F24" s="781"/>
      <c r="G24" s="781"/>
      <c r="H24" s="781"/>
      <c r="I24" s="781"/>
      <c r="J24" s="781"/>
      <c r="K24" s="781"/>
      <c r="L24" s="781"/>
      <c r="M24" s="781"/>
      <c r="N24" s="781"/>
      <c r="O24" s="781"/>
    </row>
    <row r="25" spans="1:28" s="681" customFormat="1" ht="30.75" customHeight="1">
      <c r="A25" s="703" t="s">
        <v>487</v>
      </c>
      <c r="B25" s="781" t="s">
        <v>488</v>
      </c>
      <c r="C25" s="781"/>
      <c r="D25" s="781"/>
      <c r="E25" s="781"/>
      <c r="F25" s="781"/>
      <c r="G25" s="781"/>
      <c r="H25" s="781"/>
      <c r="I25" s="781"/>
      <c r="J25" s="781"/>
      <c r="K25" s="781"/>
      <c r="L25" s="781"/>
      <c r="M25" s="781"/>
      <c r="N25" s="781"/>
      <c r="O25" s="781"/>
    </row>
    <row r="26" spans="1:28" s="681" customFormat="1" ht="38.25" customHeight="1">
      <c r="A26" s="703" t="s">
        <v>489</v>
      </c>
      <c r="B26" s="777" t="s">
        <v>490</v>
      </c>
      <c r="C26" s="777"/>
      <c r="D26" s="777"/>
      <c r="E26" s="777"/>
      <c r="F26" s="777"/>
      <c r="G26" s="777"/>
      <c r="H26" s="777"/>
      <c r="I26" s="777"/>
      <c r="J26" s="777"/>
      <c r="K26" s="777"/>
      <c r="L26" s="777"/>
      <c r="M26" s="777"/>
      <c r="N26" s="777"/>
      <c r="O26" s="777"/>
      <c r="P26" s="699"/>
      <c r="Q26" s="699"/>
    </row>
    <row r="27" spans="1:28" s="681" customFormat="1" ht="28.15" customHeight="1">
      <c r="A27" s="703" t="s">
        <v>491</v>
      </c>
      <c r="B27" s="777" t="s">
        <v>492</v>
      </c>
      <c r="C27" s="777"/>
      <c r="D27" s="777"/>
      <c r="E27" s="777"/>
      <c r="F27" s="777"/>
      <c r="G27" s="777"/>
      <c r="H27" s="777"/>
      <c r="I27" s="777"/>
      <c r="J27" s="777"/>
      <c r="K27" s="777"/>
      <c r="L27" s="777"/>
      <c r="M27" s="777"/>
      <c r="N27" s="777"/>
      <c r="O27" s="777"/>
    </row>
    <row r="28" spans="1:28" ht="31.9" customHeight="1">
      <c r="A28" s="703" t="s">
        <v>493</v>
      </c>
      <c r="B28" s="777" t="s">
        <v>494</v>
      </c>
      <c r="C28" s="777"/>
      <c r="D28" s="777"/>
      <c r="E28" s="777"/>
      <c r="F28" s="777"/>
      <c r="G28" s="777"/>
      <c r="H28" s="777"/>
      <c r="I28" s="777"/>
      <c r="J28" s="777"/>
      <c r="K28" s="777"/>
      <c r="L28" s="777"/>
      <c r="M28" s="777"/>
      <c r="N28" s="777"/>
      <c r="O28" s="777"/>
    </row>
    <row r="29" spans="1:28">
      <c r="A29" s="704"/>
      <c r="B29" s="705"/>
      <c r="C29" s="705"/>
      <c r="D29" s="705"/>
      <c r="E29" s="705"/>
      <c r="F29" s="705"/>
      <c r="G29" s="705"/>
      <c r="H29" s="705"/>
      <c r="I29" s="705"/>
      <c r="J29" s="705"/>
      <c r="K29" s="705"/>
      <c r="L29" s="705"/>
      <c r="M29" s="705"/>
      <c r="N29" s="705"/>
      <c r="O29" s="705"/>
    </row>
    <row r="30" spans="1:28">
      <c r="A30" s="574" t="s">
        <v>408</v>
      </c>
      <c r="B30" s="124" t="str">
        <f>IF('Names of Bidder'!D20=0, "", 'Names of Bidder'!D20)</f>
        <v/>
      </c>
      <c r="C30" s="575"/>
      <c r="D30" s="576"/>
      <c r="E30" s="94" t="s">
        <v>211</v>
      </c>
      <c r="F30" s="94">
        <f>'Names of Bidder'!D17</f>
        <v>0</v>
      </c>
      <c r="G30" s="94"/>
      <c r="H30" s="94"/>
      <c r="I30" s="94"/>
      <c r="J30" s="94"/>
      <c r="K30" s="94"/>
      <c r="L30" s="552"/>
      <c r="M30" s="552"/>
      <c r="N30" s="552"/>
    </row>
    <row r="31" spans="1:28">
      <c r="A31" s="574" t="s">
        <v>409</v>
      </c>
      <c r="B31" s="778" t="str">
        <f>IF('Names of Bidder'!D21=0, "", 'Names of Bidder'!D21)</f>
        <v/>
      </c>
      <c r="C31" s="778"/>
      <c r="D31" s="576"/>
      <c r="E31" s="94" t="s">
        <v>212</v>
      </c>
      <c r="F31" s="94">
        <f>'Names of Bidder'!D18</f>
        <v>0</v>
      </c>
      <c r="G31" s="94"/>
      <c r="H31" s="94"/>
      <c r="I31" s="94"/>
      <c r="J31" s="94"/>
      <c r="K31" s="94"/>
      <c r="L31" s="541"/>
      <c r="M31" s="541"/>
      <c r="N31" s="541"/>
    </row>
    <row r="32" spans="1:28">
      <c r="A32" s="577"/>
      <c r="B32" s="575"/>
      <c r="C32" s="575"/>
      <c r="D32" s="576"/>
      <c r="E32" s="576"/>
      <c r="F32" s="576"/>
      <c r="G32" s="576"/>
      <c r="H32" s="576"/>
      <c r="I32" s="576"/>
      <c r="J32" s="576"/>
      <c r="K32" s="576"/>
      <c r="L32" s="578"/>
      <c r="M32" s="578"/>
      <c r="N32" s="578"/>
    </row>
    <row r="33" spans="1:14">
      <c r="A33" s="577"/>
      <c r="B33" s="575"/>
      <c r="C33" s="575"/>
      <c r="D33" s="576"/>
      <c r="E33" s="576"/>
      <c r="F33" s="576"/>
      <c r="G33" s="576"/>
      <c r="H33" s="576"/>
      <c r="I33" s="576"/>
      <c r="J33" s="576"/>
      <c r="K33" s="576"/>
      <c r="L33" s="119"/>
      <c r="M33" s="119"/>
      <c r="N33" s="119"/>
    </row>
  </sheetData>
  <sheetProtection password="CB12" sheet="1" formatColumns="0" formatRows="0" selectLockedCells="1"/>
  <customSheetViews>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6"/>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08A645C4-A23F-4400-B0CE-1685BC312A6F}" printArea="1" hiddenRows="1" hiddenColumns="1" topLeftCell="A26">
      <selection activeCell="F19" sqref="F19"/>
      <colBreaks count="1" manualBreakCount="1">
        <brk id="8" max="1048575" man="1"/>
      </colBreaks>
      <pageMargins left="0.511811023622047" right="0.26" top="0.48" bottom="0.54" header="0.25" footer="0.27"/>
      <printOptions horizontalCentered="1"/>
      <pageSetup paperSize="9" scale="88" orientation="portrait" horizontalDpi="300" verticalDpi="300" r:id="rId9"/>
      <headerFooter alignWithMargins="0">
        <oddFooter>&amp;R&amp;"Book Antiqua,Bold"&amp;10Schedule-1/ Page &amp;P of &amp;N</oddFooter>
      </headerFooter>
    </customSheetView>
  </customSheetViews>
  <mergeCells count="18">
    <mergeCell ref="A14:O14"/>
    <mergeCell ref="B20:C20"/>
    <mergeCell ref="B18:C18"/>
    <mergeCell ref="B19:C19"/>
    <mergeCell ref="A3:O3"/>
    <mergeCell ref="A4:O4"/>
    <mergeCell ref="A15:O15"/>
    <mergeCell ref="B16:C16"/>
    <mergeCell ref="B17:C17"/>
    <mergeCell ref="L7:O11"/>
    <mergeCell ref="B26:O26"/>
    <mergeCell ref="B27:O27"/>
    <mergeCell ref="B28:O28"/>
    <mergeCell ref="B31:C31"/>
    <mergeCell ref="A21:L21"/>
    <mergeCell ref="B23:O23"/>
    <mergeCell ref="B24:O24"/>
    <mergeCell ref="B25:O25"/>
  </mergeCells>
  <phoneticPr fontId="3" type="noConversion"/>
  <dataValidations xWindow="482" yWindow="355" count="2">
    <dataValidation type="whole" operator="greaterThan" allowBlank="1" showInputMessage="1" showErrorMessage="1" sqref="H18:H20" xr:uid="{00000000-0002-0000-0400-000000000000}">
      <formula1>0</formula1>
    </dataValidation>
    <dataValidation type="decimal" operator="greaterThanOrEqual" allowBlank="1" showInputMessage="1" showErrorMessage="1" sqref="L18:L20" xr:uid="{00000000-0002-0000-0400-000001000000}">
      <formula1>0</formula1>
    </dataValidation>
  </dataValidations>
  <printOptions horizontalCentered="1"/>
  <pageMargins left="0.511811023622047" right="0.27559055118110198" top="0.47244094488188998" bottom="0.55118110236220497" header="0.23622047244094499" footer="0.27559055118110198"/>
  <pageSetup paperSize="9" scale="35" orientation="portrait" r:id="rId10"/>
  <headerFooter alignWithMargins="0">
    <oddFooter>&amp;R&amp;"Book Antiqua,Bold"&amp;10Schedule-1/ Page &amp;P of &amp;N</oddFooter>
  </headerFooter>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tabColor theme="1"/>
  </sheetPr>
  <dimension ref="A1:X32"/>
  <sheetViews>
    <sheetView topLeftCell="A16" zoomScaleNormal="100" zoomScaleSheetLayoutView="100" workbookViewId="0">
      <selection activeCell="K13" sqref="K1:K65536"/>
    </sheetView>
  </sheetViews>
  <sheetFormatPr defaultRowHeight="16.5"/>
  <cols>
    <col min="1" max="1" width="10.625" style="88" customWidth="1"/>
    <col min="2" max="2" width="31.75" style="263" customWidth="1"/>
    <col min="3" max="3" width="11.75" style="263" customWidth="1"/>
    <col min="4" max="4" width="6.625" style="88" customWidth="1"/>
    <col min="5" max="5" width="8.125" style="88" customWidth="1"/>
    <col min="6" max="6" width="11.375" style="89" customWidth="1"/>
    <col min="7" max="7" width="16.875" style="89" customWidth="1"/>
    <col min="8" max="8" width="11.125" style="89" customWidth="1"/>
    <col min="9" max="9" width="9" style="241"/>
    <col min="10" max="10" width="9.875" style="328" customWidth="1"/>
    <col min="11" max="11" width="6.375" style="328" hidden="1" customWidth="1"/>
    <col min="12" max="16" width="9" style="328"/>
    <col min="17" max="24" width="9" style="329"/>
    <col min="25" max="16384" width="9" style="79"/>
  </cols>
  <sheetData>
    <row r="1" spans="1:9" ht="18" customHeight="1">
      <c r="A1" s="81" t="str">
        <f>Cover!B3</f>
        <v xml:space="preserve">Specification No.: WRTCC/CS/20-21/AMC-LMC/B1 </v>
      </c>
      <c r="B1" s="262"/>
      <c r="C1" s="262"/>
      <c r="D1" s="81"/>
      <c r="E1" s="81"/>
      <c r="F1" s="84"/>
      <c r="G1" s="84"/>
      <c r="H1" s="85" t="s">
        <v>223</v>
      </c>
    </row>
    <row r="2" spans="1:9" ht="18" customHeight="1">
      <c r="A2" s="67"/>
      <c r="B2" s="67"/>
      <c r="C2" s="67"/>
      <c r="D2" s="67"/>
      <c r="E2" s="67"/>
    </row>
    <row r="3" spans="1:9" ht="64.5" customHeight="1">
      <c r="A3" s="785"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785"/>
      <c r="C3" s="785"/>
      <c r="D3" s="785"/>
      <c r="E3" s="785"/>
      <c r="F3" s="785"/>
      <c r="G3" s="785"/>
      <c r="H3" s="785"/>
    </row>
    <row r="4" spans="1:9" ht="22.15" customHeight="1">
      <c r="A4" s="800" t="s">
        <v>226</v>
      </c>
      <c r="B4" s="800"/>
      <c r="C4" s="800"/>
      <c r="D4" s="800"/>
      <c r="E4" s="800"/>
      <c r="F4" s="800"/>
      <c r="G4" s="800"/>
      <c r="H4" s="800"/>
    </row>
    <row r="5" spans="1:9" ht="18" customHeight="1">
      <c r="B5" s="88"/>
      <c r="C5" s="88"/>
    </row>
    <row r="6" spans="1:9" ht="18" customHeight="1">
      <c r="A6" s="29" t="s">
        <v>154</v>
      </c>
      <c r="B6" s="30"/>
      <c r="C6" s="30"/>
      <c r="D6" s="29"/>
      <c r="E6" s="29"/>
      <c r="F6" s="63" t="s">
        <v>198</v>
      </c>
      <c r="H6" s="30"/>
    </row>
    <row r="7" spans="1:9" ht="18" customHeight="1">
      <c r="A7" s="29" t="str">
        <f>"Bidder as "&amp; 'Names of Bidder'!D6</f>
        <v xml:space="preserve">Bidder as </v>
      </c>
      <c r="F7" s="62" t="s">
        <v>200</v>
      </c>
      <c r="H7" s="32"/>
    </row>
    <row r="8" spans="1:9" ht="18" customHeight="1">
      <c r="A8" s="68" t="s">
        <v>199</v>
      </c>
      <c r="B8" s="799">
        <f>'Names of Bidder'!D8</f>
        <v>0</v>
      </c>
      <c r="C8" s="799"/>
      <c r="D8" s="799"/>
      <c r="E8" s="799"/>
      <c r="F8" s="62" t="s">
        <v>202</v>
      </c>
      <c r="H8" s="32"/>
    </row>
    <row r="9" spans="1:9" ht="18" customHeight="1">
      <c r="A9" s="68" t="s">
        <v>201</v>
      </c>
      <c r="B9" s="799">
        <f>'Names of Bidder'!D9</f>
        <v>0</v>
      </c>
      <c r="C9" s="799"/>
      <c r="D9" s="799"/>
      <c r="E9" s="799"/>
      <c r="F9" s="62" t="s">
        <v>203</v>
      </c>
      <c r="H9" s="32"/>
    </row>
    <row r="10" spans="1:9" ht="18" customHeight="1">
      <c r="A10" s="70"/>
      <c r="B10" s="799">
        <f>'Names of Bidder'!D10</f>
        <v>0</v>
      </c>
      <c r="C10" s="799"/>
      <c r="D10" s="799"/>
      <c r="E10" s="799"/>
      <c r="F10" s="62" t="s">
        <v>204</v>
      </c>
      <c r="H10" s="32"/>
    </row>
    <row r="11" spans="1:9" ht="18" customHeight="1">
      <c r="A11" s="70"/>
      <c r="B11" s="799">
        <f>'Names of Bidder'!D11</f>
        <v>0</v>
      </c>
      <c r="C11" s="799"/>
      <c r="D11" s="799"/>
      <c r="E11" s="799"/>
      <c r="F11" s="62" t="s">
        <v>205</v>
      </c>
      <c r="H11" s="32"/>
    </row>
    <row r="12" spans="1:9" ht="18" customHeight="1">
      <c r="A12" s="70"/>
      <c r="B12" s="31"/>
      <c r="C12" s="31"/>
      <c r="D12" s="31"/>
      <c r="E12" s="31"/>
      <c r="F12" s="62"/>
      <c r="H12" s="32"/>
    </row>
    <row r="13" spans="1:9" ht="18" customHeight="1">
      <c r="A13" s="71"/>
      <c r="B13" s="71"/>
      <c r="C13" s="71"/>
      <c r="D13" s="71"/>
      <c r="E13" s="71"/>
      <c r="F13" s="99"/>
      <c r="G13" s="33"/>
      <c r="H13" s="33"/>
    </row>
    <row r="14" spans="1:9" ht="40.5" customHeight="1">
      <c r="A14" s="801" t="s">
        <v>183</v>
      </c>
      <c r="B14" s="801"/>
      <c r="C14" s="801"/>
      <c r="D14" s="801"/>
      <c r="E14" s="801"/>
      <c r="F14" s="801"/>
      <c r="G14" s="801"/>
      <c r="H14" s="801"/>
      <c r="I14" s="264"/>
    </row>
    <row r="15" spans="1:9" ht="18" customHeight="1">
      <c r="B15" s="88"/>
      <c r="C15" s="88"/>
      <c r="F15" s="84"/>
      <c r="G15" s="84"/>
      <c r="H15" s="85" t="s">
        <v>175</v>
      </c>
    </row>
    <row r="16" spans="1:9" ht="62.25" customHeight="1">
      <c r="A16" s="239" t="s">
        <v>176</v>
      </c>
      <c r="B16" s="239" t="s">
        <v>197</v>
      </c>
      <c r="C16" s="239" t="s">
        <v>155</v>
      </c>
      <c r="D16" s="240" t="s">
        <v>174</v>
      </c>
      <c r="E16" s="240" t="s">
        <v>177</v>
      </c>
      <c r="F16" s="239" t="s">
        <v>178</v>
      </c>
      <c r="G16" s="239" t="s">
        <v>179</v>
      </c>
      <c r="H16" s="239" t="s">
        <v>206</v>
      </c>
    </row>
    <row r="17" spans="1:24" ht="18" customHeight="1">
      <c r="A17" s="240">
        <v>1</v>
      </c>
      <c r="B17" s="240">
        <v>2</v>
      </c>
      <c r="C17" s="240">
        <v>3</v>
      </c>
      <c r="D17" s="240">
        <v>4</v>
      </c>
      <c r="E17" s="240">
        <v>5</v>
      </c>
      <c r="F17" s="240">
        <v>6</v>
      </c>
      <c r="G17" s="240" t="s">
        <v>156</v>
      </c>
      <c r="H17" s="240">
        <v>8</v>
      </c>
    </row>
    <row r="18" spans="1:24" s="100" customFormat="1" ht="50.1" customHeight="1">
      <c r="A18" s="265" t="e">
        <f>'Sch-1'!#REF!</f>
        <v>#REF!</v>
      </c>
      <c r="B18" s="265" t="e">
        <f>'Sch-1'!#REF!</f>
        <v>#REF!</v>
      </c>
      <c r="C18" s="348" t="e">
        <f>'Sch-1'!#REF!</f>
        <v>#REF!</v>
      </c>
      <c r="D18" s="319" t="e">
        <f>'Sch-1'!#REF!</f>
        <v>#REF!</v>
      </c>
      <c r="E18" s="326" t="e">
        <f>'Sch-1'!#REF!</f>
        <v>#REF!</v>
      </c>
      <c r="F18" s="343" t="e">
        <f>'Sch-1'!#REF!</f>
        <v>#REF!</v>
      </c>
      <c r="G18" s="267" t="e">
        <f>IF(F18=0, "Included", IF(ISERROR(E18*F18), F18, E18*F18))</f>
        <v>#REF!</v>
      </c>
      <c r="H18" s="266" t="e">
        <f>'Sch-1'!#REF!</f>
        <v>#REF!</v>
      </c>
      <c r="I18" s="80"/>
      <c r="J18" s="330"/>
      <c r="K18" s="330" t="e">
        <f>'Sch-1'!#REF!</f>
        <v>#REF!</v>
      </c>
      <c r="L18" s="330"/>
      <c r="M18" s="330"/>
      <c r="N18" s="330"/>
      <c r="O18" s="330"/>
      <c r="P18" s="330"/>
      <c r="Q18" s="331"/>
      <c r="R18" s="331"/>
      <c r="S18" s="331"/>
      <c r="T18" s="331"/>
      <c r="U18" s="331"/>
      <c r="V18" s="331"/>
      <c r="W18" s="331"/>
      <c r="X18" s="331"/>
    </row>
    <row r="19" spans="1:24" ht="26.1" customHeight="1">
      <c r="A19" s="268"/>
      <c r="B19" s="798" t="s">
        <v>229</v>
      </c>
      <c r="C19" s="798"/>
      <c r="D19" s="798"/>
      <c r="E19" s="798"/>
      <c r="F19" s="266"/>
      <c r="G19" s="269">
        <f>SUMIF(K18:K18,"Direct",G18:G18)</f>
        <v>0</v>
      </c>
      <c r="H19" s="327" t="s">
        <v>230</v>
      </c>
      <c r="I19" s="80"/>
    </row>
    <row r="20" spans="1:24" ht="26.1" customHeight="1">
      <c r="A20" s="268"/>
      <c r="B20" s="798" t="s">
        <v>229</v>
      </c>
      <c r="C20" s="798"/>
      <c r="D20" s="798"/>
      <c r="E20" s="798"/>
      <c r="F20" s="266"/>
      <c r="G20" s="269">
        <f>SUMIF(K18:K18,"Bought Out",G18:G18)</f>
        <v>0</v>
      </c>
      <c r="H20" s="327" t="s">
        <v>288</v>
      </c>
      <c r="I20" s="80"/>
    </row>
    <row r="21" spans="1:24" ht="26.1" customHeight="1">
      <c r="A21" s="268"/>
      <c r="B21" s="798" t="s">
        <v>229</v>
      </c>
      <c r="C21" s="798"/>
      <c r="D21" s="798"/>
      <c r="E21" s="798"/>
      <c r="F21" s="266"/>
      <c r="G21" s="269">
        <f>G19+G20</f>
        <v>0</v>
      </c>
      <c r="H21" s="270"/>
      <c r="I21" s="80"/>
    </row>
    <row r="22" spans="1:24" ht="26.1" customHeight="1">
      <c r="A22" s="271"/>
      <c r="B22" s="794" t="s">
        <v>287</v>
      </c>
      <c r="C22" s="794"/>
      <c r="D22" s="794"/>
      <c r="E22" s="794"/>
      <c r="F22" s="266"/>
      <c r="G22" s="269" t="e">
        <f>'Sch-6 Dis'!F21</f>
        <v>#REF!</v>
      </c>
      <c r="H22" s="270"/>
      <c r="I22" s="80"/>
    </row>
    <row r="23" spans="1:24" ht="26.1" customHeight="1">
      <c r="A23" s="271"/>
      <c r="B23" s="795" t="s">
        <v>228</v>
      </c>
      <c r="C23" s="795"/>
      <c r="D23" s="795"/>
      <c r="E23" s="795"/>
      <c r="F23" s="266"/>
      <c r="G23" s="269" t="e">
        <f>G21+G22</f>
        <v>#REF!</v>
      </c>
      <c r="H23" s="270"/>
      <c r="I23" s="80"/>
    </row>
    <row r="24" spans="1:24" ht="16.5" customHeight="1">
      <c r="A24" s="272"/>
      <c r="B24" s="273"/>
      <c r="C24" s="273"/>
      <c r="D24" s="273"/>
      <c r="E24" s="273"/>
      <c r="F24" s="274"/>
      <c r="G24" s="275"/>
      <c r="H24" s="276"/>
    </row>
    <row r="25" spans="1:24" ht="16.5" customHeight="1">
      <c r="B25" s="796"/>
      <c r="C25" s="796"/>
      <c r="D25" s="796"/>
      <c r="E25" s="796"/>
      <c r="F25" s="796"/>
      <c r="G25" s="796"/>
      <c r="H25" s="796"/>
    </row>
    <row r="26" spans="1:24" ht="16.5" customHeight="1">
      <c r="A26" s="277"/>
      <c r="B26" s="796"/>
      <c r="C26" s="796"/>
      <c r="D26" s="796"/>
      <c r="E26" s="796"/>
      <c r="F26" s="796"/>
      <c r="G26" s="796"/>
      <c r="H26" s="796"/>
    </row>
    <row r="27" spans="1:24" ht="117.75" customHeight="1">
      <c r="A27" s="278" t="s">
        <v>214</v>
      </c>
      <c r="B27" s="797" t="s">
        <v>162</v>
      </c>
      <c r="C27" s="797"/>
      <c r="D27" s="797"/>
      <c r="E27" s="797"/>
      <c r="F27" s="797"/>
      <c r="G27" s="797"/>
      <c r="H27" s="797"/>
    </row>
    <row r="28" spans="1:24" ht="33.6" customHeight="1">
      <c r="A28" s="279"/>
      <c r="B28" s="280"/>
      <c r="C28" s="280"/>
      <c r="D28" s="255"/>
      <c r="E28" s="255"/>
    </row>
    <row r="29" spans="1:24" ht="33.6" customHeight="1">
      <c r="A29" s="92" t="s">
        <v>208</v>
      </c>
      <c r="B29" s="124">
        <f>'Names of Bidder'!D20</f>
        <v>0</v>
      </c>
      <c r="C29" s="124"/>
      <c r="D29" s="93"/>
      <c r="F29" s="94" t="s">
        <v>210</v>
      </c>
      <c r="G29" s="793"/>
      <c r="H29" s="793"/>
    </row>
    <row r="30" spans="1:24" s="241" customFormat="1" ht="33.6" customHeight="1">
      <c r="A30" s="92" t="s">
        <v>209</v>
      </c>
      <c r="B30" s="124">
        <f>'Names of Bidder'!D21</f>
        <v>0</v>
      </c>
      <c r="C30" s="124"/>
      <c r="D30" s="89"/>
      <c r="E30" s="88"/>
      <c r="F30" s="94" t="s">
        <v>211</v>
      </c>
      <c r="G30" s="792">
        <f>'Names of Bidder'!D17</f>
        <v>0</v>
      </c>
      <c r="H30" s="792"/>
      <c r="J30" s="328"/>
      <c r="K30" s="328"/>
      <c r="L30" s="328"/>
      <c r="M30" s="328"/>
      <c r="N30" s="328"/>
      <c r="O30" s="328"/>
      <c r="P30" s="328"/>
      <c r="Q30" s="329"/>
      <c r="R30" s="329"/>
      <c r="S30" s="329"/>
      <c r="T30" s="329"/>
      <c r="U30" s="329"/>
      <c r="V30" s="329"/>
      <c r="W30" s="329"/>
      <c r="X30" s="329"/>
    </row>
    <row r="31" spans="1:24" s="241" customFormat="1" ht="33.6" customHeight="1">
      <c r="A31" s="88"/>
      <c r="B31" s="281"/>
      <c r="C31" s="281"/>
      <c r="D31" s="89"/>
      <c r="E31" s="88"/>
      <c r="F31" s="94" t="s">
        <v>212</v>
      </c>
      <c r="G31" s="792">
        <f>'Names of Bidder'!D18</f>
        <v>0</v>
      </c>
      <c r="H31" s="792"/>
      <c r="J31" s="328"/>
      <c r="K31" s="328"/>
      <c r="L31" s="328"/>
      <c r="M31" s="328"/>
      <c r="N31" s="328"/>
      <c r="O31" s="328"/>
      <c r="P31" s="328"/>
      <c r="Q31" s="329"/>
      <c r="R31" s="329"/>
      <c r="S31" s="329"/>
      <c r="T31" s="329"/>
      <c r="U31" s="329"/>
      <c r="V31" s="329"/>
      <c r="W31" s="329"/>
      <c r="X31" s="329"/>
    </row>
    <row r="32" spans="1:24" s="241" customFormat="1" ht="33.6" customHeight="1">
      <c r="A32" s="88"/>
      <c r="B32" s="281"/>
      <c r="C32" s="281"/>
      <c r="D32" s="89"/>
      <c r="E32" s="88"/>
      <c r="F32" s="94" t="s">
        <v>213</v>
      </c>
      <c r="G32" s="793"/>
      <c r="H32" s="793"/>
      <c r="J32" s="328"/>
      <c r="K32" s="328"/>
      <c r="L32" s="328"/>
      <c r="M32" s="328"/>
      <c r="N32" s="328"/>
      <c r="O32" s="328"/>
      <c r="P32" s="328"/>
      <c r="Q32" s="329"/>
      <c r="R32" s="329"/>
      <c r="S32" s="329"/>
      <c r="T32" s="329"/>
      <c r="U32" s="329"/>
      <c r="V32" s="329"/>
      <c r="W32" s="329"/>
      <c r="X32" s="329"/>
    </row>
  </sheetData>
  <sheetProtection password="E98F" sheet="1" objects="1" scenarios="1" selectLockedCells="1" selectUnlockedCells="1"/>
  <customSheetViews>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08A645C4-A23F-4400-B0CE-1685BC312A6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s>
  <mergeCells count="18">
    <mergeCell ref="A3:H3"/>
    <mergeCell ref="A4:H4"/>
    <mergeCell ref="B8:E8"/>
    <mergeCell ref="B9:E9"/>
    <mergeCell ref="A14:H14"/>
    <mergeCell ref="B20:E20"/>
    <mergeCell ref="B21:E21"/>
    <mergeCell ref="B10:E10"/>
    <mergeCell ref="B11:E11"/>
    <mergeCell ref="G29:H29"/>
    <mergeCell ref="B19:E19"/>
    <mergeCell ref="G31:H31"/>
    <mergeCell ref="G32:H32"/>
    <mergeCell ref="B22:E22"/>
    <mergeCell ref="B23:E23"/>
    <mergeCell ref="B25:H26"/>
    <mergeCell ref="B27:H27"/>
    <mergeCell ref="G30:H30"/>
  </mergeCells>
  <phoneticPr fontId="30" type="noConversion"/>
  <dataValidations disablePrompts="1" count="2">
    <dataValidation type="date" allowBlank="1" showInputMessage="1" showErrorMessage="1" error="Enter date in &quot;dd-mmm-yy&quot; format. Example 03-oct-10." sqref="B30:C30" xr:uid="{00000000-0002-0000-0500-000000000000}">
      <formula1>#REF!</formula1>
      <formula2>#REF!</formula2>
    </dataValidation>
    <dataValidation type="list" allowBlank="1" showInputMessage="1" showErrorMessage="1" sqref="H18" xr:uid="{00000000-0002-0000-0500-000001000000}">
      <formula1>"Direct,Bought Out"</formula1>
    </dataValidation>
  </dataValidations>
  <printOptions horizontalCentered="1"/>
  <pageMargins left="0.511811023622047" right="0.26" top="0.48" bottom="0.54" header="0.25" footer="0.27"/>
  <pageSetup paperSize="9" orientation="portrait" horizontalDpi="300" verticalDpi="300" r:id="rId9"/>
  <headerFooter alignWithMargins="0">
    <oddFooter>&amp;R&amp;"Book Antiqua,Bold"&amp;10Schedule-1/ Page &amp;P of &amp;N</oddFoot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sheetPr>
  <dimension ref="A1:X26"/>
  <sheetViews>
    <sheetView zoomScale="60" zoomScaleNormal="60" zoomScaleSheetLayoutView="100" workbookViewId="0">
      <selection activeCell="L12" sqref="L12"/>
    </sheetView>
  </sheetViews>
  <sheetFormatPr defaultRowHeight="16.5"/>
  <cols>
    <col min="1" max="1" width="10.5" style="242" customWidth="1"/>
    <col min="2" max="2" width="71.875" style="91" customWidth="1"/>
    <col min="3" max="3" width="8.75" style="91" customWidth="1"/>
    <col min="4" max="4" width="14.625" style="90" hidden="1" customWidth="1"/>
    <col min="5" max="5" width="8.75" style="90" hidden="1" customWidth="1"/>
    <col min="6" max="6" width="13" style="90" hidden="1" customWidth="1"/>
    <col min="7" max="7" width="11.125" style="80" hidden="1" customWidth="1"/>
    <col min="8" max="8" width="10.75" style="79" hidden="1" customWidth="1"/>
    <col min="9" max="9" width="12.25" style="79" hidden="1" customWidth="1"/>
    <col min="10" max="10" width="12.25" style="79" customWidth="1"/>
    <col min="11" max="11" width="15.5" style="79" customWidth="1"/>
    <col min="12" max="12" width="19.75" style="225" customWidth="1"/>
    <col min="13" max="13" width="20.375" style="225" customWidth="1"/>
    <col min="14" max="24" width="9" style="225"/>
    <col min="25" max="16384" width="9" style="79"/>
  </cols>
  <sheetData>
    <row r="1" spans="1:22" ht="18" customHeight="1">
      <c r="A1" s="81" t="str">
        <f>Cover!B3</f>
        <v xml:space="preserve">Specification No.: WRTCC/CS/20-21/AMC-LMC/B1 </v>
      </c>
      <c r="B1" s="82"/>
      <c r="C1" s="82"/>
      <c r="D1" s="83"/>
      <c r="E1" s="83"/>
      <c r="L1" s="85" t="s">
        <v>232</v>
      </c>
    </row>
    <row r="2" spans="1:22" ht="18" customHeight="1">
      <c r="A2" s="67"/>
      <c r="B2" s="87"/>
      <c r="C2" s="87"/>
      <c r="D2" s="88"/>
      <c r="E2" s="88"/>
      <c r="F2" s="89"/>
      <c r="G2" s="89"/>
    </row>
    <row r="3" spans="1:22" ht="63" customHeight="1">
      <c r="A3" s="785"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785"/>
      <c r="C3" s="785"/>
      <c r="D3" s="785"/>
      <c r="E3" s="785"/>
      <c r="F3" s="785"/>
      <c r="G3" s="785"/>
      <c r="H3" s="785"/>
      <c r="I3" s="785"/>
      <c r="J3" s="785"/>
      <c r="K3" s="785"/>
      <c r="L3" s="785"/>
      <c r="M3" s="785"/>
    </row>
    <row r="4" spans="1:22" ht="22.15" customHeight="1">
      <c r="A4" s="800" t="s">
        <v>227</v>
      </c>
      <c r="B4" s="800"/>
      <c r="C4" s="800"/>
      <c r="D4" s="800"/>
      <c r="E4" s="800"/>
      <c r="F4" s="800"/>
      <c r="G4" s="800"/>
      <c r="H4" s="800"/>
      <c r="I4" s="800"/>
      <c r="J4" s="800"/>
      <c r="K4" s="800"/>
      <c r="L4" s="800"/>
      <c r="M4" s="800"/>
    </row>
    <row r="5" spans="1:22" ht="18" customHeight="1">
      <c r="A5" s="283"/>
      <c r="B5" s="237"/>
      <c r="C5" s="237"/>
      <c r="D5" s="236"/>
      <c r="E5" s="236"/>
      <c r="F5" s="284"/>
      <c r="G5" s="89"/>
      <c r="L5" s="233"/>
    </row>
    <row r="6" spans="1:22" ht="18" customHeight="1">
      <c r="A6" s="29" t="str">
        <f>'Sch-1'!A6</f>
        <v>Bidder's Name And Address</v>
      </c>
      <c r="B6" s="30"/>
      <c r="C6" s="30"/>
      <c r="D6" s="30"/>
      <c r="F6" s="89"/>
      <c r="G6" s="30"/>
      <c r="K6" s="63" t="s">
        <v>198</v>
      </c>
      <c r="L6" s="233"/>
    </row>
    <row r="7" spans="1:22" ht="19.149999999999999" customHeight="1">
      <c r="A7" s="238" t="str">
        <f>'Sch-1'!A7</f>
        <v>Bidder as Individual Bidder</v>
      </c>
      <c r="F7" s="89"/>
      <c r="G7" s="32"/>
      <c r="K7" s="820" t="str">
        <f>'Sch-1'!L7</f>
        <v xml:space="preserve">Sr. DGM (Tel-CS &amp; Wi-Fi) 
Power Grid Corporation of India Limited,
Western Region Telecom Control Center, 
1st Floor, Samruddhi Venture Park,
 MIDC Area, Marol, Andheri(East),
Mumbai-400093
</v>
      </c>
      <c r="L7" s="820"/>
      <c r="M7" s="820"/>
    </row>
    <row r="8" spans="1:22" ht="19.149999999999999" customHeight="1">
      <c r="A8" s="68" t="s">
        <v>199</v>
      </c>
      <c r="B8" s="516">
        <f>'Names of Bidder'!D8</f>
        <v>0</v>
      </c>
      <c r="C8" s="534"/>
      <c r="D8" s="534"/>
      <c r="F8" s="89"/>
      <c r="G8" s="32"/>
      <c r="K8" s="820"/>
      <c r="L8" s="820"/>
      <c r="M8" s="820"/>
    </row>
    <row r="9" spans="1:22" ht="19.149999999999999" customHeight="1">
      <c r="A9" s="68" t="s">
        <v>216</v>
      </c>
      <c r="B9" s="516">
        <f>'Names of Bidder'!D9</f>
        <v>0</v>
      </c>
      <c r="C9" s="534"/>
      <c r="D9" s="534"/>
      <c r="F9" s="89"/>
      <c r="G9" s="32"/>
      <c r="K9" s="820"/>
      <c r="L9" s="820"/>
      <c r="M9" s="820"/>
    </row>
    <row r="10" spans="1:22" ht="19.149999999999999" customHeight="1">
      <c r="A10" s="70"/>
      <c r="B10" s="516">
        <f>'Names of Bidder'!D10</f>
        <v>0</v>
      </c>
      <c r="C10" s="534"/>
      <c r="D10" s="534"/>
      <c r="F10" s="89"/>
      <c r="G10" s="32"/>
      <c r="K10" s="820"/>
      <c r="L10" s="820"/>
      <c r="M10" s="820"/>
    </row>
    <row r="11" spans="1:22" ht="19.149999999999999" customHeight="1">
      <c r="A11" s="70"/>
      <c r="B11" s="516">
        <f>'Names of Bidder'!D11</f>
        <v>0</v>
      </c>
      <c r="C11" s="202"/>
      <c r="D11" s="202"/>
      <c r="E11" s="202"/>
      <c r="F11" s="89"/>
      <c r="G11" s="32"/>
      <c r="K11" s="820"/>
      <c r="L11" s="820"/>
      <c r="M11" s="820"/>
    </row>
    <row r="12" spans="1:22" ht="18" customHeight="1">
      <c r="A12" s="70"/>
      <c r="B12" s="99"/>
      <c r="C12" s="99"/>
      <c r="D12" s="99"/>
      <c r="E12" s="99"/>
      <c r="G12" s="33"/>
      <c r="L12" s="538" t="s">
        <v>175</v>
      </c>
    </row>
    <row r="13" spans="1:22" s="532" customFormat="1" ht="47.25" customHeight="1" thickBot="1">
      <c r="A13" s="824" t="s">
        <v>510</v>
      </c>
      <c r="B13" s="824"/>
      <c r="C13" s="824"/>
      <c r="D13" s="824"/>
      <c r="E13" s="824"/>
      <c r="F13" s="824"/>
      <c r="G13" s="824"/>
      <c r="H13" s="824"/>
      <c r="I13" s="824"/>
      <c r="J13" s="824"/>
      <c r="K13" s="824"/>
      <c r="L13" s="824"/>
      <c r="M13" s="824"/>
      <c r="U13" s="544"/>
      <c r="V13" s="544"/>
    </row>
    <row r="14" spans="1:22" s="713" customFormat="1" ht="46.5" customHeight="1">
      <c r="A14" s="821" t="s">
        <v>417</v>
      </c>
      <c r="B14" s="811" t="s">
        <v>418</v>
      </c>
      <c r="C14" s="812"/>
      <c r="D14" s="817" t="s">
        <v>436</v>
      </c>
      <c r="E14" s="818"/>
      <c r="F14" s="818"/>
      <c r="G14" s="818"/>
      <c r="H14" s="818"/>
      <c r="I14" s="819"/>
      <c r="J14" s="821" t="s">
        <v>419</v>
      </c>
      <c r="K14" s="823" t="s">
        <v>435</v>
      </c>
      <c r="L14" s="712" t="s">
        <v>520</v>
      </c>
      <c r="M14" s="711" t="s">
        <v>420</v>
      </c>
      <c r="U14" s="714" t="s">
        <v>230</v>
      </c>
      <c r="V14" s="714"/>
    </row>
    <row r="15" spans="1:22" s="713" customFormat="1" ht="15.75" customHeight="1">
      <c r="A15" s="805"/>
      <c r="B15" s="813"/>
      <c r="C15" s="814"/>
      <c r="D15" s="804" t="s">
        <v>437</v>
      </c>
      <c r="E15" s="804" t="s">
        <v>438</v>
      </c>
      <c r="F15" s="802" t="s">
        <v>439</v>
      </c>
      <c r="G15" s="804" t="s">
        <v>441</v>
      </c>
      <c r="H15" s="804" t="s">
        <v>442</v>
      </c>
      <c r="I15" s="804" t="s">
        <v>440</v>
      </c>
      <c r="J15" s="805"/>
      <c r="K15" s="803"/>
      <c r="L15" s="715" t="s">
        <v>421</v>
      </c>
      <c r="M15" s="715" t="s">
        <v>421</v>
      </c>
      <c r="U15" s="714" t="s">
        <v>424</v>
      </c>
      <c r="V15" s="714"/>
    </row>
    <row r="16" spans="1:22" s="716" customFormat="1">
      <c r="A16" s="822"/>
      <c r="B16" s="815"/>
      <c r="C16" s="816"/>
      <c r="D16" s="805"/>
      <c r="E16" s="805"/>
      <c r="F16" s="803"/>
      <c r="G16" s="805"/>
      <c r="H16" s="805"/>
      <c r="I16" s="805"/>
      <c r="J16" s="822"/>
      <c r="K16" s="803"/>
      <c r="L16" s="715" t="s">
        <v>422</v>
      </c>
      <c r="M16" s="715" t="s">
        <v>422</v>
      </c>
      <c r="U16" s="717"/>
      <c r="V16" s="717"/>
    </row>
    <row r="17" spans="1:22" s="716" customFormat="1" ht="18.75" customHeight="1">
      <c r="A17" s="624" t="s">
        <v>456</v>
      </c>
      <c r="B17" s="808"/>
      <c r="C17" s="808"/>
      <c r="D17" s="623"/>
      <c r="E17" s="623"/>
      <c r="F17" s="718"/>
      <c r="G17" s="719"/>
      <c r="H17" s="719"/>
      <c r="I17" s="719"/>
      <c r="J17" s="719"/>
      <c r="K17" s="718"/>
      <c r="L17" s="719"/>
      <c r="M17" s="719"/>
      <c r="U17" s="717"/>
      <c r="V17" s="717"/>
    </row>
    <row r="18" spans="1:22" s="716" customFormat="1" ht="63" customHeight="1">
      <c r="A18" s="565">
        <v>1</v>
      </c>
      <c r="B18" s="784" t="s">
        <v>236</v>
      </c>
      <c r="C18" s="784"/>
      <c r="D18" s="566"/>
      <c r="E18" s="566"/>
      <c r="F18" s="718"/>
      <c r="G18" s="719"/>
      <c r="H18" s="719"/>
      <c r="I18" s="719"/>
      <c r="J18" s="566"/>
      <c r="K18" s="706"/>
      <c r="L18" s="709"/>
      <c r="M18" s="719" t="str">
        <f>IF(L18=0,"Included",K18*L18)</f>
        <v>Included</v>
      </c>
      <c r="U18" s="717"/>
      <c r="V18" s="717"/>
    </row>
    <row r="19" spans="1:22" s="716" customFormat="1" ht="72" customHeight="1">
      <c r="A19" s="565">
        <v>2</v>
      </c>
      <c r="B19" s="783"/>
      <c r="C19" s="783"/>
      <c r="D19" s="566"/>
      <c r="E19" s="566"/>
      <c r="F19" s="718"/>
      <c r="G19" s="719"/>
      <c r="H19" s="719"/>
      <c r="I19" s="719"/>
      <c r="J19" s="566"/>
      <c r="K19" s="706"/>
      <c r="L19" s="709"/>
      <c r="M19" s="719" t="str">
        <f>IF(L19=0,"Included",K19*L19)</f>
        <v>Included</v>
      </c>
      <c r="U19" s="717"/>
      <c r="V19" s="717"/>
    </row>
    <row r="20" spans="1:22" s="716" customFormat="1" ht="63.75" customHeight="1">
      <c r="A20" s="565">
        <v>3</v>
      </c>
      <c r="B20" s="783"/>
      <c r="C20" s="783"/>
      <c r="D20" s="566"/>
      <c r="E20" s="566"/>
      <c r="F20" s="718"/>
      <c r="G20" s="719"/>
      <c r="H20" s="719"/>
      <c r="I20" s="719"/>
      <c r="J20" s="566"/>
      <c r="K20" s="706"/>
      <c r="L20" s="709"/>
      <c r="M20" s="719" t="str">
        <f>IF(L20=0,"Included",K20*L20)</f>
        <v>Included</v>
      </c>
      <c r="U20" s="717"/>
      <c r="V20" s="717"/>
    </row>
    <row r="21" spans="1:22" ht="33.6" customHeight="1">
      <c r="A21" s="809" t="s">
        <v>280</v>
      </c>
      <c r="B21" s="809"/>
      <c r="C21" s="809"/>
      <c r="D21" s="809"/>
      <c r="E21" s="809"/>
      <c r="F21" s="809"/>
      <c r="G21" s="809"/>
      <c r="H21" s="809"/>
      <c r="I21" s="809"/>
      <c r="J21" s="809"/>
      <c r="K21" s="809"/>
      <c r="L21" s="809"/>
      <c r="M21" s="720">
        <f>SUM(M18:M20)</f>
        <v>0</v>
      </c>
    </row>
    <row r="22" spans="1:22" ht="33.6" customHeight="1">
      <c r="A22" s="628"/>
      <c r="B22" s="628"/>
      <c r="C22" s="628"/>
      <c r="D22" s="628"/>
      <c r="E22" s="628"/>
      <c r="F22" s="628"/>
      <c r="G22" s="628"/>
      <c r="H22" s="628"/>
      <c r="I22" s="628"/>
      <c r="J22" s="628"/>
      <c r="K22" s="628"/>
      <c r="L22" s="628"/>
      <c r="M22" s="721"/>
    </row>
    <row r="23" spans="1:22" ht="64.5" customHeight="1">
      <c r="A23" s="92" t="s">
        <v>519</v>
      </c>
      <c r="B23" s="810" t="s">
        <v>523</v>
      </c>
      <c r="C23" s="810"/>
      <c r="D23" s="810"/>
      <c r="E23" s="810"/>
      <c r="F23" s="810"/>
      <c r="G23" s="810"/>
      <c r="H23" s="810"/>
      <c r="I23" s="810"/>
      <c r="J23" s="810"/>
      <c r="K23" s="810"/>
      <c r="L23" s="810"/>
      <c r="M23" s="810"/>
    </row>
    <row r="24" spans="1:22" ht="33.6" customHeight="1">
      <c r="A24" s="88"/>
      <c r="B24" s="87"/>
      <c r="C24" s="87"/>
      <c r="D24" s="89"/>
      <c r="E24" s="88"/>
      <c r="G24" s="89"/>
    </row>
    <row r="25" spans="1:22" ht="33.6" customHeight="1">
      <c r="A25" s="92" t="s">
        <v>208</v>
      </c>
      <c r="B25" s="124">
        <f>'Names of Bidder'!D20</f>
        <v>0</v>
      </c>
      <c r="C25" s="87"/>
      <c r="D25" s="89"/>
      <c r="E25" s="88"/>
      <c r="F25" s="95"/>
      <c r="G25" s="89"/>
      <c r="K25" s="722" t="s">
        <v>211</v>
      </c>
      <c r="L25" s="328">
        <f>'Names of Bidder'!D17</f>
        <v>0</v>
      </c>
    </row>
    <row r="26" spans="1:22" ht="30">
      <c r="A26" s="92" t="s">
        <v>209</v>
      </c>
      <c r="B26" s="806">
        <f>'Names of Bidder'!D21</f>
        <v>0</v>
      </c>
      <c r="C26" s="806"/>
      <c r="D26" s="807"/>
      <c r="E26" s="807"/>
      <c r="F26" s="807"/>
      <c r="K26" s="722" t="s">
        <v>212</v>
      </c>
      <c r="L26" s="328">
        <f>'Names of Bidder'!D18</f>
        <v>0</v>
      </c>
    </row>
  </sheetData>
  <sheetProtection password="CB12" sheet="1" formatColumns="0" formatRows="0" selectLockedCells="1"/>
  <customSheetViews>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08A645C4-A23F-4400-B0CE-1685BC312A6F}" printArea="1"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9"/>
      <headerFooter alignWithMargins="0">
        <oddFooter>&amp;R&amp;"Book Antiqua,Bold"&amp;10Schedule-2/ Page &amp;P of &amp;N</oddFooter>
      </headerFooter>
    </customSheetView>
  </customSheetViews>
  <mergeCells count="22">
    <mergeCell ref="B26:F26"/>
    <mergeCell ref="B17:C17"/>
    <mergeCell ref="B18:C18"/>
    <mergeCell ref="B19:C19"/>
    <mergeCell ref="B20:C20"/>
    <mergeCell ref="A21:L21"/>
    <mergeCell ref="B23:M23"/>
    <mergeCell ref="A3:M3"/>
    <mergeCell ref="A4:M4"/>
    <mergeCell ref="F15:F16"/>
    <mergeCell ref="G15:G16"/>
    <mergeCell ref="H15:H16"/>
    <mergeCell ref="E15:E16"/>
    <mergeCell ref="I15:I16"/>
    <mergeCell ref="B14:C16"/>
    <mergeCell ref="D15:D16"/>
    <mergeCell ref="D14:I14"/>
    <mergeCell ref="K7:M11"/>
    <mergeCell ref="A14:A16"/>
    <mergeCell ref="K14:K16"/>
    <mergeCell ref="J14:J16"/>
    <mergeCell ref="A13:M13"/>
  </mergeCells>
  <phoneticPr fontId="3" type="noConversion"/>
  <dataValidations count="1">
    <dataValidation type="decimal" operator="greaterThanOrEqual" allowBlank="1" showInputMessage="1" showErrorMessage="1" sqref="L18:L20" xr:uid="{00000000-0002-0000-0600-000000000000}">
      <formula1>0</formula1>
    </dataValidation>
  </dataValidations>
  <printOptions horizontalCentered="1"/>
  <pageMargins left="0.511811023622047" right="0.27559055118110198" top="0.55118110236220497" bottom="0.59055118110236204" header="0.23622047244094499" footer="0.43307086614173201"/>
  <pageSetup paperSize="9" scale="80" orientation="portrait" r:id="rId10"/>
  <headerFooter alignWithMargins="0">
    <oddFooter>&amp;R&amp;"Book Antiqua,Bold"&amp;10Schedule-2/ Page &amp;P of &amp;N</oddFooter>
  </headerFooter>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1"/>
  </sheetPr>
  <dimension ref="A1:AA24"/>
  <sheetViews>
    <sheetView topLeftCell="A4" zoomScaleNormal="100" zoomScaleSheetLayoutView="100" workbookViewId="0">
      <selection activeCell="I3" sqref="I3"/>
    </sheetView>
  </sheetViews>
  <sheetFormatPr defaultRowHeight="16.5"/>
  <cols>
    <col min="1" max="1" width="10.625" style="242" customWidth="1"/>
    <col min="2" max="2" width="33" style="91" customWidth="1"/>
    <col min="3" max="3" width="11.75" style="91" customWidth="1"/>
    <col min="4" max="4" width="7.625" style="90" customWidth="1"/>
    <col min="5" max="5" width="8.625" style="90" customWidth="1"/>
    <col min="6" max="6" width="14.5" style="90" customWidth="1"/>
    <col min="7" max="7" width="19.125" style="90" customWidth="1"/>
    <col min="8" max="8" width="11.125" style="80" customWidth="1"/>
    <col min="9" max="11" width="9" style="79"/>
    <col min="12" max="12" width="9" style="225"/>
    <col min="13" max="14" width="17.625" style="225" customWidth="1"/>
    <col min="15" max="27" width="9" style="225"/>
    <col min="28" max="16384" width="9" style="79"/>
  </cols>
  <sheetData>
    <row r="1" spans="1:14" ht="18" customHeight="1">
      <c r="A1" s="81" t="str">
        <f>Cover!B3</f>
        <v xml:space="preserve">Specification No.: WRTCC/CS/20-21/AMC-LMC/B1 </v>
      </c>
      <c r="B1" s="82"/>
      <c r="C1" s="82"/>
      <c r="D1" s="83"/>
      <c r="E1" s="83"/>
      <c r="F1" s="84"/>
      <c r="G1" s="85" t="s">
        <v>232</v>
      </c>
    </row>
    <row r="2" spans="1:14" ht="18" customHeight="1">
      <c r="A2" s="67"/>
      <c r="B2" s="87"/>
      <c r="C2" s="87"/>
      <c r="D2" s="88"/>
      <c r="E2" s="88"/>
      <c r="F2" s="89"/>
      <c r="G2" s="89"/>
      <c r="H2" s="89"/>
    </row>
    <row r="3" spans="1:14" ht="44.25" customHeight="1">
      <c r="A3" s="785"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785"/>
      <c r="C3" s="785"/>
      <c r="D3" s="785"/>
      <c r="E3" s="785"/>
      <c r="F3" s="785"/>
      <c r="G3" s="785"/>
      <c r="L3" s="233"/>
      <c r="N3" s="234"/>
    </row>
    <row r="4" spans="1:14" ht="22.15" customHeight="1">
      <c r="A4" s="800" t="s">
        <v>227</v>
      </c>
      <c r="B4" s="800"/>
      <c r="C4" s="800"/>
      <c r="D4" s="800"/>
      <c r="E4" s="800"/>
      <c r="F4" s="800"/>
      <c r="G4" s="800"/>
      <c r="H4" s="282"/>
      <c r="L4" s="233"/>
      <c r="N4" s="235"/>
    </row>
    <row r="5" spans="1:14" ht="18" customHeight="1">
      <c r="A5" s="283"/>
      <c r="B5" s="237"/>
      <c r="C5" s="237"/>
      <c r="D5" s="236"/>
      <c r="E5" s="236"/>
      <c r="F5" s="236"/>
      <c r="G5" s="284"/>
      <c r="H5" s="89"/>
      <c r="L5" s="233"/>
      <c r="N5" s="235"/>
    </row>
    <row r="6" spans="1:14" ht="18" customHeight="1">
      <c r="A6" s="29" t="str">
        <f>'Sch-1'!A6</f>
        <v>Bidder's Name And Address</v>
      </c>
      <c r="B6" s="30"/>
      <c r="C6" s="30"/>
      <c r="D6" s="30"/>
      <c r="E6" s="30"/>
      <c r="F6" s="63" t="s">
        <v>198</v>
      </c>
      <c r="G6" s="89"/>
      <c r="H6" s="30"/>
      <c r="L6" s="233"/>
      <c r="N6" s="235"/>
    </row>
    <row r="7" spans="1:14" ht="18" customHeight="1">
      <c r="A7" s="238" t="str">
        <f>'Sch-1'!A7</f>
        <v>Bidder as Individual Bidder</v>
      </c>
      <c r="F7" s="62" t="s">
        <v>200</v>
      </c>
      <c r="G7" s="89"/>
      <c r="H7" s="32"/>
      <c r="L7" s="233"/>
      <c r="N7" s="235"/>
    </row>
    <row r="8" spans="1:14" ht="18" customHeight="1">
      <c r="A8" s="68" t="s">
        <v>199</v>
      </c>
      <c r="B8" s="825" t="str">
        <f>IF('Sch-1'!B8=0, "", 'Sch-1'!B8)</f>
        <v/>
      </c>
      <c r="C8" s="825"/>
      <c r="D8" s="825"/>
      <c r="E8" s="825"/>
      <c r="F8" s="62" t="s">
        <v>202</v>
      </c>
      <c r="G8" s="89"/>
      <c r="H8" s="32"/>
      <c r="L8" s="233"/>
      <c r="N8" s="235"/>
    </row>
    <row r="9" spans="1:14" ht="18" customHeight="1">
      <c r="A9" s="68" t="s">
        <v>201</v>
      </c>
      <c r="B9" s="825" t="str">
        <f>IF('Sch-1'!B9=0, "", 'Sch-1'!B9)</f>
        <v/>
      </c>
      <c r="C9" s="825"/>
      <c r="D9" s="825"/>
      <c r="E9" s="825"/>
      <c r="F9" s="62" t="s">
        <v>203</v>
      </c>
      <c r="G9" s="89"/>
      <c r="H9" s="32"/>
      <c r="L9" s="233"/>
      <c r="N9" s="234"/>
    </row>
    <row r="10" spans="1:14" ht="18" customHeight="1">
      <c r="A10" s="70"/>
      <c r="B10" s="825" t="str">
        <f ca="1">IF('Sch-1'!B12=0, "", 'Sch-1'!B12)</f>
        <v/>
      </c>
      <c r="C10" s="825"/>
      <c r="D10" s="825"/>
      <c r="E10" s="825"/>
      <c r="F10" s="62" t="s">
        <v>204</v>
      </c>
      <c r="G10" s="89"/>
      <c r="H10" s="32"/>
    </row>
    <row r="11" spans="1:14" ht="18" customHeight="1">
      <c r="A11" s="70"/>
      <c r="B11" s="825" t="e">
        <f>IF('Sch-1'!#REF!=0, "", 'Sch-1'!#REF!)</f>
        <v>#REF!</v>
      </c>
      <c r="C11" s="825"/>
      <c r="D11" s="825"/>
      <c r="E11" s="825"/>
      <c r="F11" s="62" t="s">
        <v>205</v>
      </c>
      <c r="G11" s="89"/>
      <c r="H11" s="32"/>
    </row>
    <row r="12" spans="1:14" ht="18" customHeight="1">
      <c r="A12" s="70"/>
      <c r="B12" s="202"/>
      <c r="C12" s="202"/>
      <c r="D12" s="202"/>
      <c r="E12" s="202"/>
      <c r="F12" s="69"/>
      <c r="G12" s="89"/>
      <c r="H12" s="32"/>
    </row>
    <row r="13" spans="1:14" ht="18" customHeight="1">
      <c r="A13" s="70"/>
      <c r="B13" s="99"/>
      <c r="C13" s="99"/>
      <c r="D13" s="99"/>
      <c r="E13" s="99"/>
      <c r="F13" s="99"/>
      <c r="G13" s="85" t="s">
        <v>175</v>
      </c>
      <c r="H13" s="33"/>
    </row>
    <row r="14" spans="1:14" ht="43.5" customHeight="1">
      <c r="A14" s="239" t="s">
        <v>176</v>
      </c>
      <c r="B14" s="239" t="s">
        <v>197</v>
      </c>
      <c r="C14" s="239" t="s">
        <v>155</v>
      </c>
      <c r="D14" s="240" t="s">
        <v>174</v>
      </c>
      <c r="E14" s="240" t="s">
        <v>177</v>
      </c>
      <c r="F14" s="239" t="s">
        <v>157</v>
      </c>
      <c r="G14" s="239" t="s">
        <v>179</v>
      </c>
      <c r="H14" s="215"/>
      <c r="M14" s="220"/>
      <c r="N14" s="220"/>
    </row>
    <row r="15" spans="1:14" ht="18" customHeight="1">
      <c r="A15" s="240">
        <v>1</v>
      </c>
      <c r="B15" s="240">
        <v>2</v>
      </c>
      <c r="C15" s="240">
        <v>3</v>
      </c>
      <c r="D15" s="240">
        <v>4</v>
      </c>
      <c r="E15" s="240">
        <v>5</v>
      </c>
      <c r="F15" s="240">
        <v>6</v>
      </c>
      <c r="G15" s="240" t="s">
        <v>156</v>
      </c>
      <c r="H15" s="229"/>
      <c r="M15" s="219"/>
      <c r="N15" s="219"/>
    </row>
    <row r="16" spans="1:14" ht="50.1" customHeight="1">
      <c r="A16" s="285" t="e">
        <f>'Sch-2'!#REF!</f>
        <v>#REF!</v>
      </c>
      <c r="B16" s="285" t="e">
        <f>'Sch-2'!#REF!</f>
        <v>#REF!</v>
      </c>
      <c r="C16" s="346" t="e">
        <f>'Sch-2'!#REF!</f>
        <v>#REF!</v>
      </c>
      <c r="D16" s="285" t="e">
        <f>'Sch-2'!#REF!</f>
        <v>#REF!</v>
      </c>
      <c r="E16" s="345" t="e">
        <f>'Sch-2'!#REF!</f>
        <v>#REF!</v>
      </c>
      <c r="F16" s="286" t="e">
        <f>'Sch-2'!#REF!</f>
        <v>#REF!</v>
      </c>
      <c r="G16" s="332" t="e">
        <f>IF(F16=0, "Included", IF(ISERROR(E16*F16), F16, E16*F16))</f>
        <v>#REF!</v>
      </c>
      <c r="H16" s="33"/>
      <c r="M16" s="221"/>
      <c r="N16" s="221"/>
    </row>
    <row r="17" spans="1:14" ht="28.15" customHeight="1">
      <c r="A17" s="285" t="e">
        <f>'Sch-2'!#REF!</f>
        <v>#REF!</v>
      </c>
      <c r="B17" s="287" t="s">
        <v>231</v>
      </c>
      <c r="C17" s="287"/>
      <c r="D17" s="288"/>
      <c r="E17" s="289"/>
      <c r="F17" s="290"/>
      <c r="G17" s="291" t="e">
        <f>ROUND(SUM(G16:G16),0)</f>
        <v>#REF!</v>
      </c>
      <c r="H17" s="33"/>
      <c r="M17" s="221"/>
      <c r="N17" s="222"/>
    </row>
    <row r="18" spans="1:14" ht="28.15" customHeight="1">
      <c r="A18" s="320"/>
      <c r="B18" s="321"/>
      <c r="C18" s="321"/>
      <c r="D18" s="322"/>
      <c r="E18" s="323"/>
      <c r="F18" s="324"/>
      <c r="G18" s="325"/>
      <c r="H18" s="33"/>
      <c r="M18" s="221"/>
      <c r="N18" s="222"/>
    </row>
    <row r="19" spans="1:14" ht="27.75" customHeight="1">
      <c r="A19" s="292"/>
      <c r="B19" s="244"/>
      <c r="C19" s="244"/>
      <c r="E19" s="242"/>
      <c r="F19" s="243"/>
      <c r="G19" s="243"/>
      <c r="H19" s="33"/>
    </row>
    <row r="20" spans="1:14" ht="33.6" customHeight="1">
      <c r="A20" s="92" t="s">
        <v>208</v>
      </c>
      <c r="B20" s="245" t="e">
        <f>IF('Sch-1'!#REF!=0,"", 'Sch-1'!#REF!)</f>
        <v>#REF!</v>
      </c>
      <c r="C20" s="245"/>
      <c r="D20" s="93"/>
      <c r="E20" s="88"/>
      <c r="F20" s="94" t="s">
        <v>210</v>
      </c>
      <c r="G20" s="95"/>
      <c r="H20" s="89"/>
      <c r="M20" s="233"/>
      <c r="N20" s="293"/>
    </row>
    <row r="21" spans="1:14" ht="33.6" customHeight="1">
      <c r="A21" s="92" t="s">
        <v>209</v>
      </c>
      <c r="B21" s="245" t="e">
        <f>IF('Sch-1'!#REF!=0,"", 'Sch-1'!#REF!)</f>
        <v>#REF!</v>
      </c>
      <c r="C21" s="245"/>
      <c r="D21" s="89"/>
      <c r="E21" s="88"/>
      <c r="F21" s="94" t="s">
        <v>211</v>
      </c>
      <c r="G21" s="96" t="e">
        <f>IF('Sch-1'!#REF!=0,"",'Sch-1'!#REF!)</f>
        <v>#REF!</v>
      </c>
      <c r="H21" s="89"/>
    </row>
    <row r="22" spans="1:14" ht="33.6" customHeight="1">
      <c r="A22" s="88"/>
      <c r="B22" s="87"/>
      <c r="C22" s="87"/>
      <c r="D22" s="89"/>
      <c r="E22" s="88"/>
      <c r="F22" s="94" t="s">
        <v>212</v>
      </c>
      <c r="G22" s="96" t="e">
        <f>IF('Sch-1'!#REF!=0,"",'Sch-1'!#REF!)</f>
        <v>#REF!</v>
      </c>
      <c r="H22" s="89"/>
    </row>
    <row r="23" spans="1:14" ht="33.6" customHeight="1">
      <c r="A23" s="88"/>
      <c r="B23" s="87"/>
      <c r="C23" s="87"/>
      <c r="D23" s="89"/>
      <c r="E23" s="88"/>
      <c r="F23" s="94" t="s">
        <v>213</v>
      </c>
      <c r="G23" s="95"/>
      <c r="H23" s="89"/>
    </row>
    <row r="24" spans="1:14">
      <c r="A24" s="88"/>
      <c r="B24" s="806"/>
      <c r="C24" s="806"/>
      <c r="D24" s="807"/>
      <c r="E24" s="807"/>
      <c r="F24" s="807"/>
      <c r="G24" s="807"/>
    </row>
  </sheetData>
  <sheetProtection password="E98F" sheet="1" objects="1" scenarios="1" selectLockedCells="1" selectUnlockedCells="1"/>
  <customSheetViews>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08A645C4-A23F-4400-B0CE-1685BC312A6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0" type="noConversion"/>
  <printOptions horizontalCentered="1"/>
  <pageMargins left="0.51181102362204722" right="0.26" top="0.54" bottom="0.61" header="0.25" footer="0.43"/>
  <pageSetup paperSize="9" orientation="portrait" horizontalDpi="300" verticalDpi="300" r:id="rId9"/>
  <headerFooter alignWithMargins="0">
    <oddFooter>&amp;R&amp;"Book Antiqua,Bold"&amp;10Schedule-2/ Page &amp;P of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indexed="10"/>
  </sheetPr>
  <dimension ref="A1:W157"/>
  <sheetViews>
    <sheetView tabSelected="1" zoomScale="50" zoomScaleNormal="50" zoomScaleSheetLayoutView="55" workbookViewId="0">
      <selection activeCell="H19" sqref="H19"/>
    </sheetView>
  </sheetViews>
  <sheetFormatPr defaultRowHeight="16.5"/>
  <cols>
    <col min="1" max="1" width="10.625" style="90" customWidth="1"/>
    <col min="2" max="2" width="34.625" style="91" customWidth="1"/>
    <col min="3" max="3" width="40.25" style="91" customWidth="1"/>
    <col min="4" max="4" width="11.625" style="90" customWidth="1"/>
    <col min="5" max="5" width="12.375" style="90" customWidth="1"/>
    <col min="6" max="6" width="20.125" style="90" bestFit="1" customWidth="1"/>
    <col min="7" max="7" width="21.125" style="90" customWidth="1"/>
    <col min="8" max="8" width="22.625" style="90" customWidth="1"/>
    <col min="9" max="9" width="14.125" style="90" customWidth="1"/>
    <col min="10" max="10" width="21" style="90" customWidth="1"/>
    <col min="11" max="11" width="20" style="90" customWidth="1"/>
    <col min="12" max="14" width="23.875" style="507" customWidth="1"/>
    <col min="15" max="15" width="28.125" style="507" customWidth="1"/>
    <col min="16" max="16" width="15.375" style="507" hidden="1" customWidth="1"/>
    <col min="17" max="17" width="12" style="79" customWidth="1"/>
    <col min="18" max="18" width="9" style="225"/>
    <col min="19" max="20" width="17.625" style="225" customWidth="1"/>
    <col min="21" max="23" width="9" style="225"/>
    <col min="24" max="16384" width="9" style="79"/>
  </cols>
  <sheetData>
    <row r="1" spans="1:20" ht="18" customHeight="1">
      <c r="A1" s="81" t="str">
        <f>Cover!B3</f>
        <v xml:space="preserve">Specification No.: WRTCC/CS/20-21/AMC-LMC/B1 </v>
      </c>
      <c r="B1" s="82"/>
      <c r="C1" s="82"/>
      <c r="D1" s="83"/>
      <c r="E1" s="83"/>
      <c r="F1" s="83"/>
      <c r="G1" s="83"/>
      <c r="H1" s="83"/>
      <c r="I1" s="83"/>
      <c r="J1" s="83"/>
      <c r="K1" s="83"/>
      <c r="L1" s="551"/>
      <c r="M1" s="551"/>
      <c r="N1" s="551"/>
      <c r="O1" s="551"/>
      <c r="P1" s="551"/>
    </row>
    <row r="2" spans="1:20" ht="18" customHeight="1">
      <c r="A2" s="67"/>
      <c r="B2" s="87"/>
      <c r="C2" s="87"/>
      <c r="D2" s="88"/>
      <c r="E2" s="88"/>
      <c r="F2" s="88"/>
      <c r="G2" s="88"/>
      <c r="H2" s="88"/>
      <c r="I2" s="88"/>
      <c r="J2" s="88"/>
      <c r="K2" s="88"/>
    </row>
    <row r="3" spans="1:20" ht="55.5" customHeight="1">
      <c r="A3" s="785"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785"/>
      <c r="C3" s="785"/>
      <c r="D3" s="785"/>
      <c r="E3" s="785"/>
      <c r="F3" s="785"/>
      <c r="G3" s="785"/>
      <c r="H3" s="785"/>
      <c r="I3" s="785"/>
      <c r="J3" s="785"/>
      <c r="K3" s="785"/>
      <c r="L3" s="785"/>
      <c r="M3" s="785"/>
      <c r="N3" s="785"/>
      <c r="O3" s="785"/>
      <c r="P3" s="215"/>
      <c r="R3" s="233"/>
      <c r="T3" s="234"/>
    </row>
    <row r="4" spans="1:20" ht="22.15" customHeight="1">
      <c r="A4" s="741" t="s">
        <v>538</v>
      </c>
      <c r="B4" s="741"/>
      <c r="C4" s="741"/>
      <c r="D4" s="741"/>
      <c r="E4" s="741"/>
      <c r="F4" s="741"/>
      <c r="G4" s="741"/>
      <c r="H4" s="741"/>
      <c r="I4" s="741"/>
      <c r="J4" s="741"/>
      <c r="K4" s="741"/>
      <c r="L4" s="741"/>
      <c r="M4" s="741"/>
      <c r="N4" s="741"/>
      <c r="O4" s="741"/>
      <c r="P4" s="638"/>
      <c r="R4" s="233"/>
      <c r="T4" s="235"/>
    </row>
    <row r="5" spans="1:20" ht="18" customHeight="1">
      <c r="R5" s="233"/>
      <c r="T5" s="235"/>
    </row>
    <row r="6" spans="1:20" ht="28.15" customHeight="1">
      <c r="A6" s="29" t="str">
        <f>'Sch-1'!A6</f>
        <v>Bidder's Name And Address</v>
      </c>
      <c r="B6" s="30"/>
      <c r="C6" s="30"/>
      <c r="D6" s="30"/>
      <c r="H6" s="63"/>
      <c r="I6" s="63"/>
      <c r="J6" s="63"/>
      <c r="K6" s="63"/>
      <c r="L6" s="63" t="s">
        <v>198</v>
      </c>
      <c r="M6" s="63"/>
      <c r="N6" s="63"/>
      <c r="O6" s="63"/>
      <c r="P6" s="63"/>
      <c r="R6" s="233"/>
      <c r="T6" s="235"/>
    </row>
    <row r="7" spans="1:20" ht="24.6" customHeight="1">
      <c r="A7" s="238" t="str">
        <f>'Sch-1'!A7</f>
        <v>Bidder as Individual Bidder</v>
      </c>
      <c r="H7" s="506"/>
      <c r="I7" s="506"/>
      <c r="J7" s="506"/>
      <c r="K7" s="506"/>
      <c r="L7" s="842" t="str">
        <f>'Sch-1'!L7</f>
        <v xml:space="preserve">Sr. DGM (Tel-CS &amp; Wi-Fi) 
Power Grid Corporation of India Limited,
Western Region Telecom Control Center, 
1st Floor, Samruddhi Venture Park,
 MIDC Area, Marol, Andheri(East),
Mumbai-400093
</v>
      </c>
      <c r="M7" s="842"/>
      <c r="N7" s="842"/>
      <c r="O7" s="639"/>
      <c r="P7" s="640"/>
      <c r="R7" s="233"/>
      <c r="T7" s="235"/>
    </row>
    <row r="8" spans="1:20" ht="24.6" customHeight="1">
      <c r="A8" s="68" t="s">
        <v>199</v>
      </c>
      <c r="B8" s="516">
        <f>'Names of Bidder'!D8</f>
        <v>0</v>
      </c>
      <c r="C8" s="516"/>
      <c r="D8" s="516"/>
      <c r="H8" s="506"/>
      <c r="I8" s="506"/>
      <c r="J8" s="506"/>
      <c r="K8" s="506"/>
      <c r="L8" s="842"/>
      <c r="M8" s="842"/>
      <c r="N8" s="842"/>
      <c r="O8" s="639"/>
      <c r="P8" s="640"/>
      <c r="R8" s="233"/>
      <c r="T8" s="235"/>
    </row>
    <row r="9" spans="1:20" ht="24.6" customHeight="1">
      <c r="A9" s="68" t="s">
        <v>201</v>
      </c>
      <c r="B9" s="516">
        <f>'Names of Bidder'!D9</f>
        <v>0</v>
      </c>
      <c r="C9" s="516"/>
      <c r="D9" s="516"/>
      <c r="H9" s="506"/>
      <c r="I9" s="506"/>
      <c r="J9" s="506"/>
      <c r="K9" s="506"/>
      <c r="L9" s="842"/>
      <c r="M9" s="842"/>
      <c r="N9" s="842"/>
      <c r="O9" s="639"/>
      <c r="P9" s="640"/>
      <c r="R9" s="233"/>
      <c r="T9" s="234"/>
    </row>
    <row r="10" spans="1:20" ht="31.5" customHeight="1">
      <c r="A10" s="70"/>
      <c r="B10" s="516">
        <f>'Names of Bidder'!D10</f>
        <v>0</v>
      </c>
      <c r="C10" s="516"/>
      <c r="D10" s="516"/>
      <c r="H10" s="506"/>
      <c r="I10" s="506"/>
      <c r="J10" s="506"/>
      <c r="K10" s="506"/>
      <c r="L10" s="842"/>
      <c r="M10" s="842"/>
      <c r="N10" s="842"/>
      <c r="O10" s="639"/>
      <c r="P10" s="640"/>
    </row>
    <row r="11" spans="1:20" ht="24.6" customHeight="1">
      <c r="A11" s="70"/>
      <c r="B11" s="516">
        <f>'Names of Bidder'!D11</f>
        <v>0</v>
      </c>
      <c r="C11" s="516"/>
      <c r="D11" s="516"/>
      <c r="H11" s="506"/>
      <c r="I11" s="506"/>
      <c r="J11" s="506"/>
      <c r="K11" s="506"/>
      <c r="L11" s="640"/>
      <c r="M11" s="640"/>
      <c r="N11" s="639"/>
      <c r="O11" s="639"/>
      <c r="P11" s="640"/>
    </row>
    <row r="12" spans="1:20" ht="18.600000000000001" customHeight="1">
      <c r="A12" s="70"/>
      <c r="B12" s="99"/>
      <c r="C12" s="99"/>
      <c r="D12" s="99"/>
      <c r="E12" s="99"/>
      <c r="F12" s="99"/>
      <c r="G12" s="99"/>
      <c r="H12" s="99"/>
      <c r="I12" s="99"/>
      <c r="J12" s="99"/>
      <c r="K12" s="99"/>
    </row>
    <row r="13" spans="1:20" s="681" customFormat="1" ht="18" customHeight="1">
      <c r="A13" s="782" t="s">
        <v>509</v>
      </c>
      <c r="B13" s="782"/>
      <c r="C13" s="782"/>
      <c r="D13" s="782"/>
      <c r="E13" s="782"/>
      <c r="F13" s="782"/>
      <c r="G13" s="782"/>
      <c r="H13" s="782"/>
      <c r="I13" s="782"/>
      <c r="J13" s="782"/>
      <c r="K13" s="782"/>
      <c r="L13" s="782"/>
      <c r="M13" s="782"/>
      <c r="N13" s="782"/>
      <c r="O13" s="782"/>
      <c r="P13" s="644"/>
    </row>
    <row r="14" spans="1:20" s="681" customFormat="1" thickBot="1">
      <c r="A14" s="786" t="s">
        <v>455</v>
      </c>
      <c r="B14" s="786"/>
      <c r="C14" s="786"/>
      <c r="D14" s="786"/>
      <c r="E14" s="786"/>
      <c r="F14" s="786"/>
      <c r="G14" s="786"/>
      <c r="H14" s="786"/>
      <c r="I14" s="786"/>
      <c r="J14" s="786"/>
      <c r="K14" s="786"/>
      <c r="L14" s="786"/>
      <c r="M14" s="786"/>
      <c r="N14" s="786"/>
      <c r="O14" s="786"/>
      <c r="P14" s="645"/>
    </row>
    <row r="15" spans="1:20" s="681" customFormat="1" ht="41.65" customHeight="1">
      <c r="A15" s="830" t="s">
        <v>554</v>
      </c>
      <c r="B15" s="831"/>
      <c r="C15" s="831"/>
      <c r="D15" s="831"/>
      <c r="E15" s="831"/>
      <c r="F15" s="831"/>
      <c r="G15" s="831"/>
      <c r="H15" s="831"/>
      <c r="I15" s="831"/>
      <c r="J15" s="831"/>
      <c r="K15" s="831"/>
      <c r="L15" s="831"/>
      <c r="M15" s="831"/>
      <c r="N15" s="831"/>
      <c r="O15" s="831"/>
      <c r="P15" s="646"/>
    </row>
    <row r="16" spans="1:20" s="681" customFormat="1" ht="99">
      <c r="A16" s="666" t="s">
        <v>176</v>
      </c>
      <c r="B16" s="836" t="s">
        <v>180</v>
      </c>
      <c r="C16" s="836"/>
      <c r="D16" s="658" t="s">
        <v>174</v>
      </c>
      <c r="E16" s="658" t="s">
        <v>548</v>
      </c>
      <c r="F16" s="658" t="s">
        <v>474</v>
      </c>
      <c r="G16" s="667" t="s">
        <v>475</v>
      </c>
      <c r="H16" s="667" t="s">
        <v>476</v>
      </c>
      <c r="I16" s="667" t="s">
        <v>477</v>
      </c>
      <c r="J16" s="667" t="s">
        <v>478</v>
      </c>
      <c r="K16" s="667" t="s">
        <v>479</v>
      </c>
      <c r="L16" s="658" t="s">
        <v>552</v>
      </c>
      <c r="M16" s="658" t="s">
        <v>550</v>
      </c>
      <c r="N16" s="658" t="s">
        <v>551</v>
      </c>
      <c r="O16" s="658" t="s">
        <v>556</v>
      </c>
      <c r="P16" s="647" t="s">
        <v>481</v>
      </c>
    </row>
    <row r="17" spans="1:17" s="681" customFormat="1">
      <c r="A17" s="666">
        <v>1</v>
      </c>
      <c r="B17" s="836">
        <v>2</v>
      </c>
      <c r="C17" s="836"/>
      <c r="D17" s="658">
        <v>3</v>
      </c>
      <c r="E17" s="658">
        <v>4</v>
      </c>
      <c r="F17" s="658">
        <v>5</v>
      </c>
      <c r="G17" s="658">
        <v>6</v>
      </c>
      <c r="H17" s="658">
        <v>7</v>
      </c>
      <c r="I17" s="658">
        <v>8</v>
      </c>
      <c r="J17" s="658">
        <v>9</v>
      </c>
      <c r="K17" s="658">
        <v>10</v>
      </c>
      <c r="L17" s="658">
        <v>11</v>
      </c>
      <c r="M17" s="658" t="s">
        <v>549</v>
      </c>
      <c r="N17" s="658" t="s">
        <v>553</v>
      </c>
      <c r="O17" s="658">
        <v>14</v>
      </c>
      <c r="P17" s="647">
        <v>15</v>
      </c>
    </row>
    <row r="18" spans="1:17" s="681" customFormat="1" ht="93" customHeight="1">
      <c r="A18" s="666" t="s">
        <v>456</v>
      </c>
      <c r="B18" s="840" t="s">
        <v>642</v>
      </c>
      <c r="C18" s="841"/>
      <c r="D18" s="658"/>
      <c r="E18" s="682"/>
      <c r="F18" s="657"/>
      <c r="G18" s="657"/>
      <c r="H18" s="657"/>
      <c r="I18" s="657"/>
      <c r="J18" s="657"/>
      <c r="K18" s="657"/>
      <c r="L18" s="657"/>
      <c r="M18" s="657"/>
      <c r="N18" s="668"/>
      <c r="O18" s="668"/>
      <c r="P18" s="647"/>
    </row>
    <row r="19" spans="1:17" s="681" customFormat="1" ht="31.5">
      <c r="A19" s="669" t="s">
        <v>565</v>
      </c>
      <c r="B19" s="828" t="s">
        <v>653</v>
      </c>
      <c r="C19" s="828"/>
      <c r="D19" s="682" t="s">
        <v>568</v>
      </c>
      <c r="E19" s="683">
        <v>86</v>
      </c>
      <c r="F19" s="657">
        <v>998716</v>
      </c>
      <c r="G19" s="684" t="str">
        <f>IF(H19=0,"Confirmed",(IF(H19=F19,"Confirmed","Not Confirmed")))</f>
        <v>Confirmed</v>
      </c>
      <c r="H19" s="660"/>
      <c r="I19" s="659">
        <v>0.18</v>
      </c>
      <c r="J19" s="684" t="str">
        <f>IF(K19=0,"Confirmed",(IF(K19=I19,"Confirmed","Not Confirmed")))</f>
        <v>Confirmed</v>
      </c>
      <c r="K19" s="661"/>
      <c r="L19" s="679">
        <v>1</v>
      </c>
      <c r="M19" s="670">
        <f>(E19*L19)</f>
        <v>86</v>
      </c>
      <c r="N19" s="670">
        <f>(M19*12)</f>
        <v>1032</v>
      </c>
      <c r="O19" s="670">
        <f>N19*3</f>
        <v>3096</v>
      </c>
      <c r="P19" s="643">
        <f>IF(K19="",E19*I19*L19*36,(IF(K19=0,E19*K19*L19*36,E19*K19*L19*36)))</f>
        <v>557.28</v>
      </c>
      <c r="Q19" s="685"/>
    </row>
    <row r="20" spans="1:17" s="681" customFormat="1" ht="31.5">
      <c r="A20" s="669" t="s">
        <v>565</v>
      </c>
      <c r="B20" s="828" t="s">
        <v>654</v>
      </c>
      <c r="C20" s="828"/>
      <c r="D20" s="682" t="s">
        <v>568</v>
      </c>
      <c r="E20" s="683">
        <v>52.6</v>
      </c>
      <c r="F20" s="657">
        <v>998716</v>
      </c>
      <c r="G20" s="684" t="str">
        <f>IF(H20=0,"Confirmed",(IF(H20=F20,"Confirmed","Not Confirmed")))</f>
        <v>Confirmed</v>
      </c>
      <c r="H20" s="660"/>
      <c r="I20" s="659">
        <v>0.18</v>
      </c>
      <c r="J20" s="684" t="str">
        <f>IF(K20=0,"Confirmed",(IF(K20=I20,"Confirmed","Not Confirmed")))</f>
        <v>Confirmed</v>
      </c>
      <c r="K20" s="661"/>
      <c r="L20" s="679">
        <v>1</v>
      </c>
      <c r="M20" s="670">
        <f>(E20*L20)</f>
        <v>52.6</v>
      </c>
      <c r="N20" s="670">
        <f>(M20*12)</f>
        <v>631.20000000000005</v>
      </c>
      <c r="O20" s="670">
        <f>N20*3</f>
        <v>1893.6000000000001</v>
      </c>
      <c r="P20" s="643">
        <f>IF(K20="",E20*I20*L20*36,(IF(K20=0,E20*K20*L20*36,E20*K20*L20*36)))</f>
        <v>340.84800000000001</v>
      </c>
      <c r="Q20" s="685"/>
    </row>
    <row r="21" spans="1:17" s="681" customFormat="1" ht="55.5" customHeight="1">
      <c r="A21" s="669" t="s">
        <v>530</v>
      </c>
      <c r="B21" s="829" t="s">
        <v>649</v>
      </c>
      <c r="C21" s="829"/>
      <c r="D21" s="682" t="s">
        <v>572</v>
      </c>
      <c r="E21" s="683">
        <v>1</v>
      </c>
      <c r="F21" s="657">
        <v>998716</v>
      </c>
      <c r="G21" s="684" t="str">
        <f>IF(H21=0,"Confirmed",(IF(H21=F21,"Confirmed","Not Confirmed")))</f>
        <v>Confirmed</v>
      </c>
      <c r="H21" s="660"/>
      <c r="I21" s="659">
        <v>0.18</v>
      </c>
      <c r="J21" s="684" t="str">
        <f>IF(K21="","Confirmed",(IF(K21=I21,"Confirmed","Not Confirmed")))</f>
        <v>Confirmed</v>
      </c>
      <c r="K21" s="661"/>
      <c r="L21" s="679">
        <v>1</v>
      </c>
      <c r="M21" s="670">
        <f>(E21*L21)</f>
        <v>1</v>
      </c>
      <c r="N21" s="670">
        <f>(M21*12)</f>
        <v>12</v>
      </c>
      <c r="O21" s="670">
        <f>N21*3</f>
        <v>36</v>
      </c>
      <c r="P21" s="643">
        <f>IF(K21="",E21*I21*L21*36,(IF(K21=0,E21*K21*L21*36,E21*K21*L21*36)))</f>
        <v>6.4799999999999995</v>
      </c>
      <c r="Q21" s="685"/>
    </row>
    <row r="22" spans="1:17" s="681" customFormat="1" ht="17.25" thickBot="1">
      <c r="A22" s="834" t="s">
        <v>557</v>
      </c>
      <c r="B22" s="835"/>
      <c r="C22" s="835"/>
      <c r="D22" s="835"/>
      <c r="E22" s="835"/>
      <c r="F22" s="835"/>
      <c r="G22" s="835"/>
      <c r="H22" s="835"/>
      <c r="I22" s="835"/>
      <c r="J22" s="835"/>
      <c r="K22" s="835"/>
      <c r="L22" s="835"/>
      <c r="M22" s="671"/>
      <c r="N22" s="671"/>
      <c r="O22" s="670">
        <f>SUM(O19:O21)</f>
        <v>5025.6000000000004</v>
      </c>
      <c r="P22" s="648">
        <f>SUM(P19:P21)</f>
        <v>904.60799999999995</v>
      </c>
    </row>
    <row r="23" spans="1:17" s="681" customFormat="1">
      <c r="A23" s="664"/>
      <c r="B23" s="664"/>
      <c r="C23" s="664"/>
      <c r="D23" s="664"/>
      <c r="E23" s="664"/>
      <c r="F23" s="664"/>
      <c r="G23" s="664"/>
      <c r="H23" s="664"/>
      <c r="I23" s="664"/>
      <c r="J23" s="664"/>
      <c r="K23" s="664"/>
      <c r="L23" s="664"/>
      <c r="M23" s="664"/>
      <c r="N23" s="664"/>
      <c r="O23" s="664"/>
    </row>
    <row r="24" spans="1:17" s="681" customFormat="1" ht="21" thickBot="1">
      <c r="A24" s="832" t="s">
        <v>555</v>
      </c>
      <c r="B24" s="832"/>
      <c r="C24" s="832"/>
      <c r="D24" s="832"/>
      <c r="E24" s="832"/>
      <c r="F24" s="832"/>
      <c r="G24" s="832"/>
      <c r="H24" s="832"/>
      <c r="I24" s="832"/>
      <c r="J24" s="832"/>
      <c r="K24" s="832"/>
      <c r="L24" s="832"/>
      <c r="M24" s="832"/>
      <c r="N24" s="832"/>
      <c r="O24" s="832"/>
      <c r="P24" s="641"/>
    </row>
    <row r="25" spans="1:17" s="681" customFormat="1" ht="99.75" thickBot="1">
      <c r="A25" s="649" t="s">
        <v>176</v>
      </c>
      <c r="B25" s="833" t="s">
        <v>180</v>
      </c>
      <c r="C25" s="833"/>
      <c r="D25" s="650" t="s">
        <v>174</v>
      </c>
      <c r="E25" s="650" t="s">
        <v>548</v>
      </c>
      <c r="F25" s="650" t="s">
        <v>474</v>
      </c>
      <c r="G25" s="651" t="s">
        <v>475</v>
      </c>
      <c r="H25" s="651" t="s">
        <v>476</v>
      </c>
      <c r="I25" s="651" t="s">
        <v>477</v>
      </c>
      <c r="J25" s="651" t="s">
        <v>478</v>
      </c>
      <c r="K25" s="651" t="s">
        <v>479</v>
      </c>
      <c r="L25" s="650" t="s">
        <v>552</v>
      </c>
      <c r="M25" s="723" t="s">
        <v>561</v>
      </c>
      <c r="N25" s="726"/>
      <c r="O25" s="672"/>
      <c r="P25" s="642" t="s">
        <v>481</v>
      </c>
    </row>
    <row r="26" spans="1:17" s="681" customFormat="1">
      <c r="A26" s="686">
        <v>1</v>
      </c>
      <c r="B26" s="827" t="s">
        <v>575</v>
      </c>
      <c r="C26" s="827"/>
      <c r="D26" s="687" t="s">
        <v>636</v>
      </c>
      <c r="E26" s="736">
        <v>21100</v>
      </c>
      <c r="F26" s="652">
        <v>998716</v>
      </c>
      <c r="G26" s="688" t="str">
        <f>IF(H26=0,"Confirmed",(IF(H26=F26,"Confirmed","Not Confirmed")))</f>
        <v>Confirmed</v>
      </c>
      <c r="H26" s="653"/>
      <c r="I26" s="654">
        <v>0.18</v>
      </c>
      <c r="J26" s="688" t="str">
        <f>IF(K26=0,"Confirmed",(IF(K26=I26,"Confirmed","Not Confirmed")))</f>
        <v>Confirmed</v>
      </c>
      <c r="K26" s="655"/>
      <c r="L26" s="678">
        <v>1</v>
      </c>
      <c r="M26" s="724">
        <f>(E26*L26)</f>
        <v>21100</v>
      </c>
      <c r="N26" s="727"/>
      <c r="O26" s="673"/>
      <c r="P26" s="643">
        <f>IF(K26="",E26*I26*L26,(IF(K26=0,E26*K26*L26,E26*K26*L26)))</f>
        <v>3798</v>
      </c>
      <c r="Q26" s="685"/>
    </row>
    <row r="27" spans="1:17" s="681" customFormat="1">
      <c r="A27" s="686" t="s">
        <v>630</v>
      </c>
      <c r="B27" s="827" t="s">
        <v>571</v>
      </c>
      <c r="C27" s="827"/>
      <c r="D27" s="689"/>
      <c r="E27" s="736"/>
      <c r="F27" s="657"/>
      <c r="G27" s="684"/>
      <c r="H27" s="658"/>
      <c r="I27" s="659"/>
      <c r="J27" s="684"/>
      <c r="K27" s="658"/>
      <c r="L27" s="728"/>
      <c r="M27" s="725"/>
      <c r="N27" s="727"/>
      <c r="O27" s="673"/>
      <c r="P27" s="643"/>
      <c r="Q27" s="685"/>
    </row>
    <row r="28" spans="1:17" s="681" customFormat="1">
      <c r="A28" s="686" t="s">
        <v>565</v>
      </c>
      <c r="B28" s="827" t="s">
        <v>562</v>
      </c>
      <c r="C28" s="827"/>
      <c r="D28" s="690" t="s">
        <v>636</v>
      </c>
      <c r="E28" s="736">
        <v>5000</v>
      </c>
      <c r="F28" s="657">
        <v>998716</v>
      </c>
      <c r="G28" s="684" t="str">
        <f t="shared" ref="G28:G76" si="0">IF(H28=0,"Confirmed",(IF(H28=F28,"Confirmed","Not Confirmed")))</f>
        <v>Confirmed</v>
      </c>
      <c r="H28" s="660"/>
      <c r="I28" s="659">
        <v>0.18</v>
      </c>
      <c r="J28" s="684" t="str">
        <f t="shared" ref="J28:J76" si="1">IF(K28=0,"Confirmed",(IF(K28=I28,"Confirmed","Not Confirmed")))</f>
        <v>Confirmed</v>
      </c>
      <c r="K28" s="661"/>
      <c r="L28" s="679">
        <v>1</v>
      </c>
      <c r="M28" s="724">
        <f t="shared" ref="M28:M75" si="2">(E28*L28)</f>
        <v>5000</v>
      </c>
      <c r="N28" s="727"/>
      <c r="O28" s="672"/>
      <c r="P28" s="643">
        <f t="shared" ref="P28:P75" si="3">IF(K28="",E28*I28*L28,(IF(K28=0,E28*K28*L28,E28*K28*L28)))</f>
        <v>900</v>
      </c>
    </row>
    <row r="29" spans="1:17" s="681" customFormat="1">
      <c r="A29" s="686" t="s">
        <v>566</v>
      </c>
      <c r="B29" s="827" t="s">
        <v>576</v>
      </c>
      <c r="C29" s="827"/>
      <c r="D29" s="691" t="s">
        <v>636</v>
      </c>
      <c r="E29" s="736">
        <v>2000</v>
      </c>
      <c r="F29" s="657">
        <v>998716</v>
      </c>
      <c r="G29" s="684" t="str">
        <f t="shared" si="0"/>
        <v>Confirmed</v>
      </c>
      <c r="H29" s="660"/>
      <c r="I29" s="659">
        <v>0.18</v>
      </c>
      <c r="J29" s="684" t="str">
        <f t="shared" si="1"/>
        <v>Confirmed</v>
      </c>
      <c r="K29" s="661"/>
      <c r="L29" s="679">
        <v>1</v>
      </c>
      <c r="M29" s="724">
        <f t="shared" si="2"/>
        <v>2000</v>
      </c>
      <c r="N29" s="727"/>
      <c r="O29" s="672"/>
      <c r="P29" s="643">
        <f t="shared" si="3"/>
        <v>360</v>
      </c>
    </row>
    <row r="30" spans="1:17" s="681" customFormat="1">
      <c r="A30" s="686" t="s">
        <v>631</v>
      </c>
      <c r="B30" s="827" t="s">
        <v>577</v>
      </c>
      <c r="C30" s="827"/>
      <c r="D30" s="687" t="s">
        <v>636</v>
      </c>
      <c r="E30" s="736">
        <v>250</v>
      </c>
      <c r="F30" s="657">
        <v>998716</v>
      </c>
      <c r="G30" s="684" t="str">
        <f t="shared" si="0"/>
        <v>Confirmed</v>
      </c>
      <c r="H30" s="660"/>
      <c r="I30" s="659">
        <v>0.18</v>
      </c>
      <c r="J30" s="684" t="str">
        <f t="shared" si="1"/>
        <v>Confirmed</v>
      </c>
      <c r="K30" s="661"/>
      <c r="L30" s="679">
        <v>1</v>
      </c>
      <c r="M30" s="724">
        <f t="shared" si="2"/>
        <v>250</v>
      </c>
      <c r="N30" s="727"/>
      <c r="O30" s="673"/>
      <c r="P30" s="643">
        <f t="shared" si="3"/>
        <v>45</v>
      </c>
      <c r="Q30" s="685"/>
    </row>
    <row r="31" spans="1:17" s="681" customFormat="1">
      <c r="A31" s="686">
        <v>3</v>
      </c>
      <c r="B31" s="827" t="s">
        <v>578</v>
      </c>
      <c r="C31" s="827"/>
      <c r="D31" s="692"/>
      <c r="E31" s="736"/>
      <c r="F31" s="657"/>
      <c r="G31" s="684"/>
      <c r="H31" s="658"/>
      <c r="I31" s="659"/>
      <c r="J31" s="684"/>
      <c r="K31" s="658"/>
      <c r="L31" s="728"/>
      <c r="M31" s="724"/>
      <c r="N31" s="727"/>
      <c r="O31" s="673"/>
      <c r="P31" s="643"/>
      <c r="Q31" s="685"/>
    </row>
    <row r="32" spans="1:17" s="681" customFormat="1">
      <c r="A32" s="686" t="s">
        <v>565</v>
      </c>
      <c r="B32" s="827" t="s">
        <v>562</v>
      </c>
      <c r="C32" s="827"/>
      <c r="D32" s="693" t="s">
        <v>636</v>
      </c>
      <c r="E32" s="736">
        <v>5000</v>
      </c>
      <c r="F32" s="657">
        <v>998716</v>
      </c>
      <c r="G32" s="684" t="str">
        <f t="shared" si="0"/>
        <v>Confirmed</v>
      </c>
      <c r="H32" s="660"/>
      <c r="I32" s="659">
        <v>0.18</v>
      </c>
      <c r="J32" s="684" t="str">
        <f t="shared" si="1"/>
        <v>Confirmed</v>
      </c>
      <c r="K32" s="661"/>
      <c r="L32" s="679">
        <v>1</v>
      </c>
      <c r="M32" s="724">
        <f t="shared" si="2"/>
        <v>5000</v>
      </c>
      <c r="N32" s="727"/>
      <c r="O32" s="673"/>
      <c r="P32" s="643">
        <f t="shared" si="3"/>
        <v>900</v>
      </c>
      <c r="Q32" s="685"/>
    </row>
    <row r="33" spans="1:17" s="681" customFormat="1">
      <c r="A33" s="686" t="s">
        <v>566</v>
      </c>
      <c r="B33" s="827" t="s">
        <v>576</v>
      </c>
      <c r="C33" s="827"/>
      <c r="D33" s="693" t="s">
        <v>636</v>
      </c>
      <c r="E33" s="736">
        <v>2250</v>
      </c>
      <c r="F33" s="657">
        <v>998716</v>
      </c>
      <c r="G33" s="684" t="str">
        <f t="shared" si="0"/>
        <v>Confirmed</v>
      </c>
      <c r="H33" s="660"/>
      <c r="I33" s="659">
        <v>0.18</v>
      </c>
      <c r="J33" s="684" t="str">
        <f t="shared" si="1"/>
        <v>Confirmed</v>
      </c>
      <c r="K33" s="661"/>
      <c r="L33" s="679">
        <v>1</v>
      </c>
      <c r="M33" s="724">
        <f t="shared" si="2"/>
        <v>2250</v>
      </c>
      <c r="N33" s="727"/>
      <c r="O33" s="673"/>
      <c r="P33" s="643">
        <f t="shared" si="3"/>
        <v>405</v>
      </c>
      <c r="Q33" s="685"/>
    </row>
    <row r="34" spans="1:17" s="681" customFormat="1">
      <c r="A34" s="686">
        <v>4</v>
      </c>
      <c r="B34" s="827" t="s">
        <v>579</v>
      </c>
      <c r="C34" s="827"/>
      <c r="D34" s="687"/>
      <c r="E34" s="736"/>
      <c r="F34" s="657"/>
      <c r="G34" s="684"/>
      <c r="H34" s="684"/>
      <c r="I34" s="659"/>
      <c r="J34" s="684"/>
      <c r="K34" s="684"/>
      <c r="L34" s="729"/>
      <c r="M34" s="724">
        <f t="shared" si="2"/>
        <v>0</v>
      </c>
      <c r="N34" s="727"/>
      <c r="O34" s="672"/>
      <c r="P34" s="643"/>
    </row>
    <row r="35" spans="1:17" s="681" customFormat="1">
      <c r="A35" s="686" t="s">
        <v>565</v>
      </c>
      <c r="B35" s="827" t="s">
        <v>643</v>
      </c>
      <c r="C35" s="827"/>
      <c r="D35" s="694" t="s">
        <v>637</v>
      </c>
      <c r="E35" s="736">
        <v>200</v>
      </c>
      <c r="F35" s="657">
        <v>998716</v>
      </c>
      <c r="G35" s="684" t="str">
        <f t="shared" si="0"/>
        <v>Confirmed</v>
      </c>
      <c r="H35" s="660"/>
      <c r="I35" s="659">
        <v>0.18</v>
      </c>
      <c r="J35" s="684" t="str">
        <f t="shared" si="1"/>
        <v>Confirmed</v>
      </c>
      <c r="K35" s="661"/>
      <c r="L35" s="679">
        <v>1</v>
      </c>
      <c r="M35" s="724">
        <f t="shared" si="2"/>
        <v>200</v>
      </c>
      <c r="N35" s="727"/>
      <c r="O35" s="673"/>
      <c r="P35" s="643">
        <f t="shared" si="3"/>
        <v>36</v>
      </c>
      <c r="Q35" s="685"/>
    </row>
    <row r="36" spans="1:17" s="681" customFormat="1">
      <c r="A36" s="686">
        <v>5</v>
      </c>
      <c r="B36" s="827" t="s">
        <v>581</v>
      </c>
      <c r="C36" s="827"/>
      <c r="D36" s="687"/>
      <c r="E36" s="737"/>
      <c r="F36" s="657"/>
      <c r="G36" s="684"/>
      <c r="H36" s="684"/>
      <c r="I36" s="659"/>
      <c r="J36" s="684"/>
      <c r="K36" s="684"/>
      <c r="L36" s="729"/>
      <c r="M36" s="724"/>
      <c r="N36" s="727"/>
      <c r="O36" s="673"/>
      <c r="P36" s="643"/>
      <c r="Q36" s="685"/>
    </row>
    <row r="37" spans="1:17" s="681" customFormat="1">
      <c r="A37" s="686" t="s">
        <v>332</v>
      </c>
      <c r="B37" s="827" t="s">
        <v>562</v>
      </c>
      <c r="C37" s="827"/>
      <c r="D37" s="695"/>
      <c r="E37" s="737"/>
      <c r="F37" s="657"/>
      <c r="G37" s="684"/>
      <c r="H37" s="684"/>
      <c r="I37" s="659"/>
      <c r="J37" s="684"/>
      <c r="K37" s="684"/>
      <c r="L37" s="729"/>
      <c r="M37" s="724"/>
      <c r="N37" s="727"/>
      <c r="O37" s="673"/>
      <c r="P37" s="643"/>
      <c r="Q37" s="685"/>
    </row>
    <row r="38" spans="1:17" s="681" customFormat="1">
      <c r="A38" s="686" t="s">
        <v>565</v>
      </c>
      <c r="B38" s="827" t="s">
        <v>582</v>
      </c>
      <c r="C38" s="827"/>
      <c r="D38" s="696" t="s">
        <v>636</v>
      </c>
      <c r="E38" s="736">
        <v>200</v>
      </c>
      <c r="F38" s="657">
        <v>998716</v>
      </c>
      <c r="G38" s="684" t="str">
        <f t="shared" si="0"/>
        <v>Confirmed</v>
      </c>
      <c r="H38" s="660"/>
      <c r="I38" s="659">
        <v>0.18</v>
      </c>
      <c r="J38" s="684" t="str">
        <f t="shared" si="1"/>
        <v>Confirmed</v>
      </c>
      <c r="K38" s="661"/>
      <c r="L38" s="679">
        <v>1</v>
      </c>
      <c r="M38" s="724">
        <f t="shared" si="2"/>
        <v>200</v>
      </c>
      <c r="N38" s="727"/>
      <c r="O38" s="672"/>
      <c r="P38" s="643">
        <f t="shared" si="3"/>
        <v>36</v>
      </c>
    </row>
    <row r="39" spans="1:17" s="681" customFormat="1">
      <c r="A39" s="686" t="s">
        <v>566</v>
      </c>
      <c r="B39" s="827" t="s">
        <v>583</v>
      </c>
      <c r="C39" s="827"/>
      <c r="D39" s="696" t="s">
        <v>636</v>
      </c>
      <c r="E39" s="736">
        <v>250</v>
      </c>
      <c r="F39" s="657">
        <v>998716</v>
      </c>
      <c r="G39" s="684" t="str">
        <f t="shared" si="0"/>
        <v>Confirmed</v>
      </c>
      <c r="H39" s="660"/>
      <c r="I39" s="659">
        <v>0.18</v>
      </c>
      <c r="J39" s="684" t="str">
        <f t="shared" si="1"/>
        <v>Confirmed</v>
      </c>
      <c r="K39" s="661"/>
      <c r="L39" s="679">
        <v>1</v>
      </c>
      <c r="M39" s="724">
        <f t="shared" si="2"/>
        <v>250</v>
      </c>
      <c r="N39" s="727"/>
      <c r="O39" s="672"/>
      <c r="P39" s="643">
        <f t="shared" si="3"/>
        <v>45</v>
      </c>
    </row>
    <row r="40" spans="1:17" s="681" customFormat="1">
      <c r="A40" s="686" t="s">
        <v>632</v>
      </c>
      <c r="B40" s="827" t="s">
        <v>584</v>
      </c>
      <c r="C40" s="827"/>
      <c r="D40" s="696" t="s">
        <v>636</v>
      </c>
      <c r="E40" s="736">
        <v>12000</v>
      </c>
      <c r="F40" s="657">
        <v>998716</v>
      </c>
      <c r="G40" s="684" t="str">
        <f t="shared" si="0"/>
        <v>Confirmed</v>
      </c>
      <c r="H40" s="660"/>
      <c r="I40" s="659">
        <v>0.18</v>
      </c>
      <c r="J40" s="684" t="str">
        <f t="shared" si="1"/>
        <v>Confirmed</v>
      </c>
      <c r="K40" s="661"/>
      <c r="L40" s="679">
        <v>1</v>
      </c>
      <c r="M40" s="724">
        <f t="shared" si="2"/>
        <v>12000</v>
      </c>
      <c r="N40" s="727"/>
      <c r="O40" s="673"/>
      <c r="P40" s="643">
        <f t="shared" si="3"/>
        <v>2160</v>
      </c>
      <c r="Q40" s="685"/>
    </row>
    <row r="41" spans="1:17" s="681" customFormat="1">
      <c r="A41" s="686" t="s">
        <v>633</v>
      </c>
      <c r="B41" s="827" t="s">
        <v>585</v>
      </c>
      <c r="C41" s="827"/>
      <c r="D41" s="696" t="s">
        <v>636</v>
      </c>
      <c r="E41" s="736">
        <v>100</v>
      </c>
      <c r="F41" s="657">
        <v>998716</v>
      </c>
      <c r="G41" s="684" t="str">
        <f t="shared" si="0"/>
        <v>Confirmed</v>
      </c>
      <c r="H41" s="660"/>
      <c r="I41" s="659">
        <v>0.18</v>
      </c>
      <c r="J41" s="684" t="str">
        <f t="shared" si="1"/>
        <v>Confirmed</v>
      </c>
      <c r="K41" s="661"/>
      <c r="L41" s="679">
        <v>1</v>
      </c>
      <c r="M41" s="724">
        <f t="shared" si="2"/>
        <v>100</v>
      </c>
      <c r="N41" s="727"/>
      <c r="O41" s="673"/>
      <c r="P41" s="643">
        <f t="shared" si="3"/>
        <v>18</v>
      </c>
      <c r="Q41" s="685"/>
    </row>
    <row r="42" spans="1:17" s="681" customFormat="1">
      <c r="A42" s="686" t="s">
        <v>634</v>
      </c>
      <c r="B42" s="827" t="s">
        <v>586</v>
      </c>
      <c r="C42" s="827"/>
      <c r="D42" s="696"/>
      <c r="E42" s="736"/>
      <c r="F42" s="657"/>
      <c r="G42" s="684"/>
      <c r="H42" s="684"/>
      <c r="I42" s="659"/>
      <c r="J42" s="684"/>
      <c r="K42" s="684"/>
      <c r="L42" s="729"/>
      <c r="M42" s="724"/>
      <c r="N42" s="727"/>
      <c r="O42" s="673"/>
      <c r="P42" s="643"/>
      <c r="Q42" s="685"/>
    </row>
    <row r="43" spans="1:17" s="681" customFormat="1">
      <c r="A43" s="686" t="s">
        <v>635</v>
      </c>
      <c r="B43" s="827" t="s">
        <v>582</v>
      </c>
      <c r="C43" s="827"/>
      <c r="D43" s="696" t="s">
        <v>636</v>
      </c>
      <c r="E43" s="736">
        <v>100</v>
      </c>
      <c r="F43" s="657">
        <v>998716</v>
      </c>
      <c r="G43" s="684" t="str">
        <f t="shared" si="0"/>
        <v>Confirmed</v>
      </c>
      <c r="H43" s="660"/>
      <c r="I43" s="659">
        <v>0.18</v>
      </c>
      <c r="J43" s="684" t="str">
        <f t="shared" si="1"/>
        <v>Confirmed</v>
      </c>
      <c r="K43" s="661"/>
      <c r="L43" s="679">
        <v>1</v>
      </c>
      <c r="M43" s="724">
        <f t="shared" si="2"/>
        <v>100</v>
      </c>
      <c r="N43" s="727"/>
      <c r="O43" s="672"/>
      <c r="P43" s="643">
        <f t="shared" si="3"/>
        <v>18</v>
      </c>
    </row>
    <row r="44" spans="1:17" s="681" customFormat="1">
      <c r="A44" s="686" t="s">
        <v>566</v>
      </c>
      <c r="B44" s="827" t="s">
        <v>583</v>
      </c>
      <c r="C44" s="827"/>
      <c r="D44" s="696" t="s">
        <v>636</v>
      </c>
      <c r="E44" s="736">
        <v>100</v>
      </c>
      <c r="F44" s="657">
        <v>998716</v>
      </c>
      <c r="G44" s="684" t="str">
        <f t="shared" si="0"/>
        <v>Confirmed</v>
      </c>
      <c r="H44" s="660"/>
      <c r="I44" s="659">
        <v>0.18</v>
      </c>
      <c r="J44" s="684" t="str">
        <f t="shared" si="1"/>
        <v>Confirmed</v>
      </c>
      <c r="K44" s="661"/>
      <c r="L44" s="679">
        <v>1</v>
      </c>
      <c r="M44" s="724">
        <f t="shared" si="2"/>
        <v>100</v>
      </c>
      <c r="N44" s="727"/>
      <c r="O44" s="673"/>
      <c r="P44" s="643">
        <f t="shared" si="3"/>
        <v>18</v>
      </c>
      <c r="Q44" s="685"/>
    </row>
    <row r="45" spans="1:17" s="681" customFormat="1">
      <c r="A45" s="686" t="s">
        <v>632</v>
      </c>
      <c r="B45" s="827" t="s">
        <v>584</v>
      </c>
      <c r="C45" s="827"/>
      <c r="D45" s="696" t="s">
        <v>636</v>
      </c>
      <c r="E45" s="736">
        <v>1000</v>
      </c>
      <c r="F45" s="657">
        <v>998716</v>
      </c>
      <c r="G45" s="684" t="str">
        <f t="shared" si="0"/>
        <v>Confirmed</v>
      </c>
      <c r="H45" s="660"/>
      <c r="I45" s="659">
        <v>0.18</v>
      </c>
      <c r="J45" s="684" t="str">
        <f t="shared" si="1"/>
        <v>Confirmed</v>
      </c>
      <c r="K45" s="661"/>
      <c r="L45" s="679">
        <v>1</v>
      </c>
      <c r="M45" s="724">
        <f t="shared" si="2"/>
        <v>1000</v>
      </c>
      <c r="N45" s="727"/>
      <c r="O45" s="673"/>
      <c r="P45" s="643">
        <f t="shared" si="3"/>
        <v>180</v>
      </c>
      <c r="Q45" s="685"/>
    </row>
    <row r="46" spans="1:17" s="681" customFormat="1">
      <c r="A46" s="686" t="s">
        <v>633</v>
      </c>
      <c r="B46" s="827" t="s">
        <v>585</v>
      </c>
      <c r="C46" s="827"/>
      <c r="D46" s="696" t="s">
        <v>636</v>
      </c>
      <c r="E46" s="736">
        <v>100</v>
      </c>
      <c r="F46" s="657">
        <v>998716</v>
      </c>
      <c r="G46" s="684" t="str">
        <f t="shared" si="0"/>
        <v>Confirmed</v>
      </c>
      <c r="H46" s="660"/>
      <c r="I46" s="659">
        <v>0.18</v>
      </c>
      <c r="J46" s="684" t="str">
        <f t="shared" si="1"/>
        <v>Confirmed</v>
      </c>
      <c r="K46" s="661"/>
      <c r="L46" s="679">
        <v>1</v>
      </c>
      <c r="M46" s="724">
        <f t="shared" si="2"/>
        <v>100</v>
      </c>
      <c r="N46" s="727"/>
      <c r="O46" s="673"/>
      <c r="P46" s="643">
        <f t="shared" si="3"/>
        <v>18</v>
      </c>
      <c r="Q46" s="685"/>
    </row>
    <row r="47" spans="1:17" s="681" customFormat="1">
      <c r="A47" s="686">
        <v>6</v>
      </c>
      <c r="B47" s="827" t="s">
        <v>559</v>
      </c>
      <c r="C47" s="827"/>
      <c r="D47" s="696"/>
      <c r="E47" s="737"/>
      <c r="F47" s="657"/>
      <c r="G47" s="684"/>
      <c r="H47" s="684"/>
      <c r="I47" s="659"/>
      <c r="J47" s="684"/>
      <c r="K47" s="684"/>
      <c r="L47" s="729"/>
      <c r="M47" s="724"/>
      <c r="N47" s="727"/>
      <c r="O47" s="672"/>
      <c r="P47" s="643"/>
    </row>
    <row r="48" spans="1:17" s="681" customFormat="1">
      <c r="A48" s="686" t="s">
        <v>565</v>
      </c>
      <c r="B48" s="827" t="s">
        <v>580</v>
      </c>
      <c r="C48" s="827"/>
      <c r="D48" s="687" t="s">
        <v>636</v>
      </c>
      <c r="E48" s="736">
        <v>1000</v>
      </c>
      <c r="F48" s="657">
        <v>998716</v>
      </c>
      <c r="G48" s="684" t="str">
        <f t="shared" si="0"/>
        <v>Confirmed</v>
      </c>
      <c r="H48" s="660"/>
      <c r="I48" s="659">
        <v>0.18</v>
      </c>
      <c r="J48" s="684" t="str">
        <f t="shared" si="1"/>
        <v>Confirmed</v>
      </c>
      <c r="K48" s="661"/>
      <c r="L48" s="679">
        <v>1</v>
      </c>
      <c r="M48" s="724">
        <f t="shared" si="2"/>
        <v>1000</v>
      </c>
      <c r="N48" s="727"/>
      <c r="O48" s="672"/>
      <c r="P48" s="643">
        <f t="shared" si="3"/>
        <v>180</v>
      </c>
    </row>
    <row r="49" spans="1:17" s="681" customFormat="1">
      <c r="A49" s="686" t="s">
        <v>566</v>
      </c>
      <c r="B49" s="827" t="s">
        <v>644</v>
      </c>
      <c r="C49" s="827"/>
      <c r="D49" s="690" t="s">
        <v>636</v>
      </c>
      <c r="E49" s="736">
        <v>1000</v>
      </c>
      <c r="F49" s="657">
        <v>998716</v>
      </c>
      <c r="G49" s="684" t="str">
        <f t="shared" si="0"/>
        <v>Confirmed</v>
      </c>
      <c r="H49" s="660"/>
      <c r="I49" s="659">
        <v>0.18</v>
      </c>
      <c r="J49" s="684" t="str">
        <f t="shared" si="1"/>
        <v>Confirmed</v>
      </c>
      <c r="K49" s="661"/>
      <c r="L49" s="679">
        <v>1</v>
      </c>
      <c r="M49" s="724">
        <f t="shared" si="2"/>
        <v>1000</v>
      </c>
      <c r="N49" s="727"/>
      <c r="O49" s="673"/>
      <c r="P49" s="643">
        <f t="shared" si="3"/>
        <v>180</v>
      </c>
      <c r="Q49" s="685"/>
    </row>
    <row r="50" spans="1:17" s="681" customFormat="1">
      <c r="A50" s="686">
        <v>7</v>
      </c>
      <c r="B50" s="827" t="s">
        <v>587</v>
      </c>
      <c r="C50" s="827"/>
      <c r="D50" s="690"/>
      <c r="E50" s="737"/>
      <c r="F50" s="657"/>
      <c r="G50" s="684"/>
      <c r="H50" s="684"/>
      <c r="I50" s="659"/>
      <c r="J50" s="684"/>
      <c r="K50" s="684"/>
      <c r="L50" s="729"/>
      <c r="M50" s="724"/>
      <c r="N50" s="727"/>
      <c r="O50" s="673"/>
      <c r="P50" s="643"/>
      <c r="Q50" s="685"/>
    </row>
    <row r="51" spans="1:17" s="681" customFormat="1">
      <c r="A51" s="686" t="s">
        <v>332</v>
      </c>
      <c r="B51" s="827" t="s">
        <v>588</v>
      </c>
      <c r="C51" s="827"/>
      <c r="D51" s="687"/>
      <c r="E51" s="737"/>
      <c r="F51" s="657"/>
      <c r="G51" s="684"/>
      <c r="H51" s="684"/>
      <c r="I51" s="659"/>
      <c r="J51" s="684"/>
      <c r="K51" s="684"/>
      <c r="L51" s="729"/>
      <c r="M51" s="724"/>
      <c r="N51" s="727"/>
      <c r="O51" s="672"/>
      <c r="P51" s="643"/>
    </row>
    <row r="52" spans="1:17" s="681" customFormat="1">
      <c r="A52" s="686" t="s">
        <v>565</v>
      </c>
      <c r="B52" s="827" t="s">
        <v>644</v>
      </c>
      <c r="C52" s="827"/>
      <c r="D52" s="687" t="s">
        <v>636</v>
      </c>
      <c r="E52" s="737">
        <v>50</v>
      </c>
      <c r="F52" s="657">
        <v>998716</v>
      </c>
      <c r="G52" s="684" t="str">
        <f t="shared" si="0"/>
        <v>Confirmed</v>
      </c>
      <c r="H52" s="660"/>
      <c r="I52" s="659">
        <v>0.18</v>
      </c>
      <c r="J52" s="684" t="str">
        <f t="shared" si="1"/>
        <v>Confirmed</v>
      </c>
      <c r="K52" s="661"/>
      <c r="L52" s="679">
        <v>1</v>
      </c>
      <c r="M52" s="724">
        <f t="shared" si="2"/>
        <v>50</v>
      </c>
      <c r="N52" s="727"/>
      <c r="O52" s="673"/>
      <c r="P52" s="643">
        <f t="shared" si="3"/>
        <v>9</v>
      </c>
      <c r="Q52" s="685"/>
    </row>
    <row r="53" spans="1:17" s="681" customFormat="1">
      <c r="A53" s="686" t="s">
        <v>634</v>
      </c>
      <c r="B53" s="827" t="s">
        <v>589</v>
      </c>
      <c r="C53" s="827"/>
      <c r="D53" s="687"/>
      <c r="E53" s="737"/>
      <c r="F53" s="657"/>
      <c r="G53" s="684"/>
      <c r="H53" s="684"/>
      <c r="I53" s="659"/>
      <c r="J53" s="684"/>
      <c r="K53" s="684"/>
      <c r="L53" s="729"/>
      <c r="M53" s="724"/>
      <c r="N53" s="727"/>
      <c r="O53" s="673"/>
      <c r="P53" s="643"/>
      <c r="Q53" s="685"/>
    </row>
    <row r="54" spans="1:17" s="681" customFormat="1">
      <c r="A54" s="686" t="s">
        <v>565</v>
      </c>
      <c r="B54" s="827" t="s">
        <v>644</v>
      </c>
      <c r="C54" s="827"/>
      <c r="D54" s="687" t="s">
        <v>636</v>
      </c>
      <c r="E54" s="737">
        <v>50</v>
      </c>
      <c r="F54" s="657">
        <v>998716</v>
      </c>
      <c r="G54" s="684" t="str">
        <f t="shared" si="0"/>
        <v>Confirmed</v>
      </c>
      <c r="H54" s="660"/>
      <c r="I54" s="659">
        <v>0.18</v>
      </c>
      <c r="J54" s="684" t="str">
        <f t="shared" si="1"/>
        <v>Confirmed</v>
      </c>
      <c r="K54" s="661"/>
      <c r="L54" s="679">
        <v>1</v>
      </c>
      <c r="M54" s="724">
        <f t="shared" si="2"/>
        <v>50</v>
      </c>
      <c r="N54" s="727"/>
      <c r="O54" s="673"/>
      <c r="P54" s="643">
        <f t="shared" si="3"/>
        <v>9</v>
      </c>
      <c r="Q54" s="685"/>
    </row>
    <row r="55" spans="1:17" s="681" customFormat="1">
      <c r="A55" s="686">
        <v>8</v>
      </c>
      <c r="B55" s="827" t="s">
        <v>590</v>
      </c>
      <c r="C55" s="827"/>
      <c r="D55" s="687"/>
      <c r="E55" s="737"/>
      <c r="F55" s="657"/>
      <c r="G55" s="684"/>
      <c r="H55" s="684"/>
      <c r="I55" s="659"/>
      <c r="J55" s="684"/>
      <c r="K55" s="684"/>
      <c r="L55" s="729"/>
      <c r="M55" s="724"/>
      <c r="N55" s="727"/>
      <c r="O55" s="673"/>
      <c r="P55" s="643"/>
      <c r="Q55" s="685"/>
    </row>
    <row r="56" spans="1:17" s="681" customFormat="1">
      <c r="A56" s="686" t="s">
        <v>332</v>
      </c>
      <c r="B56" s="827" t="s">
        <v>591</v>
      </c>
      <c r="C56" s="827"/>
      <c r="D56" s="687"/>
      <c r="E56" s="737"/>
      <c r="F56" s="657"/>
      <c r="G56" s="684"/>
      <c r="H56" s="684"/>
      <c r="I56" s="659"/>
      <c r="J56" s="684"/>
      <c r="K56" s="684"/>
      <c r="L56" s="729"/>
      <c r="M56" s="724"/>
      <c r="N56" s="727"/>
      <c r="O56" s="673"/>
      <c r="P56" s="643"/>
      <c r="Q56" s="685"/>
    </row>
    <row r="57" spans="1:17" s="681" customFormat="1">
      <c r="A57" s="686" t="s">
        <v>565</v>
      </c>
      <c r="B57" s="827" t="s">
        <v>644</v>
      </c>
      <c r="C57" s="827"/>
      <c r="D57" s="687" t="s">
        <v>636</v>
      </c>
      <c r="E57" s="737">
        <v>50</v>
      </c>
      <c r="F57" s="657">
        <v>998716</v>
      </c>
      <c r="G57" s="684" t="str">
        <f t="shared" si="0"/>
        <v>Confirmed</v>
      </c>
      <c r="H57" s="660"/>
      <c r="I57" s="659">
        <v>0.18</v>
      </c>
      <c r="J57" s="684" t="str">
        <f t="shared" si="1"/>
        <v>Confirmed</v>
      </c>
      <c r="K57" s="661"/>
      <c r="L57" s="679">
        <v>1</v>
      </c>
      <c r="M57" s="724">
        <f t="shared" si="2"/>
        <v>50</v>
      </c>
      <c r="N57" s="727"/>
      <c r="O57" s="673"/>
      <c r="P57" s="643">
        <f t="shared" si="3"/>
        <v>9</v>
      </c>
      <c r="Q57" s="685"/>
    </row>
    <row r="58" spans="1:17" s="681" customFormat="1">
      <c r="A58" s="686" t="s">
        <v>335</v>
      </c>
      <c r="B58" s="827" t="s">
        <v>592</v>
      </c>
      <c r="C58" s="827"/>
      <c r="D58" s="687"/>
      <c r="E58" s="737"/>
      <c r="F58" s="657"/>
      <c r="G58" s="684"/>
      <c r="H58" s="684"/>
      <c r="I58" s="659"/>
      <c r="J58" s="684"/>
      <c r="K58" s="684"/>
      <c r="L58" s="729"/>
      <c r="M58" s="724"/>
      <c r="N58" s="727"/>
      <c r="O58" s="673"/>
      <c r="P58" s="643"/>
      <c r="Q58" s="685"/>
    </row>
    <row r="59" spans="1:17" s="681" customFormat="1">
      <c r="A59" s="686" t="s">
        <v>565</v>
      </c>
      <c r="B59" s="827" t="s">
        <v>644</v>
      </c>
      <c r="C59" s="827"/>
      <c r="D59" s="687" t="s">
        <v>636</v>
      </c>
      <c r="E59" s="737">
        <v>50</v>
      </c>
      <c r="F59" s="657">
        <v>998716</v>
      </c>
      <c r="G59" s="684" t="str">
        <f t="shared" si="0"/>
        <v>Confirmed</v>
      </c>
      <c r="H59" s="660"/>
      <c r="I59" s="659">
        <v>0.18</v>
      </c>
      <c r="J59" s="684" t="str">
        <f t="shared" si="1"/>
        <v>Confirmed</v>
      </c>
      <c r="K59" s="660"/>
      <c r="L59" s="680">
        <v>1</v>
      </c>
      <c r="M59" s="724">
        <f t="shared" si="2"/>
        <v>50</v>
      </c>
      <c r="N59" s="727"/>
      <c r="O59" s="673"/>
      <c r="P59" s="643">
        <f t="shared" si="3"/>
        <v>9</v>
      </c>
      <c r="Q59" s="685"/>
    </row>
    <row r="60" spans="1:17" s="681" customFormat="1">
      <c r="A60" s="686">
        <v>9</v>
      </c>
      <c r="B60" s="827" t="s">
        <v>593</v>
      </c>
      <c r="C60" s="827"/>
      <c r="D60" s="687"/>
      <c r="E60" s="737"/>
      <c r="F60" s="657"/>
      <c r="G60" s="684"/>
      <c r="H60" s="684"/>
      <c r="I60" s="659"/>
      <c r="J60" s="684"/>
      <c r="K60" s="684"/>
      <c r="L60" s="729"/>
      <c r="M60" s="724"/>
      <c r="N60" s="727"/>
      <c r="O60" s="673"/>
      <c r="P60" s="643"/>
      <c r="Q60" s="685"/>
    </row>
    <row r="61" spans="1:17" s="681" customFormat="1">
      <c r="A61" s="686" t="s">
        <v>565</v>
      </c>
      <c r="B61" s="827" t="s">
        <v>644</v>
      </c>
      <c r="C61" s="827"/>
      <c r="D61" s="687" t="s">
        <v>637</v>
      </c>
      <c r="E61" s="737">
        <v>1000</v>
      </c>
      <c r="F61" s="657">
        <v>998716</v>
      </c>
      <c r="G61" s="684" t="str">
        <f t="shared" si="0"/>
        <v>Confirmed</v>
      </c>
      <c r="H61" s="660"/>
      <c r="I61" s="659">
        <v>0.18</v>
      </c>
      <c r="J61" s="684" t="str">
        <f t="shared" si="1"/>
        <v>Confirmed</v>
      </c>
      <c r="K61" s="660"/>
      <c r="L61" s="680">
        <v>1</v>
      </c>
      <c r="M61" s="724">
        <f t="shared" si="2"/>
        <v>1000</v>
      </c>
      <c r="N61" s="727"/>
      <c r="O61" s="673"/>
      <c r="P61" s="643">
        <f t="shared" si="3"/>
        <v>180</v>
      </c>
      <c r="Q61" s="685"/>
    </row>
    <row r="62" spans="1:17" s="681" customFormat="1">
      <c r="A62" s="686">
        <v>10</v>
      </c>
      <c r="B62" s="827" t="s">
        <v>563</v>
      </c>
      <c r="C62" s="827"/>
      <c r="D62" s="687"/>
      <c r="E62" s="737"/>
      <c r="F62" s="657"/>
      <c r="G62" s="684"/>
      <c r="H62" s="684"/>
      <c r="I62" s="659"/>
      <c r="J62" s="684"/>
      <c r="K62" s="684"/>
      <c r="L62" s="729"/>
      <c r="M62" s="724"/>
      <c r="N62" s="727"/>
      <c r="O62" s="673"/>
      <c r="P62" s="643"/>
      <c r="Q62" s="685"/>
    </row>
    <row r="63" spans="1:17" s="681" customFormat="1">
      <c r="A63" s="686" t="s">
        <v>565</v>
      </c>
      <c r="B63" s="827" t="s">
        <v>644</v>
      </c>
      <c r="C63" s="827"/>
      <c r="D63" s="687" t="s">
        <v>637</v>
      </c>
      <c r="E63" s="737">
        <v>1000</v>
      </c>
      <c r="F63" s="657">
        <v>998716</v>
      </c>
      <c r="G63" s="684" t="str">
        <f t="shared" si="0"/>
        <v>Confirmed</v>
      </c>
      <c r="H63" s="660"/>
      <c r="I63" s="659">
        <v>0.18</v>
      </c>
      <c r="J63" s="684" t="str">
        <f t="shared" si="1"/>
        <v>Confirmed</v>
      </c>
      <c r="K63" s="660"/>
      <c r="L63" s="680">
        <v>1</v>
      </c>
      <c r="M63" s="724">
        <f t="shared" si="2"/>
        <v>1000</v>
      </c>
      <c r="N63" s="727"/>
      <c r="O63" s="673"/>
      <c r="P63" s="643">
        <f t="shared" si="3"/>
        <v>180</v>
      </c>
      <c r="Q63" s="685"/>
    </row>
    <row r="64" spans="1:17" s="681" customFormat="1">
      <c r="A64" s="686">
        <v>11</v>
      </c>
      <c r="B64" s="827" t="s">
        <v>594</v>
      </c>
      <c r="C64" s="827"/>
      <c r="D64" s="687"/>
      <c r="E64" s="737"/>
      <c r="F64" s="657"/>
      <c r="G64" s="684"/>
      <c r="H64" s="684"/>
      <c r="I64" s="659"/>
      <c r="J64" s="684"/>
      <c r="K64" s="684"/>
      <c r="L64" s="729"/>
      <c r="M64" s="724"/>
      <c r="N64" s="727"/>
      <c r="O64" s="672"/>
      <c r="P64" s="643"/>
    </row>
    <row r="65" spans="1:17" s="681" customFormat="1">
      <c r="A65" s="686" t="s">
        <v>332</v>
      </c>
      <c r="B65" s="827" t="s">
        <v>595</v>
      </c>
      <c r="C65" s="827"/>
      <c r="D65" s="687"/>
      <c r="E65" s="737"/>
      <c r="F65" s="657"/>
      <c r="G65" s="684"/>
      <c r="H65" s="684"/>
      <c r="I65" s="659"/>
      <c r="J65" s="684"/>
      <c r="K65" s="684"/>
      <c r="L65" s="729"/>
      <c r="M65" s="724"/>
      <c r="N65" s="727"/>
      <c r="O65" s="673"/>
      <c r="P65" s="643"/>
      <c r="Q65" s="685"/>
    </row>
    <row r="66" spans="1:17" s="681" customFormat="1">
      <c r="A66" s="686" t="s">
        <v>565</v>
      </c>
      <c r="B66" s="827" t="s">
        <v>644</v>
      </c>
      <c r="C66" s="827"/>
      <c r="D66" s="687" t="s">
        <v>636</v>
      </c>
      <c r="E66" s="737">
        <v>50</v>
      </c>
      <c r="F66" s="657">
        <v>998716</v>
      </c>
      <c r="G66" s="684" t="str">
        <f t="shared" si="0"/>
        <v>Confirmed</v>
      </c>
      <c r="H66" s="660"/>
      <c r="I66" s="659">
        <v>0.18</v>
      </c>
      <c r="J66" s="684" t="str">
        <f t="shared" si="1"/>
        <v>Confirmed</v>
      </c>
      <c r="K66" s="660"/>
      <c r="L66" s="680">
        <v>1</v>
      </c>
      <c r="M66" s="724">
        <f t="shared" si="2"/>
        <v>50</v>
      </c>
      <c r="N66" s="727"/>
      <c r="O66" s="673"/>
      <c r="P66" s="643">
        <f t="shared" si="3"/>
        <v>9</v>
      </c>
      <c r="Q66" s="685"/>
    </row>
    <row r="67" spans="1:17" s="681" customFormat="1">
      <c r="A67" s="686" t="s">
        <v>335</v>
      </c>
      <c r="B67" s="827" t="s">
        <v>564</v>
      </c>
      <c r="C67" s="827"/>
      <c r="D67" s="687"/>
      <c r="E67" s="737"/>
      <c r="F67" s="657"/>
      <c r="G67" s="684"/>
      <c r="H67" s="684"/>
      <c r="I67" s="659"/>
      <c r="J67" s="684"/>
      <c r="K67" s="684"/>
      <c r="L67" s="729"/>
      <c r="M67" s="724"/>
      <c r="N67" s="727"/>
      <c r="O67" s="672"/>
      <c r="P67" s="643"/>
    </row>
    <row r="68" spans="1:17" s="681" customFormat="1">
      <c r="A68" s="686" t="s">
        <v>565</v>
      </c>
      <c r="B68" s="827" t="s">
        <v>644</v>
      </c>
      <c r="C68" s="827"/>
      <c r="D68" s="687" t="s">
        <v>636</v>
      </c>
      <c r="E68" s="737">
        <v>50</v>
      </c>
      <c r="F68" s="657">
        <v>998716</v>
      </c>
      <c r="G68" s="684" t="str">
        <f t="shared" si="0"/>
        <v>Confirmed</v>
      </c>
      <c r="H68" s="660"/>
      <c r="I68" s="659">
        <v>0.18</v>
      </c>
      <c r="J68" s="684" t="str">
        <f t="shared" si="1"/>
        <v>Confirmed</v>
      </c>
      <c r="K68" s="660"/>
      <c r="L68" s="680">
        <v>1</v>
      </c>
      <c r="M68" s="724">
        <f t="shared" si="2"/>
        <v>50</v>
      </c>
      <c r="N68" s="727"/>
      <c r="O68" s="673"/>
      <c r="P68" s="643">
        <f t="shared" si="3"/>
        <v>9</v>
      </c>
      <c r="Q68" s="685"/>
    </row>
    <row r="69" spans="1:17" s="681" customFormat="1">
      <c r="A69" s="686">
        <v>12</v>
      </c>
      <c r="B69" s="827" t="s">
        <v>596</v>
      </c>
      <c r="C69" s="827"/>
      <c r="D69" s="687"/>
      <c r="E69" s="737"/>
      <c r="F69" s="657"/>
      <c r="G69" s="684"/>
      <c r="H69" s="684"/>
      <c r="I69" s="659"/>
      <c r="J69" s="684"/>
      <c r="K69" s="684"/>
      <c r="L69" s="729"/>
      <c r="M69" s="724"/>
      <c r="N69" s="727"/>
      <c r="O69" s="672"/>
      <c r="P69" s="643"/>
    </row>
    <row r="70" spans="1:17" s="681" customFormat="1">
      <c r="A70" s="686" t="s">
        <v>332</v>
      </c>
      <c r="B70" s="827" t="s">
        <v>597</v>
      </c>
      <c r="C70" s="827"/>
      <c r="D70" s="687" t="s">
        <v>636</v>
      </c>
      <c r="E70" s="737">
        <v>20000</v>
      </c>
      <c r="F70" s="657">
        <v>998716</v>
      </c>
      <c r="G70" s="684" t="str">
        <f t="shared" si="0"/>
        <v>Confirmed</v>
      </c>
      <c r="H70" s="660"/>
      <c r="I70" s="659">
        <v>0.18</v>
      </c>
      <c r="J70" s="684" t="str">
        <f t="shared" si="1"/>
        <v>Confirmed</v>
      </c>
      <c r="K70" s="660"/>
      <c r="L70" s="680">
        <v>1</v>
      </c>
      <c r="M70" s="724">
        <f t="shared" si="2"/>
        <v>20000</v>
      </c>
      <c r="N70" s="727"/>
      <c r="O70" s="673"/>
      <c r="P70" s="643">
        <f t="shared" si="3"/>
        <v>3600</v>
      </c>
      <c r="Q70" s="685"/>
    </row>
    <row r="71" spans="1:17" s="681" customFormat="1">
      <c r="A71" s="686" t="s">
        <v>335</v>
      </c>
      <c r="B71" s="827" t="s">
        <v>598</v>
      </c>
      <c r="C71" s="827"/>
      <c r="D71" s="687" t="s">
        <v>636</v>
      </c>
      <c r="E71" s="737">
        <v>5000</v>
      </c>
      <c r="F71" s="657">
        <v>998716</v>
      </c>
      <c r="G71" s="684" t="str">
        <f t="shared" si="0"/>
        <v>Confirmed</v>
      </c>
      <c r="H71" s="660"/>
      <c r="I71" s="659">
        <v>0.18</v>
      </c>
      <c r="J71" s="684" t="str">
        <f t="shared" si="1"/>
        <v>Confirmed</v>
      </c>
      <c r="K71" s="660"/>
      <c r="L71" s="680">
        <v>1</v>
      </c>
      <c r="M71" s="724">
        <f t="shared" si="2"/>
        <v>5000</v>
      </c>
      <c r="N71" s="727"/>
      <c r="O71" s="672"/>
      <c r="P71" s="643">
        <f t="shared" si="3"/>
        <v>900</v>
      </c>
    </row>
    <row r="72" spans="1:17" s="681" customFormat="1">
      <c r="A72" s="686">
        <v>13</v>
      </c>
      <c r="B72" s="827" t="s">
        <v>599</v>
      </c>
      <c r="C72" s="827"/>
      <c r="D72" s="687"/>
      <c r="E72" s="737"/>
      <c r="F72" s="657"/>
      <c r="G72" s="684"/>
      <c r="H72" s="684"/>
      <c r="I72" s="659"/>
      <c r="J72" s="684"/>
      <c r="K72" s="684"/>
      <c r="L72" s="729"/>
      <c r="M72" s="724"/>
      <c r="N72" s="727"/>
      <c r="O72" s="672"/>
      <c r="P72" s="643"/>
    </row>
    <row r="73" spans="1:17" s="681" customFormat="1">
      <c r="A73" s="686" t="s">
        <v>332</v>
      </c>
      <c r="B73" s="827" t="s">
        <v>600</v>
      </c>
      <c r="C73" s="827"/>
      <c r="D73" s="694" t="s">
        <v>637</v>
      </c>
      <c r="E73" s="737">
        <v>5</v>
      </c>
      <c r="F73" s="657">
        <v>998716</v>
      </c>
      <c r="G73" s="684" t="str">
        <f t="shared" si="0"/>
        <v>Confirmed</v>
      </c>
      <c r="H73" s="660"/>
      <c r="I73" s="659">
        <v>0.18</v>
      </c>
      <c r="J73" s="684" t="str">
        <f t="shared" si="1"/>
        <v>Confirmed</v>
      </c>
      <c r="K73" s="660"/>
      <c r="L73" s="680">
        <v>1</v>
      </c>
      <c r="M73" s="724">
        <f t="shared" si="2"/>
        <v>5</v>
      </c>
      <c r="N73" s="727"/>
      <c r="O73" s="673"/>
      <c r="P73" s="643">
        <f t="shared" si="3"/>
        <v>0.89999999999999991</v>
      </c>
      <c r="Q73" s="685"/>
    </row>
    <row r="74" spans="1:17" s="681" customFormat="1">
      <c r="A74" s="686" t="s">
        <v>335</v>
      </c>
      <c r="B74" s="827" t="s">
        <v>601</v>
      </c>
      <c r="C74" s="827"/>
      <c r="D74" s="694" t="s">
        <v>637</v>
      </c>
      <c r="E74" s="737">
        <v>5</v>
      </c>
      <c r="F74" s="657">
        <v>998716</v>
      </c>
      <c r="G74" s="684" t="str">
        <f t="shared" si="0"/>
        <v>Confirmed</v>
      </c>
      <c r="H74" s="660"/>
      <c r="I74" s="659">
        <v>0.18</v>
      </c>
      <c r="J74" s="684" t="str">
        <f t="shared" si="1"/>
        <v>Confirmed</v>
      </c>
      <c r="K74" s="660"/>
      <c r="L74" s="680">
        <v>1</v>
      </c>
      <c r="M74" s="724">
        <f t="shared" si="2"/>
        <v>5</v>
      </c>
      <c r="N74" s="727"/>
      <c r="O74" s="673"/>
      <c r="P74" s="643">
        <f t="shared" si="3"/>
        <v>0.89999999999999991</v>
      </c>
      <c r="Q74" s="685"/>
    </row>
    <row r="75" spans="1:17" s="681" customFormat="1">
      <c r="A75" s="686" t="s">
        <v>337</v>
      </c>
      <c r="B75" s="827" t="s">
        <v>602</v>
      </c>
      <c r="C75" s="827"/>
      <c r="D75" s="694" t="s">
        <v>637</v>
      </c>
      <c r="E75" s="737">
        <v>25</v>
      </c>
      <c r="F75" s="657">
        <v>998716</v>
      </c>
      <c r="G75" s="684" t="str">
        <f t="shared" si="0"/>
        <v>Confirmed</v>
      </c>
      <c r="H75" s="660"/>
      <c r="I75" s="659">
        <v>0.18</v>
      </c>
      <c r="J75" s="684" t="str">
        <f t="shared" si="1"/>
        <v>Confirmed</v>
      </c>
      <c r="K75" s="660"/>
      <c r="L75" s="680">
        <v>1</v>
      </c>
      <c r="M75" s="724">
        <f t="shared" si="2"/>
        <v>25</v>
      </c>
      <c r="N75" s="727"/>
      <c r="O75" s="672"/>
      <c r="P75" s="643">
        <f t="shared" si="3"/>
        <v>4.5</v>
      </c>
    </row>
    <row r="76" spans="1:17" s="681" customFormat="1">
      <c r="A76" s="686" t="s">
        <v>338</v>
      </c>
      <c r="B76" s="827" t="s">
        <v>603</v>
      </c>
      <c r="C76" s="827"/>
      <c r="D76" s="694" t="s">
        <v>637</v>
      </c>
      <c r="E76" s="737">
        <v>10</v>
      </c>
      <c r="F76" s="657">
        <v>998716</v>
      </c>
      <c r="G76" s="684" t="str">
        <f t="shared" si="0"/>
        <v>Confirmed</v>
      </c>
      <c r="H76" s="660"/>
      <c r="I76" s="659">
        <v>0.18</v>
      </c>
      <c r="J76" s="684" t="str">
        <f t="shared" si="1"/>
        <v>Confirmed</v>
      </c>
      <c r="K76" s="660"/>
      <c r="L76" s="680">
        <v>1</v>
      </c>
      <c r="M76" s="724">
        <f>(E76*L76)</f>
        <v>10</v>
      </c>
      <c r="N76" s="727"/>
      <c r="O76" s="673"/>
      <c r="P76" s="643">
        <f>IF(K76="",E76*I76*L76,(IF(K76=0,E76*K76*L76,E76*K76*L76)))</f>
        <v>1.7999999999999998</v>
      </c>
      <c r="Q76" s="685"/>
    </row>
    <row r="77" spans="1:17" s="681" customFormat="1" ht="31.5" customHeight="1">
      <c r="A77" s="686">
        <v>14</v>
      </c>
      <c r="B77" s="827" t="s">
        <v>657</v>
      </c>
      <c r="C77" s="827"/>
      <c r="D77" s="687"/>
      <c r="E77" s="737"/>
      <c r="F77" s="657"/>
      <c r="G77" s="684"/>
      <c r="H77" s="733"/>
      <c r="I77" s="659"/>
      <c r="J77" s="732"/>
      <c r="K77" s="733"/>
      <c r="L77" s="734"/>
      <c r="M77" s="724"/>
      <c r="N77" s="727"/>
      <c r="O77" s="673"/>
      <c r="P77" s="643"/>
      <c r="Q77" s="685"/>
    </row>
    <row r="78" spans="1:17" s="681" customFormat="1">
      <c r="A78" s="686" t="s">
        <v>332</v>
      </c>
      <c r="B78" s="827" t="s">
        <v>600</v>
      </c>
      <c r="C78" s="827"/>
      <c r="D78" s="694" t="s">
        <v>637</v>
      </c>
      <c r="E78" s="737">
        <v>5</v>
      </c>
      <c r="F78" s="657">
        <v>998716</v>
      </c>
      <c r="G78" s="684" t="str">
        <f>IF(H78=0,"Confirmed",(IF(H78=F78,"Confirmed","Not Confirmed")))</f>
        <v>Confirmed</v>
      </c>
      <c r="H78" s="660"/>
      <c r="I78" s="659">
        <v>0.18</v>
      </c>
      <c r="J78" s="684" t="str">
        <f>IF(K78=0,"Confirmed",(IF(K78=I78,"Confirmed","Not Confirmed")))</f>
        <v>Confirmed</v>
      </c>
      <c r="K78" s="660"/>
      <c r="L78" s="680">
        <v>1</v>
      </c>
      <c r="M78" s="724">
        <f>(E78*L78)</f>
        <v>5</v>
      </c>
      <c r="N78" s="727"/>
      <c r="O78" s="673"/>
      <c r="P78" s="643">
        <f>IF(K78="",E78*I78*L78,(IF(K78=0,E78*K78*L78,E78*K78*L78)))</f>
        <v>0.89999999999999991</v>
      </c>
      <c r="Q78" s="685"/>
    </row>
    <row r="79" spans="1:17" s="681" customFormat="1">
      <c r="A79" s="686" t="s">
        <v>335</v>
      </c>
      <c r="B79" s="827" t="s">
        <v>601</v>
      </c>
      <c r="C79" s="827"/>
      <c r="D79" s="694" t="s">
        <v>637</v>
      </c>
      <c r="E79" s="737">
        <v>5</v>
      </c>
      <c r="F79" s="657">
        <v>998716</v>
      </c>
      <c r="G79" s="684" t="str">
        <f>IF(H79=0,"Confirmed",(IF(H79=F79,"Confirmed","Not Confirmed")))</f>
        <v>Confirmed</v>
      </c>
      <c r="H79" s="660"/>
      <c r="I79" s="659">
        <v>0.18</v>
      </c>
      <c r="J79" s="684" t="str">
        <f>IF(K79=0,"Confirmed",(IF(K79=I79,"Confirmed","Not Confirmed")))</f>
        <v>Confirmed</v>
      </c>
      <c r="K79" s="660"/>
      <c r="L79" s="680">
        <v>1</v>
      </c>
      <c r="M79" s="724">
        <f>(E79*L79)</f>
        <v>5</v>
      </c>
      <c r="N79" s="727"/>
      <c r="O79" s="673"/>
      <c r="P79" s="643">
        <f>IF(K79="",E79*I79*L79,(IF(K79=0,E79*K79*L79,E79*K79*L79)))</f>
        <v>0.89999999999999991</v>
      </c>
      <c r="Q79" s="685"/>
    </row>
    <row r="80" spans="1:17" s="681" customFormat="1">
      <c r="A80" s="686" t="s">
        <v>337</v>
      </c>
      <c r="B80" s="827" t="s">
        <v>602</v>
      </c>
      <c r="C80" s="827"/>
      <c r="D80" s="694" t="s">
        <v>637</v>
      </c>
      <c r="E80" s="737">
        <v>25</v>
      </c>
      <c r="F80" s="657">
        <v>998716</v>
      </c>
      <c r="G80" s="684" t="str">
        <f>IF(H80=0,"Confirmed",(IF(H80=F80,"Confirmed","Not Confirmed")))</f>
        <v>Confirmed</v>
      </c>
      <c r="H80" s="660"/>
      <c r="I80" s="659">
        <v>0.18</v>
      </c>
      <c r="J80" s="684" t="str">
        <f>IF(K80=0,"Confirmed",(IF(K80=I80,"Confirmed","Not Confirmed")))</f>
        <v>Confirmed</v>
      </c>
      <c r="K80" s="660"/>
      <c r="L80" s="680">
        <v>1</v>
      </c>
      <c r="M80" s="724">
        <f>(E80*L80)</f>
        <v>25</v>
      </c>
      <c r="N80" s="727"/>
      <c r="O80" s="673"/>
      <c r="P80" s="643">
        <f>IF(K80="",E80*I80*L80,(IF(K80=0,E80*K80*L80,E80*K80*L80)))</f>
        <v>4.5</v>
      </c>
      <c r="Q80" s="685"/>
    </row>
    <row r="81" spans="1:18" s="681" customFormat="1">
      <c r="A81" s="686" t="s">
        <v>338</v>
      </c>
      <c r="B81" s="827" t="s">
        <v>603</v>
      </c>
      <c r="C81" s="827"/>
      <c r="D81" s="694" t="s">
        <v>637</v>
      </c>
      <c r="E81" s="737">
        <v>10</v>
      </c>
      <c r="F81" s="657">
        <v>998716</v>
      </c>
      <c r="G81" s="684" t="str">
        <f>IF(H81=0,"Confirmed",(IF(H81=F81,"Confirmed","Not Confirmed")))</f>
        <v>Confirmed</v>
      </c>
      <c r="H81" s="660"/>
      <c r="I81" s="659">
        <v>0.18</v>
      </c>
      <c r="J81" s="684" t="str">
        <f>IF(K81=0,"Confirmed",(IF(K81=I81,"Confirmed","Not Confirmed")))</f>
        <v>Confirmed</v>
      </c>
      <c r="K81" s="660"/>
      <c r="L81" s="680">
        <v>1</v>
      </c>
      <c r="M81" s="724">
        <f>(E81*L81)</f>
        <v>10</v>
      </c>
      <c r="N81" s="727"/>
      <c r="O81" s="673"/>
      <c r="P81" s="643">
        <f>IF(K81="",E81*I81*L81,(IF(K81=0,E81*K81*L81,E81*K81*L81)))</f>
        <v>1.7999999999999998</v>
      </c>
      <c r="Q81" s="685"/>
    </row>
    <row r="82" spans="1:18" s="681" customFormat="1">
      <c r="A82" s="686" t="s">
        <v>655</v>
      </c>
      <c r="B82" s="827" t="s">
        <v>604</v>
      </c>
      <c r="C82" s="827"/>
      <c r="D82" s="692"/>
      <c r="E82" s="737"/>
      <c r="F82" s="657"/>
      <c r="G82" s="684"/>
      <c r="H82" s="684"/>
      <c r="I82" s="659"/>
      <c r="J82" s="684"/>
      <c r="K82" s="684"/>
      <c r="L82" s="729"/>
      <c r="M82" s="724"/>
      <c r="N82" s="730"/>
      <c r="O82" s="673"/>
      <c r="P82" s="643"/>
      <c r="Q82" s="685"/>
    </row>
    <row r="83" spans="1:18" s="681" customFormat="1">
      <c r="A83" s="686" t="s">
        <v>332</v>
      </c>
      <c r="B83" s="827" t="s">
        <v>605</v>
      </c>
      <c r="C83" s="827"/>
      <c r="D83" s="694" t="s">
        <v>637</v>
      </c>
      <c r="E83" s="737">
        <v>5</v>
      </c>
      <c r="F83" s="657">
        <v>998716</v>
      </c>
      <c r="G83" s="684" t="str">
        <f t="shared" ref="G83:G117" si="4">IF(H83=0,"Confirmed",(IF(H83=F83,"Confirmed","Not Confirmed")))</f>
        <v>Confirmed</v>
      </c>
      <c r="H83" s="660"/>
      <c r="I83" s="659">
        <v>0.18</v>
      </c>
      <c r="J83" s="684" t="str">
        <f>IF(K83=0,"Confirmed",(IF(K83=I83,"Confirmed","Not Confirmed")))</f>
        <v>Confirmed</v>
      </c>
      <c r="K83" s="660"/>
      <c r="L83" s="680">
        <v>1</v>
      </c>
      <c r="M83" s="724">
        <f t="shared" ref="M83:M117" si="5">(E83*L83)</f>
        <v>5</v>
      </c>
      <c r="N83" s="727"/>
      <c r="O83" s="697"/>
      <c r="P83" s="643">
        <f t="shared" ref="P83:P117" si="6">IF(K83="",E83*I83*L83,(IF(K83=0,E83*K83*L83,E83*K83*L83)))</f>
        <v>0.89999999999999991</v>
      </c>
    </row>
    <row r="84" spans="1:18" s="681" customFormat="1">
      <c r="A84" s="686" t="s">
        <v>634</v>
      </c>
      <c r="B84" s="827" t="s">
        <v>606</v>
      </c>
      <c r="C84" s="827"/>
      <c r="D84" s="694" t="s">
        <v>637</v>
      </c>
      <c r="E84" s="737">
        <v>10</v>
      </c>
      <c r="F84" s="657">
        <v>998716</v>
      </c>
      <c r="G84" s="684" t="str">
        <f t="shared" si="4"/>
        <v>Confirmed</v>
      </c>
      <c r="H84" s="660"/>
      <c r="I84" s="659">
        <v>0.18</v>
      </c>
      <c r="J84" s="684" t="str">
        <f>IF(K84=0,"Confirmed",(IF(K84=I84,"Confirmed","Not Confirmed")))</f>
        <v>Confirmed</v>
      </c>
      <c r="K84" s="660"/>
      <c r="L84" s="680">
        <v>1</v>
      </c>
      <c r="M84" s="724">
        <f t="shared" si="5"/>
        <v>10</v>
      </c>
      <c r="N84" s="727"/>
      <c r="O84" s="697"/>
      <c r="P84" s="643">
        <f t="shared" si="6"/>
        <v>1.7999999999999998</v>
      </c>
    </row>
    <row r="85" spans="1:18" s="681" customFormat="1">
      <c r="A85" s="686" t="s">
        <v>337</v>
      </c>
      <c r="B85" s="827" t="s">
        <v>607</v>
      </c>
      <c r="C85" s="827"/>
      <c r="D85" s="694" t="s">
        <v>637</v>
      </c>
      <c r="E85" s="737">
        <v>10</v>
      </c>
      <c r="F85" s="657">
        <v>998716</v>
      </c>
      <c r="G85" s="684" t="str">
        <f t="shared" si="4"/>
        <v>Confirmed</v>
      </c>
      <c r="H85" s="660"/>
      <c r="I85" s="659">
        <v>0.18</v>
      </c>
      <c r="J85" s="684" t="str">
        <f>IF(K85=0,"Confirmed",(IF(K85=I85,"Confirmed","Not Confirmed")))</f>
        <v>Confirmed</v>
      </c>
      <c r="K85" s="660"/>
      <c r="L85" s="680">
        <v>1</v>
      </c>
      <c r="M85" s="724">
        <f t="shared" si="5"/>
        <v>10</v>
      </c>
      <c r="N85" s="727"/>
      <c r="O85" s="697"/>
      <c r="P85" s="643">
        <f t="shared" si="6"/>
        <v>1.7999999999999998</v>
      </c>
    </row>
    <row r="86" spans="1:18" s="681" customFormat="1">
      <c r="A86" s="686" t="s">
        <v>338</v>
      </c>
      <c r="B86" s="827" t="s">
        <v>608</v>
      </c>
      <c r="C86" s="827"/>
      <c r="D86" s="694" t="s">
        <v>637</v>
      </c>
      <c r="E86" s="737">
        <v>5</v>
      </c>
      <c r="F86" s="657">
        <v>998716</v>
      </c>
      <c r="G86" s="684" t="str">
        <f t="shared" si="4"/>
        <v>Confirmed</v>
      </c>
      <c r="H86" s="660"/>
      <c r="I86" s="659">
        <v>0.18</v>
      </c>
      <c r="J86" s="684" t="str">
        <f>IF(K86=0,"Confirmed",(IF(K86=I86,"Confirmed","Not Confirmed")))</f>
        <v>Confirmed</v>
      </c>
      <c r="K86" s="660"/>
      <c r="L86" s="680">
        <v>1</v>
      </c>
      <c r="M86" s="724">
        <f t="shared" si="5"/>
        <v>5</v>
      </c>
      <c r="N86" s="727"/>
      <c r="O86" s="697"/>
      <c r="P86" s="643">
        <f t="shared" si="6"/>
        <v>0.89999999999999991</v>
      </c>
    </row>
    <row r="87" spans="1:18" s="681" customFormat="1">
      <c r="A87" s="686" t="s">
        <v>340</v>
      </c>
      <c r="B87" s="827" t="s">
        <v>645</v>
      </c>
      <c r="C87" s="827"/>
      <c r="D87" s="694" t="s">
        <v>637</v>
      </c>
      <c r="E87" s="737">
        <v>2</v>
      </c>
      <c r="F87" s="657">
        <v>998716</v>
      </c>
      <c r="G87" s="684" t="str">
        <f>IF(H87=0,"Confirmed",(IF(H87=F87,"Confirmed","Not Confirmed")))</f>
        <v>Confirmed</v>
      </c>
      <c r="H87" s="660"/>
      <c r="I87" s="659">
        <v>0.18</v>
      </c>
      <c r="J87" s="684" t="str">
        <f>IF(K87=0,"Confirmed",(IF(K87=I87,"Confirmed","Not Confirmed")))</f>
        <v>Confirmed</v>
      </c>
      <c r="K87" s="660"/>
      <c r="L87" s="680">
        <v>1</v>
      </c>
      <c r="M87" s="724">
        <f t="shared" si="5"/>
        <v>2</v>
      </c>
      <c r="N87" s="727"/>
      <c r="O87" s="697"/>
      <c r="P87" s="643">
        <f t="shared" si="6"/>
        <v>0.36</v>
      </c>
    </row>
    <row r="88" spans="1:18" s="681" customFormat="1">
      <c r="A88" s="686" t="s">
        <v>656</v>
      </c>
      <c r="B88" s="827" t="s">
        <v>646</v>
      </c>
      <c r="C88" s="827"/>
      <c r="D88" s="698"/>
      <c r="E88" s="737"/>
      <c r="F88" s="657"/>
      <c r="G88" s="684"/>
      <c r="H88" s="684"/>
      <c r="I88" s="659"/>
      <c r="J88" s="684"/>
      <c r="K88" s="684"/>
      <c r="L88" s="729"/>
      <c r="M88" s="724"/>
      <c r="N88" s="730"/>
      <c r="O88" s="697"/>
      <c r="P88" s="643"/>
    </row>
    <row r="89" spans="1:18" s="681" customFormat="1">
      <c r="A89" s="686" t="s">
        <v>332</v>
      </c>
      <c r="B89" s="827" t="s">
        <v>605</v>
      </c>
      <c r="C89" s="827"/>
      <c r="D89" s="694" t="s">
        <v>637</v>
      </c>
      <c r="E89" s="737">
        <v>5</v>
      </c>
      <c r="F89" s="657">
        <v>998716</v>
      </c>
      <c r="G89" s="684" t="str">
        <f t="shared" si="4"/>
        <v>Confirmed</v>
      </c>
      <c r="H89" s="660"/>
      <c r="I89" s="659">
        <v>0.18</v>
      </c>
      <c r="J89" s="684" t="str">
        <f>IF(K89=0,"Confirmed",(IF(K89=I89,"Confirmed","Not Confirmed")))</f>
        <v>Confirmed</v>
      </c>
      <c r="K89" s="660"/>
      <c r="L89" s="680">
        <v>1</v>
      </c>
      <c r="M89" s="724">
        <f t="shared" si="5"/>
        <v>5</v>
      </c>
      <c r="N89" s="727"/>
      <c r="O89" s="697"/>
      <c r="P89" s="643">
        <f t="shared" si="6"/>
        <v>0.89999999999999991</v>
      </c>
    </row>
    <row r="90" spans="1:18" s="681" customFormat="1">
      <c r="A90" s="686" t="s">
        <v>634</v>
      </c>
      <c r="B90" s="827" t="s">
        <v>606</v>
      </c>
      <c r="C90" s="827"/>
      <c r="D90" s="694" t="s">
        <v>637</v>
      </c>
      <c r="E90" s="737">
        <v>10</v>
      </c>
      <c r="F90" s="657">
        <v>998716</v>
      </c>
      <c r="G90" s="684" t="str">
        <f t="shared" si="4"/>
        <v>Confirmed</v>
      </c>
      <c r="H90" s="660"/>
      <c r="I90" s="659">
        <v>0.18</v>
      </c>
      <c r="J90" s="684" t="str">
        <f>IF(K90=0,"Confirmed",(IF(K90=I90,"Confirmed","Not Confirmed")))</f>
        <v>Confirmed</v>
      </c>
      <c r="K90" s="660"/>
      <c r="L90" s="680">
        <v>1</v>
      </c>
      <c r="M90" s="724">
        <f t="shared" si="5"/>
        <v>10</v>
      </c>
      <c r="N90" s="727"/>
      <c r="O90" s="697"/>
      <c r="P90" s="643">
        <f t="shared" si="6"/>
        <v>1.7999999999999998</v>
      </c>
      <c r="Q90" s="699"/>
      <c r="R90" s="699"/>
    </row>
    <row r="91" spans="1:18" s="681" customFormat="1">
      <c r="A91" s="686" t="s">
        <v>337</v>
      </c>
      <c r="B91" s="827" t="s">
        <v>607</v>
      </c>
      <c r="C91" s="827"/>
      <c r="D91" s="694" t="s">
        <v>637</v>
      </c>
      <c r="E91" s="737">
        <v>10</v>
      </c>
      <c r="F91" s="657">
        <v>998716</v>
      </c>
      <c r="G91" s="684" t="str">
        <f t="shared" si="4"/>
        <v>Confirmed</v>
      </c>
      <c r="H91" s="660"/>
      <c r="I91" s="659">
        <v>0.18</v>
      </c>
      <c r="J91" s="684" t="str">
        <f>IF(K91=0,"Confirmed",(IF(K91=I91,"Confirmed","Not Confirmed")))</f>
        <v>Confirmed</v>
      </c>
      <c r="K91" s="660"/>
      <c r="L91" s="680">
        <v>1</v>
      </c>
      <c r="M91" s="724">
        <f t="shared" si="5"/>
        <v>10</v>
      </c>
      <c r="N91" s="727"/>
      <c r="O91" s="697"/>
      <c r="P91" s="643">
        <f t="shared" si="6"/>
        <v>1.7999999999999998</v>
      </c>
    </row>
    <row r="92" spans="1:18">
      <c r="A92" s="686" t="s">
        <v>338</v>
      </c>
      <c r="B92" s="827" t="s">
        <v>608</v>
      </c>
      <c r="C92" s="827"/>
      <c r="D92" s="694" t="s">
        <v>637</v>
      </c>
      <c r="E92" s="737">
        <v>5</v>
      </c>
      <c r="F92" s="657">
        <v>998716</v>
      </c>
      <c r="G92" s="684" t="str">
        <f t="shared" si="4"/>
        <v>Confirmed</v>
      </c>
      <c r="H92" s="660"/>
      <c r="I92" s="659">
        <v>0.18</v>
      </c>
      <c r="J92" s="684" t="str">
        <f>IF(K92=0,"Confirmed",(IF(K92=I92,"Confirmed","Not Confirmed")))</f>
        <v>Confirmed</v>
      </c>
      <c r="K92" s="660"/>
      <c r="L92" s="680">
        <v>1</v>
      </c>
      <c r="M92" s="724">
        <f>(E92*L92)</f>
        <v>5</v>
      </c>
      <c r="N92" s="727"/>
      <c r="O92" s="674"/>
      <c r="P92" s="643">
        <f t="shared" si="6"/>
        <v>0.89999999999999991</v>
      </c>
    </row>
    <row r="93" spans="1:18">
      <c r="A93" s="686" t="s">
        <v>340</v>
      </c>
      <c r="B93" s="827" t="s">
        <v>645</v>
      </c>
      <c r="C93" s="827"/>
      <c r="D93" s="694" t="s">
        <v>637</v>
      </c>
      <c r="E93" s="737">
        <v>2</v>
      </c>
      <c r="F93" s="657">
        <v>998716</v>
      </c>
      <c r="G93" s="684" t="str">
        <f>IF(H93=0,"Confirmed",(IF(H93=F93,"Confirmed","Not Confirmed")))</f>
        <v>Confirmed</v>
      </c>
      <c r="H93" s="660"/>
      <c r="I93" s="659">
        <v>0.18</v>
      </c>
      <c r="J93" s="684" t="str">
        <f>IF(K93=0,"Confirmed",(IF(K93=I93,"Confirmed","Not Confirmed")))</f>
        <v>Confirmed</v>
      </c>
      <c r="K93" s="660"/>
      <c r="L93" s="680">
        <v>1</v>
      </c>
      <c r="M93" s="724">
        <f>(E93*L93)</f>
        <v>2</v>
      </c>
      <c r="N93" s="727"/>
      <c r="O93" s="674"/>
      <c r="P93" s="643">
        <f t="shared" si="6"/>
        <v>0.36</v>
      </c>
    </row>
    <row r="94" spans="1:18">
      <c r="A94" s="686">
        <v>16</v>
      </c>
      <c r="B94" s="827" t="s">
        <v>609</v>
      </c>
      <c r="C94" s="827"/>
      <c r="D94" s="698"/>
      <c r="E94" s="737"/>
      <c r="F94" s="657"/>
      <c r="G94" s="684"/>
      <c r="H94" s="684"/>
      <c r="I94" s="659"/>
      <c r="J94" s="684"/>
      <c r="K94" s="684"/>
      <c r="L94" s="729"/>
      <c r="M94" s="724"/>
      <c r="N94" s="727"/>
      <c r="O94" s="674"/>
      <c r="P94" s="643"/>
    </row>
    <row r="95" spans="1:18">
      <c r="A95" s="686" t="s">
        <v>332</v>
      </c>
      <c r="B95" s="827" t="s">
        <v>610</v>
      </c>
      <c r="C95" s="827"/>
      <c r="D95" s="694" t="s">
        <v>637</v>
      </c>
      <c r="E95" s="737">
        <v>25</v>
      </c>
      <c r="F95" s="657">
        <v>998716</v>
      </c>
      <c r="G95" s="684" t="str">
        <f t="shared" si="4"/>
        <v>Confirmed</v>
      </c>
      <c r="H95" s="660"/>
      <c r="I95" s="659">
        <v>0.18</v>
      </c>
      <c r="J95" s="684" t="str">
        <f>IF(K95=0,"Confirmed",(IF(K95=I95,"Confirmed","Not Confirmed")))</f>
        <v>Confirmed</v>
      </c>
      <c r="K95" s="660"/>
      <c r="L95" s="680">
        <v>1</v>
      </c>
      <c r="M95" s="724">
        <f t="shared" si="5"/>
        <v>25</v>
      </c>
      <c r="N95" s="727"/>
      <c r="O95" s="674"/>
      <c r="P95" s="643">
        <f t="shared" si="6"/>
        <v>4.5</v>
      </c>
    </row>
    <row r="96" spans="1:18">
      <c r="A96" s="686" t="s">
        <v>634</v>
      </c>
      <c r="B96" s="827" t="s">
        <v>611</v>
      </c>
      <c r="C96" s="827"/>
      <c r="D96" s="694" t="s">
        <v>637</v>
      </c>
      <c r="E96" s="737">
        <v>25</v>
      </c>
      <c r="F96" s="657">
        <v>998716</v>
      </c>
      <c r="G96" s="684" t="str">
        <f t="shared" si="4"/>
        <v>Confirmed</v>
      </c>
      <c r="H96" s="660"/>
      <c r="I96" s="659">
        <v>0.18</v>
      </c>
      <c r="J96" s="684" t="str">
        <f>IF(K96=0,"Confirmed",(IF(K96=I96,"Confirmed","Not Confirmed")))</f>
        <v>Confirmed</v>
      </c>
      <c r="K96" s="660"/>
      <c r="L96" s="680">
        <v>1</v>
      </c>
      <c r="M96" s="724">
        <f t="shared" si="5"/>
        <v>25</v>
      </c>
      <c r="N96" s="727"/>
      <c r="O96" s="478"/>
      <c r="P96" s="643">
        <f t="shared" si="6"/>
        <v>4.5</v>
      </c>
    </row>
    <row r="97" spans="1:16">
      <c r="A97" s="686">
        <v>17</v>
      </c>
      <c r="B97" s="827" t="s">
        <v>612</v>
      </c>
      <c r="C97" s="827"/>
      <c r="D97" s="698"/>
      <c r="E97" s="737"/>
      <c r="F97" s="657"/>
      <c r="G97" s="684"/>
      <c r="H97" s="684"/>
      <c r="I97" s="659"/>
      <c r="J97" s="684"/>
      <c r="K97" s="684"/>
      <c r="L97" s="729"/>
      <c r="M97" s="724"/>
      <c r="N97" s="727"/>
      <c r="O97" s="674"/>
      <c r="P97" s="643"/>
    </row>
    <row r="98" spans="1:16">
      <c r="A98" s="686" t="s">
        <v>332</v>
      </c>
      <c r="B98" s="827" t="s">
        <v>610</v>
      </c>
      <c r="C98" s="827"/>
      <c r="D98" s="694" t="s">
        <v>637</v>
      </c>
      <c r="E98" s="737">
        <v>5</v>
      </c>
      <c r="F98" s="657">
        <v>998716</v>
      </c>
      <c r="G98" s="684" t="str">
        <f t="shared" si="4"/>
        <v>Confirmed</v>
      </c>
      <c r="H98" s="660"/>
      <c r="I98" s="659">
        <v>0.18</v>
      </c>
      <c r="J98" s="684" t="str">
        <f>IF(K98=0,"Confirmed",(IF(K98=I98,"Confirmed","Not Confirmed")))</f>
        <v>Confirmed</v>
      </c>
      <c r="K98" s="660"/>
      <c r="L98" s="680">
        <v>1</v>
      </c>
      <c r="M98" s="724">
        <f t="shared" si="5"/>
        <v>5</v>
      </c>
      <c r="N98" s="727"/>
      <c r="O98" s="674"/>
      <c r="P98" s="643">
        <f t="shared" si="6"/>
        <v>0.89999999999999991</v>
      </c>
    </row>
    <row r="99" spans="1:16">
      <c r="A99" s="686" t="s">
        <v>335</v>
      </c>
      <c r="B99" s="827" t="s">
        <v>611</v>
      </c>
      <c r="C99" s="827"/>
      <c r="D99" s="694" t="s">
        <v>637</v>
      </c>
      <c r="E99" s="737">
        <v>5</v>
      </c>
      <c r="F99" s="657">
        <v>998716</v>
      </c>
      <c r="G99" s="684" t="str">
        <f t="shared" si="4"/>
        <v>Confirmed</v>
      </c>
      <c r="H99" s="660"/>
      <c r="I99" s="659">
        <v>0.18</v>
      </c>
      <c r="J99" s="684" t="str">
        <f>IF(K99=0,"Confirmed",(IF(K99=I99,"Confirmed","Not Confirmed")))</f>
        <v>Confirmed</v>
      </c>
      <c r="K99" s="660"/>
      <c r="L99" s="680">
        <v>1</v>
      </c>
      <c r="M99" s="724">
        <f t="shared" si="5"/>
        <v>5</v>
      </c>
      <c r="N99" s="727"/>
      <c r="O99" s="674"/>
      <c r="P99" s="643">
        <f t="shared" si="6"/>
        <v>0.89999999999999991</v>
      </c>
    </row>
    <row r="100" spans="1:16">
      <c r="A100" s="686">
        <v>18</v>
      </c>
      <c r="B100" s="827" t="s">
        <v>613</v>
      </c>
      <c r="C100" s="827"/>
      <c r="D100" s="698"/>
      <c r="E100" s="737"/>
      <c r="F100" s="657"/>
      <c r="G100" s="684"/>
      <c r="H100" s="684"/>
      <c r="I100" s="659"/>
      <c r="J100" s="684"/>
      <c r="K100" s="684"/>
      <c r="L100" s="729"/>
      <c r="M100" s="724"/>
      <c r="N100" s="727"/>
      <c r="O100" s="674"/>
      <c r="P100" s="643"/>
    </row>
    <row r="101" spans="1:16">
      <c r="A101" s="686" t="s">
        <v>332</v>
      </c>
      <c r="B101" s="827" t="s">
        <v>610</v>
      </c>
      <c r="C101" s="827"/>
      <c r="D101" s="694" t="s">
        <v>637</v>
      </c>
      <c r="E101" s="737">
        <v>10</v>
      </c>
      <c r="F101" s="657">
        <v>998716</v>
      </c>
      <c r="G101" s="684" t="str">
        <f t="shared" si="4"/>
        <v>Confirmed</v>
      </c>
      <c r="H101" s="660"/>
      <c r="I101" s="659">
        <v>0.18</v>
      </c>
      <c r="J101" s="684" t="str">
        <f t="shared" ref="J101:J107" si="7">IF(K101=0,"Confirmed",(IF(K101=I101,"Confirmed","Not Confirmed")))</f>
        <v>Confirmed</v>
      </c>
      <c r="K101" s="660"/>
      <c r="L101" s="680">
        <v>1</v>
      </c>
      <c r="M101" s="724">
        <f t="shared" si="5"/>
        <v>10</v>
      </c>
      <c r="N101" s="727"/>
      <c r="O101" s="674"/>
      <c r="P101" s="643">
        <f t="shared" si="6"/>
        <v>1.7999999999999998</v>
      </c>
    </row>
    <row r="102" spans="1:16">
      <c r="A102" s="686" t="s">
        <v>335</v>
      </c>
      <c r="B102" s="827" t="s">
        <v>611</v>
      </c>
      <c r="C102" s="827"/>
      <c r="D102" s="694" t="s">
        <v>637</v>
      </c>
      <c r="E102" s="737">
        <v>10</v>
      </c>
      <c r="F102" s="657">
        <v>998716</v>
      </c>
      <c r="G102" s="684" t="str">
        <f t="shared" si="4"/>
        <v>Confirmed</v>
      </c>
      <c r="H102" s="660"/>
      <c r="I102" s="659">
        <v>0.18</v>
      </c>
      <c r="J102" s="684" t="str">
        <f t="shared" si="7"/>
        <v>Confirmed</v>
      </c>
      <c r="K102" s="660"/>
      <c r="L102" s="680">
        <v>1</v>
      </c>
      <c r="M102" s="724">
        <f t="shared" si="5"/>
        <v>10</v>
      </c>
      <c r="N102" s="727"/>
      <c r="O102" s="674"/>
      <c r="P102" s="643">
        <f t="shared" si="6"/>
        <v>1.7999999999999998</v>
      </c>
    </row>
    <row r="103" spans="1:16">
      <c r="A103" s="686">
        <v>19</v>
      </c>
      <c r="B103" s="827" t="s">
        <v>647</v>
      </c>
      <c r="C103" s="827"/>
      <c r="D103" s="690" t="s">
        <v>638</v>
      </c>
      <c r="E103" s="737">
        <v>80</v>
      </c>
      <c r="F103" s="657">
        <v>998716</v>
      </c>
      <c r="G103" s="684" t="str">
        <f t="shared" si="4"/>
        <v>Confirmed</v>
      </c>
      <c r="H103" s="660"/>
      <c r="I103" s="659">
        <v>0.18</v>
      </c>
      <c r="J103" s="684" t="str">
        <f t="shared" si="7"/>
        <v>Confirmed</v>
      </c>
      <c r="K103" s="660"/>
      <c r="L103" s="680">
        <v>1</v>
      </c>
      <c r="M103" s="724">
        <f t="shared" si="5"/>
        <v>80</v>
      </c>
      <c r="N103" s="727"/>
      <c r="O103" s="674"/>
      <c r="P103" s="643">
        <f t="shared" si="6"/>
        <v>14.399999999999999</v>
      </c>
    </row>
    <row r="104" spans="1:16">
      <c r="A104" s="686">
        <v>20</v>
      </c>
      <c r="B104" s="827" t="s">
        <v>614</v>
      </c>
      <c r="C104" s="827"/>
      <c r="D104" s="700" t="s">
        <v>636</v>
      </c>
      <c r="E104" s="736">
        <v>500</v>
      </c>
      <c r="F104" s="657">
        <v>998716</v>
      </c>
      <c r="G104" s="684" t="str">
        <f t="shared" si="4"/>
        <v>Confirmed</v>
      </c>
      <c r="H104" s="660"/>
      <c r="I104" s="659">
        <v>0.18</v>
      </c>
      <c r="J104" s="684" t="str">
        <f t="shared" si="7"/>
        <v>Confirmed</v>
      </c>
      <c r="K104" s="660"/>
      <c r="L104" s="680">
        <v>1</v>
      </c>
      <c r="M104" s="724">
        <f t="shared" si="5"/>
        <v>500</v>
      </c>
      <c r="N104" s="727"/>
      <c r="O104" s="674"/>
      <c r="P104" s="643">
        <f t="shared" si="6"/>
        <v>90</v>
      </c>
    </row>
    <row r="105" spans="1:16">
      <c r="A105" s="686">
        <v>21</v>
      </c>
      <c r="B105" s="827" t="s">
        <v>615</v>
      </c>
      <c r="C105" s="827"/>
      <c r="D105" s="692" t="s">
        <v>636</v>
      </c>
      <c r="E105" s="737">
        <v>500</v>
      </c>
      <c r="F105" s="657">
        <v>998716</v>
      </c>
      <c r="G105" s="684" t="str">
        <f t="shared" si="4"/>
        <v>Confirmed</v>
      </c>
      <c r="H105" s="660"/>
      <c r="I105" s="659">
        <v>0.18</v>
      </c>
      <c r="J105" s="684" t="str">
        <f t="shared" si="7"/>
        <v>Confirmed</v>
      </c>
      <c r="K105" s="660"/>
      <c r="L105" s="680">
        <v>1</v>
      </c>
      <c r="M105" s="724">
        <f t="shared" si="5"/>
        <v>500</v>
      </c>
      <c r="N105" s="727"/>
      <c r="O105" s="674"/>
      <c r="P105" s="643">
        <f t="shared" si="6"/>
        <v>90</v>
      </c>
    </row>
    <row r="106" spans="1:16">
      <c r="A106" s="686">
        <v>22</v>
      </c>
      <c r="B106" s="827" t="s">
        <v>616</v>
      </c>
      <c r="C106" s="827"/>
      <c r="D106" s="690" t="s">
        <v>636</v>
      </c>
      <c r="E106" s="737">
        <v>500</v>
      </c>
      <c r="F106" s="657">
        <v>998716</v>
      </c>
      <c r="G106" s="684" t="str">
        <f t="shared" si="4"/>
        <v>Confirmed</v>
      </c>
      <c r="H106" s="660"/>
      <c r="I106" s="659">
        <v>0.18</v>
      </c>
      <c r="J106" s="684" t="str">
        <f t="shared" si="7"/>
        <v>Confirmed</v>
      </c>
      <c r="K106" s="660"/>
      <c r="L106" s="680">
        <v>1</v>
      </c>
      <c r="M106" s="724">
        <f t="shared" si="5"/>
        <v>500</v>
      </c>
      <c r="N106" s="727"/>
      <c r="O106" s="674"/>
      <c r="P106" s="643">
        <f t="shared" si="6"/>
        <v>90</v>
      </c>
    </row>
    <row r="107" spans="1:16">
      <c r="A107" s="686">
        <v>23</v>
      </c>
      <c r="B107" s="827" t="s">
        <v>617</v>
      </c>
      <c r="C107" s="827"/>
      <c r="D107" s="694" t="s">
        <v>637</v>
      </c>
      <c r="E107" s="737">
        <v>10</v>
      </c>
      <c r="F107" s="657">
        <v>998716</v>
      </c>
      <c r="G107" s="684" t="str">
        <f t="shared" si="4"/>
        <v>Confirmed</v>
      </c>
      <c r="H107" s="660"/>
      <c r="I107" s="659">
        <v>0.18</v>
      </c>
      <c r="J107" s="684" t="str">
        <f t="shared" si="7"/>
        <v>Confirmed</v>
      </c>
      <c r="K107" s="660"/>
      <c r="L107" s="680">
        <v>1</v>
      </c>
      <c r="M107" s="724">
        <f t="shared" si="5"/>
        <v>10</v>
      </c>
      <c r="N107" s="727"/>
      <c r="O107" s="674"/>
      <c r="P107" s="643">
        <f t="shared" si="6"/>
        <v>1.7999999999999998</v>
      </c>
    </row>
    <row r="108" spans="1:16">
      <c r="A108" s="686">
        <v>24</v>
      </c>
      <c r="B108" s="827" t="s">
        <v>618</v>
      </c>
      <c r="C108" s="827"/>
      <c r="D108" s="687"/>
      <c r="E108" s="737"/>
      <c r="F108" s="657"/>
      <c r="G108" s="684"/>
      <c r="H108" s="684"/>
      <c r="I108" s="659"/>
      <c r="J108" s="684"/>
      <c r="K108" s="684"/>
      <c r="L108" s="729"/>
      <c r="M108" s="724"/>
      <c r="N108" s="727"/>
      <c r="O108" s="674"/>
      <c r="P108" s="643"/>
    </row>
    <row r="109" spans="1:16">
      <c r="A109" s="686" t="s">
        <v>565</v>
      </c>
      <c r="B109" s="827" t="s">
        <v>619</v>
      </c>
      <c r="C109" s="827"/>
      <c r="D109" s="687" t="s">
        <v>636</v>
      </c>
      <c r="E109" s="737">
        <v>2000</v>
      </c>
      <c r="F109" s="657">
        <v>998716</v>
      </c>
      <c r="G109" s="684" t="str">
        <f t="shared" si="4"/>
        <v>Confirmed</v>
      </c>
      <c r="H109" s="660"/>
      <c r="I109" s="659">
        <v>0.18</v>
      </c>
      <c r="J109" s="684" t="str">
        <f>IF(K109=0,"Confirmed",(IF(K109=I109,"Confirmed","Not Confirmed")))</f>
        <v>Confirmed</v>
      </c>
      <c r="K109" s="660"/>
      <c r="L109" s="680">
        <v>1</v>
      </c>
      <c r="M109" s="724">
        <f t="shared" si="5"/>
        <v>2000</v>
      </c>
      <c r="N109" s="727"/>
      <c r="O109" s="674"/>
      <c r="P109" s="643">
        <f t="shared" si="6"/>
        <v>360</v>
      </c>
    </row>
    <row r="110" spans="1:16">
      <c r="A110" s="686" t="s">
        <v>566</v>
      </c>
      <c r="B110" s="827" t="s">
        <v>620</v>
      </c>
      <c r="C110" s="827"/>
      <c r="D110" s="687" t="s">
        <v>636</v>
      </c>
      <c r="E110" s="737">
        <v>2000</v>
      </c>
      <c r="F110" s="657">
        <v>998716</v>
      </c>
      <c r="G110" s="684" t="str">
        <f t="shared" si="4"/>
        <v>Confirmed</v>
      </c>
      <c r="H110" s="660"/>
      <c r="I110" s="659">
        <v>0.18</v>
      </c>
      <c r="J110" s="684" t="str">
        <f>IF(K110=0,"Confirmed",(IF(K110=I110,"Confirmed","Not Confirmed")))</f>
        <v>Confirmed</v>
      </c>
      <c r="K110" s="660"/>
      <c r="L110" s="680">
        <v>1</v>
      </c>
      <c r="M110" s="724">
        <f t="shared" si="5"/>
        <v>2000</v>
      </c>
      <c r="N110" s="727"/>
      <c r="O110" s="674"/>
      <c r="P110" s="643">
        <f t="shared" si="6"/>
        <v>360</v>
      </c>
    </row>
    <row r="111" spans="1:16">
      <c r="A111" s="686">
        <v>25</v>
      </c>
      <c r="B111" s="827" t="s">
        <v>621</v>
      </c>
      <c r="C111" s="827"/>
      <c r="D111" s="687"/>
      <c r="E111" s="737"/>
      <c r="F111" s="657"/>
      <c r="G111" s="684"/>
      <c r="H111" s="684"/>
      <c r="I111" s="659"/>
      <c r="J111" s="684"/>
      <c r="K111" s="684"/>
      <c r="L111" s="729"/>
      <c r="M111" s="724"/>
      <c r="N111" s="727"/>
      <c r="O111" s="674"/>
      <c r="P111" s="643"/>
    </row>
    <row r="112" spans="1:16">
      <c r="A112" s="686" t="s">
        <v>565</v>
      </c>
      <c r="B112" s="827" t="s">
        <v>622</v>
      </c>
      <c r="C112" s="827"/>
      <c r="D112" s="687" t="s">
        <v>636</v>
      </c>
      <c r="E112" s="737">
        <v>3000</v>
      </c>
      <c r="F112" s="657">
        <v>998716</v>
      </c>
      <c r="G112" s="684" t="str">
        <f t="shared" si="4"/>
        <v>Confirmed</v>
      </c>
      <c r="H112" s="660"/>
      <c r="I112" s="659">
        <v>0.18</v>
      </c>
      <c r="J112" s="684" t="str">
        <f>IF(K112=0,"Confirmed",(IF(K112=I112,"Confirmed","Not Confirmed")))</f>
        <v>Confirmed</v>
      </c>
      <c r="K112" s="660"/>
      <c r="L112" s="680">
        <v>1</v>
      </c>
      <c r="M112" s="724">
        <f t="shared" si="5"/>
        <v>3000</v>
      </c>
      <c r="N112" s="727"/>
      <c r="O112" s="674"/>
      <c r="P112" s="643">
        <f t="shared" si="6"/>
        <v>540</v>
      </c>
    </row>
    <row r="113" spans="1:16">
      <c r="A113" s="686" t="s">
        <v>566</v>
      </c>
      <c r="B113" s="827" t="s">
        <v>648</v>
      </c>
      <c r="C113" s="827"/>
      <c r="D113" s="687" t="s">
        <v>636</v>
      </c>
      <c r="E113" s="737">
        <v>2500</v>
      </c>
      <c r="F113" s="657">
        <v>998716</v>
      </c>
      <c r="G113" s="684" t="str">
        <f t="shared" si="4"/>
        <v>Confirmed</v>
      </c>
      <c r="H113" s="660"/>
      <c r="I113" s="659">
        <v>0.18</v>
      </c>
      <c r="J113" s="684" t="str">
        <f>IF(K113=0,"Confirmed",(IF(K113=I113,"Confirmed","Not Confirmed")))</f>
        <v>Confirmed</v>
      </c>
      <c r="K113" s="660"/>
      <c r="L113" s="680">
        <v>1</v>
      </c>
      <c r="M113" s="724">
        <f t="shared" si="5"/>
        <v>2500</v>
      </c>
      <c r="N113" s="727"/>
      <c r="O113" s="674"/>
      <c r="P113" s="643">
        <f t="shared" si="6"/>
        <v>450</v>
      </c>
    </row>
    <row r="114" spans="1:16">
      <c r="A114" s="686">
        <v>26</v>
      </c>
      <c r="B114" s="827" t="s">
        <v>623</v>
      </c>
      <c r="C114" s="827"/>
      <c r="D114" s="687" t="s">
        <v>640</v>
      </c>
      <c r="E114" s="737">
        <v>250</v>
      </c>
      <c r="F114" s="657">
        <v>998716</v>
      </c>
      <c r="G114" s="684" t="str">
        <f t="shared" si="4"/>
        <v>Confirmed</v>
      </c>
      <c r="H114" s="660"/>
      <c r="I114" s="659">
        <v>0.18</v>
      </c>
      <c r="J114" s="684" t="str">
        <f>IF(K114=0,"Confirmed",(IF(K114=I114,"Confirmed","Not Confirmed")))</f>
        <v>Confirmed</v>
      </c>
      <c r="K114" s="660"/>
      <c r="L114" s="680">
        <v>1</v>
      </c>
      <c r="M114" s="724">
        <f t="shared" si="5"/>
        <v>250</v>
      </c>
      <c r="N114" s="727"/>
      <c r="O114" s="674"/>
      <c r="P114" s="643">
        <f t="shared" si="6"/>
        <v>45</v>
      </c>
    </row>
    <row r="115" spans="1:16">
      <c r="A115" s="686">
        <v>27</v>
      </c>
      <c r="B115" s="827" t="s">
        <v>624</v>
      </c>
      <c r="C115" s="827"/>
      <c r="D115" s="698" t="s">
        <v>638</v>
      </c>
      <c r="E115" s="737">
        <v>10</v>
      </c>
      <c r="F115" s="657">
        <v>998716</v>
      </c>
      <c r="G115" s="684" t="str">
        <f t="shared" si="4"/>
        <v>Confirmed</v>
      </c>
      <c r="H115" s="660"/>
      <c r="I115" s="659">
        <v>0.18</v>
      </c>
      <c r="J115" s="684" t="str">
        <f>IF(K115=0,"Confirmed",(IF(K115=I115,"Confirmed","Not Confirmed")))</f>
        <v>Confirmed</v>
      </c>
      <c r="K115" s="660"/>
      <c r="L115" s="680">
        <v>1</v>
      </c>
      <c r="M115" s="724">
        <f t="shared" si="5"/>
        <v>10</v>
      </c>
      <c r="N115" s="731"/>
      <c r="O115" s="674"/>
      <c r="P115" s="643">
        <f t="shared" si="6"/>
        <v>1.7999999999999998</v>
      </c>
    </row>
    <row r="116" spans="1:16">
      <c r="A116" s="686">
        <v>28</v>
      </c>
      <c r="B116" s="827" t="s">
        <v>558</v>
      </c>
      <c r="C116" s="827"/>
      <c r="D116" s="687"/>
      <c r="E116" s="737"/>
      <c r="F116" s="657"/>
      <c r="G116" s="684"/>
      <c r="H116" s="684"/>
      <c r="I116" s="659"/>
      <c r="J116" s="684"/>
      <c r="K116" s="684"/>
      <c r="L116" s="729"/>
      <c r="M116" s="724"/>
      <c r="N116" s="730"/>
      <c r="O116" s="674"/>
      <c r="P116" s="643"/>
    </row>
    <row r="117" spans="1:16">
      <c r="A117" s="686" t="s">
        <v>332</v>
      </c>
      <c r="B117" s="827" t="s">
        <v>644</v>
      </c>
      <c r="C117" s="827"/>
      <c r="D117" s="690" t="s">
        <v>636</v>
      </c>
      <c r="E117" s="737">
        <v>1000</v>
      </c>
      <c r="F117" s="657">
        <v>998716</v>
      </c>
      <c r="G117" s="684" t="str">
        <f t="shared" si="4"/>
        <v>Confirmed</v>
      </c>
      <c r="H117" s="660"/>
      <c r="I117" s="659">
        <v>0.18</v>
      </c>
      <c r="J117" s="684" t="str">
        <f>IF(K117=0,"Confirmed",(IF(K117=I117,"Confirmed","Not Confirmed")))</f>
        <v>Confirmed</v>
      </c>
      <c r="K117" s="660"/>
      <c r="L117" s="680">
        <v>1</v>
      </c>
      <c r="M117" s="724">
        <f t="shared" si="5"/>
        <v>1000</v>
      </c>
      <c r="N117" s="731"/>
      <c r="O117" s="674"/>
      <c r="P117" s="643">
        <f t="shared" si="6"/>
        <v>180</v>
      </c>
    </row>
    <row r="118" spans="1:16">
      <c r="A118" s="686">
        <v>29</v>
      </c>
      <c r="B118" s="827" t="s">
        <v>560</v>
      </c>
      <c r="C118" s="827"/>
      <c r="D118" s="700"/>
      <c r="E118" s="737"/>
      <c r="F118" s="657"/>
      <c r="G118" s="684"/>
      <c r="H118" s="684"/>
      <c r="I118" s="659"/>
      <c r="J118" s="684"/>
      <c r="K118" s="684"/>
      <c r="L118" s="729"/>
      <c r="M118" s="724"/>
      <c r="N118" s="730"/>
      <c r="O118" s="674"/>
      <c r="P118" s="643"/>
    </row>
    <row r="119" spans="1:16">
      <c r="A119" s="686" t="s">
        <v>332</v>
      </c>
      <c r="B119" s="827" t="s">
        <v>625</v>
      </c>
      <c r="C119" s="827"/>
      <c r="D119" s="694" t="s">
        <v>637</v>
      </c>
      <c r="E119" s="737">
        <v>25</v>
      </c>
      <c r="F119" s="657">
        <v>998716</v>
      </c>
      <c r="G119" s="684" t="str">
        <f>IF(H119=0,"Confirmed",(IF(H119=F119,"Confirmed","Not Confirmed")))</f>
        <v>Confirmed</v>
      </c>
      <c r="H119" s="660"/>
      <c r="I119" s="659">
        <v>0.18</v>
      </c>
      <c r="J119" s="684" t="str">
        <f>IF(K119=0,"Confirmed",(IF(K119=I119,"Confirmed","Not Confirmed")))</f>
        <v>Confirmed</v>
      </c>
      <c r="K119" s="660"/>
      <c r="L119" s="680">
        <v>1</v>
      </c>
      <c r="M119" s="724">
        <f>(E119*L119)</f>
        <v>25</v>
      </c>
      <c r="N119" s="730"/>
      <c r="O119" s="674"/>
      <c r="P119" s="643">
        <f>IF(K119="",E119*I119*L119,(IF(K119=0,E119*K119*L119,E119*K119*L119)))</f>
        <v>4.5</v>
      </c>
    </row>
    <row r="120" spans="1:16">
      <c r="A120" s="686" t="s">
        <v>335</v>
      </c>
      <c r="B120" s="827" t="s">
        <v>626</v>
      </c>
      <c r="C120" s="827"/>
      <c r="D120" s="694" t="s">
        <v>637</v>
      </c>
      <c r="E120" s="737">
        <v>25</v>
      </c>
      <c r="F120" s="657">
        <v>998716</v>
      </c>
      <c r="G120" s="684" t="str">
        <f>IF(H120=0,"Confirmed",(IF(H120=F120,"Confirmed","Not Confirmed")))</f>
        <v>Confirmed</v>
      </c>
      <c r="H120" s="660"/>
      <c r="I120" s="659">
        <v>0.18</v>
      </c>
      <c r="J120" s="684" t="str">
        <f>IF(K120=0,"Confirmed",(IF(K120=I120,"Confirmed","Not Confirmed")))</f>
        <v>Confirmed</v>
      </c>
      <c r="K120" s="660"/>
      <c r="L120" s="680">
        <v>1</v>
      </c>
      <c r="M120" s="724">
        <f>(E120*L120)</f>
        <v>25</v>
      </c>
      <c r="N120" s="730"/>
      <c r="O120" s="674"/>
      <c r="P120" s="643">
        <f>IF(K120="",E120*I120*L120,(IF(K120=0,E120*K120*L120,E120*K120*L120)))</f>
        <v>4.5</v>
      </c>
    </row>
    <row r="121" spans="1:16">
      <c r="A121" s="686">
        <v>30</v>
      </c>
      <c r="B121" s="827" t="s">
        <v>627</v>
      </c>
      <c r="C121" s="827"/>
      <c r="D121" s="694" t="s">
        <v>637</v>
      </c>
      <c r="E121" s="737">
        <v>12</v>
      </c>
      <c r="F121" s="657">
        <v>998716</v>
      </c>
      <c r="G121" s="684" t="str">
        <f>IF(H121=0,"Confirmed",(IF(H121=F121,"Confirmed","Not Confirmed")))</f>
        <v>Confirmed</v>
      </c>
      <c r="H121" s="660"/>
      <c r="I121" s="659">
        <v>0.18</v>
      </c>
      <c r="J121" s="684" t="str">
        <f>IF(K121=0,"Confirmed",(IF(K121=I121,"Confirmed","Not Confirmed")))</f>
        <v>Confirmed</v>
      </c>
      <c r="K121" s="660"/>
      <c r="L121" s="680">
        <v>1</v>
      </c>
      <c r="M121" s="724">
        <f>(E121*L121)</f>
        <v>12</v>
      </c>
      <c r="N121" s="730"/>
      <c r="O121" s="674"/>
      <c r="P121" s="643">
        <f>IF(K121="",E121*I121*L121,(IF(K121=0,E121*K121*L121,E121*K121*L121)))</f>
        <v>2.16</v>
      </c>
    </row>
    <row r="122" spans="1:16">
      <c r="A122" s="686">
        <v>31</v>
      </c>
      <c r="B122" s="827" t="s">
        <v>628</v>
      </c>
      <c r="C122" s="827"/>
      <c r="D122" s="687" t="s">
        <v>567</v>
      </c>
      <c r="E122" s="737">
        <v>15</v>
      </c>
      <c r="F122" s="657">
        <v>998716</v>
      </c>
      <c r="G122" s="684" t="str">
        <f>IF(H122=0,"Confirmed",(IF(H122=F122,"Confirmed","Not Confirmed")))</f>
        <v>Confirmed</v>
      </c>
      <c r="H122" s="660"/>
      <c r="I122" s="659">
        <v>0.18</v>
      </c>
      <c r="J122" s="684" t="str">
        <f>IF(K122=0,"Confirmed",(IF(K122=I122,"Confirmed","Not Confirmed")))</f>
        <v>Confirmed</v>
      </c>
      <c r="K122" s="660"/>
      <c r="L122" s="680">
        <v>1</v>
      </c>
      <c r="M122" s="724">
        <f>(E122*L122)</f>
        <v>15</v>
      </c>
      <c r="N122" s="730"/>
      <c r="O122" s="674"/>
      <c r="P122" s="643">
        <f>IF(K122="",E122*I122*L122,(IF(K122=0,E122*K122*L122,E122*K122*L122)))</f>
        <v>2.6999999999999997</v>
      </c>
    </row>
    <row r="123" spans="1:16">
      <c r="A123" s="701">
        <v>32</v>
      </c>
      <c r="B123" s="827" t="s">
        <v>629</v>
      </c>
      <c r="C123" s="827"/>
      <c r="D123" s="694" t="s">
        <v>639</v>
      </c>
      <c r="E123" s="737">
        <v>2000</v>
      </c>
      <c r="F123" s="657">
        <v>998716</v>
      </c>
      <c r="G123" s="684" t="str">
        <f>IF(H123=0,"Confirmed",(IF(H123=F123,"Confirmed","Not Confirmed")))</f>
        <v>Confirmed</v>
      </c>
      <c r="H123" s="660"/>
      <c r="I123" s="659">
        <v>0.18</v>
      </c>
      <c r="J123" s="684" t="str">
        <f>IF(K123=0,"Confirmed",(IF(K123=I123,"Confirmed","Not Confirmed")))</f>
        <v>Confirmed</v>
      </c>
      <c r="K123" s="660"/>
      <c r="L123" s="680">
        <v>1</v>
      </c>
      <c r="M123" s="656">
        <f>(E123*L123)</f>
        <v>2000</v>
      </c>
      <c r="N123" s="674"/>
      <c r="O123" s="675"/>
      <c r="P123" s="643">
        <f>IF(K123="",E123*I123*L123,(IF(K123=0,E123*K123*L123,E123*K123*L123)))</f>
        <v>360</v>
      </c>
    </row>
    <row r="124" spans="1:16" ht="17.25" thickBot="1">
      <c r="A124" s="844" t="s">
        <v>569</v>
      </c>
      <c r="B124" s="845"/>
      <c r="C124" s="845"/>
      <c r="D124" s="845"/>
      <c r="E124" s="845"/>
      <c r="F124" s="845"/>
      <c r="G124" s="845"/>
      <c r="H124" s="845"/>
      <c r="I124" s="845"/>
      <c r="J124" s="845"/>
      <c r="K124" s="845"/>
      <c r="L124" s="846"/>
      <c r="M124" s="662">
        <f>SUM(M26:M123)</f>
        <v>93611</v>
      </c>
      <c r="N124" s="665"/>
      <c r="O124" s="676"/>
      <c r="P124" s="643">
        <f>SUM(P26:P123)</f>
        <v>16849.979999999989</v>
      </c>
    </row>
    <row r="125" spans="1:16">
      <c r="A125" s="837" t="s">
        <v>570</v>
      </c>
      <c r="B125" s="838"/>
      <c r="C125" s="838"/>
      <c r="D125" s="838"/>
      <c r="E125" s="838"/>
      <c r="F125" s="838"/>
      <c r="G125" s="838"/>
      <c r="H125" s="838"/>
      <c r="I125" s="838"/>
      <c r="J125" s="838"/>
      <c r="K125" s="838"/>
      <c r="L125" s="839"/>
      <c r="M125" s="663">
        <f>SUM(M124+O22)</f>
        <v>98636.6</v>
      </c>
      <c r="N125" s="677"/>
      <c r="O125" s="676"/>
      <c r="P125" s="643">
        <f>(P124+P22)</f>
        <v>17754.587999999989</v>
      </c>
    </row>
    <row r="126" spans="1:16">
      <c r="A126" s="664"/>
      <c r="B126" s="664"/>
      <c r="C126" s="664"/>
      <c r="D126" s="664"/>
      <c r="E126" s="664"/>
      <c r="F126" s="664"/>
      <c r="G126" s="664"/>
      <c r="H126" s="664"/>
      <c r="I126" s="664"/>
      <c r="J126" s="664"/>
      <c r="K126" s="664"/>
      <c r="L126" s="664"/>
      <c r="M126" s="665"/>
      <c r="N126" s="677"/>
      <c r="O126" s="676"/>
      <c r="P126" s="643">
        <f>M125*1.18</f>
        <v>116391.18799999999</v>
      </c>
    </row>
    <row r="127" spans="1:16">
      <c r="A127" s="672"/>
      <c r="B127" s="672"/>
      <c r="C127" s="672"/>
      <c r="D127" s="672"/>
      <c r="E127" s="672"/>
      <c r="F127" s="672"/>
      <c r="G127" s="672"/>
      <c r="H127" s="672"/>
      <c r="I127" s="672"/>
      <c r="J127" s="672"/>
      <c r="K127" s="672"/>
      <c r="L127" s="672"/>
      <c r="M127" s="672"/>
      <c r="N127" s="672"/>
      <c r="O127" s="664"/>
      <c r="P127" s="643">
        <f>(P125+M125)</f>
        <v>116391.18799999999</v>
      </c>
    </row>
    <row r="128" spans="1:16">
      <c r="A128" s="672"/>
      <c r="B128" s="826"/>
      <c r="C128" s="826"/>
      <c r="D128" s="826"/>
      <c r="E128" s="826"/>
      <c r="F128" s="826"/>
      <c r="G128" s="826"/>
      <c r="H128" s="826"/>
      <c r="I128" s="826"/>
      <c r="J128" s="826"/>
      <c r="K128" s="826"/>
      <c r="L128" s="826"/>
      <c r="M128" s="826"/>
      <c r="N128" s="672"/>
      <c r="O128" s="664"/>
      <c r="P128" s="735"/>
    </row>
    <row r="129" spans="1:15">
      <c r="A129" s="702" t="s">
        <v>483</v>
      </c>
      <c r="B129" s="847" t="s">
        <v>484</v>
      </c>
      <c r="C129" s="847"/>
      <c r="D129" s="847"/>
      <c r="E129" s="847"/>
      <c r="F129" s="847"/>
      <c r="G129" s="847"/>
      <c r="H129" s="847"/>
      <c r="I129" s="847"/>
      <c r="J129" s="847"/>
      <c r="K129" s="847"/>
      <c r="L129" s="847"/>
      <c r="M129" s="847"/>
      <c r="N129" s="847"/>
      <c r="O129" s="847"/>
    </row>
    <row r="130" spans="1:15">
      <c r="A130" s="702" t="s">
        <v>485</v>
      </c>
      <c r="B130" s="847" t="s">
        <v>486</v>
      </c>
      <c r="C130" s="847"/>
      <c r="D130" s="847"/>
      <c r="E130" s="847"/>
      <c r="F130" s="847"/>
      <c r="G130" s="847"/>
      <c r="H130" s="847"/>
      <c r="I130" s="847"/>
      <c r="J130" s="847"/>
      <c r="K130" s="847"/>
      <c r="L130" s="847"/>
      <c r="M130" s="847"/>
      <c r="N130" s="847"/>
      <c r="O130" s="847"/>
    </row>
    <row r="131" spans="1:15">
      <c r="A131" s="702" t="s">
        <v>487</v>
      </c>
      <c r="B131" s="847" t="s">
        <v>488</v>
      </c>
      <c r="C131" s="847"/>
      <c r="D131" s="847"/>
      <c r="E131" s="847"/>
      <c r="F131" s="847"/>
      <c r="G131" s="847"/>
      <c r="H131" s="847"/>
      <c r="I131" s="847"/>
      <c r="J131" s="847"/>
      <c r="K131" s="847"/>
      <c r="L131" s="847"/>
      <c r="M131" s="847"/>
      <c r="N131" s="847"/>
      <c r="O131" s="847"/>
    </row>
    <row r="132" spans="1:15">
      <c r="A132" s="702" t="s">
        <v>489</v>
      </c>
      <c r="B132" s="843" t="s">
        <v>490</v>
      </c>
      <c r="C132" s="843"/>
      <c r="D132" s="843"/>
      <c r="E132" s="843"/>
      <c r="F132" s="843"/>
      <c r="G132" s="843"/>
      <c r="H132" s="843"/>
      <c r="I132" s="843"/>
      <c r="J132" s="843"/>
      <c r="K132" s="843"/>
      <c r="L132" s="843"/>
      <c r="M132" s="843"/>
      <c r="N132" s="843"/>
      <c r="O132" s="843"/>
    </row>
    <row r="133" spans="1:15">
      <c r="A133" s="702" t="s">
        <v>491</v>
      </c>
      <c r="B133" s="843" t="s">
        <v>492</v>
      </c>
      <c r="C133" s="843"/>
      <c r="D133" s="843"/>
      <c r="E133" s="843"/>
      <c r="F133" s="843"/>
      <c r="G133" s="843"/>
      <c r="H133" s="843"/>
      <c r="I133" s="843"/>
      <c r="J133" s="843"/>
      <c r="K133" s="843"/>
      <c r="L133" s="843"/>
      <c r="M133" s="843"/>
      <c r="N133" s="843"/>
      <c r="O133" s="843"/>
    </row>
    <row r="134" spans="1:15">
      <c r="A134" s="703" t="s">
        <v>493</v>
      </c>
      <c r="B134" s="777" t="s">
        <v>494</v>
      </c>
      <c r="C134" s="777"/>
      <c r="D134" s="777"/>
      <c r="E134" s="777"/>
      <c r="F134" s="777"/>
      <c r="G134" s="777"/>
      <c r="H134" s="777"/>
      <c r="I134" s="777"/>
      <c r="J134" s="777"/>
      <c r="K134" s="777"/>
      <c r="L134" s="777"/>
      <c r="M134" s="777"/>
      <c r="N134" s="777"/>
      <c r="O134" s="777"/>
    </row>
    <row r="135" spans="1:15">
      <c r="A135" s="704"/>
      <c r="B135" s="705"/>
      <c r="C135" s="705"/>
      <c r="D135" s="705"/>
      <c r="E135" s="705"/>
      <c r="F135" s="705"/>
      <c r="G135" s="705"/>
      <c r="H135" s="705"/>
      <c r="I135" s="705"/>
      <c r="J135" s="705"/>
      <c r="K135" s="705"/>
      <c r="L135" s="705"/>
      <c r="M135" s="705"/>
      <c r="N135" s="705"/>
      <c r="O135" s="705"/>
    </row>
    <row r="136" spans="1:15">
      <c r="A136" s="574" t="s">
        <v>408</v>
      </c>
      <c r="B136" s="124" t="str">
        <f>IF('Names of Bidder'!D20=0, "", 'Names of Bidder'!D20)</f>
        <v/>
      </c>
      <c r="C136" s="575"/>
      <c r="D136" s="576"/>
      <c r="E136" s="94" t="s">
        <v>211</v>
      </c>
      <c r="F136" s="94">
        <f>'Names of Bidder'!D17</f>
        <v>0</v>
      </c>
      <c r="G136" s="94"/>
      <c r="H136" s="94"/>
      <c r="I136" s="94"/>
      <c r="J136" s="94"/>
      <c r="K136" s="94"/>
      <c r="L136" s="552"/>
      <c r="M136" s="552"/>
      <c r="N136" s="552"/>
      <c r="O136" s="552"/>
    </row>
    <row r="137" spans="1:15">
      <c r="A137" s="574" t="s">
        <v>409</v>
      </c>
      <c r="B137" s="778" t="str">
        <f>IF('Names of Bidder'!D21=0, "", 'Names of Bidder'!D21)</f>
        <v/>
      </c>
      <c r="C137" s="778"/>
      <c r="D137" s="576"/>
      <c r="E137" s="94" t="s">
        <v>212</v>
      </c>
      <c r="F137" s="94">
        <f>'Names of Bidder'!D18</f>
        <v>0</v>
      </c>
      <c r="G137" s="94"/>
      <c r="H137" s="94"/>
      <c r="I137" s="94"/>
      <c r="J137" s="94"/>
      <c r="K137" s="94"/>
      <c r="L137" s="541"/>
      <c r="M137" s="541"/>
      <c r="N137" s="541"/>
      <c r="O137" s="541"/>
    </row>
    <row r="146" spans="1:15">
      <c r="A146" s="79"/>
      <c r="B146" s="79"/>
      <c r="C146" s="79"/>
      <c r="D146" s="79"/>
      <c r="E146" s="79"/>
      <c r="F146" s="79"/>
      <c r="G146" s="79"/>
      <c r="H146" s="79"/>
      <c r="I146" s="79"/>
      <c r="J146" s="79"/>
      <c r="K146" s="79"/>
      <c r="L146" s="79"/>
      <c r="M146" s="79"/>
      <c r="N146" s="79"/>
      <c r="O146" s="79"/>
    </row>
    <row r="147" spans="1:15">
      <c r="A147" s="79"/>
      <c r="B147" s="79"/>
      <c r="C147" s="79"/>
      <c r="D147" s="79"/>
      <c r="E147" s="79"/>
      <c r="F147" s="79"/>
      <c r="G147" s="79"/>
      <c r="H147" s="79"/>
      <c r="I147" s="79"/>
      <c r="J147" s="79"/>
      <c r="K147" s="79"/>
      <c r="L147" s="79"/>
      <c r="M147" s="79"/>
      <c r="N147" s="79"/>
      <c r="O147" s="79"/>
    </row>
    <row r="148" spans="1:15">
      <c r="A148" s="79"/>
      <c r="B148" s="79"/>
      <c r="C148" s="79"/>
      <c r="D148" s="79"/>
      <c r="E148" s="79"/>
      <c r="F148" s="79"/>
      <c r="G148" s="79"/>
      <c r="H148" s="79"/>
      <c r="I148" s="79"/>
      <c r="J148" s="79"/>
      <c r="K148" s="79"/>
      <c r="L148" s="79"/>
      <c r="M148" s="79"/>
      <c r="N148" s="79"/>
      <c r="O148" s="79"/>
    </row>
    <row r="149" spans="1:15">
      <c r="A149" s="79"/>
      <c r="B149" s="79"/>
      <c r="C149" s="79"/>
      <c r="D149" s="79"/>
      <c r="E149" s="79"/>
      <c r="F149" s="79"/>
      <c r="G149" s="79"/>
      <c r="H149" s="79"/>
      <c r="I149" s="79"/>
      <c r="J149" s="79"/>
      <c r="K149" s="79"/>
      <c r="L149" s="79"/>
      <c r="M149" s="79"/>
      <c r="N149" s="79"/>
      <c r="O149" s="79"/>
    </row>
    <row r="150" spans="1:15">
      <c r="A150" s="79"/>
      <c r="B150" s="79"/>
      <c r="C150" s="79"/>
      <c r="D150" s="79"/>
      <c r="E150" s="79"/>
      <c r="F150" s="79"/>
      <c r="G150" s="79"/>
      <c r="H150" s="79"/>
      <c r="I150" s="79"/>
      <c r="J150" s="79"/>
      <c r="K150" s="79"/>
      <c r="L150" s="79"/>
      <c r="M150" s="79"/>
      <c r="N150" s="79"/>
      <c r="O150" s="79"/>
    </row>
    <row r="151" spans="1:15">
      <c r="A151" s="79"/>
      <c r="B151" s="79"/>
      <c r="C151" s="79"/>
      <c r="D151" s="79"/>
      <c r="E151" s="79"/>
      <c r="F151" s="79"/>
      <c r="G151" s="79"/>
      <c r="H151" s="79"/>
      <c r="I151" s="79"/>
      <c r="J151" s="79"/>
      <c r="K151" s="79"/>
      <c r="L151" s="79"/>
      <c r="M151" s="79"/>
      <c r="N151" s="79"/>
      <c r="O151" s="79"/>
    </row>
    <row r="152" spans="1:15">
      <c r="A152" s="79"/>
      <c r="B152" s="79"/>
      <c r="C152" s="79"/>
      <c r="D152" s="79"/>
      <c r="E152" s="79"/>
      <c r="F152" s="79"/>
      <c r="G152" s="79"/>
      <c r="H152" s="79"/>
      <c r="I152" s="79"/>
      <c r="J152" s="79"/>
      <c r="K152" s="79"/>
      <c r="L152" s="79"/>
      <c r="M152" s="79"/>
      <c r="N152" s="79"/>
      <c r="O152" s="79"/>
    </row>
    <row r="153" spans="1:15">
      <c r="A153" s="79"/>
      <c r="B153" s="79"/>
      <c r="C153" s="79"/>
      <c r="D153" s="79"/>
      <c r="E153" s="79"/>
      <c r="F153" s="79"/>
      <c r="G153" s="79"/>
      <c r="H153" s="79"/>
      <c r="I153" s="79"/>
      <c r="J153" s="79"/>
      <c r="K153" s="79"/>
      <c r="L153" s="79"/>
      <c r="M153" s="79"/>
      <c r="N153" s="79"/>
      <c r="O153" s="79"/>
    </row>
    <row r="154" spans="1:15">
      <c r="A154" s="79"/>
      <c r="B154" s="79"/>
      <c r="C154" s="79"/>
      <c r="D154" s="79"/>
      <c r="E154" s="79"/>
      <c r="F154" s="79"/>
      <c r="G154" s="79"/>
      <c r="H154" s="79"/>
      <c r="I154" s="79"/>
      <c r="J154" s="79"/>
      <c r="K154" s="79"/>
      <c r="L154" s="79"/>
      <c r="M154" s="79"/>
      <c r="N154" s="79"/>
      <c r="O154" s="79"/>
    </row>
    <row r="155" spans="1:15">
      <c r="A155" s="79"/>
      <c r="B155" s="79"/>
      <c r="C155" s="79"/>
      <c r="D155" s="79"/>
      <c r="E155" s="79"/>
      <c r="F155" s="79"/>
      <c r="G155" s="79"/>
      <c r="H155" s="79"/>
      <c r="I155" s="79"/>
      <c r="J155" s="79"/>
      <c r="K155" s="79"/>
      <c r="L155" s="79"/>
      <c r="M155" s="79"/>
      <c r="N155" s="79"/>
      <c r="O155" s="79"/>
    </row>
    <row r="156" spans="1:15">
      <c r="A156" s="79"/>
      <c r="B156" s="79"/>
      <c r="C156" s="79"/>
      <c r="D156" s="79"/>
      <c r="E156" s="79"/>
      <c r="F156" s="79"/>
      <c r="G156" s="79"/>
      <c r="H156" s="79"/>
      <c r="I156" s="79"/>
      <c r="J156" s="79"/>
      <c r="K156" s="79"/>
      <c r="L156" s="79"/>
      <c r="M156" s="79"/>
      <c r="N156" s="79"/>
      <c r="O156" s="79"/>
    </row>
    <row r="157" spans="1:15">
      <c r="A157" s="79"/>
      <c r="B157" s="79"/>
      <c r="C157" s="79"/>
      <c r="D157" s="79"/>
      <c r="E157" s="79"/>
      <c r="F157" s="79"/>
      <c r="G157" s="79"/>
      <c r="H157" s="79"/>
      <c r="I157" s="79"/>
      <c r="J157" s="79"/>
      <c r="K157" s="79"/>
      <c r="L157" s="79"/>
      <c r="M157" s="79"/>
      <c r="N157" s="79"/>
      <c r="O157" s="79"/>
    </row>
  </sheetData>
  <sheetProtection password="CB12" sheet="1" formatColumns="0" formatRows="0" selectLockedCells="1"/>
  <mergeCells count="123">
    <mergeCell ref="B133:O133"/>
    <mergeCell ref="B134:O134"/>
    <mergeCell ref="A124:L124"/>
    <mergeCell ref="B137:C137"/>
    <mergeCell ref="B129:O129"/>
    <mergeCell ref="B130:O130"/>
    <mergeCell ref="B131:O131"/>
    <mergeCell ref="B132:O132"/>
    <mergeCell ref="B20:C20"/>
    <mergeCell ref="B73:C73"/>
    <mergeCell ref="B67:C67"/>
    <mergeCell ref="B68:C68"/>
    <mergeCell ref="B69:C69"/>
    <mergeCell ref="B70:C70"/>
    <mergeCell ref="B63:C63"/>
    <mergeCell ref="B64:C64"/>
    <mergeCell ref="B65:C65"/>
    <mergeCell ref="B66:C66"/>
    <mergeCell ref="A125:L125"/>
    <mergeCell ref="A3:O3"/>
    <mergeCell ref="A4:O4"/>
    <mergeCell ref="A13:O13"/>
    <mergeCell ref="A14:O14"/>
    <mergeCell ref="B16:C16"/>
    <mergeCell ref="B18:C18"/>
    <mergeCell ref="L7:N10"/>
    <mergeCell ref="B60:C60"/>
    <mergeCell ref="B61:C61"/>
    <mergeCell ref="B71:C71"/>
    <mergeCell ref="B72:C72"/>
    <mergeCell ref="B62:C62"/>
    <mergeCell ref="B21:C21"/>
    <mergeCell ref="A15:O15"/>
    <mergeCell ref="A24:O24"/>
    <mergeCell ref="B25:C25"/>
    <mergeCell ref="A22:L22"/>
    <mergeCell ref="B17:C17"/>
    <mergeCell ref="B54:C54"/>
    <mergeCell ref="B55:C55"/>
    <mergeCell ref="B56:C56"/>
    <mergeCell ref="B42:C42"/>
    <mergeCell ref="B43:C43"/>
    <mergeCell ref="B44:C44"/>
    <mergeCell ref="B45:C45"/>
    <mergeCell ref="B46:C46"/>
    <mergeCell ref="B47:C47"/>
    <mergeCell ref="B57:C57"/>
    <mergeCell ref="B58:C58"/>
    <mergeCell ref="B59:C59"/>
    <mergeCell ref="B48:C48"/>
    <mergeCell ref="B49:C49"/>
    <mergeCell ref="B50:C50"/>
    <mergeCell ref="B51:C51"/>
    <mergeCell ref="B52:C52"/>
    <mergeCell ref="B82:C82"/>
    <mergeCell ref="B87:C87"/>
    <mergeCell ref="B74:C74"/>
    <mergeCell ref="B75:C75"/>
    <mergeCell ref="B76:C76"/>
    <mergeCell ref="B78:C78"/>
    <mergeCell ref="B19:C19"/>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53:C53"/>
    <mergeCell ref="B95:C95"/>
    <mergeCell ref="B96:C96"/>
    <mergeCell ref="B89:C89"/>
    <mergeCell ref="B90:C90"/>
    <mergeCell ref="B91:C91"/>
    <mergeCell ref="B92:C92"/>
    <mergeCell ref="B94:C94"/>
    <mergeCell ref="B83:C83"/>
    <mergeCell ref="B84:C84"/>
    <mergeCell ref="B85:C85"/>
    <mergeCell ref="B86:C86"/>
    <mergeCell ref="B88:C88"/>
    <mergeCell ref="B105:C105"/>
    <mergeCell ref="B106:C106"/>
    <mergeCell ref="B103:C103"/>
    <mergeCell ref="B100:C100"/>
    <mergeCell ref="B101:C101"/>
    <mergeCell ref="B102:C102"/>
    <mergeCell ref="B99:C99"/>
    <mergeCell ref="B97:C97"/>
    <mergeCell ref="B98:C98"/>
    <mergeCell ref="B128:M128"/>
    <mergeCell ref="B79:C79"/>
    <mergeCell ref="B80:C80"/>
    <mergeCell ref="B81:C81"/>
    <mergeCell ref="B77:C77"/>
    <mergeCell ref="B93:C93"/>
    <mergeCell ref="B123:C123"/>
    <mergeCell ref="B120:C120"/>
    <mergeCell ref="B121:C121"/>
    <mergeCell ref="B122:C122"/>
    <mergeCell ref="B118:C118"/>
    <mergeCell ref="B119:C119"/>
    <mergeCell ref="B113:C113"/>
    <mergeCell ref="B114:C114"/>
    <mergeCell ref="B115:C115"/>
    <mergeCell ref="B116:C116"/>
    <mergeCell ref="B117:C117"/>
    <mergeCell ref="B111:C111"/>
    <mergeCell ref="B112:C112"/>
    <mergeCell ref="B107:C107"/>
    <mergeCell ref="B108:C108"/>
    <mergeCell ref="B109:C109"/>
    <mergeCell ref="B110:C110"/>
    <mergeCell ref="B104:C104"/>
  </mergeCells>
  <dataValidations count="2">
    <dataValidation type="whole" operator="greaterThan" allowBlank="1" showInputMessage="1" showErrorMessage="1" sqref="H21 H26:H123" xr:uid="{00000000-0002-0000-0800-000000000000}">
      <formula1>0</formula1>
    </dataValidation>
    <dataValidation type="decimal" operator="greaterThanOrEqual" allowBlank="1" showInputMessage="1" showErrorMessage="1" sqref="K18 L18:L21 L26:L123" xr:uid="{00000000-0002-0000-0800-000001000000}">
      <formula1>0</formula1>
    </dataValidation>
  </dataValidations>
  <printOptions horizontalCentered="1"/>
  <pageMargins left="0.511811023622047" right="0.27559055118110198" top="0.55118110236220497" bottom="0.511811023622047" header="0.27559055118110198" footer="0.31496062992126"/>
  <pageSetup paperSize="9" scale="26" orientation="landscape" r:id="rId1"/>
  <headerFooter alignWithMargins="0">
    <oddFooter>&amp;R&amp;"Book Antiqua,Bold"&amp;10Schedule-3/ Page &amp;P of &amp;N</oddFooter>
  </headerFooter>
  <rowBreaks count="2" manualBreakCount="2">
    <brk id="55" max="14" man="1"/>
    <brk id="106"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indexed="33"/>
  </sheetPr>
  <dimension ref="A1:Q58"/>
  <sheetViews>
    <sheetView zoomScale="102" zoomScaleNormal="102" zoomScaleSheetLayoutView="100" workbookViewId="0">
      <selection activeCell="E13" sqref="E13"/>
    </sheetView>
  </sheetViews>
  <sheetFormatPr defaultColWidth="10" defaultRowHeight="16.5"/>
  <cols>
    <col min="1" max="1" width="10.375" style="40" customWidth="1"/>
    <col min="2" max="2" width="45.875" style="40" customWidth="1"/>
    <col min="3" max="3" width="18.625" style="40" customWidth="1"/>
    <col min="4" max="4" width="22" style="40" customWidth="1"/>
    <col min="5" max="5" width="23.125" style="40" customWidth="1"/>
    <col min="6" max="6" width="10" style="37" hidden="1" customWidth="1"/>
    <col min="7" max="7" width="18.75" style="37" hidden="1" customWidth="1"/>
    <col min="8"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8" ht="18" customHeight="1">
      <c r="A1" s="59" t="str">
        <f>Cover!B3</f>
        <v xml:space="preserve">Specification No.: WRTCC/CS/20-21/AMC-LMC/B1 </v>
      </c>
      <c r="B1" s="60"/>
      <c r="C1" s="60"/>
      <c r="D1" s="61"/>
      <c r="E1" s="5" t="s">
        <v>163</v>
      </c>
    </row>
    <row r="2" spans="1:8" ht="15" customHeight="1">
      <c r="A2" s="2"/>
      <c r="B2" s="7"/>
      <c r="C2" s="7"/>
      <c r="D2" s="3"/>
      <c r="E2" s="1"/>
      <c r="F2" s="1"/>
    </row>
    <row r="3" spans="1:8" ht="7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856"/>
    </row>
    <row r="4" spans="1:8" ht="22.15" customHeight="1">
      <c r="A4" s="857" t="s">
        <v>539</v>
      </c>
      <c r="B4" s="857"/>
      <c r="C4" s="857"/>
      <c r="D4" s="857"/>
      <c r="E4" s="857"/>
    </row>
    <row r="5" spans="1:8" ht="12" customHeight="1">
      <c r="A5" s="43"/>
      <c r="B5" s="38"/>
      <c r="C5" s="38"/>
      <c r="D5" s="38"/>
      <c r="E5" s="38"/>
    </row>
    <row r="6" spans="1:8" ht="18" customHeight="1">
      <c r="A6" s="29" t="str">
        <f>'Sch-1'!A6</f>
        <v>Bidder's Name And Address</v>
      </c>
      <c r="D6" s="64" t="s">
        <v>198</v>
      </c>
    </row>
    <row r="7" spans="1:8" ht="18" customHeight="1">
      <c r="A7" s="201" t="str">
        <f>'Sch-1'!A7</f>
        <v>Bidder as Individual Bidder</v>
      </c>
      <c r="D7" s="855" t="str">
        <f>'Sch-1'!L7</f>
        <v xml:space="preserve">Sr. DGM (Tel-CS &amp; Wi-Fi) 
Power Grid Corporation of India Limited,
Western Region Telecom Control Center, 
1st Floor, Samruddhi Venture Park,
 MIDC Area, Marol, Andheri(East),
Mumbai-400093
</v>
      </c>
      <c r="E7" s="855"/>
    </row>
    <row r="8" spans="1:8" ht="15.75">
      <c r="A8" s="41" t="s">
        <v>215</v>
      </c>
      <c r="B8" s="516">
        <f>'Names of Bidder'!D8</f>
        <v>0</v>
      </c>
      <c r="C8" s="502"/>
      <c r="D8" s="855"/>
      <c r="E8" s="855"/>
    </row>
    <row r="9" spans="1:8" ht="15.75">
      <c r="A9" s="41" t="s">
        <v>216</v>
      </c>
      <c r="B9" s="516">
        <f>'Names of Bidder'!D9</f>
        <v>0</v>
      </c>
      <c r="C9" s="502"/>
      <c r="D9" s="855"/>
      <c r="E9" s="855"/>
    </row>
    <row r="10" spans="1:8">
      <c r="A10" s="42"/>
      <c r="B10" s="516">
        <f>'Names of Bidder'!D10</f>
        <v>0</v>
      </c>
      <c r="C10" s="502"/>
      <c r="D10" s="855"/>
      <c r="E10" s="855"/>
    </row>
    <row r="11" spans="1:8">
      <c r="A11" s="42"/>
      <c r="B11" s="516">
        <f>'Names of Bidder'!D11</f>
        <v>0</v>
      </c>
      <c r="C11" s="502"/>
      <c r="D11" s="855"/>
      <c r="E11" s="855"/>
    </row>
    <row r="12" spans="1:8" s="223" customFormat="1" ht="15" customHeight="1">
      <c r="A12" s="40"/>
      <c r="B12" s="40"/>
      <c r="C12" s="40"/>
      <c r="D12" s="855"/>
      <c r="E12" s="855"/>
      <c r="F12" s="37"/>
      <c r="G12" s="37"/>
      <c r="H12" s="37"/>
    </row>
    <row r="13" spans="1:8" customFormat="1">
      <c r="A13" s="629" t="s">
        <v>457</v>
      </c>
      <c r="B13" s="630"/>
      <c r="C13" s="631"/>
      <c r="D13" s="631"/>
      <c r="E13" s="545"/>
      <c r="F13" s="545"/>
      <c r="G13" s="545"/>
    </row>
    <row r="14" spans="1:8" customFormat="1" ht="17.25" thickBot="1">
      <c r="A14" s="629" t="s">
        <v>458</v>
      </c>
      <c r="B14" s="630"/>
      <c r="C14" s="631"/>
      <c r="D14" s="631"/>
      <c r="E14" s="545"/>
      <c r="F14" s="545"/>
      <c r="G14" s="545"/>
    </row>
    <row r="15" spans="1:8" customFormat="1">
      <c r="A15" s="849" t="s">
        <v>184</v>
      </c>
      <c r="B15" s="851" t="s">
        <v>180</v>
      </c>
      <c r="C15" s="853" t="s">
        <v>459</v>
      </c>
      <c r="D15" s="853" t="s">
        <v>460</v>
      </c>
      <c r="E15" s="853" t="s">
        <v>461</v>
      </c>
      <c r="F15" s="858" t="s">
        <v>462</v>
      </c>
      <c r="G15" s="859"/>
    </row>
    <row r="16" spans="1:8" customFormat="1" ht="50.25" customHeight="1">
      <c r="A16" s="850"/>
      <c r="B16" s="852"/>
      <c r="C16" s="854"/>
      <c r="D16" s="854"/>
      <c r="E16" s="854"/>
      <c r="F16" s="546" t="s">
        <v>463</v>
      </c>
      <c r="G16" s="547" t="s">
        <v>464</v>
      </c>
    </row>
    <row r="17" spans="1:7" customFormat="1" ht="17.25" thickBot="1">
      <c r="A17" s="632"/>
      <c r="B17" s="633"/>
      <c r="C17" s="634"/>
      <c r="D17" s="634"/>
      <c r="E17" s="634"/>
      <c r="F17" s="548"/>
      <c r="G17" s="549"/>
    </row>
    <row r="18" spans="1:7" customFormat="1">
      <c r="A18" s="860" t="s">
        <v>411</v>
      </c>
      <c r="B18" s="861"/>
      <c r="C18" s="861"/>
      <c r="D18" s="861"/>
      <c r="E18" s="861"/>
      <c r="F18" s="861"/>
      <c r="G18" s="862"/>
    </row>
    <row r="19" spans="1:7" customFormat="1">
      <c r="A19" s="863"/>
      <c r="B19" s="864"/>
      <c r="C19" s="864"/>
      <c r="D19" s="864"/>
      <c r="E19" s="864"/>
      <c r="F19" s="864"/>
      <c r="G19" s="865"/>
    </row>
    <row r="20" spans="1:7" customFormat="1">
      <c r="A20" s="863"/>
      <c r="B20" s="864"/>
      <c r="C20" s="864"/>
      <c r="D20" s="864"/>
      <c r="E20" s="864"/>
      <c r="F20" s="864"/>
      <c r="G20" s="865"/>
    </row>
    <row r="21" spans="1:7" customFormat="1" ht="17.25" thickBot="1">
      <c r="A21" s="866"/>
      <c r="B21" s="867"/>
      <c r="C21" s="867"/>
      <c r="D21" s="867"/>
      <c r="E21" s="867"/>
      <c r="F21" s="867"/>
      <c r="G21" s="868"/>
    </row>
    <row r="22" spans="1:7" customFormat="1">
      <c r="A22" s="629"/>
      <c r="B22" s="630"/>
      <c r="C22" s="631"/>
      <c r="D22" s="631"/>
      <c r="E22" s="631"/>
      <c r="F22" s="545"/>
      <c r="G22" s="545"/>
    </row>
    <row r="23" spans="1:7">
      <c r="A23" s="74"/>
      <c r="B23" s="869"/>
      <c r="C23" s="869"/>
      <c r="D23" s="870"/>
      <c r="E23" s="870"/>
    </row>
    <row r="24" spans="1:7">
      <c r="A24" s="74"/>
      <c r="B24" s="848"/>
      <c r="C24" s="848"/>
      <c r="D24" s="848"/>
      <c r="E24" s="848"/>
    </row>
    <row r="25" spans="1:7" ht="15" customHeight="1">
      <c r="A25" s="55"/>
      <c r="B25" s="55"/>
      <c r="C25" s="55"/>
      <c r="D25" s="55"/>
      <c r="E25" s="55"/>
    </row>
    <row r="26" spans="1:7" ht="33" customHeight="1">
      <c r="A26" s="34" t="s">
        <v>295</v>
      </c>
      <c r="B26" s="123">
        <f>'Names of Bidder'!D20</f>
        <v>0</v>
      </c>
      <c r="C26" s="123"/>
      <c r="D26" s="35"/>
      <c r="E26" s="437"/>
      <c r="F26" s="36"/>
    </row>
    <row r="27" spans="1:7" ht="33" customHeight="1">
      <c r="A27" s="34" t="s">
        <v>294</v>
      </c>
      <c r="B27" s="97">
        <f>'Names of Bidder'!D21</f>
        <v>0</v>
      </c>
      <c r="C27" s="97"/>
      <c r="D27" s="35" t="s">
        <v>211</v>
      </c>
      <c r="E27" s="98">
        <f>'Names of Bidder'!D17</f>
        <v>0</v>
      </c>
      <c r="F27" s="36"/>
    </row>
    <row r="28" spans="1:7" ht="33" customHeight="1">
      <c r="A28" s="3"/>
      <c r="B28" s="439"/>
      <c r="C28" s="439"/>
      <c r="D28" s="35" t="s">
        <v>212</v>
      </c>
      <c r="E28" s="98">
        <f>'Names of Bidder'!D18</f>
        <v>0</v>
      </c>
      <c r="F28" s="36"/>
    </row>
    <row r="29" spans="1:7" ht="33" customHeight="1">
      <c r="A29" s="3"/>
      <c r="B29" s="7"/>
      <c r="C29" s="7"/>
      <c r="D29" s="35"/>
      <c r="F29" s="36"/>
    </row>
    <row r="30" spans="1:7" ht="22.15" customHeight="1">
      <c r="A30" s="56"/>
      <c r="B30" s="56"/>
      <c r="C30" s="56"/>
      <c r="D30" s="56"/>
      <c r="E30" s="57"/>
    </row>
    <row r="31" spans="1:7" ht="22.15" customHeight="1">
      <c r="A31" s="56"/>
      <c r="B31" s="56"/>
      <c r="C31" s="56"/>
      <c r="D31" s="56"/>
      <c r="E31" s="57"/>
    </row>
    <row r="32" spans="1:7" ht="22.15" customHeight="1">
      <c r="A32" s="56"/>
      <c r="B32" s="56"/>
      <c r="C32" s="56"/>
      <c r="D32" s="56"/>
      <c r="E32" s="57"/>
    </row>
    <row r="33" spans="1:17" ht="22.15" customHeight="1">
      <c r="A33" s="56"/>
      <c r="B33" s="56"/>
      <c r="C33" s="56"/>
      <c r="D33" s="56"/>
      <c r="E33" s="57"/>
    </row>
    <row r="34" spans="1:17" ht="22.15" customHeight="1">
      <c r="A34" s="56"/>
      <c r="B34" s="56"/>
      <c r="C34" s="56"/>
      <c r="D34" s="56"/>
      <c r="E34" s="57"/>
    </row>
    <row r="35" spans="1:17" ht="22.15" customHeight="1">
      <c r="A35" s="56"/>
      <c r="B35" s="56"/>
      <c r="C35" s="56"/>
      <c r="D35" s="56"/>
      <c r="E35" s="57"/>
    </row>
    <row r="36" spans="1:17" ht="25.15" customHeight="1"/>
    <row r="37" spans="1:17" ht="25.15" customHeight="1"/>
    <row r="38" spans="1:17" ht="25.15" customHeight="1"/>
    <row r="39" spans="1:17" s="40" customFormat="1" ht="25.15" customHeight="1">
      <c r="F39" s="37"/>
      <c r="G39" s="37"/>
      <c r="H39" s="37"/>
      <c r="I39" s="223"/>
      <c r="J39" s="223"/>
      <c r="K39" s="223"/>
      <c r="L39" s="223"/>
      <c r="M39" s="223"/>
      <c r="N39" s="223"/>
      <c r="O39" s="223"/>
      <c r="P39" s="223"/>
      <c r="Q39" s="223"/>
    </row>
    <row r="40" spans="1:17" s="40" customFormat="1" ht="25.15" customHeight="1">
      <c r="F40" s="37"/>
      <c r="G40" s="37"/>
      <c r="H40" s="37"/>
      <c r="I40" s="223"/>
      <c r="J40" s="223"/>
      <c r="K40" s="223"/>
      <c r="L40" s="223"/>
      <c r="M40" s="223"/>
      <c r="N40" s="223"/>
      <c r="O40" s="223"/>
      <c r="P40" s="223"/>
      <c r="Q40" s="223"/>
    </row>
    <row r="41" spans="1:17" s="40" customFormat="1" ht="25.15" customHeight="1">
      <c r="F41" s="37"/>
      <c r="G41" s="37"/>
      <c r="H41" s="37"/>
      <c r="I41" s="223"/>
      <c r="J41" s="223"/>
      <c r="K41" s="223"/>
      <c r="L41" s="223"/>
      <c r="M41" s="223"/>
      <c r="N41" s="223"/>
      <c r="O41" s="223"/>
      <c r="P41" s="223"/>
      <c r="Q41" s="223"/>
    </row>
    <row r="42" spans="1:17" s="40" customFormat="1" ht="25.15" customHeight="1">
      <c r="F42" s="37"/>
      <c r="G42" s="37"/>
      <c r="H42" s="37"/>
      <c r="I42" s="223"/>
      <c r="J42" s="223"/>
      <c r="K42" s="223"/>
      <c r="L42" s="223"/>
      <c r="M42" s="223"/>
      <c r="N42" s="223"/>
      <c r="O42" s="223"/>
      <c r="P42" s="223"/>
      <c r="Q42" s="223"/>
    </row>
    <row r="43" spans="1:17" s="40" customFormat="1" ht="25.15" customHeight="1">
      <c r="F43" s="37"/>
      <c r="G43" s="37"/>
      <c r="H43" s="37"/>
      <c r="I43" s="223"/>
      <c r="J43" s="223"/>
      <c r="K43" s="223"/>
      <c r="L43" s="223"/>
      <c r="M43" s="223"/>
      <c r="N43" s="223"/>
      <c r="O43" s="223"/>
      <c r="P43" s="223"/>
      <c r="Q43" s="223"/>
    </row>
    <row r="44" spans="1:17" s="40" customFormat="1" ht="25.15" customHeight="1">
      <c r="F44" s="37"/>
      <c r="G44" s="37"/>
      <c r="H44" s="37"/>
      <c r="I44" s="223"/>
      <c r="J44" s="223"/>
      <c r="K44" s="223"/>
      <c r="L44" s="223"/>
      <c r="M44" s="223"/>
      <c r="N44" s="223"/>
      <c r="O44" s="223"/>
      <c r="P44" s="223"/>
      <c r="Q44" s="223"/>
    </row>
    <row r="45" spans="1:17" s="40" customFormat="1" ht="25.15" customHeight="1">
      <c r="F45" s="37"/>
      <c r="G45" s="37"/>
      <c r="H45" s="37"/>
      <c r="I45" s="223"/>
      <c r="J45" s="223"/>
      <c r="K45" s="223"/>
      <c r="L45" s="223"/>
      <c r="M45" s="223"/>
      <c r="N45" s="223"/>
      <c r="O45" s="223"/>
      <c r="P45" s="223"/>
      <c r="Q45" s="223"/>
    </row>
    <row r="46" spans="1:17" s="40" customFormat="1" ht="25.15" customHeight="1">
      <c r="F46" s="37"/>
      <c r="G46" s="37"/>
      <c r="H46" s="37"/>
      <c r="I46" s="223"/>
      <c r="J46" s="223"/>
      <c r="K46" s="223"/>
      <c r="L46" s="223"/>
      <c r="M46" s="223"/>
      <c r="N46" s="223"/>
      <c r="O46" s="223"/>
      <c r="P46" s="223"/>
      <c r="Q46" s="223"/>
    </row>
    <row r="47" spans="1:17" s="40" customFormat="1" ht="25.15" customHeight="1">
      <c r="F47" s="37"/>
      <c r="G47" s="37"/>
      <c r="H47" s="37"/>
      <c r="I47" s="223"/>
      <c r="J47" s="223"/>
      <c r="K47" s="223"/>
      <c r="L47" s="223"/>
      <c r="M47" s="223"/>
      <c r="N47" s="223"/>
      <c r="O47" s="223"/>
      <c r="P47" s="223"/>
      <c r="Q47" s="223"/>
    </row>
    <row r="48" spans="1:17" s="40" customFormat="1" ht="25.15" customHeight="1">
      <c r="F48" s="37"/>
      <c r="G48" s="37"/>
      <c r="H48" s="37"/>
      <c r="I48" s="223"/>
      <c r="J48" s="223"/>
      <c r="K48" s="223"/>
      <c r="L48" s="223"/>
      <c r="M48" s="223"/>
      <c r="N48" s="223"/>
      <c r="O48" s="223"/>
      <c r="P48" s="223"/>
      <c r="Q48" s="223"/>
    </row>
    <row r="49" spans="6:17" s="40" customFormat="1" ht="25.15" customHeight="1">
      <c r="F49" s="37"/>
      <c r="G49" s="37"/>
      <c r="H49" s="37"/>
      <c r="I49" s="223"/>
      <c r="J49" s="223"/>
      <c r="K49" s="223"/>
      <c r="L49" s="223"/>
      <c r="M49" s="223"/>
      <c r="N49" s="223"/>
      <c r="O49" s="223"/>
      <c r="P49" s="223"/>
      <c r="Q49" s="223"/>
    </row>
    <row r="50" spans="6:17" s="40" customFormat="1" ht="25.15" customHeight="1">
      <c r="F50" s="37"/>
      <c r="G50" s="37"/>
      <c r="H50" s="37"/>
      <c r="I50" s="223"/>
      <c r="J50" s="223"/>
      <c r="K50" s="223"/>
      <c r="L50" s="223"/>
      <c r="M50" s="223"/>
      <c r="N50" s="223"/>
      <c r="O50" s="223"/>
      <c r="P50" s="223"/>
      <c r="Q50" s="223"/>
    </row>
    <row r="51" spans="6:17" s="40" customFormat="1" ht="25.15" customHeight="1">
      <c r="F51" s="37"/>
      <c r="G51" s="37"/>
      <c r="H51" s="37"/>
      <c r="I51" s="223"/>
      <c r="J51" s="223"/>
      <c r="K51" s="223"/>
      <c r="L51" s="223"/>
      <c r="M51" s="223"/>
      <c r="N51" s="223"/>
      <c r="O51" s="223"/>
      <c r="P51" s="223"/>
      <c r="Q51" s="223"/>
    </row>
    <row r="52" spans="6:17" s="40" customFormat="1" ht="25.15" customHeight="1">
      <c r="F52" s="37"/>
      <c r="G52" s="37"/>
      <c r="H52" s="37"/>
      <c r="I52" s="223"/>
      <c r="J52" s="223"/>
      <c r="K52" s="223"/>
      <c r="L52" s="223"/>
      <c r="M52" s="223"/>
      <c r="N52" s="223"/>
      <c r="O52" s="223"/>
      <c r="P52" s="223"/>
      <c r="Q52" s="223"/>
    </row>
    <row r="53" spans="6:17" s="40" customFormat="1" ht="25.15" customHeight="1">
      <c r="F53" s="37"/>
      <c r="G53" s="37"/>
      <c r="H53" s="37"/>
      <c r="I53" s="223"/>
      <c r="J53" s="223"/>
      <c r="K53" s="223"/>
      <c r="L53" s="223"/>
      <c r="M53" s="223"/>
      <c r="N53" s="223"/>
      <c r="O53" s="223"/>
      <c r="P53" s="223"/>
      <c r="Q53" s="223"/>
    </row>
    <row r="54" spans="6:17" s="40" customFormat="1" ht="25.15" customHeight="1">
      <c r="F54" s="37"/>
      <c r="G54" s="37"/>
      <c r="H54" s="37"/>
      <c r="I54" s="223"/>
      <c r="J54" s="223"/>
      <c r="K54" s="223"/>
      <c r="L54" s="223"/>
      <c r="M54" s="223"/>
      <c r="N54" s="223"/>
      <c r="O54" s="223"/>
      <c r="P54" s="223"/>
      <c r="Q54" s="223"/>
    </row>
    <row r="55" spans="6:17" s="40" customFormat="1" ht="25.15" customHeight="1">
      <c r="F55" s="37"/>
      <c r="G55" s="37"/>
      <c r="H55" s="37"/>
      <c r="I55" s="223"/>
      <c r="J55" s="223"/>
      <c r="K55" s="223"/>
      <c r="L55" s="223"/>
      <c r="M55" s="223"/>
      <c r="N55" s="223"/>
      <c r="O55" s="223"/>
      <c r="P55" s="223"/>
      <c r="Q55" s="223"/>
    </row>
    <row r="56" spans="6:17" s="40" customFormat="1" ht="25.15" customHeight="1">
      <c r="F56" s="37"/>
      <c r="G56" s="37"/>
      <c r="H56" s="37"/>
      <c r="I56" s="223"/>
      <c r="J56" s="223"/>
      <c r="K56" s="223"/>
      <c r="L56" s="223"/>
      <c r="M56" s="223"/>
      <c r="N56" s="223"/>
      <c r="O56" s="223"/>
      <c r="P56" s="223"/>
      <c r="Q56" s="223"/>
    </row>
    <row r="57" spans="6:17" s="40" customFormat="1" ht="25.15" customHeight="1">
      <c r="F57" s="37"/>
      <c r="G57" s="37"/>
      <c r="H57" s="37"/>
      <c r="I57" s="223"/>
      <c r="J57" s="223"/>
      <c r="K57" s="223"/>
      <c r="L57" s="223"/>
      <c r="M57" s="223"/>
      <c r="N57" s="223"/>
      <c r="O57" s="223"/>
      <c r="P57" s="223"/>
      <c r="Q57" s="223"/>
    </row>
    <row r="58" spans="6:17" s="40" customFormat="1" ht="25.15" customHeight="1">
      <c r="F58" s="37"/>
      <c r="G58" s="37"/>
      <c r="H58" s="37"/>
      <c r="I58" s="223"/>
      <c r="J58" s="223"/>
      <c r="K58" s="223"/>
      <c r="L58" s="223"/>
      <c r="M58" s="223"/>
      <c r="N58" s="223"/>
      <c r="O58" s="223"/>
      <c r="P58" s="223"/>
      <c r="Q58" s="223"/>
    </row>
  </sheetData>
  <sheetProtection password="CB12" sheet="1" formatColumns="0" formatRows="0" selectLockedCells="1"/>
  <dataConsolidate/>
  <mergeCells count="12">
    <mergeCell ref="D7:E12"/>
    <mergeCell ref="A3:E3"/>
    <mergeCell ref="A4:E4"/>
    <mergeCell ref="F15:G15"/>
    <mergeCell ref="A18:G21"/>
    <mergeCell ref="B24:E24"/>
    <mergeCell ref="A15:A16"/>
    <mergeCell ref="B15:B16"/>
    <mergeCell ref="C15:C16"/>
    <mergeCell ref="D15:D16"/>
    <mergeCell ref="E15:E16"/>
    <mergeCell ref="B23:E23"/>
  </mergeCells>
  <printOptions horizontalCentered="1"/>
  <pageMargins left="0.31" right="0.25" top="0.23" bottom="0.23" header="0.27" footer="0.24"/>
  <pageSetup paperSize="9" scale="60" fitToHeight="0" orientation="portrait" r:id="rId1"/>
  <headerFooter alignWithMargins="0">
    <oddFooter>&amp;R&amp;"Book Antiqua,Bold"&amp;10Schedule-4/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Q54"/>
  <sheetViews>
    <sheetView topLeftCell="A11" zoomScale="102" zoomScaleNormal="102" zoomScaleSheetLayoutView="100" workbookViewId="0">
      <selection activeCell="D17" sqref="D17:E17"/>
    </sheetView>
  </sheetViews>
  <sheetFormatPr defaultColWidth="10" defaultRowHeight="16.5"/>
  <cols>
    <col min="1" max="1" width="10.375" style="40" customWidth="1"/>
    <col min="2" max="2" width="45.875" style="40" customWidth="1"/>
    <col min="3" max="3" width="18.625" style="40" customWidth="1"/>
    <col min="4" max="5" width="23.375" style="40" customWidth="1"/>
    <col min="6" max="6" width="10" style="37" hidden="1" customWidth="1"/>
    <col min="7" max="7" width="18.75" style="37" hidden="1" customWidth="1"/>
    <col min="8"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11" ht="18" customHeight="1">
      <c r="A1" s="59" t="str">
        <f>Cover!B3</f>
        <v xml:space="preserve">Specification No.: WRTCC/CS/20-21/AMC-LMC/B1 </v>
      </c>
      <c r="B1" s="60"/>
      <c r="C1" s="60"/>
      <c r="D1" s="61"/>
      <c r="E1" s="5" t="s">
        <v>465</v>
      </c>
    </row>
    <row r="2" spans="1:11" ht="15" customHeight="1">
      <c r="A2" s="2"/>
      <c r="B2" s="7"/>
      <c r="C2" s="7"/>
      <c r="D2" s="3"/>
      <c r="E2" s="1"/>
      <c r="F2" s="1"/>
    </row>
    <row r="3" spans="1:11" ht="39.7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856"/>
    </row>
    <row r="4" spans="1:11" ht="22.15" customHeight="1">
      <c r="A4" s="857" t="s">
        <v>410</v>
      </c>
      <c r="B4" s="857"/>
      <c r="C4" s="857"/>
      <c r="D4" s="857"/>
      <c r="E4" s="857"/>
    </row>
    <row r="5" spans="1:11" ht="12" customHeight="1">
      <c r="A5" s="43"/>
      <c r="B5" s="38"/>
      <c r="C5" s="38"/>
      <c r="D5" s="38"/>
      <c r="E5" s="38"/>
    </row>
    <row r="6" spans="1:11" ht="18.600000000000001" customHeight="1">
      <c r="A6" s="29" t="str">
        <f>'Sch-1'!A6</f>
        <v>Bidder's Name And Address</v>
      </c>
      <c r="D6" s="64" t="s">
        <v>198</v>
      </c>
    </row>
    <row r="7" spans="1:11" ht="18.600000000000001" customHeight="1">
      <c r="A7" s="238" t="str">
        <f>'Sch-1'!A7</f>
        <v>Bidder as Individual Bidder</v>
      </c>
      <c r="D7" s="855" t="str">
        <f>'Sch-1'!L7</f>
        <v xml:space="preserve">Sr. DGM (Tel-CS &amp; Wi-Fi) 
Power Grid Corporation of India Limited,
Western Region Telecom Control Center, 
1st Floor, Samruddhi Venture Park,
 MIDC Area, Marol, Andheri(East),
Mumbai-400093
</v>
      </c>
      <c r="E7" s="855"/>
    </row>
    <row r="8" spans="1:11" ht="18.600000000000001" customHeight="1">
      <c r="A8" s="41" t="s">
        <v>215</v>
      </c>
      <c r="B8" s="516">
        <f>'Names of Bidder'!D8</f>
        <v>0</v>
      </c>
      <c r="C8" s="502"/>
      <c r="D8" s="855"/>
      <c r="E8" s="855"/>
    </row>
    <row r="9" spans="1:11" ht="18.600000000000001" customHeight="1">
      <c r="A9" s="41" t="s">
        <v>216</v>
      </c>
      <c r="B9" s="516">
        <f>'Names of Bidder'!D9</f>
        <v>0</v>
      </c>
      <c r="C9" s="502"/>
      <c r="D9" s="855"/>
      <c r="E9" s="855"/>
    </row>
    <row r="10" spans="1:11" ht="18.600000000000001" customHeight="1">
      <c r="A10" s="42"/>
      <c r="B10" s="516">
        <f>'Names of Bidder'!D10</f>
        <v>0</v>
      </c>
      <c r="C10" s="502"/>
      <c r="D10" s="855"/>
      <c r="E10" s="855"/>
    </row>
    <row r="11" spans="1:11" ht="49.5" customHeight="1" thickBot="1">
      <c r="A11" s="42"/>
      <c r="B11" s="516">
        <f>'Names of Bidder'!D11</f>
        <v>0</v>
      </c>
      <c r="C11" s="502"/>
      <c r="D11" s="855"/>
      <c r="E11" s="855"/>
    </row>
    <row r="12" spans="1:11" ht="15" hidden="1" customHeight="1" thickBot="1"/>
    <row r="13" spans="1:11" ht="32.25" customHeight="1" thickBot="1">
      <c r="A13" s="515" t="s">
        <v>184</v>
      </c>
      <c r="B13" s="871" t="s">
        <v>185</v>
      </c>
      <c r="C13" s="880"/>
      <c r="D13" s="871" t="s">
        <v>186</v>
      </c>
      <c r="E13" s="872"/>
      <c r="K13" s="223" t="s">
        <v>130</v>
      </c>
    </row>
    <row r="14" spans="1:11" ht="18" customHeight="1">
      <c r="A14" s="517"/>
      <c r="B14" s="876" t="s">
        <v>495</v>
      </c>
      <c r="C14" s="877"/>
      <c r="D14" s="873"/>
      <c r="E14" s="874"/>
      <c r="G14" s="445">
        <f>340*0.1236</f>
        <v>42.024000000000001</v>
      </c>
      <c r="J14" s="223" t="s">
        <v>117</v>
      </c>
      <c r="K14" s="223" t="e">
        <f>ROUND('Sch-1'!#REF!*#REF!,0)</f>
        <v>#REF!</v>
      </c>
    </row>
    <row r="15" spans="1:11" ht="82.5" customHeight="1">
      <c r="A15" s="510">
        <v>1</v>
      </c>
      <c r="B15" s="878" t="s">
        <v>512</v>
      </c>
      <c r="C15" s="878"/>
      <c r="D15" s="879">
        <v>0</v>
      </c>
      <c r="E15" s="879"/>
      <c r="G15" s="443">
        <f>340</f>
        <v>340</v>
      </c>
    </row>
    <row r="16" spans="1:11" ht="82.5" customHeight="1">
      <c r="A16" s="626">
        <v>2</v>
      </c>
      <c r="B16" s="878" t="s">
        <v>513</v>
      </c>
      <c r="C16" s="878"/>
      <c r="D16" s="879">
        <f>'sch-3'!P125</f>
        <v>17754.587999999989</v>
      </c>
      <c r="E16" s="879"/>
      <c r="G16" s="443"/>
    </row>
    <row r="17" spans="1:11" ht="30" customHeight="1">
      <c r="A17" s="579"/>
      <c r="B17" s="881" t="s">
        <v>496</v>
      </c>
      <c r="C17" s="881"/>
      <c r="D17" s="875">
        <f>D16</f>
        <v>17754.587999999989</v>
      </c>
      <c r="E17" s="875"/>
      <c r="K17" s="533" t="s">
        <v>425</v>
      </c>
    </row>
    <row r="18" spans="1:11" ht="27" customHeight="1">
      <c r="A18" s="52"/>
      <c r="B18" s="882"/>
      <c r="C18" s="882"/>
      <c r="D18" s="882"/>
      <c r="E18" s="882"/>
      <c r="K18" s="533"/>
    </row>
    <row r="19" spans="1:11">
      <c r="A19" s="74"/>
      <c r="B19" s="869"/>
      <c r="C19" s="869"/>
      <c r="D19" s="870"/>
      <c r="E19" s="870"/>
    </row>
    <row r="20" spans="1:11">
      <c r="A20" s="74"/>
      <c r="B20" s="848"/>
      <c r="C20" s="848"/>
      <c r="D20" s="848"/>
      <c r="E20" s="848"/>
    </row>
    <row r="21" spans="1:11" ht="15" customHeight="1">
      <c r="A21" s="55"/>
      <c r="B21" s="55"/>
      <c r="C21" s="55"/>
      <c r="D21" s="55"/>
      <c r="E21" s="55"/>
    </row>
    <row r="22" spans="1:11" ht="33" customHeight="1">
      <c r="A22" s="34" t="s">
        <v>295</v>
      </c>
      <c r="B22" s="123">
        <f>'Names of Bidder'!D20</f>
        <v>0</v>
      </c>
      <c r="C22" s="123"/>
      <c r="D22" s="35" t="s">
        <v>211</v>
      </c>
      <c r="E22" s="98">
        <f>'Names of Bidder'!D17</f>
        <v>0</v>
      </c>
      <c r="F22" s="36"/>
    </row>
    <row r="23" spans="1:11" ht="33" customHeight="1">
      <c r="A23" s="34" t="s">
        <v>294</v>
      </c>
      <c r="B23" s="97">
        <f>'Names of Bidder'!D21</f>
        <v>0</v>
      </c>
      <c r="C23" s="97"/>
      <c r="D23" s="35" t="s">
        <v>212</v>
      </c>
      <c r="E23" s="98">
        <f>'Names of Bidder'!D18</f>
        <v>0</v>
      </c>
      <c r="F23" s="36"/>
    </row>
    <row r="24" spans="1:11" ht="33" customHeight="1">
      <c r="A24" s="3"/>
      <c r="B24" s="439"/>
      <c r="C24" s="439"/>
      <c r="F24" s="36"/>
    </row>
    <row r="25" spans="1:11" ht="33" customHeight="1">
      <c r="A25" s="3"/>
      <c r="B25" s="7"/>
      <c r="C25" s="7"/>
      <c r="D25" s="35"/>
      <c r="F25" s="36"/>
    </row>
    <row r="26" spans="1:11" ht="22.15" customHeight="1">
      <c r="A26" s="56"/>
      <c r="B26" s="56"/>
      <c r="C26" s="56"/>
      <c r="D26" s="56"/>
      <c r="E26" s="57"/>
    </row>
    <row r="27" spans="1:11" ht="22.15" customHeight="1">
      <c r="A27" s="56"/>
      <c r="B27" s="56"/>
      <c r="C27" s="56"/>
      <c r="D27" s="56"/>
      <c r="E27" s="57"/>
    </row>
    <row r="28" spans="1:11" ht="22.15" customHeight="1">
      <c r="A28" s="56"/>
      <c r="B28" s="56"/>
      <c r="C28" s="56"/>
      <c r="D28" s="56"/>
      <c r="E28" s="57"/>
    </row>
    <row r="29" spans="1:11" ht="22.15" customHeight="1">
      <c r="A29" s="56"/>
      <c r="B29" s="56"/>
      <c r="C29" s="56"/>
      <c r="D29" s="56"/>
      <c r="E29" s="57"/>
    </row>
    <row r="30" spans="1:11" ht="22.15" customHeight="1">
      <c r="A30" s="56"/>
      <c r="B30" s="56"/>
      <c r="C30" s="56"/>
      <c r="D30" s="56"/>
      <c r="E30" s="57"/>
    </row>
    <row r="31" spans="1:11" ht="22.15" customHeight="1">
      <c r="A31" s="56"/>
      <c r="B31" s="56"/>
      <c r="C31" s="56"/>
      <c r="D31" s="56"/>
      <c r="E31" s="57"/>
    </row>
    <row r="32" spans="1:11" ht="25.15" customHeight="1"/>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sheetData>
  <sheetProtection password="CB12" sheet="1" formatColumns="0" formatRows="0" selectLockedCells="1"/>
  <dataConsolidate/>
  <customSheetViews>
    <customSheetView guid="{9CA44E70-650F-49CD-967F-298619682CA2}" topLeftCell="A37">
      <selection activeCell="D34" sqref="D34:E35"/>
      <pageMargins left="0.31" right="0.25" top="0.23" bottom="0.23" header="0.27" footer="0.24"/>
      <printOptions horizontalCentered="1"/>
      <pageSetup paperSize="9" scale="75" fitToHeight="0" orientation="portrait" r:id="rId1"/>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2"/>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3"/>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4"/>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5"/>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6"/>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7"/>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8"/>
      <headerFooter alignWithMargins="0">
        <oddFooter>&amp;R&amp;"Book Antiqua,Bold"&amp;10Schedule-5/ Page &amp;P of &amp;N</oddFooter>
      </headerFooter>
    </customSheetView>
    <customSheetView guid="{08A645C4-A23F-4400-B0CE-1685BC312A6F}" printArea="1" hiddenColumns="1" topLeftCell="A3">
      <selection activeCell="D15" sqref="D15:E16"/>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s>
  <mergeCells count="16">
    <mergeCell ref="B20:E20"/>
    <mergeCell ref="D15:E15"/>
    <mergeCell ref="B18:E18"/>
    <mergeCell ref="B19:E19"/>
    <mergeCell ref="D7:E11"/>
    <mergeCell ref="A3:E3"/>
    <mergeCell ref="D13:E13"/>
    <mergeCell ref="D14:E14"/>
    <mergeCell ref="A4:E4"/>
    <mergeCell ref="D17:E17"/>
    <mergeCell ref="B14:C14"/>
    <mergeCell ref="B16:C16"/>
    <mergeCell ref="D16:E16"/>
    <mergeCell ref="B13:C13"/>
    <mergeCell ref="B17:C17"/>
    <mergeCell ref="B15:C15"/>
  </mergeCells>
  <phoneticPr fontId="1" type="noConversion"/>
  <printOptions horizontalCentered="1"/>
  <pageMargins left="0.31" right="0.25" top="0.23" bottom="0.23" header="0.27" footer="0.24"/>
  <pageSetup paperSize="9" scale="60" fitToHeight="0" orientation="portrait" r:id="rId10"/>
  <headerFooter alignWithMargins="0">
    <oddFooter>&amp;R&amp;"Book Antiqua,Bold"&amp;10Schedule-4/ Page &amp;P of &amp;N</oddFooter>
  </headerFooter>
  <ignoredErrors>
    <ignoredError sqref="K14" evalError="1"/>
  </ignoredErrors>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1"/>
  </sheetPr>
  <dimension ref="A1:Q73"/>
  <sheetViews>
    <sheetView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23" customWidth="1"/>
    <col min="10" max="10" width="12.625" style="223" customWidth="1"/>
    <col min="11" max="11" width="15" style="223" customWidth="1"/>
    <col min="12" max="17" width="10" style="223" customWidth="1"/>
    <col min="18" max="16384" width="10" style="37"/>
  </cols>
  <sheetData>
    <row r="1" spans="1:11" ht="18" customHeight="1">
      <c r="A1" s="59" t="str">
        <f>Cover!B3</f>
        <v xml:space="preserve">Specification No.: WRTCC/CS/20-21/AMC-LMC/B1 </v>
      </c>
      <c r="B1" s="60"/>
      <c r="C1" s="61"/>
      <c r="D1" s="61"/>
      <c r="E1" s="5" t="s">
        <v>163</v>
      </c>
    </row>
    <row r="2" spans="1:11" ht="15" customHeight="1">
      <c r="A2" s="2"/>
      <c r="B2" s="7"/>
      <c r="C2" s="3"/>
      <c r="D2" s="3"/>
      <c r="E2" s="1"/>
      <c r="F2" s="1"/>
    </row>
    <row r="3" spans="1:11" ht="40.1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856"/>
    </row>
    <row r="4" spans="1:11" ht="22.15" customHeight="1">
      <c r="A4" s="857" t="s">
        <v>217</v>
      </c>
      <c r="B4" s="857"/>
      <c r="C4" s="857"/>
      <c r="D4" s="857"/>
      <c r="E4" s="857"/>
    </row>
    <row r="5" spans="1:11" ht="12" customHeight="1">
      <c r="A5" s="43"/>
      <c r="B5" s="38"/>
      <c r="C5" s="38"/>
      <c r="D5" s="38"/>
      <c r="E5" s="38"/>
    </row>
    <row r="6" spans="1:11" ht="18" customHeight="1">
      <c r="A6" s="29" t="str">
        <f>'Sch-1'!A6</f>
        <v>Bidder's Name And Address</v>
      </c>
      <c r="D6" s="64" t="s">
        <v>198</v>
      </c>
    </row>
    <row r="7" spans="1:11" ht="18" customHeight="1">
      <c r="A7" s="201" t="str">
        <f>'Sch-1'!A7</f>
        <v>Bidder as Individual Bidder</v>
      </c>
      <c r="D7" s="65" t="s">
        <v>200</v>
      </c>
    </row>
    <row r="8" spans="1:11" ht="18" customHeight="1">
      <c r="A8" s="41" t="s">
        <v>215</v>
      </c>
      <c r="B8" s="911" t="str">
        <f>IF('Sch-1'!B8=0, "", 'Sch-1'!B8)</f>
        <v/>
      </c>
      <c r="C8" s="911"/>
      <c r="D8" s="65" t="s">
        <v>202</v>
      </c>
    </row>
    <row r="9" spans="1:11" ht="18" customHeight="1">
      <c r="A9" s="41" t="s">
        <v>216</v>
      </c>
      <c r="B9" s="911" t="str">
        <f>IF('Sch-1'!B9=0, "", 'Sch-1'!B9)</f>
        <v/>
      </c>
      <c r="C9" s="911"/>
      <c r="D9" s="65" t="s">
        <v>203</v>
      </c>
    </row>
    <row r="10" spans="1:11" ht="18" customHeight="1">
      <c r="A10" s="42"/>
      <c r="B10" s="911" t="str">
        <f ca="1">IF('Sch-1'!B12=0, "", 'Sch-1'!B12)</f>
        <v/>
      </c>
      <c r="C10" s="911"/>
      <c r="D10" s="65" t="s">
        <v>204</v>
      </c>
    </row>
    <row r="11" spans="1:11" ht="18" customHeight="1">
      <c r="A11" s="42"/>
      <c r="B11" s="911" t="e">
        <f>IF('Sch-1'!#REF!=0, "", 'Sch-1'!#REF!)</f>
        <v>#REF!</v>
      </c>
      <c r="C11" s="911"/>
      <c r="D11" s="65" t="s">
        <v>205</v>
      </c>
    </row>
    <row r="12" spans="1:11" ht="15" customHeight="1"/>
    <row r="13" spans="1:11" ht="22.15" customHeight="1">
      <c r="A13" s="75" t="s">
        <v>184</v>
      </c>
      <c r="B13" s="905" t="s">
        <v>185</v>
      </c>
      <c r="C13" s="906"/>
      <c r="D13" s="907" t="s">
        <v>186</v>
      </c>
      <c r="E13" s="908"/>
      <c r="K13" s="223" t="s">
        <v>130</v>
      </c>
    </row>
    <row r="14" spans="1:11" ht="18" customHeight="1">
      <c r="A14" s="44" t="s">
        <v>187</v>
      </c>
      <c r="B14" s="909" t="s">
        <v>188</v>
      </c>
      <c r="C14" s="910"/>
      <c r="D14" s="902" t="e">
        <f>ROUND('Sch-1 Dis'!G19*C16,0)</f>
        <v>#REF!</v>
      </c>
      <c r="E14" s="903"/>
      <c r="J14" s="223" t="s">
        <v>117</v>
      </c>
      <c r="K14" s="223" t="e">
        <f>ROUND('Sch-1'!#REF!*C16,0)</f>
        <v>#REF!</v>
      </c>
    </row>
    <row r="15" spans="1:11" ht="58.15" customHeight="1">
      <c r="A15" s="45"/>
      <c r="B15" s="894" t="s">
        <v>247</v>
      </c>
      <c r="C15" s="894"/>
      <c r="D15" s="904"/>
      <c r="E15" s="904"/>
    </row>
    <row r="16" spans="1:11" ht="18" customHeight="1">
      <c r="A16" s="45"/>
      <c r="B16" s="46" t="s">
        <v>218</v>
      </c>
      <c r="C16" s="349" t="e">
        <f>'Sch-5'!#REF!</f>
        <v>#REF!</v>
      </c>
      <c r="D16" s="904"/>
      <c r="E16" s="904"/>
    </row>
    <row r="17" spans="1:11" ht="18" customHeight="1">
      <c r="A17" s="44" t="s">
        <v>189</v>
      </c>
      <c r="B17" s="47" t="s">
        <v>241</v>
      </c>
      <c r="C17" s="47"/>
      <c r="D17" s="901" t="e">
        <f>(C19+C20)*C21</f>
        <v>#REF!</v>
      </c>
      <c r="E17" s="901"/>
      <c r="J17" s="223" t="s">
        <v>131</v>
      </c>
      <c r="K17" s="224" t="e">
        <f>D17</f>
        <v>#REF!</v>
      </c>
    </row>
    <row r="18" spans="1:11" ht="58.15" customHeight="1">
      <c r="A18" s="45"/>
      <c r="B18" s="894" t="s">
        <v>245</v>
      </c>
      <c r="C18" s="894"/>
      <c r="D18" s="895"/>
      <c r="E18" s="896"/>
    </row>
    <row r="19" spans="1:11" ht="18" customHeight="1">
      <c r="A19" s="45"/>
      <c r="B19" s="46" t="s">
        <v>164</v>
      </c>
      <c r="C19" s="350" t="e">
        <f>'Sch-5'!#REF!*(1-'Sch-1'!T15)</f>
        <v>#REF!</v>
      </c>
      <c r="D19" s="897"/>
      <c r="E19" s="898"/>
    </row>
    <row r="20" spans="1:11" ht="18" customHeight="1">
      <c r="A20" s="45"/>
      <c r="B20" s="46"/>
      <c r="C20" s="350" t="e">
        <f>C19*C16</f>
        <v>#REF!</v>
      </c>
      <c r="D20" s="897"/>
      <c r="E20" s="898"/>
    </row>
    <row r="21" spans="1:11" ht="18" customHeight="1">
      <c r="A21" s="45"/>
      <c r="B21" s="46" t="s">
        <v>243</v>
      </c>
      <c r="C21" s="349" t="e">
        <f>'Sch-5'!#REF!</f>
        <v>#REF!</v>
      </c>
      <c r="D21" s="899"/>
      <c r="E21" s="900"/>
    </row>
    <row r="22" spans="1:11" ht="18" customHeight="1">
      <c r="A22" s="44" t="s">
        <v>190</v>
      </c>
      <c r="B22" s="47" t="s">
        <v>242</v>
      </c>
      <c r="C22" s="47"/>
      <c r="D22" s="902" t="e">
        <f>(C24+C25)*C26</f>
        <v>#REF!</v>
      </c>
      <c r="E22" s="903"/>
      <c r="J22" s="223" t="s">
        <v>132</v>
      </c>
      <c r="K22" s="223" t="e">
        <f>D22</f>
        <v>#REF!</v>
      </c>
    </row>
    <row r="23" spans="1:11" ht="58.15" customHeight="1">
      <c r="A23" s="45"/>
      <c r="B23" s="894" t="s">
        <v>244</v>
      </c>
      <c r="C23" s="894"/>
      <c r="D23" s="895"/>
      <c r="E23" s="896"/>
    </row>
    <row r="24" spans="1:11" ht="25.5" customHeight="1">
      <c r="A24" s="45"/>
      <c r="B24" s="46" t="s">
        <v>297</v>
      </c>
      <c r="C24" s="353" t="e">
        <f>'Sch-1 Dis'!G19-C19</f>
        <v>#REF!</v>
      </c>
      <c r="D24" s="897"/>
      <c r="E24" s="898"/>
    </row>
    <row r="25" spans="1:11" ht="21.75" customHeight="1">
      <c r="A25" s="45"/>
      <c r="B25" s="46" t="s">
        <v>300</v>
      </c>
      <c r="C25" s="46" t="e">
        <f>C24*C16</f>
        <v>#REF!</v>
      </c>
      <c r="D25" s="897"/>
      <c r="E25" s="898"/>
    </row>
    <row r="26" spans="1:11" ht="18" customHeight="1">
      <c r="A26" s="45"/>
      <c r="B26" s="46" t="s">
        <v>142</v>
      </c>
      <c r="C26" s="349" t="e">
        <f>'Sch-5'!#REF!</f>
        <v>#REF!</v>
      </c>
      <c r="D26" s="899"/>
      <c r="E26" s="900"/>
    </row>
    <row r="27" spans="1:11" ht="18" customHeight="1">
      <c r="A27" s="44" t="s">
        <v>191</v>
      </c>
      <c r="B27" s="47" t="s">
        <v>237</v>
      </c>
      <c r="C27" s="47"/>
      <c r="D27" s="884">
        <f>'Sch-5'!D21:E21</f>
        <v>0</v>
      </c>
      <c r="E27" s="884"/>
    </row>
    <row r="28" spans="1:11" ht="51.75" customHeight="1">
      <c r="A28" s="45"/>
      <c r="B28" s="888" t="s">
        <v>246</v>
      </c>
      <c r="C28" s="888"/>
      <c r="D28" s="887" t="s">
        <v>289</v>
      </c>
      <c r="E28" s="887"/>
    </row>
    <row r="29" spans="1:11" ht="39" customHeight="1">
      <c r="A29" s="50"/>
      <c r="B29" s="49"/>
      <c r="C29" s="334" t="s">
        <v>290</v>
      </c>
      <c r="D29" s="887"/>
      <c r="E29" s="887"/>
    </row>
    <row r="30" spans="1:11" ht="18" customHeight="1">
      <c r="A30" s="44" t="s">
        <v>195</v>
      </c>
      <c r="B30" s="47" t="s">
        <v>238</v>
      </c>
      <c r="C30" s="47"/>
      <c r="D30" s="884" t="str">
        <f>'Sch-5'!D23:E23</f>
        <v>Designation   :</v>
      </c>
      <c r="E30" s="884"/>
    </row>
    <row r="31" spans="1:11" ht="50.1" customHeight="1">
      <c r="A31" s="45"/>
      <c r="B31" s="888" t="s">
        <v>246</v>
      </c>
      <c r="C31" s="888"/>
      <c r="D31" s="887" t="s">
        <v>289</v>
      </c>
      <c r="E31" s="887"/>
    </row>
    <row r="32" spans="1:11" ht="30" customHeight="1">
      <c r="A32" s="50"/>
      <c r="B32" s="49"/>
      <c r="C32" s="334" t="s">
        <v>291</v>
      </c>
      <c r="D32" s="887"/>
      <c r="E32" s="887"/>
    </row>
    <row r="33" spans="1:6" ht="18" customHeight="1">
      <c r="A33" s="44" t="s">
        <v>196</v>
      </c>
      <c r="B33" s="47" t="s">
        <v>192</v>
      </c>
      <c r="C33" s="47"/>
      <c r="D33" s="884">
        <f>'Sch-5'!D27:E27</f>
        <v>0</v>
      </c>
      <c r="E33" s="884"/>
    </row>
    <row r="34" spans="1:6" ht="60" customHeight="1">
      <c r="A34" s="45"/>
      <c r="B34" s="885" t="s">
        <v>248</v>
      </c>
      <c r="C34" s="886"/>
      <c r="D34" s="887" t="s">
        <v>289</v>
      </c>
      <c r="E34" s="887"/>
    </row>
    <row r="35" spans="1:6" ht="35.25" customHeight="1">
      <c r="A35" s="51"/>
      <c r="B35" s="49"/>
      <c r="C35" s="335" t="s">
        <v>291</v>
      </c>
      <c r="D35" s="887"/>
      <c r="E35" s="887"/>
    </row>
    <row r="36" spans="1:6" ht="18" customHeight="1">
      <c r="A36" s="889"/>
      <c r="B36" s="890" t="s">
        <v>249</v>
      </c>
      <c r="C36" s="881"/>
      <c r="D36" s="891" t="e">
        <f>SUM(D14,D17,D22)</f>
        <v>#REF!</v>
      </c>
      <c r="E36" s="891"/>
    </row>
    <row r="37" spans="1:6" ht="40.5" customHeight="1">
      <c r="A37" s="889"/>
      <c r="B37" s="890"/>
      <c r="C37" s="881"/>
      <c r="D37" s="892"/>
      <c r="E37" s="893"/>
    </row>
    <row r="38" spans="1:6" ht="15" customHeight="1">
      <c r="A38" s="52"/>
      <c r="B38" s="53"/>
      <c r="C38" s="53"/>
      <c r="D38" s="54"/>
      <c r="E38" s="54"/>
    </row>
    <row r="39" spans="1:6" ht="81.75" customHeight="1">
      <c r="A39" s="74" t="s">
        <v>239</v>
      </c>
      <c r="B39" s="883" t="s">
        <v>251</v>
      </c>
      <c r="C39" s="883"/>
      <c r="D39" s="883"/>
      <c r="E39" s="883"/>
    </row>
    <row r="40" spans="1:6" ht="15" customHeight="1">
      <c r="A40" s="55"/>
      <c r="B40" s="55"/>
      <c r="C40" s="55"/>
      <c r="D40" s="55"/>
      <c r="E40" s="55"/>
    </row>
    <row r="41" spans="1:6" ht="33" customHeight="1">
      <c r="A41" s="34" t="s">
        <v>250</v>
      </c>
      <c r="B41" s="123" t="e">
        <f>IF('Sch-1'!#REF!=0,"", 'Sch-1'!#REF!)</f>
        <v>#REF!</v>
      </c>
      <c r="C41" s="6"/>
      <c r="D41" s="35" t="s">
        <v>210</v>
      </c>
      <c r="F41" s="36"/>
    </row>
    <row r="42" spans="1:6" ht="33" customHeight="1">
      <c r="A42" s="34" t="s">
        <v>209</v>
      </c>
      <c r="B42" s="97" t="e">
        <f>IF('Sch-1'!#REF!=0,"", 'Sch-1'!#REF!)</f>
        <v>#REF!</v>
      </c>
      <c r="C42" s="1"/>
      <c r="D42" s="35" t="s">
        <v>211</v>
      </c>
      <c r="E42" s="98" t="e">
        <f>IF('Sch-1'!#REF!=0,"",'Sch-1'!#REF!)</f>
        <v>#REF!</v>
      </c>
      <c r="F42" s="36"/>
    </row>
    <row r="43" spans="1:6" ht="33" customHeight="1">
      <c r="A43" s="3"/>
      <c r="B43" s="7"/>
      <c r="C43" s="1"/>
      <c r="D43" s="35" t="s">
        <v>212</v>
      </c>
      <c r="E43" s="98" t="e">
        <f>IF('Sch-1'!#REF!=0,"",'Sch-1'!#REF!)</f>
        <v>#REF!</v>
      </c>
      <c r="F43" s="36"/>
    </row>
    <row r="44" spans="1:6" ht="33" customHeight="1">
      <c r="A44" s="3"/>
      <c r="B44" s="7"/>
      <c r="C44" s="1"/>
      <c r="D44" s="35" t="s">
        <v>213</v>
      </c>
      <c r="F44" s="36"/>
    </row>
    <row r="45" spans="1:6" ht="22.15" customHeight="1">
      <c r="A45" s="56"/>
      <c r="B45" s="56"/>
      <c r="C45" s="56"/>
      <c r="D45" s="56"/>
      <c r="E45" s="57"/>
    </row>
    <row r="46" spans="1:6" ht="22.15" customHeight="1">
      <c r="A46" s="56"/>
      <c r="B46" s="56"/>
      <c r="C46" s="56"/>
      <c r="D46" s="56"/>
      <c r="E46" s="57"/>
    </row>
    <row r="47" spans="1:6" ht="22.15" customHeight="1">
      <c r="A47" s="56"/>
      <c r="B47" s="56"/>
      <c r="C47" s="56"/>
      <c r="D47" s="56"/>
      <c r="E47" s="57"/>
    </row>
    <row r="48" spans="1:6" ht="22.15" customHeight="1">
      <c r="A48" s="56"/>
      <c r="B48" s="56"/>
      <c r="C48" s="56"/>
      <c r="D48" s="56"/>
      <c r="E48" s="57"/>
    </row>
    <row r="49" spans="1:5" ht="22.15" customHeight="1">
      <c r="A49" s="56"/>
      <c r="B49" s="56"/>
      <c r="C49" s="56"/>
      <c r="D49" s="56"/>
      <c r="E49" s="57"/>
    </row>
    <row r="50" spans="1:5" ht="22.15" customHeight="1">
      <c r="A50" s="56"/>
      <c r="B50" s="56"/>
      <c r="C50" s="56"/>
      <c r="D50" s="56"/>
      <c r="E50" s="57"/>
    </row>
    <row r="51" spans="1:5" ht="25.15" customHeight="1"/>
    <row r="52" spans="1:5" ht="25.15" customHeight="1"/>
    <row r="53" spans="1:5" ht="25.15" customHeight="1"/>
    <row r="54" spans="1:5" ht="25.15" customHeight="1"/>
    <row r="55" spans="1:5" ht="25.15" customHeight="1"/>
    <row r="56" spans="1:5" ht="25.15" customHeight="1"/>
    <row r="57" spans="1:5" ht="25.15" customHeight="1"/>
    <row r="58" spans="1:5" ht="25.15" customHeight="1"/>
    <row r="59" spans="1:5" ht="25.15" customHeight="1"/>
    <row r="60" spans="1:5" ht="25.15" customHeight="1"/>
    <row r="61" spans="1:5" ht="25.15" customHeight="1"/>
    <row r="62" spans="1:5" ht="25.15" customHeight="1"/>
    <row r="63" spans="1:5" ht="25.15" customHeight="1"/>
    <row r="64" spans="1:5" ht="25.15" customHeight="1"/>
    <row r="65" ht="25.15" customHeight="1"/>
    <row r="66" ht="25.15" customHeight="1"/>
    <row r="67" ht="25.15" customHeight="1"/>
    <row r="68" ht="25.15" customHeight="1"/>
    <row r="69" ht="25.15" customHeight="1"/>
    <row r="70" ht="25.15" customHeight="1"/>
    <row r="71" ht="25.15" customHeight="1"/>
    <row r="72" ht="25.15" customHeight="1"/>
    <row r="73" ht="25.15" customHeight="1"/>
  </sheetData>
  <sheetProtection password="E98F" sheet="1" objects="1" scenarios="1" selectLockedCells="1" selectUnlockedCells="1"/>
  <dataConsolidate/>
  <customSheetViews>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08A645C4-A23F-4400-B0CE-1685BC312A6F}" scale="86" state="hidden" topLeftCell="A10">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D28:E29"/>
    <mergeCell ref="D30:E30"/>
    <mergeCell ref="B23:C23"/>
    <mergeCell ref="D23:E26"/>
    <mergeCell ref="D27:E27"/>
    <mergeCell ref="B28:C28"/>
    <mergeCell ref="A36:A37"/>
    <mergeCell ref="B36:B37"/>
    <mergeCell ref="C36:C37"/>
    <mergeCell ref="D36:E36"/>
    <mergeCell ref="D37:E37"/>
    <mergeCell ref="B39:E39"/>
    <mergeCell ref="D33:E33"/>
    <mergeCell ref="B34:C34"/>
    <mergeCell ref="D34:E35"/>
    <mergeCell ref="B31:C31"/>
    <mergeCell ref="D31:E32"/>
  </mergeCells>
  <phoneticPr fontId="30" type="noConversion"/>
  <dataValidations xWindow="871" yWindow="395" count="8">
    <dataValidation allowBlank="1" showInputMessage="1" showErrorMessage="1" prompt="You may write remarks regarding over all Taxes &amp; Duties here." sqref="D37:E37" xr:uid="{00000000-0002-0000-0B00-000000000000}"/>
    <dataValidation allowBlank="1" showInputMessage="1" showErrorMessage="1" prompt="You may write remarks regarding Octroi here." sqref="D28:E29 D31:E32 D34:E35" xr:uid="{00000000-0002-0000-0B00-000001000000}"/>
    <dataValidation allowBlank="1" showInputMessage="1" showErrorMessage="1" prompt="You may write remarks regarding VAT here." sqref="D23:E26" xr:uid="{00000000-0002-0000-0B00-000002000000}"/>
    <dataValidation allowBlank="1" showInputMessage="1" showErrorMessage="1" prompt="You may write remarks regarding Sales Tax here." sqref="D18:E21" xr:uid="{00000000-0002-0000-0B00-000003000000}"/>
    <dataValidation allowBlank="1" showInputMessage="1" showErrorMessage="1" prompt="You may write remarks regarding Excise Duty here." sqref="D15:E16" xr:uid="{00000000-0002-0000-0B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B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B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B00-000007000000}">
      <formula1>0</formula1>
    </dataValidation>
  </dataValidations>
  <hyperlinks>
    <hyperlink ref="C29" location="Octroi!Print_Area" display="Click here for details of Octroi" xr:uid="{00000000-0004-0000-0B00-000000000000}"/>
    <hyperlink ref="C32" location="'Entry Tax'!Print_Area" display="Click here for details of Octroi" xr:uid="{00000000-0004-0000-0B00-000001000000}"/>
  </hyperlinks>
  <printOptions horizontalCentered="1"/>
  <pageMargins left="0.31" right="0.25" top="0.48" bottom="0.23" header="0.27" footer="0.24"/>
  <pageSetup paperSize="9" scale="77" fitToHeight="0" orientation="portrait" r:id="rId9"/>
  <headerFooter alignWithMargins="0">
    <oddFooter>&amp;R&amp;"Book Antiqua,Bold"&amp;10Schedule-5/ Page &amp;P of &amp;N</oddFooter>
  </headerFooter>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13"/>
  </sheetPr>
  <dimension ref="A1:H29"/>
  <sheetViews>
    <sheetView topLeftCell="A19" zoomScaleNormal="100" zoomScaleSheetLayoutView="100" workbookViewId="0">
      <selection activeCell="D24" sqref="D24"/>
    </sheetView>
  </sheetViews>
  <sheetFormatPr defaultColWidth="10" defaultRowHeight="16.5"/>
  <cols>
    <col min="1" max="1" width="10.625" style="40" customWidth="1"/>
    <col min="2" max="2" width="27.5" style="40" customWidth="1"/>
    <col min="3" max="3" width="22.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59" t="str">
        <f>Cover!B3</f>
        <v xml:space="preserve">Specification No.: WRTCC/CS/20-21/AMC-LMC/B1 </v>
      </c>
      <c r="B1" s="60"/>
      <c r="C1" s="4"/>
      <c r="D1" s="5" t="s">
        <v>466</v>
      </c>
    </row>
    <row r="2" spans="1:6" ht="18" customHeight="1">
      <c r="A2" s="2"/>
      <c r="B2" s="7"/>
      <c r="C2" s="1"/>
      <c r="D2" s="1"/>
    </row>
    <row r="3" spans="1:6" ht="47.2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58"/>
      <c r="F3" s="58"/>
    </row>
    <row r="4" spans="1:6" ht="22.15" customHeight="1">
      <c r="A4" s="857" t="s">
        <v>193</v>
      </c>
      <c r="B4" s="857"/>
      <c r="C4" s="857"/>
      <c r="D4" s="857"/>
    </row>
    <row r="5" spans="1:6" ht="18" customHeight="1">
      <c r="A5" s="39"/>
    </row>
    <row r="6" spans="1:6" ht="18" customHeight="1">
      <c r="A6" s="29" t="str">
        <f>'Sch-1'!A6</f>
        <v>Bidder's Name And Address</v>
      </c>
      <c r="D6" s="64" t="s">
        <v>198</v>
      </c>
    </row>
    <row r="7" spans="1:6" ht="18" customHeight="1">
      <c r="A7" s="201" t="str">
        <f>'Sch-1'!A7</f>
        <v>Bidder as Individual Bidder</v>
      </c>
      <c r="D7" s="820" t="str">
        <f>'Sch-1'!L7</f>
        <v xml:space="preserve">Sr. DGM (Tel-CS &amp; Wi-Fi) 
Power Grid Corporation of India Limited,
Western Region Telecom Control Center, 
1st Floor, Samruddhi Venture Park,
 MIDC Area, Marol, Andheri(East),
Mumbai-400093
</v>
      </c>
    </row>
    <row r="8" spans="1:6" ht="15.75">
      <c r="A8" s="41" t="s">
        <v>215</v>
      </c>
      <c r="B8" s="924">
        <f>'Names of Bidder'!D8</f>
        <v>0</v>
      </c>
      <c r="C8" s="924"/>
      <c r="D8" s="820"/>
    </row>
    <row r="9" spans="1:6" ht="15.75">
      <c r="A9" s="41" t="s">
        <v>216</v>
      </c>
      <c r="B9" s="924">
        <f>'Names of Bidder'!D9</f>
        <v>0</v>
      </c>
      <c r="C9" s="924"/>
      <c r="D9" s="820"/>
    </row>
    <row r="10" spans="1:6">
      <c r="A10" s="42"/>
      <c r="B10" s="924">
        <f>'Names of Bidder'!D10</f>
        <v>0</v>
      </c>
      <c r="C10" s="924"/>
      <c r="D10" s="820"/>
    </row>
    <row r="11" spans="1:6">
      <c r="A11" s="42"/>
      <c r="B11" s="924">
        <f>'Names of Bidder'!D11</f>
        <v>0</v>
      </c>
      <c r="C11" s="924"/>
      <c r="D11" s="820"/>
    </row>
    <row r="12" spans="1:6" ht="18" customHeight="1" thickBot="1">
      <c r="A12" s="203"/>
      <c r="B12" s="203"/>
      <c r="C12" s="203"/>
      <c r="D12" s="66"/>
    </row>
    <row r="13" spans="1:6" ht="34.5" customHeight="1" thickBot="1">
      <c r="A13" s="515" t="s">
        <v>184</v>
      </c>
      <c r="B13" s="871" t="s">
        <v>180</v>
      </c>
      <c r="C13" s="880"/>
      <c r="D13" s="529" t="s">
        <v>186</v>
      </c>
    </row>
    <row r="14" spans="1:6" ht="22.15" customHeight="1">
      <c r="A14" s="527" t="s">
        <v>187</v>
      </c>
      <c r="B14" s="923" t="s">
        <v>542</v>
      </c>
      <c r="C14" s="923"/>
      <c r="D14" s="528"/>
    </row>
    <row r="15" spans="1:6" ht="35.1" customHeight="1">
      <c r="A15" s="518"/>
      <c r="B15" s="919" t="s">
        <v>497</v>
      </c>
      <c r="C15" s="920"/>
      <c r="D15" s="523" t="s">
        <v>411</v>
      </c>
      <c r="F15" s="444"/>
    </row>
    <row r="16" spans="1:6" ht="22.15" customHeight="1">
      <c r="A16" s="509" t="s">
        <v>189</v>
      </c>
      <c r="B16" s="914" t="s">
        <v>543</v>
      </c>
      <c r="C16" s="914"/>
      <c r="D16" s="520"/>
      <c r="F16" s="444"/>
    </row>
    <row r="17" spans="1:8" ht="50.25" customHeight="1">
      <c r="A17" s="518"/>
      <c r="B17" s="919" t="s">
        <v>498</v>
      </c>
      <c r="C17" s="920"/>
      <c r="D17" s="523" t="s">
        <v>411</v>
      </c>
    </row>
    <row r="18" spans="1:8" ht="22.15" customHeight="1">
      <c r="A18" s="509" t="s">
        <v>190</v>
      </c>
      <c r="B18" s="914" t="s">
        <v>499</v>
      </c>
      <c r="C18" s="914"/>
      <c r="D18" s="521"/>
    </row>
    <row r="19" spans="1:8" ht="48.75" customHeight="1">
      <c r="A19" s="522"/>
      <c r="B19" s="921" t="s">
        <v>450</v>
      </c>
      <c r="C19" s="922"/>
      <c r="D19" s="523">
        <f>'sch-3'!M125</f>
        <v>98636.6</v>
      </c>
    </row>
    <row r="20" spans="1:8" ht="22.15" customHeight="1">
      <c r="A20" s="509" t="s">
        <v>191</v>
      </c>
      <c r="B20" s="914" t="s">
        <v>514</v>
      </c>
      <c r="C20" s="914"/>
      <c r="D20" s="524"/>
    </row>
    <row r="21" spans="1:8" ht="43.5" customHeight="1">
      <c r="A21" s="510"/>
      <c r="B21" s="912" t="s">
        <v>412</v>
      </c>
      <c r="C21" s="913"/>
      <c r="D21" s="523">
        <f>'Sch-5'!D17:E17</f>
        <v>17754.587999999989</v>
      </c>
    </row>
    <row r="22" spans="1:8" ht="22.15" customHeight="1">
      <c r="A22" s="509">
        <v>5</v>
      </c>
      <c r="B22" s="914" t="s">
        <v>541</v>
      </c>
      <c r="C22" s="914"/>
      <c r="D22" s="524"/>
      <c r="H22" s="352"/>
    </row>
    <row r="23" spans="1:8" ht="42" customHeight="1" thickBot="1">
      <c r="A23" s="526"/>
      <c r="B23" s="915" t="s">
        <v>521</v>
      </c>
      <c r="C23" s="916"/>
      <c r="D23" s="523" t="s">
        <v>411</v>
      </c>
    </row>
    <row r="24" spans="1:8" ht="43.5" customHeight="1" thickBot="1">
      <c r="A24" s="543"/>
      <c r="B24" s="917" t="s">
        <v>403</v>
      </c>
      <c r="C24" s="918"/>
      <c r="D24" s="523">
        <f>(D21+D19)</f>
        <v>116391.18799999999</v>
      </c>
    </row>
    <row r="25" spans="1:8" ht="30" customHeight="1">
      <c r="A25" s="76"/>
      <c r="B25" s="77"/>
      <c r="C25" s="77"/>
      <c r="D25" s="78"/>
    </row>
    <row r="26" spans="1:8" ht="30" customHeight="1">
      <c r="A26" s="34" t="s">
        <v>208</v>
      </c>
      <c r="B26" s="123">
        <f>'Names of Bidder'!D20</f>
        <v>0</v>
      </c>
      <c r="C26" s="35" t="s">
        <v>211</v>
      </c>
      <c r="D26" s="97">
        <f>'Sch-5'!E22</f>
        <v>0</v>
      </c>
      <c r="F26" s="36"/>
    </row>
    <row r="27" spans="1:8" ht="30" customHeight="1">
      <c r="A27" s="34" t="s">
        <v>209</v>
      </c>
      <c r="B27" s="97">
        <f>'Names of Bidder'!D21</f>
        <v>0</v>
      </c>
      <c r="C27" s="35" t="s">
        <v>212</v>
      </c>
      <c r="D27" s="97">
        <f>'Sch-5'!E23</f>
        <v>0</v>
      </c>
      <c r="F27" s="48"/>
    </row>
    <row r="28" spans="1:8" ht="30" customHeight="1">
      <c r="A28" s="3"/>
      <c r="B28" s="439"/>
      <c r="F28" s="48"/>
    </row>
    <row r="29" spans="1:8" ht="30" customHeight="1">
      <c r="A29" s="3"/>
      <c r="B29" s="7"/>
      <c r="C29" s="35"/>
      <c r="D29" s="3"/>
      <c r="F29" s="36"/>
    </row>
  </sheetData>
  <sheetProtection password="CB12" sheet="1" formatColumns="0" formatRows="0" selectLockedCells="1" selectUnlockedCells="1"/>
  <customSheetViews>
    <customSheetView guid="{9CA44E70-650F-49CD-967F-298619682CA2}" topLeftCell="A13">
      <selection activeCell="D12" sqref="D12"/>
      <pageMargins left="0.5" right="0.38" top="0.56999999999999995" bottom="0.48" header="0.38" footer="0.24"/>
      <printOptions horizontalCentered="1"/>
      <pageSetup paperSize="9" fitToHeight="0" orientation="portrait" r:id="rId1"/>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2"/>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5"/>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08A645C4-A23F-4400-B0CE-1685BC312A6F}" topLeftCell="A19">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s>
  <mergeCells count="19">
    <mergeCell ref="A3:D3"/>
    <mergeCell ref="A4:D4"/>
    <mergeCell ref="B13:C13"/>
    <mergeCell ref="B16:C16"/>
    <mergeCell ref="B14:C14"/>
    <mergeCell ref="B10:C10"/>
    <mergeCell ref="B9:C9"/>
    <mergeCell ref="B11:C11"/>
    <mergeCell ref="B8:C8"/>
    <mergeCell ref="B21:C21"/>
    <mergeCell ref="D7:D11"/>
    <mergeCell ref="B22:C22"/>
    <mergeCell ref="B23:C23"/>
    <mergeCell ref="B24:C24"/>
    <mergeCell ref="B15:C15"/>
    <mergeCell ref="B18:C18"/>
    <mergeCell ref="B19:C19"/>
    <mergeCell ref="B20:C20"/>
    <mergeCell ref="B17:C17"/>
  </mergeCells>
  <phoneticPr fontId="1" type="noConversion"/>
  <printOptions horizontalCentered="1"/>
  <pageMargins left="0.5" right="0.38" top="0.56999999999999995" bottom="0.48" header="0.38" footer="0.24"/>
  <pageSetup paperSize="9" fitToHeight="0" orientation="portrait" r:id="rId10"/>
  <headerFooter alignWithMargins="0">
    <oddFooter>&amp;R&amp;"Book Antiqua,Bold"&amp;10Schedule-5/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indexed="33"/>
  </sheetPr>
  <dimension ref="A1:K49"/>
  <sheetViews>
    <sheetView view="pageBreakPreview" topLeftCell="A6" zoomScaleNormal="90" zoomScaleSheetLayoutView="100" workbookViewId="0">
      <selection activeCell="B9" sqref="B9"/>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6" width="5.75" style="37" customWidth="1"/>
    <col min="7" max="7" width="6" style="37" customWidth="1"/>
    <col min="8" max="8" width="10" style="37" customWidth="1"/>
    <col min="9" max="9" width="10" style="223" customWidth="1"/>
    <col min="10" max="10" width="12.625" style="223" customWidth="1"/>
    <col min="11" max="11" width="15" style="223" customWidth="1"/>
    <col min="12" max="16384" width="10" style="37"/>
  </cols>
  <sheetData>
    <row r="1" spans="1:7" ht="18" customHeight="1">
      <c r="A1" s="59" t="str">
        <f>Cover!B3</f>
        <v xml:space="preserve">Specification No.: WRTCC/CS/20-21/AMC-LMC/B1 </v>
      </c>
      <c r="B1" s="60"/>
      <c r="C1" s="61"/>
      <c r="D1" s="61"/>
      <c r="E1" s="5" t="s">
        <v>467</v>
      </c>
    </row>
    <row r="2" spans="1:7" ht="15" customHeight="1">
      <c r="A2" s="2"/>
      <c r="B2" s="7"/>
      <c r="C2" s="3"/>
      <c r="D2" s="3"/>
      <c r="E2" s="1"/>
      <c r="F2" s="1"/>
    </row>
    <row r="3" spans="1:7" ht="82.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856"/>
    </row>
    <row r="4" spans="1:7" ht="22.15" customHeight="1">
      <c r="A4" s="857" t="s">
        <v>443</v>
      </c>
      <c r="B4" s="857"/>
      <c r="C4" s="857"/>
      <c r="D4" s="857"/>
      <c r="E4" s="857"/>
    </row>
    <row r="5" spans="1:7" ht="12" customHeight="1">
      <c r="A5" s="43"/>
      <c r="B5" s="38"/>
      <c r="C5" s="38"/>
      <c r="D5" s="38"/>
      <c r="E5" s="38"/>
    </row>
    <row r="6" spans="1:7" ht="18" customHeight="1">
      <c r="A6" s="29" t="str">
        <f>'Sch-1'!A6</f>
        <v>Bidder's Name And Address</v>
      </c>
      <c r="D6" s="64" t="s">
        <v>198</v>
      </c>
    </row>
    <row r="7" spans="1:7" ht="18" customHeight="1">
      <c r="A7" s="201" t="str">
        <f>'Sch-1'!A7</f>
        <v>Bidder as Individual Bidder</v>
      </c>
      <c r="D7" s="933" t="str">
        <f>'Sch-1'!L7</f>
        <v xml:space="preserve">Sr. DGM (Tel-CS &amp; Wi-Fi) 
Power Grid Corporation of India Limited,
Western Region Telecom Control Center, 
1st Floor, Samruddhi Venture Park,
 MIDC Area, Marol, Andheri(East),
Mumbai-400093
</v>
      </c>
      <c r="E7" s="933"/>
    </row>
    <row r="8" spans="1:7" ht="15.75">
      <c r="A8" s="41" t="s">
        <v>215</v>
      </c>
      <c r="B8" s="516">
        <f>'Names of Bidder'!D8</f>
        <v>0</v>
      </c>
      <c r="C8" s="635"/>
      <c r="D8" s="933"/>
      <c r="E8" s="933"/>
    </row>
    <row r="9" spans="1:7" ht="15.75">
      <c r="A9" s="41" t="s">
        <v>216</v>
      </c>
      <c r="B9" s="516">
        <f>'Names of Bidder'!D9</f>
        <v>0</v>
      </c>
      <c r="C9" s="635"/>
      <c r="D9" s="933"/>
      <c r="E9" s="933"/>
    </row>
    <row r="10" spans="1:7">
      <c r="A10" s="42"/>
      <c r="B10" s="516">
        <f>'Names of Bidder'!D10</f>
        <v>0</v>
      </c>
      <c r="C10" s="635"/>
      <c r="D10" s="933"/>
      <c r="E10" s="933"/>
    </row>
    <row r="11" spans="1:7">
      <c r="A11" s="42"/>
      <c r="B11" s="516">
        <f>'Names of Bidder'!D11</f>
        <v>0</v>
      </c>
      <c r="C11" s="502"/>
      <c r="D11" s="933"/>
      <c r="E11" s="933"/>
    </row>
    <row r="12" spans="1:7">
      <c r="A12" s="42"/>
      <c r="B12" s="932"/>
      <c r="C12" s="932"/>
      <c r="D12" s="933"/>
      <c r="E12" s="933"/>
    </row>
    <row r="13" spans="1:7" ht="25.5" customHeight="1" thickBot="1">
      <c r="A13" s="437" t="s">
        <v>521</v>
      </c>
    </row>
    <row r="14" spans="1:7" ht="22.15" customHeight="1">
      <c r="A14" s="508" t="s">
        <v>184</v>
      </c>
      <c r="B14" s="928" t="s">
        <v>185</v>
      </c>
      <c r="C14" s="929"/>
      <c r="D14" s="930" t="s">
        <v>186</v>
      </c>
      <c r="E14" s="931"/>
    </row>
    <row r="15" spans="1:7" ht="66" customHeight="1" thickBot="1">
      <c r="A15" s="925" t="s">
        <v>516</v>
      </c>
      <c r="B15" s="926"/>
      <c r="C15" s="926"/>
      <c r="D15" s="926"/>
      <c r="E15" s="927"/>
      <c r="G15" s="445">
        <f>340*0.1236</f>
        <v>42.024000000000001</v>
      </c>
    </row>
    <row r="16" spans="1:7" ht="15" customHeight="1">
      <c r="A16" s="55"/>
      <c r="B16" s="55"/>
      <c r="C16" s="55"/>
      <c r="D16" s="55"/>
      <c r="E16" s="55"/>
    </row>
    <row r="17" spans="1:6" ht="33" customHeight="1">
      <c r="A17" s="34" t="s">
        <v>295</v>
      </c>
      <c r="B17" s="123">
        <f>'Names of Bidder'!D20</f>
        <v>0</v>
      </c>
      <c r="C17" s="436"/>
      <c r="D17" s="35"/>
      <c r="E17" s="437"/>
      <c r="F17" s="36"/>
    </row>
    <row r="18" spans="1:6" ht="33" customHeight="1">
      <c r="A18" s="34" t="s">
        <v>294</v>
      </c>
      <c r="B18" s="97">
        <f>'Names of Bidder'!D21</f>
        <v>0</v>
      </c>
      <c r="C18" s="438"/>
      <c r="D18" s="35" t="s">
        <v>211</v>
      </c>
      <c r="E18" s="98">
        <f>'Names of Bidder'!D17</f>
        <v>0</v>
      </c>
      <c r="F18" s="36"/>
    </row>
    <row r="19" spans="1:6" ht="33" customHeight="1">
      <c r="A19" s="3"/>
      <c r="B19" s="439"/>
      <c r="C19" s="438"/>
      <c r="D19" s="35" t="s">
        <v>212</v>
      </c>
      <c r="E19" s="98">
        <f>'Names of Bidder'!D18</f>
        <v>0</v>
      </c>
      <c r="F19" s="36"/>
    </row>
    <row r="20" spans="1:6" ht="33" customHeight="1">
      <c r="A20" s="3"/>
      <c r="B20" s="7"/>
      <c r="C20" s="1"/>
      <c r="D20" s="35"/>
      <c r="F20" s="36"/>
    </row>
    <row r="21" spans="1:6" ht="22.15" customHeight="1">
      <c r="A21" s="56"/>
      <c r="B21" s="56"/>
      <c r="C21" s="56"/>
      <c r="D21" s="56"/>
      <c r="E21" s="57"/>
    </row>
    <row r="22" spans="1:6" ht="22.15" customHeight="1">
      <c r="A22" s="56"/>
      <c r="B22" s="56"/>
      <c r="C22" s="56"/>
      <c r="D22" s="56"/>
      <c r="E22" s="57"/>
    </row>
    <row r="23" spans="1:6" ht="22.15" customHeight="1">
      <c r="A23" s="56"/>
      <c r="B23" s="56"/>
      <c r="C23" s="56"/>
      <c r="D23" s="56"/>
      <c r="E23" s="57"/>
    </row>
    <row r="24" spans="1:6" ht="22.15" customHeight="1">
      <c r="A24" s="56"/>
      <c r="B24" s="56"/>
      <c r="C24" s="56"/>
      <c r="D24" s="56"/>
      <c r="E24" s="57"/>
    </row>
    <row r="25" spans="1:6" ht="22.15" customHeight="1">
      <c r="A25" s="56"/>
      <c r="B25" s="56"/>
      <c r="C25" s="56"/>
      <c r="D25" s="56"/>
      <c r="E25" s="57"/>
    </row>
    <row r="26" spans="1:6" ht="22.15" customHeight="1">
      <c r="A26" s="56"/>
      <c r="B26" s="56"/>
      <c r="C26" s="56"/>
      <c r="D26" s="56"/>
      <c r="E26" s="57"/>
    </row>
    <row r="27" spans="1:6" ht="25.15" customHeight="1"/>
    <row r="28" spans="1:6" ht="25.15" customHeight="1"/>
    <row r="29" spans="1:6" ht="25.15" customHeight="1"/>
    <row r="30" spans="1:6" ht="25.15" customHeight="1"/>
    <row r="31" spans="1:6" ht="25.15" customHeight="1"/>
    <row r="32" spans="1:6" ht="25.15" customHeight="1"/>
    <row r="33" spans="6:11" ht="25.15" customHeight="1"/>
    <row r="34" spans="6:11" ht="25.15" customHeight="1"/>
    <row r="35" spans="6:11" ht="25.15" customHeight="1"/>
    <row r="36" spans="6:11" ht="25.15" customHeight="1"/>
    <row r="37" spans="6:11" ht="25.15" customHeight="1"/>
    <row r="38" spans="6:11" ht="25.15" customHeight="1"/>
    <row r="39" spans="6:11" ht="25.15" customHeight="1"/>
    <row r="40" spans="6:11" ht="25.15" customHeight="1"/>
    <row r="41" spans="6:11" s="40" customFormat="1" ht="25.15" customHeight="1">
      <c r="F41" s="37"/>
      <c r="G41" s="37"/>
      <c r="H41" s="37"/>
      <c r="I41" s="223"/>
      <c r="J41" s="223"/>
      <c r="K41" s="223"/>
    </row>
    <row r="42" spans="6:11" s="40" customFormat="1" ht="25.15" customHeight="1">
      <c r="F42" s="37"/>
      <c r="G42" s="37"/>
      <c r="H42" s="37"/>
      <c r="I42" s="223"/>
      <c r="J42" s="223"/>
      <c r="K42" s="223"/>
    </row>
    <row r="43" spans="6:11" s="40" customFormat="1" ht="25.15" customHeight="1">
      <c r="F43" s="37"/>
      <c r="G43" s="37"/>
      <c r="H43" s="37"/>
      <c r="I43" s="223"/>
      <c r="J43" s="223"/>
      <c r="K43" s="223"/>
    </row>
    <row r="44" spans="6:11" s="40" customFormat="1" ht="25.15" customHeight="1">
      <c r="F44" s="37"/>
      <c r="G44" s="37"/>
      <c r="H44" s="37"/>
      <c r="I44" s="223"/>
      <c r="J44" s="223"/>
      <c r="K44" s="223"/>
    </row>
    <row r="45" spans="6:11" s="40" customFormat="1" ht="25.15" customHeight="1">
      <c r="F45" s="37"/>
      <c r="G45" s="37"/>
      <c r="H45" s="37"/>
      <c r="I45" s="223"/>
      <c r="J45" s="223"/>
      <c r="K45" s="223"/>
    </row>
    <row r="46" spans="6:11" s="40" customFormat="1" ht="25.15" customHeight="1">
      <c r="F46" s="37"/>
      <c r="G46" s="37"/>
      <c r="H46" s="37"/>
      <c r="I46" s="223"/>
      <c r="J46" s="223"/>
      <c r="K46" s="223"/>
    </row>
    <row r="47" spans="6:11" s="40" customFormat="1" ht="25.15" customHeight="1">
      <c r="F47" s="37"/>
      <c r="G47" s="37"/>
      <c r="H47" s="37"/>
      <c r="I47" s="223"/>
      <c r="J47" s="223"/>
      <c r="K47" s="223"/>
    </row>
    <row r="48" spans="6:11" s="40" customFormat="1" ht="25.15" customHeight="1">
      <c r="F48" s="37"/>
      <c r="G48" s="37"/>
      <c r="H48" s="37"/>
      <c r="I48" s="223"/>
      <c r="J48" s="223"/>
      <c r="K48" s="223"/>
    </row>
    <row r="49" spans="6:11" s="40" customFormat="1" ht="25.15" customHeight="1">
      <c r="F49" s="37"/>
      <c r="G49" s="37"/>
      <c r="H49" s="37"/>
      <c r="I49" s="223"/>
      <c r="J49" s="223"/>
      <c r="K49" s="223"/>
    </row>
  </sheetData>
  <sheetProtection password="CB12" sheet="1" formatColumns="0" formatRows="0" selectLockedCells="1"/>
  <dataConsolidate/>
  <mergeCells count="7">
    <mergeCell ref="A15:E15"/>
    <mergeCell ref="B14:C14"/>
    <mergeCell ref="D14:E14"/>
    <mergeCell ref="A3:E3"/>
    <mergeCell ref="A4:E4"/>
    <mergeCell ref="B12:C12"/>
    <mergeCell ref="D7:E12"/>
  </mergeCells>
  <printOptions horizontalCentered="1"/>
  <pageMargins left="0.31" right="0.25" top="0.23" bottom="0.23" header="0.27" footer="0.24"/>
  <pageSetup paperSize="9" scale="75" fitToHeight="0" orientation="portrait" r:id="rId1"/>
  <headerFooter alignWithMargins="0">
    <oddFooter>&amp;R&amp;"Book Antiqua,Bold"&amp;10Schedule-4/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O71"/>
  <sheetViews>
    <sheetView showZeros="0" zoomScaleNormal="100" zoomScaleSheetLayoutView="100" workbookViewId="0">
      <selection activeCell="D55" sqref="D55:F55"/>
    </sheetView>
  </sheetViews>
  <sheetFormatPr defaultColWidth="8" defaultRowHeight="16.5"/>
  <cols>
    <col min="1" max="1" width="9.375" style="589" customWidth="1"/>
    <col min="2" max="2" width="12.625" style="594" customWidth="1"/>
    <col min="3" max="3" width="12.875" style="589" customWidth="1"/>
    <col min="4" max="4" width="18.125" style="589" customWidth="1"/>
    <col min="5" max="5" width="18.25" style="589" customWidth="1"/>
    <col min="6" max="6" width="65.875" style="583" customWidth="1"/>
    <col min="7" max="7" width="15.625" style="583" customWidth="1"/>
    <col min="8" max="8" width="8" style="583" customWidth="1"/>
    <col min="9" max="25" width="8" style="584" customWidth="1"/>
    <col min="26" max="26" width="35.75" style="585" customWidth="1"/>
    <col min="27" max="27" width="8" style="586" customWidth="1"/>
    <col min="28" max="28" width="17.5" style="586" customWidth="1"/>
    <col min="29" max="29" width="12.125" style="586" customWidth="1"/>
    <col min="30" max="30" width="8" style="586" customWidth="1"/>
    <col min="31" max="31" width="8" style="587" customWidth="1"/>
    <col min="32" max="32" width="12" style="588" customWidth="1"/>
    <col min="33" max="33" width="16" style="585" customWidth="1"/>
    <col min="34" max="35" width="8" style="585" customWidth="1"/>
    <col min="36" max="36" width="9.125" style="585" customWidth="1"/>
    <col min="37" max="41" width="8" style="585" customWidth="1"/>
    <col min="42" max="16384" width="8" style="584"/>
  </cols>
  <sheetData>
    <row r="1" spans="1:36">
      <c r="A1" s="580" t="str">
        <f>Cover!B3</f>
        <v xml:space="preserve">Specification No.: WRTCC/CS/20-21/AMC-LMC/B1 </v>
      </c>
      <c r="B1" s="580"/>
      <c r="C1" s="581"/>
      <c r="D1" s="581"/>
      <c r="E1" s="581"/>
      <c r="F1" s="582" t="s">
        <v>284</v>
      </c>
      <c r="Z1" s="585" t="e">
        <f>'[1]Names of Bidder'!D6</f>
        <v>#REF!</v>
      </c>
      <c r="AE1" s="587">
        <v>1</v>
      </c>
      <c r="AF1" s="588" t="s">
        <v>1</v>
      </c>
      <c r="AI1" s="588">
        <v>1</v>
      </c>
      <c r="AJ1" s="585" t="s">
        <v>5</v>
      </c>
    </row>
    <row r="2" spans="1:36">
      <c r="B2" s="589"/>
      <c r="F2" s="589"/>
      <c r="X2" s="590"/>
      <c r="Y2" s="590"/>
      <c r="Z2" s="591" t="e">
        <f>'[1]Names of Bidder'!AA6</f>
        <v>#REF!</v>
      </c>
      <c r="AA2" s="591"/>
      <c r="AB2" s="591"/>
      <c r="AC2" s="591"/>
      <c r="AD2" s="591"/>
      <c r="AE2" s="592">
        <v>2</v>
      </c>
      <c r="AF2" s="592" t="s">
        <v>2</v>
      </c>
      <c r="AG2" s="591"/>
      <c r="AH2" s="591"/>
      <c r="AI2" s="592">
        <v>2</v>
      </c>
      <c r="AJ2" s="585" t="s">
        <v>6</v>
      </c>
    </row>
    <row r="3" spans="1:36" ht="15">
      <c r="A3" s="944" t="s">
        <v>118</v>
      </c>
      <c r="B3" s="944"/>
      <c r="C3" s="944"/>
      <c r="D3" s="944"/>
      <c r="E3" s="944"/>
      <c r="F3" s="944"/>
      <c r="X3" s="590"/>
      <c r="Y3" s="590"/>
      <c r="Z3" s="586"/>
      <c r="AE3" s="587">
        <v>3</v>
      </c>
      <c r="AF3" s="592" t="s">
        <v>3</v>
      </c>
      <c r="AG3" s="591"/>
      <c r="AH3" s="591"/>
      <c r="AI3" s="592">
        <v>3</v>
      </c>
      <c r="AJ3" s="585" t="s">
        <v>7</v>
      </c>
    </row>
    <row r="4" spans="1:36" ht="15">
      <c r="A4" s="593"/>
      <c r="B4" s="593"/>
      <c r="C4" s="593"/>
      <c r="D4" s="593"/>
      <c r="E4" s="593"/>
      <c r="F4" s="593"/>
      <c r="X4" s="590"/>
      <c r="Y4" s="590"/>
      <c r="Z4" s="586"/>
      <c r="AE4" s="587">
        <v>4</v>
      </c>
      <c r="AF4" s="592" t="s">
        <v>4</v>
      </c>
      <c r="AG4" s="591"/>
      <c r="AH4" s="591"/>
      <c r="AI4" s="592">
        <v>4</v>
      </c>
      <c r="AJ4" s="585" t="s">
        <v>8</v>
      </c>
    </row>
    <row r="5" spans="1:36">
      <c r="A5" s="594" t="s">
        <v>262</v>
      </c>
      <c r="C5" s="945"/>
      <c r="D5" s="946"/>
      <c r="E5" s="946"/>
      <c r="F5" s="946"/>
      <c r="X5" s="590"/>
      <c r="Y5" s="590"/>
      <c r="Z5" s="586"/>
      <c r="AE5" s="587">
        <v>5</v>
      </c>
      <c r="AF5" s="592" t="s">
        <v>4</v>
      </c>
      <c r="AG5" s="591"/>
      <c r="AH5" s="591"/>
      <c r="AI5" s="592">
        <v>5</v>
      </c>
      <c r="AJ5" s="585" t="s">
        <v>9</v>
      </c>
    </row>
    <row r="6" spans="1:36">
      <c r="A6" s="594" t="s">
        <v>252</v>
      </c>
      <c r="B6" s="947">
        <f>'Names of Bidder'!D20</f>
        <v>0</v>
      </c>
      <c r="C6" s="947"/>
      <c r="F6" s="589"/>
      <c r="X6" s="590"/>
      <c r="Y6" s="590"/>
      <c r="Z6" s="586"/>
      <c r="AE6" s="587">
        <v>6</v>
      </c>
      <c r="AF6" s="592" t="s">
        <v>4</v>
      </c>
      <c r="AG6" s="596">
        <f>DAY(B6)</f>
        <v>0</v>
      </c>
      <c r="AH6" s="591"/>
      <c r="AI6" s="592">
        <v>6</v>
      </c>
      <c r="AJ6" s="585" t="s">
        <v>10</v>
      </c>
    </row>
    <row r="7" spans="1:36">
      <c r="A7" s="594"/>
      <c r="B7" s="595"/>
      <c r="C7" s="595"/>
      <c r="F7" s="589"/>
      <c r="X7" s="590"/>
      <c r="Y7" s="590"/>
      <c r="Z7" s="586"/>
      <c r="AE7" s="587">
        <v>7</v>
      </c>
      <c r="AF7" s="592" t="s">
        <v>4</v>
      </c>
      <c r="AG7" s="596">
        <f>MONTH(B6)</f>
        <v>1</v>
      </c>
      <c r="AH7" s="591"/>
      <c r="AI7" s="592">
        <v>7</v>
      </c>
      <c r="AJ7" s="585" t="s">
        <v>11</v>
      </c>
    </row>
    <row r="8" spans="1:36">
      <c r="A8" s="117" t="str">
        <f>'[1]Sch-1'!L6</f>
        <v>To:</v>
      </c>
      <c r="B8" s="116"/>
      <c r="F8" s="597"/>
      <c r="X8" s="590"/>
      <c r="Y8" s="590"/>
      <c r="Z8" s="586"/>
      <c r="AE8" s="587">
        <v>8</v>
      </c>
      <c r="AF8" s="592" t="s">
        <v>4</v>
      </c>
      <c r="AG8" s="596" t="str">
        <f>LOOKUP(AG7,AI1:AI12,AJ1:AJ12)</f>
        <v>January</v>
      </c>
      <c r="AH8" s="591"/>
      <c r="AI8" s="592">
        <v>8</v>
      </c>
      <c r="AJ8" s="585" t="s">
        <v>12</v>
      </c>
    </row>
    <row r="9" spans="1:36">
      <c r="A9" s="950" t="str">
        <f>'Sch-1'!L7</f>
        <v xml:space="preserve">Sr. DGM (Tel-CS &amp; Wi-Fi) 
Power Grid Corporation of India Limited,
Western Region Telecom Control Center, 
1st Floor, Samruddhi Venture Park,
 MIDC Area, Marol, Andheri(East),
Mumbai-400093
</v>
      </c>
      <c r="B9" s="950"/>
      <c r="C9" s="950"/>
      <c r="D9" s="950"/>
      <c r="E9" s="950"/>
      <c r="F9" s="597"/>
      <c r="X9" s="590"/>
      <c r="Y9" s="590"/>
      <c r="Z9" s="586"/>
      <c r="AE9" s="587">
        <v>9</v>
      </c>
      <c r="AF9" s="592" t="s">
        <v>4</v>
      </c>
      <c r="AG9" s="596">
        <f>YEAR(B6)</f>
        <v>1900</v>
      </c>
      <c r="AH9" s="591"/>
      <c r="AI9" s="592">
        <v>9</v>
      </c>
      <c r="AJ9" s="585" t="s">
        <v>13</v>
      </c>
    </row>
    <row r="10" spans="1:36">
      <c r="A10" s="950"/>
      <c r="B10" s="950"/>
      <c r="C10" s="950"/>
      <c r="D10" s="950"/>
      <c r="E10" s="950"/>
      <c r="F10" s="597"/>
      <c r="X10" s="590"/>
      <c r="Y10" s="590"/>
      <c r="Z10" s="586"/>
      <c r="AE10" s="587">
        <v>10</v>
      </c>
      <c r="AF10" s="592" t="s">
        <v>4</v>
      </c>
      <c r="AG10" s="591"/>
      <c r="AH10" s="591"/>
      <c r="AI10" s="592">
        <v>10</v>
      </c>
      <c r="AJ10" s="585" t="s">
        <v>14</v>
      </c>
    </row>
    <row r="11" spans="1:36">
      <c r="A11" s="950"/>
      <c r="B11" s="950"/>
      <c r="C11" s="950"/>
      <c r="D11" s="950"/>
      <c r="E11" s="950"/>
      <c r="F11" s="597"/>
      <c r="X11" s="590"/>
      <c r="Y11" s="590"/>
      <c r="Z11" s="586"/>
      <c r="AE11" s="587">
        <v>11</v>
      </c>
      <c r="AF11" s="592" t="s">
        <v>4</v>
      </c>
      <c r="AG11" s="591"/>
      <c r="AH11" s="591"/>
      <c r="AI11" s="592">
        <v>11</v>
      </c>
      <c r="AJ11" s="585" t="s">
        <v>15</v>
      </c>
    </row>
    <row r="12" spans="1:36" ht="56.25" customHeight="1">
      <c r="A12" s="950"/>
      <c r="B12" s="950"/>
      <c r="C12" s="950"/>
      <c r="D12" s="950"/>
      <c r="E12" s="950"/>
      <c r="F12" s="597"/>
      <c r="X12" s="590"/>
      <c r="Y12" s="590"/>
      <c r="Z12" s="586"/>
      <c r="AE12" s="587">
        <v>12</v>
      </c>
      <c r="AF12" s="592" t="s">
        <v>4</v>
      </c>
      <c r="AG12" s="591"/>
      <c r="AH12" s="591"/>
      <c r="AI12" s="592">
        <v>12</v>
      </c>
      <c r="AJ12" s="585" t="s">
        <v>16</v>
      </c>
    </row>
    <row r="13" spans="1:36" ht="14.25" customHeight="1">
      <c r="A13" s="594"/>
      <c r="F13" s="597"/>
      <c r="X13" s="590"/>
      <c r="Y13" s="590"/>
      <c r="Z13" s="586"/>
      <c r="AE13" s="587">
        <v>14</v>
      </c>
      <c r="AF13" s="592" t="s">
        <v>4</v>
      </c>
      <c r="AG13" s="591"/>
      <c r="AH13" s="591"/>
      <c r="AI13" s="591"/>
    </row>
    <row r="14" spans="1:36" ht="84.75" customHeight="1">
      <c r="A14" s="598" t="s">
        <v>263</v>
      </c>
      <c r="B14" s="599"/>
      <c r="C14" s="948"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D14" s="948"/>
      <c r="E14" s="948"/>
      <c r="F14" s="948"/>
      <c r="X14" s="590"/>
      <c r="Y14" s="590"/>
      <c r="Z14" s="586"/>
      <c r="AE14" s="587">
        <v>15</v>
      </c>
      <c r="AF14" s="592" t="s">
        <v>4</v>
      </c>
      <c r="AG14" s="591"/>
      <c r="AH14" s="591"/>
      <c r="AI14" s="591"/>
    </row>
    <row r="15" spans="1:36" ht="33" customHeight="1">
      <c r="A15" s="589" t="s">
        <v>253</v>
      </c>
      <c r="B15" s="589"/>
      <c r="C15" s="597"/>
      <c r="D15" s="597"/>
      <c r="E15" s="597"/>
      <c r="F15" s="597"/>
      <c r="X15" s="590"/>
      <c r="Y15" s="590"/>
      <c r="Z15" s="586"/>
      <c r="AE15" s="587">
        <v>16</v>
      </c>
      <c r="AF15" s="592" t="s">
        <v>4</v>
      </c>
      <c r="AG15" s="591"/>
      <c r="AH15" s="591"/>
      <c r="AI15" s="591"/>
    </row>
    <row r="16" spans="1:36" ht="84" customHeight="1">
      <c r="A16" s="600">
        <v>1</v>
      </c>
      <c r="B16" s="935" t="str">
        <f>Z16 &amp;AB16 &amp;AC16 &amp;AA16</f>
        <v>In continuation of First Envelope of our Bid, we hereby submit the Second Envelope of the Bid, both of which shall be read together and in conjunction with each other, and shall be construed as an integral part of our Bid. Accordingly, we the undersigned, offer for services &amp; supply of goods (as per provision of Technical Specification) under the above-named package in full conformity with the said Bidding Documents for the sum of Rs. 116391.188 or such other sums as may be determined in accordance with the terms and conditions of the Bidding Documents.</v>
      </c>
      <c r="C16" s="935"/>
      <c r="D16" s="935"/>
      <c r="E16" s="935"/>
      <c r="F16" s="935"/>
      <c r="X16" s="590"/>
      <c r="Y16" s="590"/>
      <c r="Z16" s="601" t="s">
        <v>454</v>
      </c>
      <c r="AA16" s="602" t="s">
        <v>0</v>
      </c>
      <c r="AB16" s="603">
        <f>'Sch-6'!D24</f>
        <v>116391.18799999999</v>
      </c>
      <c r="AC16" s="604"/>
      <c r="AE16" s="587">
        <v>17</v>
      </c>
      <c r="AF16" s="592" t="s">
        <v>4</v>
      </c>
      <c r="AG16" s="591"/>
      <c r="AH16" s="591"/>
      <c r="AI16" s="591"/>
    </row>
    <row r="17" spans="1:41" ht="33" customHeight="1">
      <c r="B17" s="949" t="s">
        <v>254</v>
      </c>
      <c r="C17" s="949"/>
      <c r="D17" s="949"/>
      <c r="E17" s="949"/>
      <c r="F17" s="949"/>
      <c r="X17" s="590"/>
      <c r="Y17" s="590"/>
      <c r="Z17" s="591"/>
      <c r="AA17" s="591"/>
      <c r="AB17" s="591"/>
      <c r="AC17" s="591"/>
      <c r="AD17" s="591"/>
      <c r="AE17" s="592">
        <v>18</v>
      </c>
      <c r="AF17" s="592" t="s">
        <v>4</v>
      </c>
      <c r="AG17" s="591"/>
      <c r="AH17" s="591"/>
      <c r="AI17" s="591"/>
    </row>
    <row r="18" spans="1:41" s="583" customFormat="1" ht="33" customHeight="1">
      <c r="A18" s="605">
        <v>2</v>
      </c>
      <c r="B18" s="934" t="s">
        <v>255</v>
      </c>
      <c r="C18" s="934"/>
      <c r="D18" s="934"/>
      <c r="E18" s="934"/>
      <c r="F18" s="934"/>
      <c r="X18" s="606"/>
      <c r="Y18" s="606"/>
      <c r="Z18" s="607"/>
      <c r="AA18" s="607"/>
      <c r="AB18" s="607"/>
      <c r="AC18" s="607"/>
      <c r="AD18" s="607"/>
      <c r="AE18" s="592">
        <v>19</v>
      </c>
      <c r="AF18" s="592" t="s">
        <v>4</v>
      </c>
      <c r="AG18" s="607"/>
      <c r="AH18" s="607"/>
      <c r="AI18" s="607"/>
      <c r="AJ18" s="608"/>
      <c r="AK18" s="608"/>
      <c r="AL18" s="608"/>
      <c r="AM18" s="608"/>
      <c r="AN18" s="608"/>
      <c r="AO18" s="608"/>
    </row>
    <row r="19" spans="1:41" ht="45" customHeight="1">
      <c r="A19" s="600">
        <v>2.1</v>
      </c>
      <c r="B19" s="935" t="s">
        <v>256</v>
      </c>
      <c r="C19" s="935"/>
      <c r="D19" s="935"/>
      <c r="E19" s="935"/>
      <c r="F19" s="935"/>
      <c r="X19" s="590"/>
      <c r="Y19" s="590"/>
      <c r="Z19" s="591"/>
      <c r="AA19" s="591"/>
      <c r="AB19" s="591"/>
      <c r="AC19" s="591"/>
      <c r="AD19" s="591"/>
      <c r="AE19" s="592">
        <v>20</v>
      </c>
      <c r="AF19" s="592" t="s">
        <v>4</v>
      </c>
      <c r="AG19" s="591"/>
      <c r="AH19" s="591"/>
      <c r="AI19" s="591"/>
    </row>
    <row r="20" spans="1:41" s="583" customFormat="1" ht="36.75" customHeight="1">
      <c r="A20" s="589"/>
      <c r="B20" s="609" t="str">
        <f>"schedule 1("&amp;'Basic Data'!C9&amp;")"</f>
        <v>schedule 1()</v>
      </c>
      <c r="C20" s="610"/>
      <c r="D20" s="936" t="s">
        <v>545</v>
      </c>
      <c r="E20" s="937"/>
      <c r="F20" s="937"/>
      <c r="G20" s="535"/>
      <c r="X20" s="606"/>
      <c r="Y20" s="606"/>
      <c r="Z20" s="607"/>
      <c r="AA20" s="607"/>
      <c r="AB20" s="607"/>
      <c r="AC20" s="607"/>
      <c r="AD20" s="607"/>
      <c r="AE20" s="607">
        <v>21</v>
      </c>
      <c r="AF20" s="607" t="s">
        <v>1</v>
      </c>
      <c r="AG20" s="607"/>
      <c r="AH20" s="607"/>
      <c r="AI20" s="607"/>
      <c r="AJ20" s="608"/>
      <c r="AK20" s="608"/>
      <c r="AL20" s="608"/>
      <c r="AM20" s="608"/>
      <c r="AN20" s="608"/>
      <c r="AO20" s="608"/>
    </row>
    <row r="21" spans="1:41" s="583" customFormat="1" ht="48" customHeight="1">
      <c r="A21" s="589"/>
      <c r="B21" s="609" t="str">
        <f>"Schedule 2("&amp;'Basic Data'!C9&amp;")"</f>
        <v>Schedule 2()</v>
      </c>
      <c r="C21" s="610"/>
      <c r="D21" s="942" t="s">
        <v>546</v>
      </c>
      <c r="E21" s="943"/>
      <c r="F21" s="943"/>
      <c r="X21" s="606"/>
      <c r="Y21" s="606"/>
      <c r="Z21" s="607"/>
      <c r="AA21" s="607"/>
      <c r="AB21" s="607"/>
      <c r="AC21" s="607"/>
      <c r="AD21" s="607"/>
      <c r="AE21" s="607">
        <v>22</v>
      </c>
      <c r="AF21" s="607" t="s">
        <v>4</v>
      </c>
      <c r="AG21" s="607"/>
      <c r="AH21" s="607"/>
      <c r="AI21" s="607"/>
      <c r="AJ21" s="608"/>
      <c r="AK21" s="608"/>
      <c r="AL21" s="608"/>
      <c r="AM21" s="608"/>
      <c r="AN21" s="608"/>
      <c r="AO21" s="608"/>
    </row>
    <row r="22" spans="1:41" s="583" customFormat="1" ht="33" hidden="1" customHeight="1">
      <c r="A22" s="589"/>
      <c r="B22" s="609" t="str">
        <f>"Schedule 3("&amp;'[1]Basic Data'!C9 &amp;") "</f>
        <v xml:space="preserve">Schedule 3(Pkg-A) </v>
      </c>
      <c r="C22" s="610"/>
      <c r="D22" s="611" t="s">
        <v>285</v>
      </c>
      <c r="E22" s="610"/>
      <c r="F22" s="612"/>
      <c r="H22" s="613" t="e">
        <f>'[1]Names of Bidder'!D6</f>
        <v>#REF!</v>
      </c>
      <c r="X22" s="606"/>
      <c r="Y22" s="606"/>
      <c r="Z22" s="607"/>
      <c r="AA22" s="607"/>
      <c r="AB22" s="607"/>
      <c r="AC22" s="607"/>
      <c r="AD22" s="607"/>
      <c r="AE22" s="607">
        <v>23</v>
      </c>
      <c r="AF22" s="607" t="s">
        <v>4</v>
      </c>
      <c r="AG22" s="607"/>
      <c r="AH22" s="607"/>
      <c r="AI22" s="607"/>
      <c r="AJ22" s="608"/>
      <c r="AK22" s="608"/>
      <c r="AL22" s="608"/>
      <c r="AM22" s="608"/>
      <c r="AN22" s="608"/>
      <c r="AO22" s="608"/>
    </row>
    <row r="23" spans="1:41" s="583" customFormat="1" ht="33" customHeight="1">
      <c r="A23" s="589"/>
      <c r="B23" s="609" t="str">
        <f>"Schedule 3("&amp;'Basic Data'!C9&amp;")"</f>
        <v>Schedule 3()</v>
      </c>
      <c r="C23" s="610"/>
      <c r="D23" s="942" t="s">
        <v>511</v>
      </c>
      <c r="E23" s="943"/>
      <c r="F23" s="943"/>
      <c r="H23" s="613"/>
      <c r="X23" s="606"/>
      <c r="Y23" s="606"/>
      <c r="Z23" s="607"/>
      <c r="AA23" s="607"/>
      <c r="AB23" s="607"/>
      <c r="AC23" s="607"/>
      <c r="AD23" s="607"/>
      <c r="AE23" s="607"/>
      <c r="AF23" s="607"/>
      <c r="AG23" s="607"/>
      <c r="AH23" s="607"/>
      <c r="AI23" s="607"/>
      <c r="AJ23" s="608"/>
      <c r="AK23" s="608"/>
      <c r="AL23" s="608"/>
      <c r="AM23" s="608"/>
      <c r="AN23" s="608"/>
      <c r="AO23" s="608"/>
    </row>
    <row r="24" spans="1:41" s="583" customFormat="1" ht="33" customHeight="1">
      <c r="A24" s="589"/>
      <c r="B24" s="609" t="str">
        <f>"Schedule 4("&amp;'Basic Data'!C9&amp;")"</f>
        <v>Schedule 4()</v>
      </c>
      <c r="C24" s="610"/>
      <c r="D24" s="611" t="s">
        <v>500</v>
      </c>
      <c r="E24" s="610"/>
      <c r="F24" s="612"/>
      <c r="Z24" s="608"/>
      <c r="AA24" s="614"/>
      <c r="AB24" s="614"/>
      <c r="AC24" s="614"/>
      <c r="AD24" s="614"/>
      <c r="AE24" s="614">
        <v>24</v>
      </c>
      <c r="AF24" s="608" t="s">
        <v>4</v>
      </c>
      <c r="AG24" s="608"/>
      <c r="AH24" s="608"/>
      <c r="AI24" s="608"/>
      <c r="AJ24" s="608"/>
      <c r="AK24" s="608"/>
      <c r="AL24" s="608"/>
      <c r="AM24" s="608"/>
      <c r="AN24" s="608"/>
      <c r="AO24" s="608"/>
    </row>
    <row r="25" spans="1:41" s="583" customFormat="1" ht="33" customHeight="1">
      <c r="A25" s="589"/>
      <c r="B25" s="609" t="str">
        <f>"Schedule 5("&amp;'Basic Data'!C9&amp;")"</f>
        <v>Schedule 5()</v>
      </c>
      <c r="C25" s="610"/>
      <c r="D25" s="611" t="s">
        <v>501</v>
      </c>
      <c r="E25" s="610"/>
      <c r="F25" s="612"/>
      <c r="Z25" s="608"/>
      <c r="AA25" s="614"/>
      <c r="AB25" s="614"/>
      <c r="AC25" s="614"/>
      <c r="AD25" s="614"/>
      <c r="AE25" s="614">
        <v>25</v>
      </c>
      <c r="AF25" s="608" t="s">
        <v>4</v>
      </c>
      <c r="AG25" s="608"/>
      <c r="AH25" s="608"/>
      <c r="AI25" s="608"/>
      <c r="AJ25" s="608"/>
      <c r="AK25" s="608"/>
      <c r="AL25" s="608"/>
      <c r="AM25" s="608"/>
      <c r="AN25" s="608"/>
      <c r="AO25" s="608"/>
    </row>
    <row r="26" spans="1:41" s="583" customFormat="1" ht="33" customHeight="1">
      <c r="A26" s="589"/>
      <c r="B26" s="609" t="str">
        <f>"Schedule 6("&amp;'Basic Data'!C9&amp;")"</f>
        <v>Schedule 6()</v>
      </c>
      <c r="C26" s="610"/>
      <c r="D26" s="611" t="s">
        <v>502</v>
      </c>
      <c r="E26" s="610"/>
      <c r="F26" s="612"/>
      <c r="Z26" s="608"/>
      <c r="AA26" s="614"/>
      <c r="AB26" s="614"/>
      <c r="AC26" s="614"/>
      <c r="AD26" s="614"/>
      <c r="AE26" s="614"/>
      <c r="AF26" s="608"/>
      <c r="AG26" s="608"/>
      <c r="AH26" s="608"/>
      <c r="AI26" s="608"/>
      <c r="AJ26" s="608"/>
      <c r="AK26" s="608"/>
      <c r="AL26" s="608"/>
      <c r="AM26" s="608"/>
      <c r="AN26" s="608"/>
      <c r="AO26" s="608"/>
    </row>
    <row r="27" spans="1:41" s="583" customFormat="1" ht="33" customHeight="1">
      <c r="A27" s="589"/>
      <c r="B27" s="609" t="str">
        <f>"Schedule 7("&amp;'Basic Data'!C9&amp;")"</f>
        <v>Schedule 7()</v>
      </c>
      <c r="C27" s="610"/>
      <c r="D27" s="611" t="s">
        <v>547</v>
      </c>
      <c r="E27" s="610"/>
      <c r="F27" s="612"/>
      <c r="Z27" s="608"/>
      <c r="AA27" s="614"/>
      <c r="AB27" s="614"/>
      <c r="AC27" s="614"/>
      <c r="AD27" s="614"/>
      <c r="AE27" s="614">
        <v>26</v>
      </c>
      <c r="AF27" s="608" t="s">
        <v>4</v>
      </c>
      <c r="AG27" s="608"/>
      <c r="AH27" s="608"/>
      <c r="AI27" s="608"/>
      <c r="AJ27" s="608"/>
      <c r="AK27" s="608"/>
      <c r="AL27" s="608"/>
      <c r="AM27" s="608"/>
      <c r="AN27" s="608"/>
      <c r="AO27" s="608"/>
    </row>
    <row r="28" spans="1:41" ht="74.25" customHeight="1">
      <c r="A28" s="615">
        <v>2.2000000000000002</v>
      </c>
      <c r="B28" s="935" t="s">
        <v>264</v>
      </c>
      <c r="C28" s="935"/>
      <c r="D28" s="935"/>
      <c r="E28" s="935"/>
      <c r="F28" s="935"/>
      <c r="AE28" s="587">
        <v>28</v>
      </c>
      <c r="AF28" s="588" t="s">
        <v>4</v>
      </c>
    </row>
    <row r="29" spans="1:41" ht="57" customHeight="1">
      <c r="A29" s="615">
        <v>2.2999999999999998</v>
      </c>
      <c r="B29" s="935" t="s">
        <v>265</v>
      </c>
      <c r="C29" s="935"/>
      <c r="D29" s="935"/>
      <c r="E29" s="935"/>
      <c r="F29" s="935"/>
      <c r="AE29" s="587">
        <v>29</v>
      </c>
      <c r="AF29" s="588" t="s">
        <v>4</v>
      </c>
    </row>
    <row r="30" spans="1:41" ht="106.5" customHeight="1">
      <c r="A30" s="615">
        <v>2.4</v>
      </c>
      <c r="B30" s="935" t="s">
        <v>266</v>
      </c>
      <c r="C30" s="935"/>
      <c r="D30" s="935"/>
      <c r="E30" s="935"/>
      <c r="F30" s="935"/>
      <c r="AE30" s="587">
        <v>30</v>
      </c>
      <c r="AF30" s="588" t="s">
        <v>4</v>
      </c>
    </row>
    <row r="31" spans="1:41" ht="56.25" customHeight="1">
      <c r="A31" s="615">
        <v>2.5</v>
      </c>
      <c r="B31" s="935" t="s">
        <v>267</v>
      </c>
      <c r="C31" s="935"/>
      <c r="D31" s="935"/>
      <c r="E31" s="935"/>
      <c r="F31" s="935"/>
      <c r="AE31" s="587">
        <v>31</v>
      </c>
      <c r="AF31" s="588" t="s">
        <v>1</v>
      </c>
    </row>
    <row r="32" spans="1:41" ht="54" customHeight="1">
      <c r="A32" s="600">
        <v>3</v>
      </c>
      <c r="B32" s="935" t="s">
        <v>286</v>
      </c>
      <c r="C32" s="935"/>
      <c r="D32" s="935"/>
      <c r="E32" s="935"/>
      <c r="F32" s="935"/>
    </row>
    <row r="33" spans="1:41" ht="57.75" customHeight="1">
      <c r="A33" s="615">
        <v>3.1</v>
      </c>
      <c r="B33" s="935" t="s">
        <v>503</v>
      </c>
      <c r="C33" s="935"/>
      <c r="D33" s="935"/>
      <c r="E33" s="935"/>
      <c r="F33" s="935"/>
    </row>
    <row r="34" spans="1:41" ht="84.75" customHeight="1">
      <c r="A34" s="615">
        <v>3.2</v>
      </c>
      <c r="B34" s="935" t="s">
        <v>504</v>
      </c>
      <c r="C34" s="935"/>
      <c r="D34" s="935"/>
      <c r="E34" s="935"/>
      <c r="F34" s="935"/>
    </row>
    <row r="35" spans="1:41" ht="43.5" customHeight="1">
      <c r="A35" s="615">
        <v>3.3</v>
      </c>
      <c r="B35" s="935" t="s">
        <v>257</v>
      </c>
      <c r="C35" s="935"/>
      <c r="D35" s="935"/>
      <c r="E35" s="935"/>
      <c r="F35" s="935"/>
    </row>
    <row r="36" spans="1:41" ht="35.25" customHeight="1">
      <c r="A36" s="615">
        <v>3.4</v>
      </c>
      <c r="B36" s="953" t="s">
        <v>505</v>
      </c>
      <c r="C36" s="953"/>
      <c r="D36" s="953"/>
      <c r="E36" s="953"/>
      <c r="F36" s="953"/>
    </row>
    <row r="37" spans="1:41" ht="79.5" customHeight="1">
      <c r="A37" s="600">
        <v>4</v>
      </c>
      <c r="B37" s="935" t="s">
        <v>268</v>
      </c>
      <c r="C37" s="935"/>
      <c r="D37" s="935"/>
      <c r="E37" s="935"/>
      <c r="F37" s="935"/>
    </row>
    <row r="38" spans="1:41" ht="21" customHeight="1">
      <c r="B38" s="494"/>
      <c r="C38" s="80"/>
      <c r="D38" s="80"/>
      <c r="E38" s="119"/>
      <c r="F38" s="119"/>
    </row>
    <row r="39" spans="1:41" ht="21" customHeight="1">
      <c r="B39" s="80" t="s">
        <v>258</v>
      </c>
      <c r="C39" s="79"/>
      <c r="D39" s="120"/>
      <c r="E39" s="120"/>
      <c r="F39" s="120"/>
    </row>
    <row r="40" spans="1:41" ht="21" customHeight="1">
      <c r="B40" s="121"/>
      <c r="C40" s="120"/>
      <c r="D40" s="120"/>
      <c r="E40" s="80"/>
      <c r="F40" s="122" t="s">
        <v>259</v>
      </c>
    </row>
    <row r="41" spans="1:41" ht="21" customHeight="1">
      <c r="B41" s="121"/>
      <c r="C41" s="120"/>
      <c r="D41" s="80"/>
      <c r="E41" s="80"/>
      <c r="F41" s="122" t="str">
        <f>"For and on behalf of " &amp; '[1]Sch-1'!B8</f>
        <v xml:space="preserve">For and on behalf of </v>
      </c>
    </row>
    <row r="42" spans="1:41" ht="25.15" customHeight="1">
      <c r="A42" s="584"/>
      <c r="B42" s="584"/>
      <c r="C42" s="616"/>
      <c r="D42" s="584"/>
      <c r="E42" s="617"/>
      <c r="F42" s="594"/>
    </row>
    <row r="43" spans="1:41" ht="25.15" customHeight="1">
      <c r="A43" s="618" t="s">
        <v>120</v>
      </c>
      <c r="B43" s="952">
        <f>'Names of Bidder'!D20</f>
        <v>0</v>
      </c>
      <c r="C43" s="952"/>
      <c r="D43" s="619"/>
      <c r="E43" s="617" t="s">
        <v>260</v>
      </c>
      <c r="F43" s="620">
        <f>'Names of Bidder'!D17</f>
        <v>0</v>
      </c>
    </row>
    <row r="44" spans="1:41" ht="25.15" customHeight="1">
      <c r="A44" s="618" t="s">
        <v>121</v>
      </c>
      <c r="B44" s="620">
        <f>'Names of Bidder'!D21</f>
        <v>0</v>
      </c>
      <c r="C44" s="621"/>
      <c r="D44" s="619"/>
      <c r="E44" s="617" t="s">
        <v>261</v>
      </c>
      <c r="F44" s="620">
        <f>'Names of Bidder'!D18</f>
        <v>0</v>
      </c>
    </row>
    <row r="45" spans="1:41" ht="25.15" customHeight="1">
      <c r="B45" s="589"/>
      <c r="D45" s="584"/>
      <c r="E45" s="617"/>
      <c r="F45" s="589"/>
    </row>
    <row r="46" spans="1:41" s="583" customFormat="1" ht="33" customHeight="1">
      <c r="A46" s="139" t="s">
        <v>119</v>
      </c>
      <c r="B46" s="140"/>
      <c r="C46" s="141"/>
      <c r="D46" s="142"/>
      <c r="E46" s="143"/>
      <c r="F46" s="144"/>
      <c r="H46" s="622"/>
      <c r="Z46" s="608"/>
      <c r="AA46" s="614"/>
      <c r="AB46" s="614"/>
      <c r="AC46" s="614"/>
      <c r="AD46" s="614"/>
      <c r="AE46" s="587"/>
      <c r="AF46" s="588"/>
      <c r="AG46" s="608"/>
      <c r="AH46" s="608"/>
      <c r="AI46" s="608"/>
      <c r="AJ46" s="608"/>
      <c r="AK46" s="608"/>
      <c r="AL46" s="608"/>
      <c r="AM46" s="608"/>
      <c r="AN46" s="608"/>
      <c r="AO46" s="608"/>
    </row>
    <row r="47" spans="1:41" s="583" customFormat="1" ht="33" customHeight="1">
      <c r="A47" s="939" t="s">
        <v>144</v>
      </c>
      <c r="B47" s="939"/>
      <c r="C47" s="939"/>
      <c r="D47" s="177"/>
      <c r="E47" s="177"/>
      <c r="F47" s="177"/>
      <c r="H47" s="622"/>
      <c r="Z47" s="608"/>
      <c r="AA47" s="614"/>
      <c r="AB47" s="614"/>
      <c r="AC47" s="614"/>
      <c r="AD47" s="614"/>
      <c r="AE47" s="587"/>
      <c r="AF47" s="588"/>
      <c r="AG47" s="608"/>
      <c r="AH47" s="608"/>
      <c r="AI47" s="608"/>
      <c r="AJ47" s="608"/>
      <c r="AK47" s="608"/>
      <c r="AL47" s="608"/>
      <c r="AM47" s="608"/>
      <c r="AN47" s="608"/>
      <c r="AO47" s="608"/>
    </row>
    <row r="48" spans="1:41" s="583" customFormat="1" ht="33" customHeight="1">
      <c r="A48" s="941"/>
      <c r="B48" s="941"/>
      <c r="C48" s="941"/>
      <c r="D48" s="177"/>
      <c r="E48" s="177"/>
      <c r="F48" s="177"/>
      <c r="H48" s="622"/>
      <c r="Z48" s="608"/>
      <c r="AA48" s="614"/>
      <c r="AB48" s="614"/>
      <c r="AC48" s="614"/>
      <c r="AD48" s="614"/>
      <c r="AE48" s="587"/>
      <c r="AF48" s="588"/>
      <c r="AG48" s="608"/>
      <c r="AH48" s="608"/>
      <c r="AI48" s="608"/>
      <c r="AJ48" s="608"/>
      <c r="AK48" s="608"/>
      <c r="AL48" s="608"/>
      <c r="AM48" s="608"/>
      <c r="AN48" s="608"/>
      <c r="AO48" s="608"/>
    </row>
    <row r="49" spans="1:41" s="583" customFormat="1" ht="33" customHeight="1">
      <c r="A49" s="938"/>
      <c r="B49" s="938"/>
      <c r="C49" s="938"/>
      <c r="D49" s="177"/>
      <c r="E49" s="177"/>
      <c r="F49" s="177"/>
      <c r="H49" s="622"/>
      <c r="Z49" s="608"/>
      <c r="AA49" s="614"/>
      <c r="AB49" s="614"/>
      <c r="AC49" s="614"/>
      <c r="AD49" s="614"/>
      <c r="AE49" s="587"/>
      <c r="AF49" s="588"/>
      <c r="AG49" s="608"/>
      <c r="AH49" s="608"/>
      <c r="AI49" s="608"/>
      <c r="AJ49" s="608"/>
      <c r="AK49" s="608"/>
      <c r="AL49" s="608"/>
      <c r="AM49" s="608"/>
      <c r="AN49" s="608"/>
      <c r="AO49" s="608"/>
    </row>
    <row r="50" spans="1:41" s="583" customFormat="1" ht="33" customHeight="1">
      <c r="A50" s="951" t="s">
        <v>145</v>
      </c>
      <c r="B50" s="951"/>
      <c r="C50" s="951"/>
      <c r="D50" s="177"/>
      <c r="E50" s="177"/>
      <c r="F50" s="177"/>
      <c r="H50" s="622"/>
      <c r="Z50" s="608"/>
      <c r="AA50" s="614"/>
      <c r="AB50" s="614"/>
      <c r="AC50" s="614"/>
      <c r="AD50" s="614"/>
      <c r="AE50" s="587"/>
      <c r="AF50" s="588"/>
      <c r="AG50" s="608"/>
      <c r="AH50" s="608"/>
      <c r="AI50" s="608"/>
      <c r="AJ50" s="608"/>
      <c r="AK50" s="608"/>
      <c r="AL50" s="608"/>
      <c r="AM50" s="608"/>
      <c r="AN50" s="608"/>
      <c r="AO50" s="608"/>
    </row>
    <row r="51" spans="1:41" s="583" customFormat="1" ht="33" customHeight="1">
      <c r="A51" s="951" t="s">
        <v>143</v>
      </c>
      <c r="B51" s="951"/>
      <c r="C51" s="951"/>
      <c r="D51" s="177"/>
      <c r="E51" s="177"/>
      <c r="F51" s="177"/>
      <c r="H51" s="622"/>
      <c r="Z51" s="608"/>
      <c r="AA51" s="614"/>
      <c r="AB51" s="614"/>
      <c r="AC51" s="614"/>
      <c r="AD51" s="614"/>
      <c r="AE51" s="587"/>
      <c r="AF51" s="588"/>
      <c r="AG51" s="608"/>
      <c r="AH51" s="608"/>
      <c r="AI51" s="608"/>
      <c r="AJ51" s="608"/>
      <c r="AK51" s="608"/>
      <c r="AL51" s="608"/>
      <c r="AM51" s="608"/>
      <c r="AN51" s="608"/>
      <c r="AO51" s="608"/>
    </row>
    <row r="52" spans="1:41" s="583" customFormat="1" ht="33" customHeight="1">
      <c r="A52" s="951" t="s">
        <v>146</v>
      </c>
      <c r="B52" s="951"/>
      <c r="C52" s="951"/>
      <c r="D52" s="177"/>
      <c r="E52" s="177"/>
      <c r="F52" s="177"/>
      <c r="H52" s="622"/>
      <c r="Z52" s="608"/>
      <c r="AA52" s="614"/>
      <c r="AB52" s="614"/>
      <c r="AC52" s="614"/>
      <c r="AD52" s="614"/>
      <c r="AE52" s="587"/>
      <c r="AF52" s="588"/>
      <c r="AG52" s="608"/>
      <c r="AH52" s="608"/>
      <c r="AI52" s="608"/>
      <c r="AJ52" s="608"/>
      <c r="AK52" s="608"/>
      <c r="AL52" s="608"/>
      <c r="AM52" s="608"/>
      <c r="AN52" s="608"/>
      <c r="AO52" s="608"/>
    </row>
    <row r="53" spans="1:41" s="583" customFormat="1" ht="33" customHeight="1">
      <c r="A53" s="939" t="s">
        <v>147</v>
      </c>
      <c r="B53" s="939"/>
      <c r="C53" s="939"/>
      <c r="D53" s="177"/>
      <c r="E53" s="177"/>
      <c r="F53" s="177"/>
      <c r="H53" s="622"/>
      <c r="Z53" s="608"/>
      <c r="AA53" s="614"/>
      <c r="AB53" s="614"/>
      <c r="AC53" s="614"/>
      <c r="AD53" s="614"/>
      <c r="AE53" s="587"/>
      <c r="AF53" s="588"/>
      <c r="AG53" s="608"/>
      <c r="AH53" s="608"/>
      <c r="AI53" s="608"/>
      <c r="AJ53" s="608"/>
      <c r="AK53" s="608"/>
      <c r="AL53" s="608"/>
      <c r="AM53" s="608"/>
      <c r="AN53" s="608"/>
      <c r="AO53" s="608"/>
    </row>
    <row r="54" spans="1:41" s="583" customFormat="1" ht="33" customHeight="1">
      <c r="A54" s="941"/>
      <c r="B54" s="941"/>
      <c r="C54" s="941"/>
      <c r="D54" s="177"/>
      <c r="E54" s="177"/>
      <c r="F54" s="177"/>
      <c r="H54" s="622"/>
      <c r="Z54" s="608"/>
      <c r="AA54" s="614"/>
      <c r="AB54" s="614"/>
      <c r="AC54" s="614"/>
      <c r="AD54" s="614"/>
      <c r="AE54" s="587"/>
      <c r="AF54" s="588"/>
      <c r="AG54" s="608"/>
      <c r="AH54" s="608"/>
      <c r="AI54" s="608"/>
      <c r="AJ54" s="608"/>
      <c r="AK54" s="608"/>
      <c r="AL54" s="608"/>
      <c r="AM54" s="608"/>
      <c r="AN54" s="608"/>
      <c r="AO54" s="608"/>
    </row>
    <row r="55" spans="1:41" s="583" customFormat="1" ht="33" customHeight="1">
      <c r="A55" s="938"/>
      <c r="B55" s="938"/>
      <c r="C55" s="938"/>
      <c r="D55" s="940"/>
      <c r="E55" s="940"/>
      <c r="F55" s="940"/>
      <c r="H55" s="622"/>
      <c r="Z55" s="608"/>
      <c r="AA55" s="614"/>
      <c r="AB55" s="614"/>
      <c r="AC55" s="614"/>
      <c r="AD55" s="614"/>
      <c r="AE55" s="587"/>
      <c r="AF55" s="588"/>
      <c r="AG55" s="608"/>
      <c r="AH55" s="608"/>
      <c r="AI55" s="608"/>
      <c r="AJ55" s="608"/>
      <c r="AK55" s="608"/>
      <c r="AL55" s="608"/>
      <c r="AM55" s="608"/>
      <c r="AN55" s="608"/>
      <c r="AO55" s="608"/>
    </row>
    <row r="56" spans="1:41" s="583" customFormat="1" ht="33" customHeight="1">
      <c r="A56" s="211"/>
      <c r="B56" s="211"/>
      <c r="C56" s="211"/>
      <c r="D56" s="145"/>
      <c r="E56" s="145"/>
      <c r="F56" s="145"/>
      <c r="H56" s="622"/>
      <c r="Z56" s="608"/>
      <c r="AA56" s="614"/>
      <c r="AB56" s="614"/>
      <c r="AC56" s="614"/>
      <c r="AD56" s="614"/>
      <c r="AE56" s="587"/>
      <c r="AF56" s="588"/>
      <c r="AG56" s="608"/>
      <c r="AH56" s="608"/>
      <c r="AI56" s="608"/>
      <c r="AJ56" s="608"/>
      <c r="AK56" s="608"/>
      <c r="AL56" s="608"/>
      <c r="AM56" s="608"/>
      <c r="AN56" s="608"/>
      <c r="AO56" s="608"/>
    </row>
    <row r="57" spans="1:41" s="583" customFormat="1" ht="33" customHeight="1">
      <c r="A57" s="622"/>
      <c r="B57" s="594"/>
      <c r="C57" s="589"/>
      <c r="D57" s="589"/>
      <c r="E57" s="589"/>
      <c r="H57" s="622"/>
      <c r="Z57" s="608"/>
      <c r="AA57" s="614"/>
      <c r="AB57" s="614"/>
      <c r="AC57" s="614"/>
      <c r="AD57" s="614"/>
      <c r="AE57" s="587"/>
      <c r="AF57" s="588"/>
      <c r="AG57" s="608"/>
      <c r="AH57" s="608"/>
      <c r="AI57" s="608"/>
      <c r="AJ57" s="608"/>
      <c r="AK57" s="608"/>
      <c r="AL57" s="608"/>
      <c r="AM57" s="608"/>
      <c r="AN57" s="608"/>
      <c r="AO57" s="608"/>
    </row>
    <row r="58" spans="1:41" s="583" customFormat="1" ht="33" customHeight="1">
      <c r="A58" s="622"/>
      <c r="B58" s="594"/>
      <c r="C58" s="589"/>
      <c r="D58" s="589"/>
      <c r="E58" s="589"/>
      <c r="H58" s="622"/>
      <c r="Z58" s="608"/>
      <c r="AA58" s="614"/>
      <c r="AB58" s="614"/>
      <c r="AC58" s="614"/>
      <c r="AD58" s="614"/>
      <c r="AE58" s="587"/>
      <c r="AF58" s="588"/>
      <c r="AG58" s="608"/>
      <c r="AH58" s="608"/>
      <c r="AI58" s="608"/>
      <c r="AJ58" s="608"/>
      <c r="AK58" s="608"/>
      <c r="AL58" s="608"/>
      <c r="AM58" s="608"/>
      <c r="AN58" s="608"/>
      <c r="AO58" s="608"/>
    </row>
    <row r="59" spans="1:41" s="583" customFormat="1" ht="33" customHeight="1">
      <c r="A59" s="622"/>
      <c r="B59" s="594"/>
      <c r="C59" s="589"/>
      <c r="D59" s="589"/>
      <c r="E59" s="589"/>
      <c r="H59" s="622"/>
      <c r="Z59" s="608"/>
      <c r="AA59" s="614"/>
      <c r="AB59" s="614"/>
      <c r="AC59" s="614"/>
      <c r="AD59" s="614"/>
      <c r="AE59" s="587"/>
      <c r="AF59" s="588"/>
      <c r="AG59" s="608"/>
      <c r="AH59" s="608"/>
      <c r="AI59" s="608"/>
      <c r="AJ59" s="608"/>
      <c r="AK59" s="608"/>
      <c r="AL59" s="608"/>
      <c r="AM59" s="608"/>
      <c r="AN59" s="608"/>
      <c r="AO59" s="608"/>
    </row>
    <row r="60" spans="1:41">
      <c r="A60" s="594"/>
    </row>
    <row r="61" spans="1:41">
      <c r="A61" s="594"/>
    </row>
    <row r="62" spans="1:41">
      <c r="A62" s="594"/>
    </row>
    <row r="63" spans="1:41">
      <c r="A63" s="594"/>
    </row>
    <row r="64" spans="1:41">
      <c r="A64" s="594"/>
    </row>
    <row r="65" spans="1:1">
      <c r="A65" s="594"/>
    </row>
    <row r="66" spans="1:1">
      <c r="A66" s="594"/>
    </row>
    <row r="67" spans="1:1">
      <c r="A67" s="594"/>
    </row>
    <row r="68" spans="1:1">
      <c r="A68" s="594"/>
    </row>
    <row r="69" spans="1:1">
      <c r="A69" s="594"/>
    </row>
    <row r="70" spans="1:1">
      <c r="A70" s="594"/>
    </row>
    <row r="71" spans="1:1">
      <c r="A71" s="594"/>
    </row>
  </sheetData>
  <sheetProtection password="CB12" sheet="1" formatColumns="0" formatRows="0" selectLockedCells="1"/>
  <customSheetViews>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2"/>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3"/>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5"/>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s>
  <mergeCells count="33">
    <mergeCell ref="B17:F17"/>
    <mergeCell ref="A9:E12"/>
    <mergeCell ref="A54:C54"/>
    <mergeCell ref="B33:F33"/>
    <mergeCell ref="A51:C51"/>
    <mergeCell ref="A49:C49"/>
    <mergeCell ref="A53:C53"/>
    <mergeCell ref="A52:C52"/>
    <mergeCell ref="B35:F35"/>
    <mergeCell ref="B31:F31"/>
    <mergeCell ref="B43:C43"/>
    <mergeCell ref="B37:F37"/>
    <mergeCell ref="D21:F21"/>
    <mergeCell ref="B29:F29"/>
    <mergeCell ref="A50:C50"/>
    <mergeCell ref="B28:F28"/>
    <mergeCell ref="A3:F3"/>
    <mergeCell ref="C5:F5"/>
    <mergeCell ref="B6:C6"/>
    <mergeCell ref="C14:F14"/>
    <mergeCell ref="B16:F16"/>
    <mergeCell ref="B18:F18"/>
    <mergeCell ref="B19:F19"/>
    <mergeCell ref="D20:F20"/>
    <mergeCell ref="A55:C55"/>
    <mergeCell ref="B32:F32"/>
    <mergeCell ref="B34:F34"/>
    <mergeCell ref="A47:C47"/>
    <mergeCell ref="D55:F55"/>
    <mergeCell ref="A48:C48"/>
    <mergeCell ref="D23:F23"/>
    <mergeCell ref="B30:F30"/>
    <mergeCell ref="B36:F36"/>
  </mergeCells>
  <phoneticPr fontId="34" type="noConversion"/>
  <pageMargins left="0.75" right="0.77" top="0.73" bottom="0.75" header="0.52" footer="0.45"/>
  <pageSetup scale="93" orientation="portrait" r:id="rId9"/>
  <headerFooter alignWithMargins="0"/>
  <rowBreaks count="2" manualBreakCount="2">
    <brk id="27" max="5" man="1"/>
    <brk id="34" max="5" man="1"/>
  </rowBreaks>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1"/>
  </sheetPr>
  <dimension ref="A1:P28"/>
  <sheetViews>
    <sheetView showZeros="0" zoomScaleNormal="100" zoomScaleSheetLayoutView="100" workbookViewId="0">
      <selection activeCell="G25" sqref="G25"/>
    </sheetView>
  </sheetViews>
  <sheetFormatPr defaultRowHeight="16.5"/>
  <cols>
    <col min="1" max="1" width="11.375" style="113" customWidth="1"/>
    <col min="2" max="2" width="34.375" style="30" customWidth="1"/>
    <col min="3" max="3" width="8.625" style="30" customWidth="1"/>
    <col min="4" max="4" width="7.625" style="30" customWidth="1"/>
    <col min="5" max="5" width="13.625" style="30" customWidth="1"/>
    <col min="6" max="6" width="21.375" style="30" customWidth="1"/>
    <col min="7" max="7" width="17.625" style="100" customWidth="1"/>
    <col min="8" max="12" width="9" style="79"/>
    <col min="13" max="13" width="9" style="225"/>
    <col min="14" max="14" width="13.875" style="225" customWidth="1"/>
    <col min="15" max="15" width="13.625" style="225" customWidth="1"/>
    <col min="16" max="16" width="21.375" style="106" customWidth="1"/>
    <col min="17" max="16384" width="9" style="79"/>
  </cols>
  <sheetData>
    <row r="1" spans="1:16" ht="18" customHeight="1">
      <c r="A1" s="81" t="str">
        <f>Cover!B3</f>
        <v xml:space="preserve">Specification No.: WRTCC/CS/20-21/AMC-LMC/B1 </v>
      </c>
      <c r="B1" s="82"/>
      <c r="C1" s="82"/>
      <c r="D1" s="83"/>
      <c r="E1" s="83"/>
      <c r="F1" s="85" t="s">
        <v>233</v>
      </c>
    </row>
    <row r="2" spans="1:16" ht="18" customHeight="1">
      <c r="A2" s="67"/>
      <c r="B2" s="87"/>
      <c r="C2" s="87"/>
      <c r="D2" s="88"/>
      <c r="E2" s="88"/>
      <c r="F2" s="89"/>
    </row>
    <row r="3" spans="1:16" ht="55.5" customHeight="1">
      <c r="A3" s="963"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963"/>
      <c r="C3" s="963"/>
      <c r="D3" s="963"/>
      <c r="E3" s="963"/>
      <c r="F3" s="963"/>
      <c r="M3" s="233" t="s">
        <v>167</v>
      </c>
      <c r="O3" s="234" t="e">
        <f>Discount!G15/('Sch-6'!D15+'Sch-6'!D17+'Sch-6'!D19)</f>
        <v>#VALUE!</v>
      </c>
    </row>
    <row r="4" spans="1:16" ht="22.15" customHeight="1">
      <c r="A4" s="800" t="s">
        <v>225</v>
      </c>
      <c r="B4" s="800"/>
      <c r="C4" s="800"/>
      <c r="D4" s="800"/>
      <c r="E4" s="800"/>
      <c r="F4" s="800"/>
      <c r="M4" s="233" t="s">
        <v>168</v>
      </c>
      <c r="O4" s="234">
        <f>Discount!G16</f>
        <v>0</v>
      </c>
    </row>
    <row r="5" spans="1:16" ht="18" customHeight="1">
      <c r="A5" s="72"/>
      <c r="B5" s="101"/>
      <c r="C5" s="101"/>
      <c r="D5" s="101"/>
      <c r="E5" s="101"/>
      <c r="F5" s="101"/>
      <c r="M5" s="233" t="s">
        <v>172</v>
      </c>
      <c r="O5" s="234" t="e">
        <f>Discount!G22/D21</f>
        <v>#DIV/0!</v>
      </c>
    </row>
    <row r="6" spans="1:16" ht="18" customHeight="1">
      <c r="A6" s="29" t="str">
        <f>'Sch-1'!A6</f>
        <v>Bidder's Name And Address</v>
      </c>
      <c r="B6" s="40"/>
      <c r="C6" s="40"/>
      <c r="D6" s="40"/>
      <c r="E6" s="63" t="s">
        <v>198</v>
      </c>
      <c r="G6" s="89"/>
      <c r="M6" s="233" t="s">
        <v>173</v>
      </c>
      <c r="O6" s="234">
        <f>Discount!G28</f>
        <v>0</v>
      </c>
    </row>
    <row r="7" spans="1:16" ht="18" customHeight="1">
      <c r="A7" s="238" t="str">
        <f>'Sch-1'!A7</f>
        <v>Bidder as Individual Bidder</v>
      </c>
      <c r="B7" s="40"/>
      <c r="C7" s="40"/>
      <c r="D7" s="40"/>
      <c r="E7" s="62" t="s">
        <v>200</v>
      </c>
      <c r="F7" s="32"/>
      <c r="G7" s="89"/>
      <c r="M7" s="233" t="s">
        <v>169</v>
      </c>
      <c r="O7" s="234" t="e">
        <f>Discount!G29/('Sch-6'!D15+'Sch-6'!D17+'Sch-6'!D19)</f>
        <v>#VALUE!</v>
      </c>
    </row>
    <row r="8" spans="1:16" ht="18" customHeight="1">
      <c r="A8" s="41" t="s">
        <v>215</v>
      </c>
      <c r="B8" s="911" t="str">
        <f>IF('Sch-1'!B8=0, "", 'Sch-1'!B8)</f>
        <v/>
      </c>
      <c r="C8" s="911"/>
      <c r="D8" s="911"/>
      <c r="E8" s="62" t="s">
        <v>202</v>
      </c>
      <c r="F8" s="32"/>
      <c r="G8" s="89"/>
      <c r="M8" s="233" t="s">
        <v>170</v>
      </c>
      <c r="O8" s="234">
        <f>Discount!G31</f>
        <v>0</v>
      </c>
    </row>
    <row r="9" spans="1:16" ht="18" customHeight="1">
      <c r="A9" s="41" t="s">
        <v>216</v>
      </c>
      <c r="B9" s="911" t="str">
        <f>IF('Sch-1'!B9=0, "", 'Sch-1'!B9)</f>
        <v/>
      </c>
      <c r="C9" s="911"/>
      <c r="D9" s="911"/>
      <c r="E9" s="62" t="s">
        <v>203</v>
      </c>
      <c r="F9" s="32"/>
      <c r="G9" s="89"/>
      <c r="M9" s="233" t="s">
        <v>171</v>
      </c>
      <c r="O9" s="234" t="e">
        <f>SUM(O3:O8)</f>
        <v>#VALUE!</v>
      </c>
    </row>
    <row r="10" spans="1:16" ht="18" customHeight="1">
      <c r="A10" s="42"/>
      <c r="B10" s="911" t="str">
        <f ca="1">IF('Sch-1'!B12=0, "", 'Sch-1'!B12)</f>
        <v/>
      </c>
      <c r="C10" s="911"/>
      <c r="D10" s="911"/>
      <c r="E10" s="62" t="s">
        <v>204</v>
      </c>
      <c r="F10" s="32"/>
      <c r="G10" s="89"/>
    </row>
    <row r="11" spans="1:16" ht="18" customHeight="1">
      <c r="A11" s="42"/>
      <c r="B11" s="911" t="e">
        <f>IF('Sch-1'!#REF!=0, "", 'Sch-1'!#REF!)</f>
        <v>#REF!</v>
      </c>
      <c r="C11" s="911"/>
      <c r="D11" s="911"/>
      <c r="E11" s="62" t="s">
        <v>205</v>
      </c>
      <c r="F11" s="32"/>
      <c r="G11" s="89"/>
    </row>
    <row r="12" spans="1:16" ht="18" customHeight="1">
      <c r="A12" s="73"/>
      <c r="B12" s="203"/>
      <c r="C12" s="203"/>
      <c r="D12" s="203"/>
      <c r="E12" s="102"/>
      <c r="F12" s="69"/>
      <c r="G12" s="89"/>
    </row>
    <row r="13" spans="1:16">
      <c r="P13" s="175"/>
    </row>
    <row r="14" spans="1:16" ht="33.75" customHeight="1">
      <c r="A14" s="103" t="s">
        <v>234</v>
      </c>
      <c r="B14" s="104" t="s">
        <v>181</v>
      </c>
      <c r="C14" s="260" t="s">
        <v>174</v>
      </c>
      <c r="D14" s="260" t="s">
        <v>158</v>
      </c>
      <c r="E14" s="260" t="s">
        <v>159</v>
      </c>
      <c r="F14" s="260" t="s">
        <v>160</v>
      </c>
      <c r="G14" s="250"/>
      <c r="N14" s="960" t="s">
        <v>182</v>
      </c>
      <c r="O14" s="960"/>
      <c r="P14" s="174"/>
    </row>
    <row r="15" spans="1:16" s="248" customFormat="1">
      <c r="A15" s="105">
        <v>1</v>
      </c>
      <c r="B15" s="105">
        <v>2</v>
      </c>
      <c r="C15" s="105">
        <v>3</v>
      </c>
      <c r="D15" s="105">
        <v>4</v>
      </c>
      <c r="E15" s="294">
        <v>5</v>
      </c>
      <c r="F15" s="294" t="s">
        <v>207</v>
      </c>
      <c r="G15" s="251"/>
      <c r="M15" s="249"/>
      <c r="N15" s="961">
        <v>3</v>
      </c>
      <c r="O15" s="961"/>
      <c r="P15" s="176"/>
    </row>
    <row r="16" spans="1:16" s="253" customFormat="1">
      <c r="A16" s="256" t="e">
        <f>#REF!</f>
        <v>#REF!</v>
      </c>
      <c r="B16" s="347" t="e">
        <f>#REF!</f>
        <v>#REF!</v>
      </c>
      <c r="C16" s="256" t="e">
        <f>#REF!</f>
        <v>#REF!</v>
      </c>
      <c r="D16" s="256" t="e">
        <f>#REF!</f>
        <v>#REF!</v>
      </c>
      <c r="E16" s="261"/>
      <c r="F16" s="295"/>
      <c r="G16" s="296"/>
      <c r="H16" s="241"/>
      <c r="I16" s="241"/>
      <c r="J16" s="241"/>
      <c r="K16" s="241"/>
      <c r="L16" s="241"/>
      <c r="M16" s="225"/>
      <c r="N16" s="962"/>
      <c r="O16" s="962"/>
      <c r="P16" s="252"/>
    </row>
    <row r="17" spans="1:16" s="253" customFormat="1" ht="35.1" customHeight="1">
      <c r="A17" s="256" t="e">
        <f>#REF!</f>
        <v>#REF!</v>
      </c>
      <c r="B17" s="347" t="e">
        <f>#REF!</f>
        <v>#REF!</v>
      </c>
      <c r="C17" s="256" t="e">
        <f>#REF!</f>
        <v>#REF!</v>
      </c>
      <c r="D17" s="256" t="e">
        <f>#REF!</f>
        <v>#REF!</v>
      </c>
      <c r="E17" s="344" t="e">
        <f>#REF!</f>
        <v>#REF!</v>
      </c>
      <c r="F17" s="332" t="e">
        <f>IF(E17=0, "Included", IF(ISERROR(D17*E17), E17, D17*E17))</f>
        <v>#REF!</v>
      </c>
      <c r="G17" s="254"/>
      <c r="M17" s="225"/>
      <c r="N17" s="954" t="e">
        <f>D17-(D17*$O$9)</f>
        <v>#REF!</v>
      </c>
      <c r="O17" s="954"/>
      <c r="P17" s="252"/>
    </row>
    <row r="18" spans="1:16" s="253" customFormat="1" ht="35.1" customHeight="1">
      <c r="A18" s="256" t="e">
        <f>#REF!</f>
        <v>#REF!</v>
      </c>
      <c r="B18" s="347" t="e">
        <f>#REF!</f>
        <v>#REF!</v>
      </c>
      <c r="C18" s="256" t="e">
        <f>#REF!</f>
        <v>#REF!</v>
      </c>
      <c r="D18" s="256" t="e">
        <f>#REF!</f>
        <v>#REF!</v>
      </c>
      <c r="E18" s="344" t="e">
        <f>#REF!</f>
        <v>#REF!</v>
      </c>
      <c r="F18" s="332" t="e">
        <f>IF(E18=0, "Included", IF(ISERROR(D18*E18), E18, D18*E18))</f>
        <v>#REF!</v>
      </c>
      <c r="G18" s="254"/>
      <c r="M18" s="225"/>
      <c r="N18" s="959"/>
      <c r="O18" s="959"/>
      <c r="P18" s="252"/>
    </row>
    <row r="19" spans="1:16" s="253" customFormat="1" ht="35.1" customHeight="1">
      <c r="A19" s="256" t="e">
        <f>#REF!</f>
        <v>#REF!</v>
      </c>
      <c r="B19" s="347" t="e">
        <f>#REF!</f>
        <v>#REF!</v>
      </c>
      <c r="C19" s="256" t="e">
        <f>#REF!</f>
        <v>#REF!</v>
      </c>
      <c r="D19" s="256" t="e">
        <f>#REF!</f>
        <v>#REF!</v>
      </c>
      <c r="E19" s="344" t="e">
        <f>#REF!</f>
        <v>#REF!</v>
      </c>
      <c r="F19" s="332" t="e">
        <f>IF(E19=0, "Included", IF(ISERROR(D19*E19), E19, D19*E19))</f>
        <v>#REF!</v>
      </c>
      <c r="G19" s="254"/>
      <c r="M19" s="225"/>
      <c r="N19" s="226"/>
      <c r="O19" s="226"/>
      <c r="P19" s="252"/>
    </row>
    <row r="20" spans="1:16" s="253" customFormat="1" ht="35.1" customHeight="1">
      <c r="A20" s="256" t="e">
        <f>#REF!</f>
        <v>#REF!</v>
      </c>
      <c r="B20" s="347" t="e">
        <f>#REF!</f>
        <v>#REF!</v>
      </c>
      <c r="C20" s="256" t="e">
        <f>#REF!</f>
        <v>#REF!</v>
      </c>
      <c r="D20" s="256" t="e">
        <f>#REF!</f>
        <v>#REF!</v>
      </c>
      <c r="E20" s="344" t="e">
        <f>#REF!</f>
        <v>#REF!</v>
      </c>
      <c r="F20" s="332" t="e">
        <f>IF(E20=0, "Included", IF(ISERROR(D20*E20), E20, D20*E20))</f>
        <v>#REF!</v>
      </c>
      <c r="G20" s="254"/>
      <c r="M20" s="225"/>
      <c r="N20" s="226"/>
      <c r="O20" s="226"/>
      <c r="P20" s="252"/>
    </row>
    <row r="21" spans="1:16" ht="19.5" customHeight="1">
      <c r="A21" s="107"/>
      <c r="B21" s="955" t="s">
        <v>235</v>
      </c>
      <c r="C21" s="956"/>
      <c r="D21" s="956"/>
      <c r="E21" s="257"/>
      <c r="F21" s="333" t="e">
        <f>SUM(F17:F20)</f>
        <v>#REF!</v>
      </c>
      <c r="N21" s="954" t="e">
        <f>ROUND((#REF!+#REF!+#REF!),0)</f>
        <v>#REF!</v>
      </c>
      <c r="O21" s="954"/>
      <c r="P21" s="99"/>
    </row>
    <row r="22" spans="1:16">
      <c r="A22" s="108"/>
      <c r="B22" s="109"/>
      <c r="C22" s="109"/>
      <c r="D22" s="110"/>
      <c r="E22" s="110"/>
      <c r="F22" s="110"/>
      <c r="N22" s="227" t="s">
        <v>133</v>
      </c>
      <c r="O22" s="228" t="e">
        <f>D21-N21</f>
        <v>#REF!</v>
      </c>
      <c r="P22" s="175"/>
    </row>
    <row r="23" spans="1:16" s="246" customFormat="1" ht="33.75" customHeight="1">
      <c r="A23" s="957" t="s">
        <v>161</v>
      </c>
      <c r="B23" s="957"/>
      <c r="C23" s="957"/>
      <c r="D23" s="957"/>
      <c r="E23" s="958"/>
      <c r="F23" s="958"/>
      <c r="G23" s="100"/>
      <c r="M23" s="247"/>
      <c r="N23" s="227"/>
      <c r="O23" s="258"/>
      <c r="P23" s="259"/>
    </row>
    <row r="24" spans="1:16">
      <c r="A24" s="108"/>
      <c r="B24" s="109"/>
      <c r="C24" s="109"/>
      <c r="D24" s="110"/>
      <c r="E24" s="110"/>
      <c r="F24" s="110"/>
      <c r="N24" s="227"/>
      <c r="O24" s="228"/>
      <c r="P24" s="175"/>
    </row>
    <row r="25" spans="1:16" ht="33" customHeight="1">
      <c r="A25" s="92" t="s">
        <v>208</v>
      </c>
      <c r="B25" s="125" t="e">
        <f>'Sch-1'!#REF!</f>
        <v>#REF!</v>
      </c>
      <c r="C25" s="125"/>
      <c r="D25" s="93"/>
      <c r="E25" s="94" t="s">
        <v>210</v>
      </c>
      <c r="F25" s="95"/>
      <c r="P25" s="175"/>
    </row>
    <row r="26" spans="1:16" ht="33" customHeight="1">
      <c r="A26" s="92" t="s">
        <v>209</v>
      </c>
      <c r="B26" s="111" t="e">
        <f>'Sch-1'!#REF!</f>
        <v>#REF!</v>
      </c>
      <c r="C26" s="111"/>
      <c r="D26" s="89"/>
      <c r="E26" s="94" t="s">
        <v>211</v>
      </c>
      <c r="F26" s="112" t="e">
        <f>'Sch-1'!#REF!</f>
        <v>#REF!</v>
      </c>
      <c r="P26" s="175"/>
    </row>
    <row r="27" spans="1:16" ht="33" customHeight="1">
      <c r="A27" s="88"/>
      <c r="B27" s="87"/>
      <c r="C27" s="87"/>
      <c r="D27" s="89"/>
      <c r="E27" s="94" t="s">
        <v>212</v>
      </c>
      <c r="F27" s="112" t="e">
        <f>'Sch-1'!#REF!</f>
        <v>#REF!</v>
      </c>
      <c r="P27" s="175"/>
    </row>
    <row r="28" spans="1:16" ht="33" customHeight="1">
      <c r="A28" s="88"/>
      <c r="B28" s="87"/>
      <c r="C28" s="87"/>
      <c r="D28" s="89"/>
      <c r="E28" s="94" t="s">
        <v>213</v>
      </c>
      <c r="F28" s="95"/>
    </row>
  </sheetData>
  <sheetProtection password="E98F" sheet="1" objects="1" scenarios="1" formatColumns="0" formatRows="0" selectLockedCells="1" selectUnlockedCells="1"/>
  <customSheetViews>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0" type="noConversion"/>
  <printOptions horizontalCentered="1"/>
  <pageMargins left="0.78740157480314998" right="0.38" top="0.61" bottom="0.57999999999999996" header="0.34" footer="0.36"/>
  <pageSetup paperSize="9" orientation="portrait" horizontalDpi="300" verticalDpi="300" r:id="rId9"/>
  <headerFooter alignWithMargins="0">
    <oddFooter>&amp;R&amp;"Book Antiqua,Bold"&amp;10Schedule-7/ Page &amp;P of &amp;N</oddFooter>
  </headerFooter>
  <colBreaks count="1" manualBreakCount="1">
    <brk id="6" max="1048575" man="1"/>
  </colBreaks>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13"/>
  </sheetPr>
  <dimension ref="A1:H29"/>
  <sheetViews>
    <sheetView topLeftCell="A19" zoomScaleNormal="90" zoomScaleSheetLayoutView="100" workbookViewId="0">
      <selection activeCell="B11" sqref="B11:C11"/>
    </sheetView>
  </sheetViews>
  <sheetFormatPr defaultColWidth="10" defaultRowHeight="16.5"/>
  <cols>
    <col min="1" max="1" width="10.625" style="40" customWidth="1"/>
    <col min="2" max="2" width="27.5" style="40" customWidth="1"/>
    <col min="3" max="3" width="16.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59" t="str">
        <f>Cover!B3</f>
        <v xml:space="preserve">Specification No.: WRTCC/CS/20-21/AMC-LMC/B1 </v>
      </c>
      <c r="B1" s="60"/>
      <c r="C1" s="4"/>
      <c r="D1" s="5" t="s">
        <v>434</v>
      </c>
    </row>
    <row r="2" spans="1:6" ht="18" customHeight="1">
      <c r="A2" s="2"/>
      <c r="B2" s="7"/>
      <c r="C2" s="1"/>
      <c r="D2" s="1"/>
    </row>
    <row r="3" spans="1:6" ht="47.25" customHeight="1">
      <c r="A3" s="856"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3" s="856"/>
      <c r="C3" s="856"/>
      <c r="D3" s="856"/>
      <c r="E3" s="58"/>
      <c r="F3" s="58"/>
    </row>
    <row r="4" spans="1:6" ht="22.15" customHeight="1">
      <c r="A4" s="857" t="s">
        <v>451</v>
      </c>
      <c r="B4" s="857"/>
      <c r="C4" s="857"/>
      <c r="D4" s="857"/>
    </row>
    <row r="5" spans="1:6" ht="18" customHeight="1">
      <c r="A5" s="39"/>
    </row>
    <row r="6" spans="1:6" ht="18" customHeight="1">
      <c r="A6" s="29" t="str">
        <f>'Sch-1'!A6</f>
        <v>Bidder's Name And Address</v>
      </c>
      <c r="D6" s="64" t="s">
        <v>198</v>
      </c>
    </row>
    <row r="7" spans="1:6" ht="18" customHeight="1">
      <c r="A7" s="201" t="str">
        <f>'Sch-1'!A7</f>
        <v>Bidder as Individual Bidder</v>
      </c>
      <c r="D7" s="506" t="s">
        <v>444</v>
      </c>
    </row>
    <row r="8" spans="1:6">
      <c r="A8" s="41" t="s">
        <v>215</v>
      </c>
      <c r="B8" s="932" t="str">
        <f>IF('Sch-1'!B8=0, "", 'Sch-1'!B8)</f>
        <v/>
      </c>
      <c r="C8" s="932"/>
      <c r="D8" s="506" t="s">
        <v>202</v>
      </c>
    </row>
    <row r="9" spans="1:6">
      <c r="A9" s="41" t="s">
        <v>216</v>
      </c>
      <c r="B9" s="932" t="str">
        <f>IF('Sch-1'!B9=0, "", 'Sch-1'!B9)</f>
        <v/>
      </c>
      <c r="C9" s="932"/>
      <c r="D9" s="506" t="s">
        <v>445</v>
      </c>
    </row>
    <row r="10" spans="1:6">
      <c r="A10" s="42"/>
      <c r="B10" s="932" t="str">
        <f ca="1">IF('Sch-1'!B12=0, "", 'Sch-1'!B12)</f>
        <v/>
      </c>
      <c r="C10" s="932"/>
      <c r="D10" s="506" t="s">
        <v>446</v>
      </c>
    </row>
    <row r="11" spans="1:6">
      <c r="A11" s="42"/>
      <c r="B11" s="932"/>
      <c r="C11" s="932"/>
      <c r="D11" s="447"/>
    </row>
    <row r="12" spans="1:6" ht="18" customHeight="1" thickBot="1">
      <c r="A12" s="203"/>
      <c r="B12" s="203"/>
      <c r="C12" s="203"/>
      <c r="D12" s="66"/>
    </row>
    <row r="13" spans="1:6" ht="34.5" customHeight="1" thickBot="1">
      <c r="A13" s="515" t="s">
        <v>184</v>
      </c>
      <c r="B13" s="871" t="s">
        <v>180</v>
      </c>
      <c r="C13" s="880"/>
      <c r="D13" s="529" t="s">
        <v>186</v>
      </c>
    </row>
    <row r="14" spans="1:6" ht="22.15" customHeight="1">
      <c r="A14" s="527" t="s">
        <v>187</v>
      </c>
      <c r="B14" s="923" t="s">
        <v>219</v>
      </c>
      <c r="C14" s="923"/>
      <c r="D14" s="528"/>
    </row>
    <row r="15" spans="1:6" ht="35.1" customHeight="1">
      <c r="A15" s="518"/>
      <c r="B15" s="919" t="s">
        <v>447</v>
      </c>
      <c r="C15" s="920"/>
      <c r="D15" s="519" t="e">
        <f>'Sch-6'!D15-Discount!G15-(Discount!G16*'Sch-6'!D15)</f>
        <v>#VALUE!</v>
      </c>
      <c r="F15" s="444"/>
    </row>
    <row r="16" spans="1:6" ht="22.15" customHeight="1">
      <c r="A16" s="509" t="s">
        <v>189</v>
      </c>
      <c r="B16" s="914" t="s">
        <v>220</v>
      </c>
      <c r="C16" s="914"/>
      <c r="D16" s="520"/>
      <c r="F16" s="444"/>
    </row>
    <row r="17" spans="1:8" ht="50.25" customHeight="1">
      <c r="A17" s="518"/>
      <c r="B17" s="919" t="s">
        <v>194</v>
      </c>
      <c r="C17" s="920"/>
      <c r="D17" s="519" t="e">
        <f>'Sch-2'!#REF!</f>
        <v>#REF!</v>
      </c>
    </row>
    <row r="18" spans="1:8" ht="22.15" customHeight="1">
      <c r="A18" s="509" t="s">
        <v>190</v>
      </c>
      <c r="B18" s="914" t="s">
        <v>221</v>
      </c>
      <c r="C18" s="914"/>
      <c r="D18" s="521"/>
    </row>
    <row r="19" spans="1:8" ht="36" customHeight="1">
      <c r="A19" s="522"/>
      <c r="B19" s="921" t="s">
        <v>450</v>
      </c>
      <c r="C19" s="922"/>
      <c r="D19" s="523" t="s">
        <v>411</v>
      </c>
    </row>
    <row r="20" spans="1:8" ht="22.15" customHeight="1">
      <c r="A20" s="509" t="s">
        <v>191</v>
      </c>
      <c r="B20" s="914" t="s">
        <v>222</v>
      </c>
      <c r="C20" s="914"/>
      <c r="D20" s="524"/>
    </row>
    <row r="21" spans="1:8" ht="43.5" customHeight="1">
      <c r="A21" s="522"/>
      <c r="B21" s="964" t="s">
        <v>412</v>
      </c>
      <c r="C21" s="965"/>
      <c r="D21" s="525">
        <f>'Sch-5'!D32:E32</f>
        <v>0</v>
      </c>
    </row>
    <row r="22" spans="1:8" ht="22.15" customHeight="1">
      <c r="A22" s="509">
        <v>5</v>
      </c>
      <c r="B22" s="914" t="s">
        <v>426</v>
      </c>
      <c r="C22" s="914"/>
      <c r="D22" s="524"/>
      <c r="H22" s="352"/>
    </row>
    <row r="23" spans="1:8" ht="42" customHeight="1" thickBot="1">
      <c r="A23" s="526"/>
      <c r="B23" s="915" t="s">
        <v>423</v>
      </c>
      <c r="C23" s="916"/>
      <c r="D23" s="523" t="s">
        <v>411</v>
      </c>
    </row>
    <row r="24" spans="1:8" ht="66" customHeight="1" thickBot="1">
      <c r="A24" s="511"/>
      <c r="B24" s="966" t="s">
        <v>403</v>
      </c>
      <c r="C24" s="966"/>
      <c r="D24" s="512" t="e">
        <f>D15+D17+D21</f>
        <v>#VALUE!</v>
      </c>
    </row>
    <row r="25" spans="1:8" ht="30" customHeight="1">
      <c r="A25" s="76"/>
      <c r="B25" s="77"/>
      <c r="C25" s="77"/>
      <c r="D25" s="78"/>
    </row>
    <row r="26" spans="1:8" ht="30" customHeight="1">
      <c r="A26" s="34" t="s">
        <v>208</v>
      </c>
      <c r="B26" s="123" t="e">
        <f>IF('Sch-1'!#REF!=0,"", 'Sch-1'!#REF!)</f>
        <v>#REF!</v>
      </c>
      <c r="C26" s="35"/>
      <c r="D26" s="440"/>
      <c r="F26" s="36"/>
    </row>
    <row r="27" spans="1:8" ht="30" customHeight="1">
      <c r="A27" s="34" t="s">
        <v>209</v>
      </c>
      <c r="B27" s="123" t="e">
        <f>IF('Sch-1'!#REF!=0,"", 'Sch-1'!#REF!)</f>
        <v>#REF!</v>
      </c>
      <c r="C27" s="35" t="s">
        <v>211</v>
      </c>
      <c r="D27" s="97" t="e">
        <f>IF('Sch-1'!#REF!=0,"",'Sch-1'!#REF!)</f>
        <v>#REF!</v>
      </c>
      <c r="F27" s="48"/>
    </row>
    <row r="28" spans="1:8" ht="30" customHeight="1">
      <c r="A28" s="3"/>
      <c r="B28" s="439"/>
      <c r="C28" s="35" t="s">
        <v>212</v>
      </c>
      <c r="D28" s="97" t="e">
        <f>IF('Sch-1'!#REF!=0,"",'Sch-1'!#REF!)</f>
        <v>#REF!</v>
      </c>
      <c r="F28" s="48"/>
    </row>
    <row r="29" spans="1:8" ht="30" customHeight="1">
      <c r="A29" s="3"/>
      <c r="B29" s="7"/>
      <c r="C29" s="35"/>
      <c r="D29" s="3"/>
      <c r="F29" s="36"/>
    </row>
  </sheetData>
  <sheetProtection formatColumns="0" formatRows="0" selectLockedCells="1" selectUnlockedCells="1"/>
  <mergeCells count="18">
    <mergeCell ref="B11:C11"/>
    <mergeCell ref="A3:D3"/>
    <mergeCell ref="A4:D4"/>
    <mergeCell ref="B8:C8"/>
    <mergeCell ref="B9:C9"/>
    <mergeCell ref="B10:C10"/>
    <mergeCell ref="B24:C24"/>
    <mergeCell ref="B13:C13"/>
    <mergeCell ref="B14:C14"/>
    <mergeCell ref="B15:C15"/>
    <mergeCell ref="B16:C16"/>
    <mergeCell ref="B17:C17"/>
    <mergeCell ref="B18:C18"/>
    <mergeCell ref="B19:C19"/>
    <mergeCell ref="B20:C20"/>
    <mergeCell ref="B21:C21"/>
    <mergeCell ref="B22:C22"/>
    <mergeCell ref="B23:C23"/>
  </mergeCells>
  <printOptions horizontalCentered="1"/>
  <pageMargins left="0.5" right="0.38" top="0.56999999999999995" bottom="0.48" header="0.38" footer="0.24"/>
  <pageSetup paperSize="9" fitToHeight="0" orientation="portrait" r:id="rId1"/>
  <headerFooter alignWithMargins="0">
    <oddFooter>&amp;R&amp;"Book Antiqua,Bold"&amp;10Schedule-5/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11"/>
  </sheetPr>
  <dimension ref="A1:AR41"/>
  <sheetViews>
    <sheetView showZeros="0" topLeftCell="A16" zoomScale="95" zoomScaleNormal="95" zoomScaleSheetLayoutView="100" workbookViewId="0">
      <selection activeCell="P24" sqref="P24"/>
    </sheetView>
  </sheetViews>
  <sheetFormatPr defaultRowHeight="16.5"/>
  <cols>
    <col min="1" max="2" width="6.625" style="161" customWidth="1"/>
    <col min="3" max="3" width="21.625" style="161" customWidth="1"/>
    <col min="4" max="4" width="13.375" style="161" customWidth="1"/>
    <col min="5" max="5" width="23.625" style="161" customWidth="1"/>
    <col min="6" max="6" width="11.875" style="161" customWidth="1"/>
    <col min="7" max="7" width="14.875" style="161" customWidth="1"/>
    <col min="8" max="8" width="14.25" style="451" hidden="1" customWidth="1"/>
    <col min="9" max="9" width="14.25" style="452" hidden="1" customWidth="1"/>
    <col min="10" max="10" width="17.75" style="453" hidden="1" customWidth="1"/>
    <col min="11" max="13" width="14.25" style="453" hidden="1" customWidth="1"/>
    <col min="14" max="14" width="38.125" style="453" hidden="1" customWidth="1"/>
    <col min="15" max="15" width="21.25" style="453" hidden="1" customWidth="1"/>
    <col min="16" max="16" width="14.25" style="453" customWidth="1"/>
    <col min="17" max="17" width="14.25" style="338" customWidth="1"/>
    <col min="18" max="23" width="9" style="338"/>
    <col min="24" max="16384" width="9" style="86"/>
  </cols>
  <sheetData>
    <row r="1" spans="1:23" s="147" customFormat="1" ht="40.15" customHeight="1">
      <c r="A1" s="979" t="s">
        <v>129</v>
      </c>
      <c r="B1" s="979"/>
      <c r="C1" s="979"/>
      <c r="D1" s="979"/>
      <c r="E1" s="979"/>
      <c r="F1" s="979"/>
      <c r="G1" s="979"/>
      <c r="H1" s="448"/>
      <c r="I1" s="449"/>
      <c r="J1" s="450"/>
      <c r="K1" s="450"/>
      <c r="L1" s="450"/>
      <c r="M1" s="450"/>
      <c r="N1" s="450"/>
      <c r="O1" s="450"/>
      <c r="P1" s="450"/>
      <c r="Q1" s="337"/>
      <c r="R1" s="337"/>
      <c r="S1" s="337"/>
      <c r="T1" s="337"/>
      <c r="U1" s="337"/>
      <c r="V1" s="337"/>
      <c r="W1" s="337"/>
    </row>
    <row r="2" spans="1:23" ht="18" customHeight="1">
      <c r="A2" s="81" t="str">
        <f>Cover!B3</f>
        <v xml:space="preserve">Specification No.: WRTCC/CS/20-21/AMC-LMC/B1 </v>
      </c>
      <c r="B2" s="81"/>
      <c r="C2" s="82"/>
      <c r="D2" s="83"/>
      <c r="E2" s="83"/>
      <c r="F2" s="83"/>
      <c r="G2" s="85" t="s">
        <v>128</v>
      </c>
    </row>
    <row r="3" spans="1:23" ht="18" customHeight="1">
      <c r="A3" s="153"/>
      <c r="B3" s="153"/>
      <c r="C3" s="154"/>
      <c r="D3" s="155"/>
      <c r="E3" s="155"/>
      <c r="F3" s="155"/>
      <c r="G3" s="156"/>
    </row>
    <row r="4" spans="1:23" ht="19.149999999999999" customHeight="1">
      <c r="A4" s="982" t="s">
        <v>123</v>
      </c>
      <c r="B4" s="982"/>
      <c r="C4" s="982"/>
      <c r="D4" s="982"/>
      <c r="E4" s="982"/>
      <c r="F4" s="982"/>
      <c r="G4" s="982"/>
    </row>
    <row r="5" spans="1:23" ht="21" customHeight="1">
      <c r="A5" s="157" t="s">
        <v>198</v>
      </c>
      <c r="B5" s="157"/>
      <c r="C5" s="148"/>
      <c r="D5" s="148"/>
      <c r="E5" s="148"/>
      <c r="F5" s="148"/>
      <c r="G5" s="148"/>
    </row>
    <row r="6" spans="1:23" ht="21" customHeight="1">
      <c r="A6" s="506" t="s">
        <v>444</v>
      </c>
      <c r="B6" s="158"/>
      <c r="C6" s="148"/>
      <c r="D6" s="148"/>
      <c r="E6" s="148"/>
      <c r="F6" s="148"/>
      <c r="G6" s="148"/>
    </row>
    <row r="7" spans="1:23" ht="21" customHeight="1">
      <c r="A7" s="506" t="s">
        <v>202</v>
      </c>
      <c r="B7" s="158"/>
      <c r="C7" s="148"/>
      <c r="D7" s="148"/>
      <c r="E7" s="148"/>
      <c r="F7" s="148"/>
      <c r="G7" s="148"/>
    </row>
    <row r="8" spans="1:23" ht="21" customHeight="1">
      <c r="A8" s="506" t="s">
        <v>445</v>
      </c>
      <c r="B8" s="158"/>
      <c r="C8" s="148"/>
      <c r="D8" s="148"/>
      <c r="E8" s="148"/>
      <c r="F8" s="148"/>
      <c r="G8" s="148"/>
    </row>
    <row r="9" spans="1:23" ht="21" customHeight="1">
      <c r="A9" s="506" t="s">
        <v>446</v>
      </c>
      <c r="B9" s="158"/>
      <c r="C9" s="148"/>
      <c r="D9" s="148"/>
      <c r="E9" s="148"/>
      <c r="F9" s="148"/>
      <c r="G9" s="148"/>
    </row>
    <row r="10" spans="1:23" ht="1.5" customHeight="1">
      <c r="A10" s="447"/>
      <c r="B10" s="158"/>
      <c r="C10" s="148"/>
      <c r="D10" s="148"/>
      <c r="E10" s="148"/>
      <c r="F10" s="148"/>
      <c r="G10" s="148"/>
    </row>
    <row r="11" spans="1:23" ht="21" customHeight="1">
      <c r="A11" s="148"/>
      <c r="B11" s="148"/>
      <c r="C11" s="148"/>
      <c r="D11" s="148"/>
      <c r="E11" s="148"/>
      <c r="F11" s="148"/>
      <c r="G11" s="148"/>
    </row>
    <row r="12" spans="1:23" ht="53.25" customHeight="1">
      <c r="A12" s="542" t="s">
        <v>124</v>
      </c>
      <c r="B12" s="542"/>
      <c r="C12" s="980"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D12" s="980"/>
      <c r="E12" s="980"/>
      <c r="F12" s="980"/>
      <c r="G12" s="980"/>
    </row>
    <row r="13" spans="1:23" ht="21" customHeight="1">
      <c r="A13" s="159" t="s">
        <v>122</v>
      </c>
      <c r="B13" s="159"/>
      <c r="C13" s="160"/>
      <c r="D13" s="159"/>
      <c r="E13" s="159"/>
      <c r="F13" s="159"/>
      <c r="G13" s="159"/>
    </row>
    <row r="14" spans="1:23" ht="55.5" customHeight="1">
      <c r="A14" s="981" t="s">
        <v>125</v>
      </c>
      <c r="B14" s="981"/>
      <c r="C14" s="981"/>
      <c r="D14" s="981"/>
      <c r="E14" s="981"/>
      <c r="F14" s="981"/>
      <c r="G14" s="981"/>
      <c r="J14" s="983" t="s">
        <v>292</v>
      </c>
      <c r="K14" s="983"/>
      <c r="L14" s="983"/>
      <c r="M14" s="983"/>
      <c r="N14" s="454" t="s">
        <v>293</v>
      </c>
    </row>
    <row r="15" spans="1:23" ht="70.150000000000006" customHeight="1">
      <c r="B15" s="167">
        <v>1</v>
      </c>
      <c r="C15" s="968" t="s">
        <v>399</v>
      </c>
      <c r="D15" s="969"/>
      <c r="E15" s="969"/>
      <c r="F15" s="970"/>
      <c r="G15" s="340"/>
      <c r="I15" s="455" t="e">
        <f>'Sch-1'!#REF!+'Sch-2'!#REF!+#REF!+#REF!</f>
        <v>#REF!</v>
      </c>
      <c r="J15" s="456" t="e">
        <f>IF(I15=0,0,G15/I15)</f>
        <v>#REF!</v>
      </c>
      <c r="K15" s="501"/>
      <c r="M15" s="500"/>
    </row>
    <row r="16" spans="1:23" ht="70.150000000000006" customHeight="1">
      <c r="B16" s="167">
        <v>2</v>
      </c>
      <c r="C16" s="968" t="s">
        <v>400</v>
      </c>
      <c r="D16" s="969"/>
      <c r="E16" s="969"/>
      <c r="F16" s="970"/>
      <c r="G16" s="173"/>
      <c r="I16" s="457" t="e">
        <f>'Sch-1'!#REF!+'Sch-2'!#REF!+#REF!+#REF!</f>
        <v>#REF!</v>
      </c>
      <c r="J16" s="458">
        <f>G16</f>
        <v>0</v>
      </c>
    </row>
    <row r="17" spans="1:44" s="150" customFormat="1" ht="55.15" customHeight="1">
      <c r="B17" s="168">
        <v>3</v>
      </c>
      <c r="C17" s="971" t="s">
        <v>148</v>
      </c>
      <c r="D17" s="972"/>
      <c r="E17" s="972"/>
      <c r="F17" s="973"/>
      <c r="G17" s="171"/>
      <c r="H17" s="451"/>
      <c r="I17" s="451"/>
      <c r="J17" s="459"/>
      <c r="K17" s="459"/>
      <c r="L17" s="459"/>
      <c r="M17" s="459"/>
      <c r="N17" s="459"/>
      <c r="O17" s="459"/>
      <c r="P17" s="459"/>
      <c r="Q17" s="339"/>
      <c r="R17" s="339"/>
      <c r="S17" s="339"/>
      <c r="T17" s="339"/>
      <c r="U17" s="339"/>
      <c r="V17" s="339"/>
      <c r="W17" s="339"/>
    </row>
    <row r="18" spans="1:44" s="150" customFormat="1" ht="21" customHeight="1">
      <c r="B18" s="165"/>
      <c r="C18" s="204" t="s">
        <v>139</v>
      </c>
      <c r="D18" s="163"/>
      <c r="E18" s="172"/>
      <c r="F18" s="206" t="s">
        <v>165</v>
      </c>
      <c r="G18" s="493"/>
      <c r="H18" s="451"/>
      <c r="I18" s="460" t="e">
        <f>'Sch-1'!#REF!</f>
        <v>#REF!</v>
      </c>
      <c r="J18" s="461" t="e">
        <f>IF(I18=0,0,G18/I18)</f>
        <v>#REF!</v>
      </c>
      <c r="K18" s="459"/>
      <c r="L18" s="459"/>
      <c r="M18" s="459"/>
      <c r="N18" s="462" t="s">
        <v>298</v>
      </c>
      <c r="O18" s="461" t="e">
        <f>J15+J16+J18+J24</f>
        <v>#REF!</v>
      </c>
      <c r="P18" s="459"/>
      <c r="Q18" s="339"/>
      <c r="R18" s="339"/>
      <c r="S18" s="339"/>
      <c r="T18" s="339"/>
      <c r="U18" s="339"/>
      <c r="V18" s="339"/>
      <c r="W18" s="339"/>
    </row>
    <row r="19" spans="1:44" s="150" customFormat="1">
      <c r="B19" s="496"/>
      <c r="C19" s="204" t="s">
        <v>140</v>
      </c>
      <c r="D19" s="163"/>
      <c r="E19" s="497"/>
      <c r="F19" s="498" t="s">
        <v>165</v>
      </c>
      <c r="G19" s="493"/>
      <c r="H19" s="451"/>
      <c r="I19" s="460" t="e">
        <f>'Sch-1'!#REF!</f>
        <v>#REF!</v>
      </c>
      <c r="J19" s="461" t="e">
        <f>IF(I19=0,0,G19/I19)</f>
        <v>#REF!</v>
      </c>
      <c r="K19" s="459"/>
      <c r="L19" s="459"/>
      <c r="M19" s="459"/>
      <c r="N19" s="462" t="s">
        <v>299</v>
      </c>
      <c r="O19" s="461" t="e">
        <f>J15+J16+J19+J25</f>
        <v>#REF!</v>
      </c>
      <c r="P19" s="459"/>
      <c r="Q19" s="339"/>
      <c r="R19" s="339"/>
      <c r="S19" s="339"/>
      <c r="T19" s="339"/>
      <c r="U19" s="339"/>
      <c r="V19" s="339"/>
      <c r="W19" s="339"/>
    </row>
    <row r="20" spans="1:44" s="495" customFormat="1">
      <c r="B20" s="496"/>
      <c r="C20" s="491" t="s">
        <v>126</v>
      </c>
      <c r="D20" s="163"/>
      <c r="E20" s="497"/>
      <c r="F20" s="498" t="s">
        <v>165</v>
      </c>
      <c r="G20" s="493"/>
      <c r="H20" s="451"/>
      <c r="I20" s="460" t="e">
        <f>'Sch-2'!#REF!</f>
        <v>#REF!</v>
      </c>
      <c r="J20" s="461" t="e">
        <f>IF(I20=0,0,G20/I20)</f>
        <v>#REF!</v>
      </c>
      <c r="K20" s="459"/>
      <c r="L20" s="459"/>
      <c r="M20" s="459"/>
      <c r="N20" s="462" t="s">
        <v>126</v>
      </c>
      <c r="O20" s="461" t="e">
        <f>J15+J16+J20+J26</f>
        <v>#REF!</v>
      </c>
      <c r="P20" s="459"/>
      <c r="Q20" s="339"/>
      <c r="R20" s="339"/>
      <c r="S20" s="339"/>
      <c r="T20" s="339"/>
      <c r="U20" s="339"/>
      <c r="V20" s="339"/>
      <c r="W20" s="339"/>
      <c r="X20" s="150"/>
      <c r="Y20" s="150"/>
      <c r="Z20" s="150"/>
      <c r="AA20" s="150"/>
      <c r="AB20" s="150"/>
      <c r="AC20" s="150"/>
      <c r="AD20" s="150"/>
      <c r="AE20" s="150"/>
      <c r="AF20" s="150"/>
      <c r="AG20" s="150"/>
      <c r="AH20" s="150"/>
      <c r="AI20" s="150"/>
      <c r="AJ20" s="150"/>
      <c r="AK20" s="150"/>
      <c r="AL20" s="150"/>
      <c r="AM20" s="150"/>
      <c r="AN20" s="150"/>
      <c r="AO20" s="150"/>
      <c r="AP20" s="150"/>
      <c r="AQ20" s="150"/>
      <c r="AR20" s="150"/>
    </row>
    <row r="21" spans="1:44" s="150" customFormat="1" ht="21" hidden="1" customHeight="1">
      <c r="B21" s="165"/>
      <c r="C21" s="491" t="s">
        <v>398</v>
      </c>
      <c r="D21" s="163"/>
      <c r="E21" s="172"/>
      <c r="F21" s="206" t="s">
        <v>165</v>
      </c>
      <c r="G21" s="341"/>
      <c r="H21" s="451"/>
      <c r="I21" s="460" t="e">
        <f>#REF!</f>
        <v>#REF!</v>
      </c>
      <c r="J21" s="461" t="e">
        <f>IF(I21=0,0,G21/I21)</f>
        <v>#REF!</v>
      </c>
      <c r="K21" s="459"/>
      <c r="L21" s="459"/>
      <c r="M21" s="459"/>
      <c r="N21" s="492" t="s">
        <v>397</v>
      </c>
      <c r="O21" s="461" t="e">
        <f>J15+J16+J21+J27</f>
        <v>#REF!</v>
      </c>
      <c r="P21" s="459"/>
      <c r="Q21" s="339"/>
      <c r="R21" s="339"/>
      <c r="S21" s="339"/>
      <c r="T21" s="339"/>
      <c r="U21" s="339"/>
      <c r="V21" s="339"/>
      <c r="W21" s="339"/>
    </row>
    <row r="22" spans="1:44" s="150" customFormat="1" ht="21" hidden="1" customHeight="1">
      <c r="B22" s="166"/>
      <c r="C22" s="336" t="s">
        <v>401</v>
      </c>
      <c r="D22" s="164"/>
      <c r="E22" s="172"/>
      <c r="F22" s="207" t="s">
        <v>165</v>
      </c>
      <c r="G22" s="342"/>
      <c r="H22" s="451"/>
      <c r="I22" s="460" t="e">
        <f>#REF!</f>
        <v>#REF!</v>
      </c>
      <c r="J22" s="461" t="e">
        <f>IF(I22=0,0,G22/I22)</f>
        <v>#REF!</v>
      </c>
      <c r="K22" s="459"/>
      <c r="L22" s="459"/>
      <c r="M22" s="459"/>
      <c r="N22" s="499" t="s">
        <v>401</v>
      </c>
      <c r="O22" s="461" t="e">
        <f>J15+J16+J22+J28</f>
        <v>#REF!</v>
      </c>
      <c r="P22" s="459"/>
      <c r="Q22" s="339"/>
      <c r="R22" s="339"/>
      <c r="S22" s="339"/>
      <c r="T22" s="339"/>
      <c r="U22" s="339"/>
      <c r="V22" s="339"/>
      <c r="W22" s="339"/>
    </row>
    <row r="23" spans="1:44" s="150" customFormat="1" ht="55.15" customHeight="1">
      <c r="B23" s="168">
        <v>4</v>
      </c>
      <c r="C23" s="974" t="s">
        <v>402</v>
      </c>
      <c r="D23" s="975"/>
      <c r="E23" s="975"/>
      <c r="F23" s="976"/>
      <c r="G23" s="171"/>
      <c r="H23" s="451"/>
      <c r="I23" s="451"/>
      <c r="J23" s="459"/>
      <c r="K23" s="459"/>
      <c r="L23" s="459"/>
      <c r="M23" s="459"/>
      <c r="N23" s="459"/>
      <c r="O23" s="459"/>
      <c r="P23" s="459"/>
      <c r="Q23" s="339"/>
      <c r="R23" s="339"/>
      <c r="S23" s="339"/>
      <c r="T23" s="339"/>
      <c r="U23" s="339"/>
      <c r="V23" s="339"/>
      <c r="W23" s="339"/>
    </row>
    <row r="24" spans="1:44" s="150" customFormat="1" ht="21" customHeight="1">
      <c r="A24" s="149"/>
      <c r="B24" s="165"/>
      <c r="C24" s="204" t="s">
        <v>139</v>
      </c>
      <c r="D24" s="163"/>
      <c r="E24" s="205"/>
      <c r="F24" s="206" t="s">
        <v>166</v>
      </c>
      <c r="G24" s="213"/>
      <c r="H24" s="451"/>
      <c r="I24" s="460" t="e">
        <f>'Sch-1'!#REF!</f>
        <v>#REF!</v>
      </c>
      <c r="J24" s="463">
        <f>G24</f>
        <v>0</v>
      </c>
      <c r="K24" s="459"/>
      <c r="L24" s="459"/>
      <c r="M24" s="459"/>
      <c r="N24" s="459"/>
      <c r="O24" s="459"/>
      <c r="P24" s="459"/>
      <c r="Q24" s="339"/>
      <c r="R24" s="339"/>
      <c r="S24" s="339"/>
      <c r="T24" s="339"/>
      <c r="U24" s="339"/>
      <c r="V24" s="339"/>
      <c r="W24" s="339"/>
    </row>
    <row r="25" spans="1:44" s="150" customFormat="1" ht="21" customHeight="1">
      <c r="A25" s="149"/>
      <c r="B25" s="165"/>
      <c r="C25" s="204" t="s">
        <v>140</v>
      </c>
      <c r="D25" s="163"/>
      <c r="E25" s="205"/>
      <c r="F25" s="206" t="s">
        <v>166</v>
      </c>
      <c r="G25" s="213"/>
      <c r="H25" s="451"/>
      <c r="I25" s="460" t="e">
        <f>'Sch-1'!#REF!</f>
        <v>#REF!</v>
      </c>
      <c r="J25" s="463">
        <f>G25</f>
        <v>0</v>
      </c>
      <c r="K25" s="459"/>
      <c r="L25" s="459"/>
      <c r="M25" s="459"/>
      <c r="N25" s="459"/>
      <c r="O25" s="459"/>
      <c r="P25" s="459"/>
      <c r="Q25" s="339"/>
      <c r="R25" s="339"/>
      <c r="S25" s="339"/>
      <c r="T25" s="339"/>
      <c r="U25" s="339"/>
      <c r="V25" s="339"/>
      <c r="W25" s="339"/>
    </row>
    <row r="26" spans="1:44" s="150" customFormat="1" ht="21" customHeight="1">
      <c r="A26" s="149"/>
      <c r="B26" s="165"/>
      <c r="C26" s="491" t="s">
        <v>126</v>
      </c>
      <c r="D26" s="163"/>
      <c r="E26" s="205"/>
      <c r="F26" s="206" t="s">
        <v>166</v>
      </c>
      <c r="G26" s="213"/>
      <c r="H26" s="451"/>
      <c r="I26" s="460" t="e">
        <f>'Sch-2'!#REF!</f>
        <v>#REF!</v>
      </c>
      <c r="J26" s="463">
        <f>G26</f>
        <v>0</v>
      </c>
      <c r="K26" s="459"/>
      <c r="L26" s="459"/>
      <c r="M26" s="459"/>
      <c r="N26" s="459"/>
      <c r="O26" s="459"/>
      <c r="P26" s="459"/>
      <c r="Q26" s="339"/>
      <c r="R26" s="339"/>
      <c r="S26" s="339"/>
      <c r="T26" s="339"/>
      <c r="U26" s="339"/>
      <c r="V26" s="339"/>
      <c r="W26" s="339"/>
    </row>
    <row r="27" spans="1:44" s="150" customFormat="1" ht="21" hidden="1" customHeight="1">
      <c r="A27" s="149"/>
      <c r="B27" s="165"/>
      <c r="C27" s="491" t="s">
        <v>398</v>
      </c>
      <c r="D27" s="163"/>
      <c r="E27" s="205"/>
      <c r="F27" s="206" t="s">
        <v>166</v>
      </c>
      <c r="G27" s="213"/>
      <c r="H27" s="451"/>
      <c r="I27" s="460" t="e">
        <f>#REF!</f>
        <v>#REF!</v>
      </c>
      <c r="J27" s="463">
        <f>G27</f>
        <v>0</v>
      </c>
      <c r="K27" s="459"/>
      <c r="L27" s="459"/>
      <c r="M27" s="459"/>
      <c r="N27" s="459"/>
      <c r="O27" s="459"/>
      <c r="P27" s="459"/>
      <c r="Q27" s="339"/>
      <c r="R27" s="339"/>
      <c r="S27" s="339"/>
      <c r="T27" s="339"/>
      <c r="U27" s="339"/>
      <c r="V27" s="339"/>
      <c r="W27" s="339"/>
    </row>
    <row r="28" spans="1:44" s="150" customFormat="1" ht="21" hidden="1" customHeight="1">
      <c r="A28" s="149"/>
      <c r="B28" s="166"/>
      <c r="C28" s="336" t="s">
        <v>401</v>
      </c>
      <c r="D28" s="164"/>
      <c r="E28" s="208"/>
      <c r="F28" s="207" t="s">
        <v>166</v>
      </c>
      <c r="G28" s="214"/>
      <c r="H28" s="451"/>
      <c r="I28" s="460" t="e">
        <f>#REF!</f>
        <v>#REF!</v>
      </c>
      <c r="J28" s="463">
        <f>G28</f>
        <v>0</v>
      </c>
      <c r="K28" s="459"/>
      <c r="L28" s="459"/>
      <c r="M28" s="459"/>
      <c r="N28" s="459"/>
      <c r="O28" s="459"/>
      <c r="P28" s="459"/>
      <c r="Q28" s="339"/>
      <c r="R28" s="339"/>
      <c r="S28" s="339"/>
      <c r="T28" s="339"/>
      <c r="U28" s="339"/>
      <c r="V28" s="339"/>
      <c r="W28" s="339"/>
    </row>
    <row r="29" spans="1:44" s="150" customFormat="1" ht="41.25" customHeight="1">
      <c r="A29" s="149"/>
      <c r="B29" s="984" t="s">
        <v>366</v>
      </c>
      <c r="C29" s="985"/>
      <c r="D29" s="985"/>
      <c r="E29" s="985"/>
      <c r="F29" s="985"/>
      <c r="G29" s="985"/>
      <c r="H29" s="451"/>
      <c r="I29" s="460" t="e">
        <f>'Sch-1'!#REF!+'Sch-2'!#REF!+#REF!</f>
        <v>#REF!</v>
      </c>
      <c r="J29" s="461" t="e">
        <f>IF(I29=0,0,G29/I29)</f>
        <v>#REF!</v>
      </c>
      <c r="K29" s="459"/>
      <c r="L29" s="459"/>
      <c r="M29" s="459"/>
      <c r="N29" s="459"/>
      <c r="O29" s="459"/>
      <c r="P29" s="459"/>
      <c r="Q29" s="339"/>
      <c r="R29" s="339"/>
      <c r="S29" s="339"/>
      <c r="T29" s="339"/>
      <c r="U29" s="339"/>
      <c r="V29" s="339"/>
      <c r="W29" s="339"/>
    </row>
    <row r="30" spans="1:44" s="150" customFormat="1" ht="24.75" hidden="1" customHeight="1">
      <c r="A30" s="149"/>
      <c r="B30" s="442">
        <v>5</v>
      </c>
      <c r="C30" s="986" t="s">
        <v>367</v>
      </c>
      <c r="D30" s="987"/>
      <c r="E30" s="987"/>
      <c r="F30" s="987"/>
      <c r="G30" s="988"/>
      <c r="H30" s="451"/>
      <c r="I30" s="460"/>
      <c r="J30" s="461"/>
      <c r="K30" s="459"/>
      <c r="L30" s="459"/>
      <c r="M30" s="459"/>
      <c r="N30" s="459"/>
      <c r="O30" s="459"/>
      <c r="P30" s="459"/>
      <c r="Q30" s="339"/>
      <c r="R30" s="339"/>
      <c r="S30" s="339"/>
      <c r="T30" s="339"/>
      <c r="U30" s="339"/>
      <c r="V30" s="339"/>
      <c r="W30" s="339"/>
    </row>
    <row r="31" spans="1:44" s="150" customFormat="1" ht="61.5" hidden="1" customHeight="1">
      <c r="A31" s="149"/>
      <c r="B31" s="989"/>
      <c r="C31" s="990"/>
      <c r="D31" s="990"/>
      <c r="E31" s="990"/>
      <c r="F31" s="990"/>
      <c r="G31" s="991"/>
      <c r="H31" s="451"/>
      <c r="I31" s="460" t="e">
        <f>'Sch-1'!#REF!+'Sch-2'!#REF!+#REF!</f>
        <v>#REF!</v>
      </c>
      <c r="J31" s="463">
        <f>G31</f>
        <v>0</v>
      </c>
      <c r="K31" s="459"/>
      <c r="L31" s="459"/>
      <c r="M31" s="459"/>
      <c r="N31" s="459"/>
      <c r="O31" s="459"/>
      <c r="P31" s="459"/>
      <c r="Q31" s="339"/>
      <c r="R31" s="339"/>
      <c r="S31" s="339"/>
      <c r="T31" s="339"/>
      <c r="U31" s="339"/>
      <c r="V31" s="339"/>
      <c r="W31" s="339"/>
    </row>
    <row r="32" spans="1:44" s="150" customFormat="1" ht="7.5" customHeight="1">
      <c r="A32" s="149"/>
      <c r="B32" s="977"/>
      <c r="C32" s="978"/>
      <c r="D32" s="978"/>
      <c r="E32" s="978"/>
      <c r="F32" s="978"/>
      <c r="G32" s="978"/>
      <c r="H32" s="451"/>
      <c r="I32" s="451"/>
      <c r="J32" s="459"/>
      <c r="K32" s="459"/>
      <c r="L32" s="459"/>
      <c r="M32" s="459"/>
      <c r="N32" s="459"/>
      <c r="O32" s="459"/>
      <c r="P32" s="459"/>
      <c r="Q32" s="339"/>
      <c r="R32" s="339"/>
      <c r="S32" s="339"/>
      <c r="T32" s="339"/>
      <c r="U32" s="339"/>
      <c r="V32" s="339"/>
      <c r="W32" s="339"/>
    </row>
    <row r="33" spans="1:23" s="150" customFormat="1" ht="33" customHeight="1">
      <c r="A33" s="152" t="s">
        <v>127</v>
      </c>
      <c r="B33" s="169"/>
      <c r="C33" s="162"/>
      <c r="E33" s="170"/>
      <c r="F33" s="170"/>
      <c r="G33" s="151"/>
      <c r="H33" s="451"/>
      <c r="I33" s="451"/>
      <c r="J33" s="459"/>
      <c r="K33" s="459"/>
      <c r="L33" s="459"/>
      <c r="M33" s="459"/>
      <c r="N33" s="459"/>
      <c r="O33" s="459"/>
      <c r="P33" s="459"/>
      <c r="Q33" s="339"/>
      <c r="R33" s="339"/>
      <c r="S33" s="339"/>
      <c r="T33" s="339"/>
      <c r="U33" s="339"/>
      <c r="V33" s="339"/>
      <c r="W33" s="339"/>
    </row>
    <row r="34" spans="1:23" s="150" customFormat="1" ht="33" customHeight="1">
      <c r="A34" s="80" t="s">
        <v>258</v>
      </c>
      <c r="B34" s="169"/>
      <c r="C34" s="162"/>
      <c r="E34" s="170"/>
      <c r="F34" s="170"/>
      <c r="G34" s="151"/>
      <c r="H34" s="451"/>
      <c r="I34" s="451"/>
      <c r="J34" s="459"/>
      <c r="K34" s="459"/>
      <c r="L34" s="459"/>
      <c r="M34" s="459"/>
      <c r="N34" s="459"/>
      <c r="O34" s="459"/>
      <c r="P34" s="459"/>
      <c r="Q34" s="339"/>
      <c r="R34" s="339"/>
      <c r="S34" s="339"/>
      <c r="T34" s="339"/>
      <c r="U34" s="339"/>
      <c r="V34" s="339"/>
      <c r="W34" s="339"/>
    </row>
    <row r="35" spans="1:23" s="150" customFormat="1" ht="33" customHeight="1">
      <c r="B35" s="80"/>
      <c r="D35" s="79"/>
      <c r="E35" s="120"/>
      <c r="F35" s="120"/>
      <c r="G35" s="120"/>
      <c r="H35" s="464"/>
      <c r="I35" s="451"/>
      <c r="J35" s="459"/>
      <c r="K35" s="459"/>
      <c r="L35" s="459"/>
      <c r="M35" s="459"/>
      <c r="N35" s="459"/>
      <c r="O35" s="459"/>
      <c r="P35" s="459"/>
      <c r="Q35" s="339"/>
      <c r="R35" s="339"/>
      <c r="S35" s="339"/>
      <c r="T35" s="339"/>
      <c r="U35" s="339"/>
      <c r="V35" s="339"/>
      <c r="W35" s="339"/>
    </row>
    <row r="36" spans="1:23" ht="33" customHeight="1">
      <c r="A36" s="115"/>
      <c r="B36" s="115"/>
      <c r="C36" s="121"/>
      <c r="D36" s="120"/>
      <c r="E36" s="80"/>
      <c r="F36" s="80"/>
      <c r="G36" s="122" t="s">
        <v>259</v>
      </c>
      <c r="H36" s="453"/>
    </row>
    <row r="37" spans="1:23" ht="33" customHeight="1">
      <c r="A37" s="115"/>
      <c r="B37" s="115"/>
      <c r="C37" s="121"/>
      <c r="D37" s="120"/>
      <c r="E37" s="80"/>
      <c r="F37" s="80"/>
      <c r="G37" s="122" t="str">
        <f>"For and on behalf of " &amp; 'Sch-1'!B8</f>
        <v>For and on behalf of 0</v>
      </c>
      <c r="H37" s="453"/>
    </row>
    <row r="38" spans="1:23" ht="33" customHeight="1">
      <c r="A38" s="114"/>
      <c r="B38" s="114"/>
      <c r="C38" s="114"/>
      <c r="D38" s="126"/>
      <c r="E38" s="118"/>
      <c r="F38" s="118"/>
      <c r="G38" s="86"/>
      <c r="H38" s="465"/>
    </row>
    <row r="39" spans="1:23" ht="33" customHeight="1">
      <c r="A39" s="146" t="s">
        <v>120</v>
      </c>
      <c r="B39" s="146"/>
      <c r="C39" s="126" t="e">
        <f>'Sch-1'!#REF!</f>
        <v>#REF!</v>
      </c>
      <c r="D39" s="126"/>
      <c r="E39" s="118" t="s">
        <v>260</v>
      </c>
      <c r="F39" s="967" t="e">
        <f>'Sch-1'!#REF!</f>
        <v>#REF!</v>
      </c>
      <c r="G39" s="967"/>
      <c r="H39" s="453"/>
    </row>
    <row r="40" spans="1:23" ht="33" customHeight="1">
      <c r="A40" s="146" t="s">
        <v>121</v>
      </c>
      <c r="B40" s="146"/>
      <c r="C40" s="127" t="e">
        <f>'Sch-1'!#REF!</f>
        <v>#REF!</v>
      </c>
      <c r="D40" s="128"/>
      <c r="E40" s="118" t="s">
        <v>261</v>
      </c>
      <c r="F40" s="967" t="e">
        <f>'Sch-1'!#REF!</f>
        <v>#REF!</v>
      </c>
      <c r="G40" s="967"/>
      <c r="H40" s="453"/>
    </row>
    <row r="41" spans="1:23" ht="33" customHeight="1">
      <c r="A41" s="115"/>
      <c r="B41" s="115"/>
      <c r="C41" s="115"/>
      <c r="D41" s="115"/>
      <c r="E41" s="118"/>
      <c r="F41" s="118"/>
      <c r="G41" s="441"/>
      <c r="H41" s="466"/>
    </row>
  </sheetData>
  <sheetProtection formatColumns="0" formatRows="0" selectLockedCells="1"/>
  <customSheetViews>
    <customSheetView guid="{9CA44E70-650F-49CD-967F-298619682CA2}" zeroValues="0" hiddenRows="1" hiddenColumns="1" topLeftCell="A17">
      <selection activeCell="G28" sqref="G28"/>
      <pageMargins left="0.72" right="0.49" top="0.62" bottom="0.52" header="0.32" footer="0.27"/>
      <pageSetup scale="96" orientation="portrait" r:id="rId1"/>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4"/>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5"/>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6"/>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08A645C4-A23F-4400-B0CE-1685BC312A6F}" scale="95" zeroValues="0" printArea="1" hiddenRows="1" hiddenColumns="1" topLeftCell="A13">
      <selection activeCell="G24" sqref="G24:G26"/>
      <pageMargins left="0.72" right="0.49" top="0.62" bottom="0.52" header="0.32" footer="0.27"/>
      <pageSetup scale="96" orientation="portrait" r:id="rId8"/>
      <headerFooter alignWithMargins="0">
        <oddFooter>&amp;R&amp;"Book Antiqua,Bold"&amp;10Letter of Discount  / Page &amp;P of &amp;N</oddFooter>
      </headerFooter>
    </customSheetView>
  </customSheetViews>
  <mergeCells count="15">
    <mergeCell ref="A1:G1"/>
    <mergeCell ref="C12:G12"/>
    <mergeCell ref="A14:G14"/>
    <mergeCell ref="A4:G4"/>
    <mergeCell ref="J14:M14"/>
    <mergeCell ref="F40:G40"/>
    <mergeCell ref="C15:F15"/>
    <mergeCell ref="C16:F16"/>
    <mergeCell ref="C17:F17"/>
    <mergeCell ref="C23:F23"/>
    <mergeCell ref="B32:G32"/>
    <mergeCell ref="F39:G39"/>
    <mergeCell ref="B29:G29"/>
    <mergeCell ref="C30:G30"/>
    <mergeCell ref="B31:G31"/>
  </mergeCells>
  <phoneticPr fontId="3" type="noConversion"/>
  <dataValidations count="2">
    <dataValidation type="decimal" allowBlank="1" showInputMessage="1" showErrorMessage="1" error="Enter in percent only." sqref="G24:G28" xr:uid="{00000000-0002-0000-1100-000000000000}">
      <formula1>0</formula1>
      <formula2>1</formula2>
    </dataValidation>
    <dataValidation operator="greaterThanOrEqual" allowBlank="1" showInputMessage="1" showErrorMessage="1" error="Enter numeric figures only." sqref="G18:G22" xr:uid="{00000000-0002-0000-1100-000001000000}"/>
  </dataValidations>
  <pageMargins left="0.70866141732283472" right="0.47244094488188981" top="0.62992125984251968" bottom="0.51181102362204722" header="0.31496062992125984" footer="0.27559055118110237"/>
  <pageSetup scale="96" orientation="portrait" r:id="rId9"/>
  <headerFooter alignWithMargins="0">
    <oddFooter>&amp;R&amp;"Book Antiqua,Bold"&amp;10Letter of Discount  / Page &amp;P of &amp;N</oddFooter>
  </headerFooter>
  <drawing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35"/>
  </sheetPr>
  <dimension ref="A1:F21"/>
  <sheetViews>
    <sheetView topLeftCell="A10" zoomScaleNormal="100" zoomScaleSheetLayoutView="100" workbookViewId="0">
      <selection activeCell="C6" sqref="C6:D6"/>
    </sheetView>
  </sheetViews>
  <sheetFormatPr defaultRowHeight="16.5"/>
  <cols>
    <col min="1" max="1" width="9" style="318"/>
    <col min="2" max="2" width="26.875" style="100" customWidth="1"/>
    <col min="3" max="3" width="22.875" style="100" customWidth="1"/>
    <col min="4" max="5" width="15.625" style="100" customWidth="1"/>
    <col min="6" max="16384" width="9" style="79"/>
  </cols>
  <sheetData>
    <row r="1" spans="1:6">
      <c r="A1" s="306"/>
      <c r="B1" s="307"/>
      <c r="C1" s="307"/>
      <c r="D1" s="307"/>
      <c r="E1" s="307"/>
    </row>
    <row r="2" spans="1:6" ht="22.15" customHeight="1">
      <c r="A2" s="992" t="s">
        <v>269</v>
      </c>
      <c r="B2" s="992"/>
      <c r="C2" s="992"/>
      <c r="D2" s="992"/>
      <c r="E2" s="79"/>
    </row>
    <row r="3" spans="1:6">
      <c r="A3" s="306"/>
      <c r="B3" s="307"/>
      <c r="C3" s="307"/>
      <c r="D3" s="307"/>
      <c r="E3" s="307"/>
    </row>
    <row r="4" spans="1:6" ht="30">
      <c r="A4" s="104" t="s">
        <v>270</v>
      </c>
      <c r="B4" s="308" t="s">
        <v>271</v>
      </c>
      <c r="C4" s="104" t="s">
        <v>272</v>
      </c>
      <c r="D4" s="104" t="s">
        <v>273</v>
      </c>
      <c r="E4" s="104" t="s">
        <v>274</v>
      </c>
    </row>
    <row r="5" spans="1:6" ht="18" customHeight="1">
      <c r="A5" s="309" t="s">
        <v>275</v>
      </c>
      <c r="B5" s="309" t="s">
        <v>276</v>
      </c>
      <c r="C5" s="309" t="s">
        <v>277</v>
      </c>
      <c r="D5" s="309" t="s">
        <v>278</v>
      </c>
      <c r="E5" s="309" t="s">
        <v>279</v>
      </c>
    </row>
    <row r="6" spans="1:6" ht="45" customHeight="1">
      <c r="A6" s="310">
        <v>1</v>
      </c>
      <c r="B6" s="311"/>
      <c r="C6" s="312"/>
      <c r="D6" s="313"/>
      <c r="E6" s="314">
        <f t="shared" ref="E6:E15" si="0">C6*D6</f>
        <v>0</v>
      </c>
    </row>
    <row r="7" spans="1:6" ht="45" customHeight="1">
      <c r="A7" s="310">
        <v>2</v>
      </c>
      <c r="B7" s="311"/>
      <c r="C7" s="312"/>
      <c r="D7" s="313"/>
      <c r="E7" s="314">
        <f t="shared" si="0"/>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password="E98F" sheet="1" formatColumns="0" formatRows="0" selectLockedCells="1"/>
  <customSheetViews>
    <customSheetView guid="{9CA44E70-650F-49CD-967F-298619682CA2}" topLeftCell="A4">
      <selection activeCell="B6" sqref="B6"/>
      <pageMargins left="0.75" right="0.75" top="0.65" bottom="1" header="0.5" footer="0.5"/>
      <pageSetup orientation="portrait" r:id="rId1"/>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2"/>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3"/>
      <headerFooter alignWithMargins="0"/>
    </customSheetView>
    <customSheetView guid="{58D82F59-8CF6-455F-B9F4-081499FDF243}" scale="70">
      <selection activeCell="C6" sqref="C6:D6"/>
      <pageMargins left="0.75" right="0.75" top="0.65" bottom="1" header="0.5" footer="0.5"/>
      <pageSetup orientation="portrait" r:id="rId4"/>
      <headerFooter alignWithMargins="0"/>
    </customSheetView>
    <customSheetView guid="{696D9240-6693-44E8-B9A4-2BFADD101EE2}" scale="70">
      <selection activeCell="C6" sqref="C6:D6"/>
      <pageMargins left="0.75" right="0.75" top="0.65" bottom="1" header="0.5" footer="0.5"/>
      <pageSetup orientation="portrait" r:id="rId5"/>
      <headerFooter alignWithMargins="0"/>
    </customSheetView>
    <customSheetView guid="{B0EE7D76-5806-4718-BDAD-3A3EA691E5E4}" scale="70">
      <selection activeCell="C6" sqref="C6:D6"/>
      <pageMargins left="0.75" right="0.75" top="0.65" bottom="1" header="0.5" footer="0.5"/>
      <pageSetup orientation="portrait" r:id="rId6"/>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7"/>
      <headerFooter alignWithMargins="0"/>
    </customSheetView>
    <customSheetView guid="{08A645C4-A23F-4400-B0CE-1685BC312A6F}">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zoomScaleNormal="100" workbookViewId="0">
      <selection activeCell="C6" sqref="C6:D6"/>
    </sheetView>
  </sheetViews>
  <sheetFormatPr defaultRowHeight="16.5"/>
  <cols>
    <col min="1" max="1" width="9" style="318"/>
    <col min="2" max="2" width="26.875" style="100" customWidth="1"/>
    <col min="3" max="3" width="22.875" style="100" customWidth="1"/>
    <col min="4" max="5" width="15.625" style="100" customWidth="1"/>
    <col min="6" max="16384" width="9" style="79"/>
  </cols>
  <sheetData>
    <row r="1" spans="1:6">
      <c r="A1" s="306"/>
      <c r="B1" s="307"/>
      <c r="C1" s="307"/>
      <c r="D1" s="307"/>
      <c r="E1" s="307"/>
    </row>
    <row r="2" spans="1:6" ht="22.15" customHeight="1">
      <c r="A2" s="992" t="s">
        <v>281</v>
      </c>
      <c r="B2" s="992"/>
      <c r="C2" s="992"/>
      <c r="D2" s="993"/>
      <c r="E2"/>
    </row>
    <row r="3" spans="1:6">
      <c r="A3" s="306"/>
      <c r="B3" s="307"/>
      <c r="C3" s="307"/>
      <c r="D3" s="307"/>
      <c r="E3" s="307"/>
    </row>
    <row r="4" spans="1:6" ht="30">
      <c r="A4" s="104" t="s">
        <v>270</v>
      </c>
      <c r="B4" s="308" t="s">
        <v>271</v>
      </c>
      <c r="C4" s="104" t="s">
        <v>282</v>
      </c>
      <c r="D4" s="104" t="s">
        <v>283</v>
      </c>
      <c r="E4" s="104" t="s">
        <v>240</v>
      </c>
    </row>
    <row r="5" spans="1:6" ht="18" customHeight="1">
      <c r="A5" s="309" t="s">
        <v>275</v>
      </c>
      <c r="B5" s="309" t="s">
        <v>276</v>
      </c>
      <c r="C5" s="309" t="s">
        <v>277</v>
      </c>
      <c r="D5" s="309" t="s">
        <v>278</v>
      </c>
      <c r="E5" s="309" t="s">
        <v>279</v>
      </c>
    </row>
    <row r="6" spans="1:6" ht="45" customHeight="1">
      <c r="A6" s="310">
        <v>1</v>
      </c>
      <c r="B6" s="311"/>
      <c r="C6" s="312"/>
      <c r="D6" s="313"/>
      <c r="E6" s="314">
        <f>C6*D6</f>
        <v>0</v>
      </c>
    </row>
    <row r="7" spans="1:6" ht="45" customHeight="1">
      <c r="A7" s="310">
        <v>2</v>
      </c>
      <c r="B7" s="311"/>
      <c r="C7" s="312"/>
      <c r="D7" s="313"/>
      <c r="E7" s="314">
        <f t="shared" ref="E7:E15" si="0">C7*D7</f>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password="E98F" sheet="1" formatColumns="0" formatRows="0" selectLockedCells="1"/>
  <customSheetViews>
    <customSheetView guid="{9CA44E70-650F-49CD-967F-298619682CA2}" topLeftCell="A6">
      <selection activeCell="B6" sqref="B6"/>
      <pageMargins left="0.75" right="0.75" top="0.65" bottom="1" header="0.5" footer="0.5"/>
      <pageSetup orientation="portrait" r:id="rId1"/>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2"/>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3"/>
      <headerFooter alignWithMargins="0"/>
    </customSheetView>
    <customSheetView guid="{58D82F59-8CF6-455F-B9F4-081499FDF243}" scale="90">
      <selection activeCell="C8" sqref="C8"/>
      <pageMargins left="0.75" right="0.75" top="0.65" bottom="1" header="0.5" footer="0.5"/>
      <pageSetup orientation="portrait" r:id="rId4"/>
      <headerFooter alignWithMargins="0"/>
    </customSheetView>
    <customSheetView guid="{696D9240-6693-44E8-B9A4-2BFADD101EE2}" scale="90">
      <selection activeCell="C8" sqref="C8"/>
      <pageMargins left="0.75" right="0.75" top="0.65" bottom="1" header="0.5" footer="0.5"/>
      <pageSetup orientation="portrait" r:id="rId5"/>
      <headerFooter alignWithMargins="0"/>
    </customSheetView>
    <customSheetView guid="{B0EE7D76-5806-4718-BDAD-3A3EA691E5E4}" scale="90">
      <selection activeCell="C8" sqref="C8"/>
      <pageMargins left="0.75" right="0.75" top="0.65" bottom="1" header="0.5" footer="0.5"/>
      <pageSetup orientation="portrait" r:id="rId6"/>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7"/>
      <headerFooter alignWithMargins="0"/>
    </customSheetView>
    <customSheetView guid="{08A645C4-A23F-4400-B0CE-1685BC312A6F}">
      <selection activeCell="B6" sqref="B6"/>
      <pageMargins left="0.75" right="0.75" top="0.65" bottom="1" header="0.5" footer="0.5"/>
      <pageSetup orientation="portrait" r:id="rId8"/>
      <headerFooter alignWithMargins="0"/>
    </customSheetView>
  </customSheetViews>
  <mergeCells count="1">
    <mergeCell ref="A2:D2"/>
  </mergeCells>
  <phoneticPr fontId="30" type="noConversion"/>
  <pageMargins left="0.75" right="0.75" top="0.65" bottom="1" header="0.5" footer="0.5"/>
  <pageSetup orientation="portrait" r:id="rId9"/>
  <headerFooter alignWithMargins="0"/>
  <drawing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6" tint="-0.249977111117893"/>
  </sheetPr>
  <dimension ref="A1:F21"/>
  <sheetViews>
    <sheetView zoomScaleNormal="100" workbookViewId="0">
      <selection activeCell="C6" sqref="C6:D6"/>
    </sheetView>
  </sheetViews>
  <sheetFormatPr defaultRowHeight="16.5"/>
  <cols>
    <col min="1" max="1" width="9" style="318"/>
    <col min="2" max="2" width="26.875" style="100" customWidth="1"/>
    <col min="3" max="3" width="22.875" style="100" customWidth="1"/>
    <col min="4" max="5" width="15.625" style="100" customWidth="1"/>
    <col min="6" max="16384" width="9" style="79"/>
  </cols>
  <sheetData>
    <row r="1" spans="1:6">
      <c r="A1" s="306"/>
      <c r="B1" s="307"/>
      <c r="C1" s="307"/>
      <c r="D1" s="307"/>
      <c r="E1" s="307"/>
    </row>
    <row r="2" spans="1:6" ht="22.15" customHeight="1">
      <c r="A2" s="992" t="s">
        <v>281</v>
      </c>
      <c r="B2" s="992"/>
      <c r="C2" s="992"/>
      <c r="D2" s="993"/>
      <c r="E2"/>
    </row>
    <row r="3" spans="1:6">
      <c r="A3" s="306"/>
      <c r="B3" s="307"/>
      <c r="C3" s="307"/>
      <c r="D3" s="307"/>
      <c r="E3" s="307"/>
    </row>
    <row r="4" spans="1:6" ht="30">
      <c r="A4" s="104" t="s">
        <v>270</v>
      </c>
      <c r="B4" s="308" t="s">
        <v>271</v>
      </c>
      <c r="C4" s="104" t="s">
        <v>282</v>
      </c>
      <c r="D4" s="104" t="s">
        <v>283</v>
      </c>
      <c r="E4" s="104" t="s">
        <v>240</v>
      </c>
    </row>
    <row r="5" spans="1:6" ht="18" customHeight="1">
      <c r="A5" s="309" t="s">
        <v>275</v>
      </c>
      <c r="B5" s="309" t="s">
        <v>276</v>
      </c>
      <c r="C5" s="309" t="s">
        <v>277</v>
      </c>
      <c r="D5" s="309" t="s">
        <v>278</v>
      </c>
      <c r="E5" s="309" t="s">
        <v>279</v>
      </c>
    </row>
    <row r="6" spans="1:6" ht="45" customHeight="1">
      <c r="A6" s="310">
        <v>1</v>
      </c>
      <c r="B6" s="311"/>
      <c r="C6" s="312"/>
      <c r="D6" s="313"/>
      <c r="E6" s="314">
        <f>C6*D6</f>
        <v>0</v>
      </c>
    </row>
    <row r="7" spans="1:6" ht="45" customHeight="1">
      <c r="A7" s="310">
        <v>2</v>
      </c>
      <c r="B7" s="311"/>
      <c r="C7" s="312"/>
      <c r="D7" s="313"/>
      <c r="E7" s="314">
        <f t="shared" ref="E7:E15" si="0">C7*D7</f>
        <v>0</v>
      </c>
    </row>
    <row r="8" spans="1:6" ht="45" customHeight="1">
      <c r="A8" s="310">
        <v>3</v>
      </c>
      <c r="B8" s="311"/>
      <c r="C8" s="312"/>
      <c r="D8" s="313"/>
      <c r="E8" s="314">
        <f t="shared" si="0"/>
        <v>0</v>
      </c>
    </row>
    <row r="9" spans="1:6" ht="45" customHeight="1">
      <c r="A9" s="310">
        <v>4</v>
      </c>
      <c r="B9" s="311"/>
      <c r="C9" s="312"/>
      <c r="D9" s="313"/>
      <c r="E9" s="314">
        <f t="shared" si="0"/>
        <v>0</v>
      </c>
    </row>
    <row r="10" spans="1:6" ht="45" customHeight="1">
      <c r="A10" s="310">
        <v>5</v>
      </c>
      <c r="B10" s="311"/>
      <c r="C10" s="312"/>
      <c r="D10" s="313"/>
      <c r="E10" s="314">
        <f t="shared" si="0"/>
        <v>0</v>
      </c>
    </row>
    <row r="11" spans="1:6" ht="45" customHeight="1">
      <c r="A11" s="310">
        <v>6</v>
      </c>
      <c r="B11" s="311"/>
      <c r="C11" s="312"/>
      <c r="D11" s="313"/>
      <c r="E11" s="314">
        <f t="shared" si="0"/>
        <v>0</v>
      </c>
    </row>
    <row r="12" spans="1:6" ht="45" customHeight="1">
      <c r="A12" s="310">
        <v>7</v>
      </c>
      <c r="B12" s="311"/>
      <c r="C12" s="312"/>
      <c r="D12" s="313"/>
      <c r="E12" s="314">
        <f t="shared" si="0"/>
        <v>0</v>
      </c>
    </row>
    <row r="13" spans="1:6" ht="45" customHeight="1">
      <c r="A13" s="310">
        <v>8</v>
      </c>
      <c r="B13" s="311"/>
      <c r="C13" s="312"/>
      <c r="D13" s="313"/>
      <c r="E13" s="314">
        <f t="shared" si="0"/>
        <v>0</v>
      </c>
    </row>
    <row r="14" spans="1:6" ht="45" customHeight="1">
      <c r="A14" s="310">
        <v>9</v>
      </c>
      <c r="B14" s="311"/>
      <c r="C14" s="312"/>
      <c r="D14" s="313"/>
      <c r="E14" s="314">
        <f t="shared" si="0"/>
        <v>0</v>
      </c>
    </row>
    <row r="15" spans="1:6" ht="45" customHeight="1">
      <c r="A15" s="310">
        <v>10</v>
      </c>
      <c r="B15" s="311"/>
      <c r="C15" s="312"/>
      <c r="D15" s="313"/>
      <c r="E15" s="314">
        <f t="shared" si="0"/>
        <v>0</v>
      </c>
    </row>
    <row r="16" spans="1:6" ht="45" customHeight="1">
      <c r="A16" s="315"/>
      <c r="B16" s="316" t="s">
        <v>280</v>
      </c>
      <c r="C16" s="316"/>
      <c r="D16" s="316"/>
      <c r="E16" s="316">
        <f>SUM(E6:E15)</f>
        <v>0</v>
      </c>
      <c r="F16" s="317"/>
    </row>
    <row r="17" ht="30" customHeight="1"/>
    <row r="18" ht="30" customHeight="1"/>
    <row r="19" ht="30" customHeight="1"/>
    <row r="20" ht="30" customHeight="1"/>
    <row r="21" ht="30" customHeight="1"/>
  </sheetData>
  <sheetProtection password="E98F" sheet="1" formatColumns="0" formatRows="0" selectLockedCells="1"/>
  <mergeCells count="1">
    <mergeCell ref="A2:D2"/>
  </mergeCells>
  <pageMargins left="0.75" right="0.75" top="0.65"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L46"/>
  <sheetViews>
    <sheetView view="pageBreakPreview" topLeftCell="A28" zoomScaleNormal="100" zoomScaleSheetLayoutView="100" workbookViewId="0">
      <selection activeCell="D33" sqref="D33"/>
    </sheetView>
  </sheetViews>
  <sheetFormatPr defaultColWidth="8" defaultRowHeight="16.5"/>
  <cols>
    <col min="1" max="1" width="7.5" style="418" customWidth="1"/>
    <col min="2" max="2" width="46.875" style="418" customWidth="1"/>
    <col min="3" max="3" width="2.25" style="418" customWidth="1"/>
    <col min="4" max="4" width="17.625" style="419" customWidth="1"/>
    <col min="5" max="5" width="4.125" style="419" customWidth="1"/>
    <col min="6" max="6" width="17.625" style="419" customWidth="1"/>
    <col min="7" max="7" width="29.625" style="357" customWidth="1"/>
    <col min="8" max="8" width="15.25" style="357" customWidth="1"/>
    <col min="9" max="9" width="8.875" style="357" bestFit="1" customWidth="1"/>
    <col min="10" max="11" width="8" style="357"/>
    <col min="12" max="12" width="14" style="357" customWidth="1"/>
    <col min="13" max="16384" width="8" style="357"/>
  </cols>
  <sheetData>
    <row r="1" spans="1:8" ht="16.149999999999999" customHeight="1">
      <c r="A1" s="354"/>
      <c r="B1" s="1004" t="s">
        <v>301</v>
      </c>
      <c r="C1" s="1005"/>
      <c r="D1" s="1005"/>
      <c r="E1" s="1005"/>
      <c r="F1" s="1005"/>
    </row>
    <row r="2" spans="1:8" ht="16.149999999999999" customHeight="1">
      <c r="A2" s="354"/>
      <c r="B2" s="355"/>
      <c r="C2" s="356"/>
      <c r="D2" s="358"/>
      <c r="E2" s="358"/>
      <c r="F2" s="358"/>
    </row>
    <row r="3" spans="1:8" s="359" customFormat="1" ht="16.149999999999999" customHeight="1">
      <c r="A3" s="354"/>
      <c r="B3" s="354"/>
      <c r="C3" s="354"/>
      <c r="D3" s="1006" t="s">
        <v>302</v>
      </c>
      <c r="E3" s="1006"/>
      <c r="F3" s="1006"/>
    </row>
    <row r="4" spans="1:8" s="359" customFormat="1" ht="20.25" customHeight="1">
      <c r="A4" s="1007" t="s">
        <v>303</v>
      </c>
      <c r="B4" s="1007"/>
      <c r="C4" s="1007"/>
      <c r="D4" s="1008">
        <f>'Sch-1'!B8</f>
        <v>0</v>
      </c>
      <c r="E4" s="1008"/>
      <c r="F4" s="1008"/>
    </row>
    <row r="5" spans="1:8" s="365" customFormat="1" ht="21" customHeight="1">
      <c r="A5" s="361" t="s">
        <v>184</v>
      </c>
      <c r="B5" s="1011" t="s">
        <v>304</v>
      </c>
      <c r="C5" s="1012"/>
      <c r="D5" s="362" t="s">
        <v>305</v>
      </c>
      <c r="E5" s="1013" t="s">
        <v>306</v>
      </c>
      <c r="F5" s="1014"/>
    </row>
    <row r="6" spans="1:8" s="359" customFormat="1" ht="36" customHeight="1">
      <c r="A6" s="366">
        <v>1</v>
      </c>
      <c r="B6" s="367" t="s">
        <v>307</v>
      </c>
      <c r="C6" s="368"/>
      <c r="D6" s="369" t="str">
        <f>'Sch-6'!D15</f>
        <v>NOT APPLICABLE</v>
      </c>
      <c r="E6" s="370" t="s">
        <v>308</v>
      </c>
      <c r="F6" s="371" t="str">
        <f>D6</f>
        <v>NOT APPLICABLE</v>
      </c>
      <c r="G6" s="372"/>
    </row>
    <row r="7" spans="1:8" s="359" customFormat="1" ht="34.5" customHeight="1">
      <c r="A7" s="366">
        <v>2</v>
      </c>
      <c r="B7" s="367" t="s">
        <v>309</v>
      </c>
      <c r="C7" s="368"/>
      <c r="D7" s="369" t="str">
        <f>'Sch-6'!D17</f>
        <v>NOT APPLICABLE</v>
      </c>
      <c r="E7" s="370"/>
      <c r="F7" s="371" t="str">
        <f>D7</f>
        <v>NOT APPLICABLE</v>
      </c>
      <c r="G7" s="372"/>
    </row>
    <row r="8" spans="1:8" s="359" customFormat="1" ht="39" customHeight="1">
      <c r="A8" s="366">
        <v>3</v>
      </c>
      <c r="B8" s="367" t="s">
        <v>396</v>
      </c>
      <c r="C8" s="368"/>
      <c r="D8" s="373">
        <f>'Sch-6'!D19</f>
        <v>98636.6</v>
      </c>
      <c r="E8" s="363"/>
      <c r="F8" s="364">
        <f>D8</f>
        <v>98636.6</v>
      </c>
      <c r="G8" s="372"/>
    </row>
    <row r="9" spans="1:8" s="359" customFormat="1" ht="21" customHeight="1">
      <c r="A9" s="366">
        <v>4</v>
      </c>
      <c r="B9" s="367" t="s">
        <v>310</v>
      </c>
      <c r="C9" s="368"/>
      <c r="D9" s="374" t="s">
        <v>236</v>
      </c>
      <c r="E9" s="370"/>
      <c r="F9" s="364" t="str">
        <f>D9</f>
        <v>Not Applicable</v>
      </c>
    </row>
    <row r="10" spans="1:8" s="359" customFormat="1" ht="21" customHeight="1">
      <c r="A10" s="366">
        <v>5</v>
      </c>
      <c r="B10" s="367" t="s">
        <v>311</v>
      </c>
      <c r="C10" s="368"/>
      <c r="D10" s="375">
        <f>SUM(D6,D7,D8)</f>
        <v>98636.6</v>
      </c>
      <c r="E10" s="370"/>
      <c r="F10" s="376">
        <f>SUM(F6,F7,F8)</f>
        <v>98636.6</v>
      </c>
    </row>
    <row r="11" spans="1:8" s="359" customFormat="1" ht="21" customHeight="1">
      <c r="A11" s="366">
        <v>6</v>
      </c>
      <c r="B11" s="377" t="s">
        <v>312</v>
      </c>
      <c r="C11" s="378" t="s">
        <v>308</v>
      </c>
      <c r="D11" s="379" t="e">
        <f>H11</f>
        <v>#REF!</v>
      </c>
      <c r="E11" s="380" t="s">
        <v>308</v>
      </c>
      <c r="F11" s="371" t="e">
        <f>D11</f>
        <v>#REF!</v>
      </c>
      <c r="H11" s="381" t="e">
        <f>ROUND(('Sch-1'!#REF!-'Sch-1 Dis'!G23)+('Sch-2'!#REF!-'Sch-2 Dis'!G17),0)</f>
        <v>#REF!</v>
      </c>
    </row>
    <row r="12" spans="1:8" s="359" customFormat="1" ht="22.15" customHeight="1">
      <c r="A12" s="366">
        <v>7</v>
      </c>
      <c r="B12" s="377" t="s">
        <v>313</v>
      </c>
      <c r="C12" s="368"/>
      <c r="D12" s="362" t="e">
        <f>D10-D11</f>
        <v>#REF!</v>
      </c>
      <c r="E12" s="370"/>
      <c r="F12" s="376" t="e">
        <f>F10-F11</f>
        <v>#REF!</v>
      </c>
      <c r="G12" s="382"/>
    </row>
    <row r="13" spans="1:8" s="359" customFormat="1" ht="22.15" customHeight="1">
      <c r="A13" s="366">
        <v>8</v>
      </c>
      <c r="B13" s="367" t="s">
        <v>314</v>
      </c>
      <c r="C13" s="368"/>
      <c r="D13" s="379"/>
      <c r="E13" s="370"/>
      <c r="F13" s="371"/>
    </row>
    <row r="14" spans="1:8" s="359" customFormat="1" ht="22.15" customHeight="1">
      <c r="A14" s="366" t="s">
        <v>308</v>
      </c>
      <c r="B14" s="367" t="s">
        <v>315</v>
      </c>
      <c r="C14" s="383"/>
      <c r="D14" s="384" t="e">
        <f>'Sch-4 Dis'!D14:E14</f>
        <v>#REF!</v>
      </c>
      <c r="E14" s="385"/>
      <c r="F14" s="364" t="e">
        <f>F32</f>
        <v>#REF!</v>
      </c>
      <c r="G14" s="372"/>
    </row>
    <row r="15" spans="1:8" s="359" customFormat="1" ht="22.15" customHeight="1">
      <c r="A15" s="366"/>
      <c r="B15" s="367" t="s">
        <v>316</v>
      </c>
      <c r="C15" s="368"/>
      <c r="D15" s="384" t="e">
        <f>'Sch-4 Dis'!D17:E17</f>
        <v>#REF!</v>
      </c>
      <c r="E15" s="386"/>
      <c r="F15" s="364" t="e">
        <f>F34</f>
        <v>#REF!</v>
      </c>
      <c r="G15" s="372"/>
    </row>
    <row r="16" spans="1:8" s="359" customFormat="1" ht="22.15" customHeight="1">
      <c r="A16" s="366"/>
      <c r="B16" s="367" t="s">
        <v>317</v>
      </c>
      <c r="C16" s="368"/>
      <c r="D16" s="384" t="e">
        <f>'Sch-4 Dis'!D22:E22</f>
        <v>#REF!</v>
      </c>
      <c r="E16" s="386"/>
      <c r="F16" s="364" t="e">
        <f>F35</f>
        <v>#REF!</v>
      </c>
      <c r="G16" s="372"/>
    </row>
    <row r="17" spans="1:12" s="359" customFormat="1" ht="22.15" customHeight="1">
      <c r="A17" s="366"/>
      <c r="B17" s="367" t="s">
        <v>318</v>
      </c>
      <c r="C17" s="368"/>
      <c r="D17" s="384">
        <f>SUM('Sch-4 Dis'!D27:E27,'Sch-4 Dis'!D30:E30)</f>
        <v>0</v>
      </c>
      <c r="E17" s="386"/>
      <c r="F17" s="364" t="e">
        <f>F38</f>
        <v>#REF!</v>
      </c>
      <c r="G17" s="372"/>
    </row>
    <row r="18" spans="1:12" s="359" customFormat="1" ht="22.15" customHeight="1">
      <c r="A18" s="366"/>
      <c r="B18" s="367" t="s">
        <v>319</v>
      </c>
      <c r="C18" s="368"/>
      <c r="D18" s="373">
        <f>'Sch-5'!D27</f>
        <v>0</v>
      </c>
      <c r="E18" s="363"/>
      <c r="F18" s="364" t="str">
        <f>F36</f>
        <v/>
      </c>
    </row>
    <row r="19" spans="1:12" s="359" customFormat="1" ht="27" customHeight="1">
      <c r="A19" s="366"/>
      <c r="B19" s="367" t="s">
        <v>320</v>
      </c>
      <c r="C19" s="387"/>
      <c r="D19" s="388" t="e">
        <f>SUM(D14,D15,D16,D17,D18)</f>
        <v>#REF!</v>
      </c>
      <c r="E19" s="389"/>
      <c r="F19" s="387" t="e">
        <f>SUM(F14:F18)</f>
        <v>#REF!</v>
      </c>
      <c r="G19" s="372"/>
    </row>
    <row r="20" spans="1:12" s="359" customFormat="1" ht="33.75" customHeight="1">
      <c r="A20" s="366">
        <v>8</v>
      </c>
      <c r="B20" s="367" t="s">
        <v>321</v>
      </c>
      <c r="C20" s="368"/>
      <c r="D20" s="362" t="e">
        <f>D10+D19</f>
        <v>#REF!</v>
      </c>
      <c r="E20" s="390" t="s">
        <v>308</v>
      </c>
      <c r="F20" s="391" t="e">
        <f>F10+F19</f>
        <v>#REF!</v>
      </c>
      <c r="G20" s="372"/>
    </row>
    <row r="21" spans="1:12" s="359" customFormat="1" ht="51" customHeight="1">
      <c r="A21" s="366">
        <v>9</v>
      </c>
      <c r="B21" s="367" t="s">
        <v>322</v>
      </c>
      <c r="C21" s="368"/>
      <c r="D21" s="379" t="e">
        <f>'Sch-1'!#REF!</f>
        <v>#REF!</v>
      </c>
      <c r="E21" s="370"/>
      <c r="F21" s="371" t="e">
        <f>D21</f>
        <v>#REF!</v>
      </c>
    </row>
    <row r="22" spans="1:12" s="397" customFormat="1" ht="23.25" customHeight="1">
      <c r="A22" s="392" t="s">
        <v>308</v>
      </c>
      <c r="B22" s="393" t="s">
        <v>308</v>
      </c>
      <c r="C22" s="393"/>
      <c r="D22" s="394"/>
      <c r="E22" s="395"/>
      <c r="F22" s="396"/>
    </row>
    <row r="23" spans="1:12" s="359" customFormat="1" ht="18.75" customHeight="1">
      <c r="A23" s="398" t="s">
        <v>323</v>
      </c>
      <c r="B23" s="997" t="s">
        <v>324</v>
      </c>
      <c r="C23" s="997"/>
      <c r="D23" s="997"/>
      <c r="E23" s="997"/>
      <c r="F23" s="1015"/>
    </row>
    <row r="24" spans="1:12" s="359" customFormat="1" ht="18.75" customHeight="1">
      <c r="A24" s="398"/>
      <c r="B24" s="994" t="e">
        <f>H24&amp;" "&amp;G24&amp;" "&amp;I24&amp;" "&amp;J24&amp;"%"&amp; " as"&amp;" "&amp;K24&amp; " "&amp;L24</f>
        <v>#REF!</v>
      </c>
      <c r="C24" s="995"/>
      <c r="D24" s="995"/>
      <c r="E24" s="995"/>
      <c r="F24" s="996"/>
      <c r="G24" s="400" t="str">
        <f>IF('Sch-5'!D15=0,"",'Sch-5'!D15)</f>
        <v/>
      </c>
      <c r="H24" s="401" t="s">
        <v>325</v>
      </c>
      <c r="I24" s="401" t="e">
        <f>IF(J24="","","@")</f>
        <v>#REF!</v>
      </c>
      <c r="J24" s="402" t="e">
        <f>IF('Sch-5'!#REF!*100=0,"",'Sch-5'!#REF!*100)</f>
        <v>#REF!</v>
      </c>
      <c r="K24" s="403" t="e">
        <f>IF(OR(L24=0,L24=""),"","Rs.")</f>
        <v>#REF!</v>
      </c>
      <c r="L24" s="404" t="e">
        <f>IF(D14=0,"",D14)</f>
        <v>#REF!</v>
      </c>
    </row>
    <row r="25" spans="1:12" s="359" customFormat="1" ht="19.5" customHeight="1">
      <c r="B25" s="994" t="e">
        <f>H25&amp;" "&amp;G25&amp;" "&amp;I25&amp;" "&amp;J25&amp;"%"&amp; " as"&amp;" "&amp;K25&amp; " "&amp;L25</f>
        <v>#REF!</v>
      </c>
      <c r="C25" s="995"/>
      <c r="D25" s="995"/>
      <c r="E25" s="995"/>
      <c r="F25" s="996"/>
      <c r="G25" s="400" t="str">
        <f>IF('Sch-5'!D18=0,"",'Sch-5'!D18)</f>
        <v/>
      </c>
      <c r="H25" s="401" t="s">
        <v>326</v>
      </c>
      <c r="I25" s="401" t="e">
        <f>IF(J25="","","@")</f>
        <v>#REF!</v>
      </c>
      <c r="J25" s="402" t="e">
        <f>IF('Sch-5'!#REF!*100=0,"",'Sch-5'!#REF!*100)</f>
        <v>#REF!</v>
      </c>
      <c r="K25" s="403" t="e">
        <f>IF(OR(L25=0,L25=""),"","Rs.")</f>
        <v>#REF!</v>
      </c>
      <c r="L25" s="404" t="e">
        <f>IF(D15=0,"",D15)</f>
        <v>#REF!</v>
      </c>
    </row>
    <row r="26" spans="1:12" s="359" customFormat="1" ht="19.5" customHeight="1">
      <c r="B26" s="994" t="e">
        <f>H26&amp;" "&amp;G26&amp;" "&amp;I26&amp;" "&amp;J26&amp;"%"&amp; " as"&amp;" "&amp;K26&amp; " "&amp;L26</f>
        <v>#REF!</v>
      </c>
      <c r="C26" s="995"/>
      <c r="D26" s="995"/>
      <c r="E26" s="995"/>
      <c r="F26" s="996"/>
      <c r="G26" s="400" t="str">
        <f>IF('Sch-5'!D20=0,"",'Sch-5'!D20)</f>
        <v/>
      </c>
      <c r="H26" s="401" t="s">
        <v>327</v>
      </c>
      <c r="I26" s="401" t="e">
        <f>IF(J26="","","@")</f>
        <v>#REF!</v>
      </c>
      <c r="J26" s="402" t="e">
        <f>IF('Sch-5'!#REF!*100=0,"",'Sch-5'!#REF!*100)</f>
        <v>#REF!</v>
      </c>
      <c r="K26" s="403" t="e">
        <f>IF(OR(L26=0,L26=""),"","Rs.")</f>
        <v>#REF!</v>
      </c>
      <c r="L26" s="404" t="e">
        <f>IF(D16=0,"",D16)</f>
        <v>#REF!</v>
      </c>
    </row>
    <row r="27" spans="1:12" s="359" customFormat="1" ht="19.5" customHeight="1">
      <c r="B27" s="994" t="str">
        <f>H27&amp;" "&amp;G27&amp;" "&amp;I27&amp;" "&amp;J27&amp; " as"&amp;" "&amp;K27&amp; " "&amp;L27</f>
        <v xml:space="preserve">Entry Tax/ Octroi    as  </v>
      </c>
      <c r="C27" s="995"/>
      <c r="D27" s="995"/>
      <c r="E27" s="995"/>
      <c r="F27" s="996"/>
      <c r="G27" s="400" t="str">
        <f>IF('Sch-5'!D24=0,"",'Sch-5'!D24)</f>
        <v/>
      </c>
      <c r="H27" s="401" t="s">
        <v>328</v>
      </c>
      <c r="I27" s="401"/>
      <c r="J27" s="405"/>
      <c r="K27" s="403" t="str">
        <f>IF(OR(L27=0,L27=""),"","Rs.")</f>
        <v/>
      </c>
      <c r="L27" s="404" t="str">
        <f>IF(D17=0,"",D17)</f>
        <v/>
      </c>
    </row>
    <row r="28" spans="1:12" s="359" customFormat="1" ht="19.5" customHeight="1">
      <c r="B28" s="994" t="str">
        <f>H28&amp;" "&amp;G28&amp;" "&amp;I28&amp;" "&amp;J28&amp; " as"&amp;" "&amp;K28&amp; " "&amp;L28</f>
        <v xml:space="preserve">Others     as  </v>
      </c>
      <c r="C28" s="995"/>
      <c r="D28" s="995"/>
      <c r="E28" s="995"/>
      <c r="F28" s="996"/>
      <c r="G28" s="400" t="str">
        <f>IF('Sch-5'!D28=0,"",'Sch-5'!D28)</f>
        <v/>
      </c>
      <c r="H28" s="399" t="s">
        <v>329</v>
      </c>
      <c r="I28" s="399"/>
      <c r="J28" s="399"/>
      <c r="K28" s="399" t="str">
        <f>IF(OR(L28=0,L28=""),"","Rs.")</f>
        <v/>
      </c>
      <c r="L28" s="406" t="str">
        <f>IF(D18=0,"",D18)</f>
        <v/>
      </c>
    </row>
    <row r="29" spans="1:12" s="359" customFormat="1" ht="19.5" customHeight="1">
      <c r="B29" s="1009"/>
      <c r="C29" s="1009"/>
      <c r="D29" s="1009"/>
      <c r="E29" s="1009"/>
      <c r="F29" s="1010"/>
    </row>
    <row r="30" spans="1:12" s="408" customFormat="1" ht="59.25" customHeight="1">
      <c r="A30" s="407" t="s">
        <v>330</v>
      </c>
      <c r="B30" s="1001" t="s">
        <v>331</v>
      </c>
      <c r="C30" s="1002"/>
      <c r="D30" s="1002"/>
      <c r="E30" s="1002"/>
      <c r="F30" s="1003"/>
    </row>
    <row r="31" spans="1:12" s="359" customFormat="1" ht="19.5" customHeight="1">
      <c r="A31" s="409" t="s">
        <v>332</v>
      </c>
      <c r="B31" s="997" t="s">
        <v>333</v>
      </c>
      <c r="C31" s="997"/>
      <c r="D31" s="997"/>
      <c r="E31" s="399" t="s">
        <v>334</v>
      </c>
      <c r="F31" s="404" t="e">
        <f>'Sch-1'!#REF!</f>
        <v>#REF!</v>
      </c>
    </row>
    <row r="32" spans="1:12" s="359" customFormat="1" ht="19.5" customHeight="1">
      <c r="A32" s="409" t="s">
        <v>335</v>
      </c>
      <c r="B32" s="401" t="s">
        <v>336</v>
      </c>
      <c r="C32" s="410"/>
      <c r="D32" s="411">
        <v>0.1236</v>
      </c>
      <c r="E32" s="399" t="s">
        <v>334</v>
      </c>
      <c r="F32" s="404" t="e">
        <f>ROUND(D32*F31,0)</f>
        <v>#REF!</v>
      </c>
      <c r="H32" s="997"/>
      <c r="I32" s="997"/>
      <c r="J32" s="997"/>
    </row>
    <row r="33" spans="1:10" s="359" customFormat="1" ht="19.5" customHeight="1">
      <c r="A33" s="412" t="s">
        <v>337</v>
      </c>
      <c r="B33" s="401" t="s">
        <v>296</v>
      </c>
      <c r="C33" s="410"/>
      <c r="D33" s="413" t="e">
        <f>'Sch-4 Dis'!C19</f>
        <v>#REF!</v>
      </c>
      <c r="E33" s="399"/>
      <c r="F33" s="404" t="e">
        <f>D33</f>
        <v>#REF!</v>
      </c>
      <c r="H33" s="399"/>
      <c r="I33" s="399"/>
      <c r="J33" s="399"/>
    </row>
    <row r="34" spans="1:10" s="359" customFormat="1" ht="19.5" customHeight="1">
      <c r="A34" s="412" t="s">
        <v>338</v>
      </c>
      <c r="B34" s="401" t="s">
        <v>339</v>
      </c>
      <c r="D34" s="411">
        <v>0</v>
      </c>
      <c r="E34" s="399" t="s">
        <v>334</v>
      </c>
      <c r="F34" s="404" t="e">
        <f>ROUND((F33+(F33*D32))*D34,0)</f>
        <v>#REF!</v>
      </c>
    </row>
    <row r="35" spans="1:10" s="359" customFormat="1" ht="19.5" customHeight="1">
      <c r="A35" s="412" t="s">
        <v>340</v>
      </c>
      <c r="B35" s="401" t="s">
        <v>341</v>
      </c>
      <c r="C35" s="399"/>
      <c r="D35" s="411">
        <v>0</v>
      </c>
      <c r="E35" s="399"/>
      <c r="F35" s="404" t="e">
        <f>ROUND(((F31-F33)+((F31-F33)*D32))*D35,0)</f>
        <v>#REF!</v>
      </c>
    </row>
    <row r="36" spans="1:10" s="359" customFormat="1" ht="19.5" customHeight="1">
      <c r="A36" s="412" t="s">
        <v>342</v>
      </c>
      <c r="B36" s="403" t="s">
        <v>343</v>
      </c>
      <c r="C36" s="399"/>
      <c r="D36" s="399"/>
      <c r="E36" s="399" t="s">
        <v>334</v>
      </c>
      <c r="F36" s="414" t="str">
        <f>L28</f>
        <v/>
      </c>
    </row>
    <row r="37" spans="1:10" s="359" customFormat="1" ht="19.5" customHeight="1">
      <c r="A37" s="412" t="s">
        <v>344</v>
      </c>
      <c r="B37" s="997" t="s">
        <v>345</v>
      </c>
      <c r="C37" s="997"/>
      <c r="D37" s="997"/>
      <c r="E37" s="399" t="s">
        <v>334</v>
      </c>
      <c r="F37" s="415" t="e">
        <f>SUM(F31,F32,F34,F35,F36)</f>
        <v>#REF!</v>
      </c>
    </row>
    <row r="38" spans="1:10" s="359" customFormat="1" ht="19.5" customHeight="1">
      <c r="A38" s="412" t="s">
        <v>346</v>
      </c>
      <c r="B38" s="403" t="s">
        <v>347</v>
      </c>
      <c r="C38" s="399"/>
      <c r="D38" s="411"/>
      <c r="E38" s="399" t="s">
        <v>334</v>
      </c>
      <c r="F38" s="414" t="e">
        <f>ROUND(D38*F37,0)</f>
        <v>#REF!</v>
      </c>
    </row>
    <row r="39" spans="1:10" s="359" customFormat="1" ht="19.5" customHeight="1">
      <c r="A39" s="409"/>
      <c r="B39" s="399"/>
      <c r="C39" s="399"/>
      <c r="D39" s="399"/>
      <c r="E39" s="399"/>
      <c r="F39" s="416"/>
    </row>
    <row r="40" spans="1:10" s="359" customFormat="1" ht="15" customHeight="1">
      <c r="A40" s="409"/>
      <c r="B40" s="399"/>
      <c r="C40" s="399"/>
      <c r="D40" s="399"/>
      <c r="E40" s="399"/>
      <c r="F40" s="416"/>
    </row>
    <row r="41" spans="1:10" s="359" customFormat="1" ht="15" customHeight="1">
      <c r="A41" s="409"/>
      <c r="B41" s="399"/>
      <c r="C41" s="399"/>
      <c r="D41" s="399"/>
      <c r="E41" s="399"/>
      <c r="F41" s="416"/>
    </row>
    <row r="42" spans="1:10" s="359" customFormat="1" ht="19.5" customHeight="1">
      <c r="A42" s="409"/>
      <c r="B42" s="399"/>
      <c r="C42" s="399"/>
      <c r="D42" s="399"/>
      <c r="E42" s="399"/>
      <c r="F42" s="416"/>
    </row>
    <row r="43" spans="1:10" ht="49.5" customHeight="1">
      <c r="A43" s="998" t="str">
        <f>Cover!B2</f>
        <v>AMC (including Preventive Maintenance) of Underground/ Overhead OFC Links of Vadodara Intracity including route up to Getco Asoj S/s (Halol Road) and Up to MS-116 on NH-48, Vadodara-Ahmedabad Highway up to Vasad (T-223) and Vadodara-Ahmedabad Expway from MS-42.4 to MS-95 including LMC for various cities of Gujarat i.e. Vadodara, Anand, Dahod, Gandhar, Bharuch, Surat, Navsari, Vapi, Tapi, Vyara, Dang, Chhota Udaipur &amp; all other cities of south Gujarat and UT of Daman and DNH, Silvassa for a period of three years under PKG-B1 in Western Region</v>
      </c>
      <c r="B43" s="998"/>
      <c r="C43" s="998"/>
      <c r="D43" s="999" t="s">
        <v>348</v>
      </c>
      <c r="E43" s="1000"/>
      <c r="F43" s="360" t="s">
        <v>349</v>
      </c>
    </row>
    <row r="46" spans="1:10">
      <c r="A46" s="417"/>
    </row>
  </sheetData>
  <sheetProtection selectLockedCells="1" selectUnlockedCells="1"/>
  <customSheetViews>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08A645C4-A23F-4400-B0CE-1685BC312A6F}"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7" fitToHeight="0" orientation="portrait" horizontalDpi="1200" verticalDpi="1200" r:id="rId6"/>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L26"/>
  <sheetViews>
    <sheetView view="pageBreakPreview" topLeftCell="B1" zoomScale="80" zoomScaleNormal="100" zoomScaleSheetLayoutView="80" workbookViewId="0">
      <selection activeCell="C10" sqref="C10"/>
    </sheetView>
  </sheetViews>
  <sheetFormatPr defaultRowHeight="16.5"/>
  <cols>
    <col min="1" max="1" width="7.5" customWidth="1"/>
    <col min="2" max="2" width="13" customWidth="1"/>
    <col min="3" max="3" width="44.625" style="420" customWidth="1"/>
    <col min="4" max="4" width="34.625" customWidth="1"/>
    <col min="5" max="5" width="26.5" customWidth="1"/>
    <col min="7" max="7" width="15.25" customWidth="1"/>
    <col min="12" max="12" width="18.25" customWidth="1"/>
  </cols>
  <sheetData>
    <row r="1" spans="1:12" ht="33">
      <c r="G1" s="421" t="str">
        <f>'Q &amp; C'!G24</f>
        <v/>
      </c>
      <c r="H1" s="401" t="str">
        <f>'Q &amp; C'!H24</f>
        <v xml:space="preserve">Excise Duty </v>
      </c>
      <c r="I1" s="401" t="e">
        <f>'Q &amp; C'!I24</f>
        <v>#REF!</v>
      </c>
      <c r="J1" s="405" t="e">
        <f>'Q &amp; C'!J24</f>
        <v>#REF!</v>
      </c>
      <c r="K1" s="399" t="e">
        <f>'Q &amp; C'!K24</f>
        <v>#REF!</v>
      </c>
      <c r="L1" s="404" t="e">
        <f>'Q &amp; C'!L24</f>
        <v>#REF!</v>
      </c>
    </row>
    <row r="2" spans="1:12">
      <c r="A2" s="422" t="s">
        <v>184</v>
      </c>
      <c r="B2" s="422" t="s">
        <v>350</v>
      </c>
      <c r="C2" s="423" t="s">
        <v>351</v>
      </c>
      <c r="D2" s="422" t="s">
        <v>352</v>
      </c>
      <c r="E2" s="422" t="s">
        <v>353</v>
      </c>
      <c r="G2" s="424" t="str">
        <f>'Q &amp; C'!G25</f>
        <v/>
      </c>
      <c r="H2" s="424" t="str">
        <f>'Q &amp; C'!H25</f>
        <v xml:space="preserve">CST </v>
      </c>
      <c r="I2" s="424" t="e">
        <f>'Q &amp; C'!I25</f>
        <v>#REF!</v>
      </c>
      <c r="J2" s="424" t="e">
        <f>'Q &amp; C'!J25</f>
        <v>#REF!</v>
      </c>
      <c r="K2" s="424" t="e">
        <f>'Q &amp; C'!K25</f>
        <v>#REF!</v>
      </c>
      <c r="L2" s="424" t="e">
        <f>'Q &amp; C'!L25</f>
        <v>#REF!</v>
      </c>
    </row>
    <row r="3" spans="1:12" ht="23.25" customHeight="1">
      <c r="A3" s="425">
        <v>1</v>
      </c>
      <c r="B3" s="426" t="s">
        <v>354</v>
      </c>
      <c r="C3" s="427" t="s">
        <v>355</v>
      </c>
      <c r="D3" s="428"/>
      <c r="E3" s="428"/>
      <c r="G3" s="424" t="str">
        <f>'Q &amp; C'!G26</f>
        <v/>
      </c>
      <c r="H3" s="424" t="str">
        <f>'Q &amp; C'!H26</f>
        <v xml:space="preserve">VAT </v>
      </c>
      <c r="I3" s="424" t="e">
        <f>'Q &amp; C'!I26</f>
        <v>#REF!</v>
      </c>
      <c r="J3" s="424" t="e">
        <f>'Q &amp; C'!J26</f>
        <v>#REF!</v>
      </c>
      <c r="K3" s="424" t="e">
        <f>'Q &amp; C'!K26</f>
        <v>#REF!</v>
      </c>
      <c r="L3" s="424" t="e">
        <f>'Q &amp; C'!L26</f>
        <v>#REF!</v>
      </c>
    </row>
    <row r="4" spans="1:12" ht="30" customHeight="1">
      <c r="A4" s="428"/>
      <c r="B4" s="428"/>
      <c r="C4" s="429" t="s">
        <v>356</v>
      </c>
      <c r="D4" s="426" t="e">
        <f>H1&amp;" "&amp;G1&amp;" "&amp;I1&amp;" "&amp;J1&amp;"%"&amp; " as"&amp;" "&amp;K1&amp; " "&amp;L1</f>
        <v>#REF!</v>
      </c>
      <c r="E4" s="426"/>
      <c r="G4" s="424" t="str">
        <f>'Q &amp; C'!G27</f>
        <v/>
      </c>
      <c r="H4" s="424" t="str">
        <f>'Q &amp; C'!H27</f>
        <v>Entry Tax/ Octroi</v>
      </c>
      <c r="I4" s="430"/>
      <c r="J4" s="430"/>
      <c r="K4" s="424" t="str">
        <f>'Q &amp; C'!K27</f>
        <v/>
      </c>
      <c r="L4" s="424" t="str">
        <f>'Q &amp; C'!L27</f>
        <v/>
      </c>
    </row>
    <row r="5" spans="1:12" ht="40.5" customHeight="1">
      <c r="A5" s="428"/>
      <c r="B5" s="428"/>
      <c r="C5" s="429" t="s">
        <v>357</v>
      </c>
      <c r="D5" s="426" t="e">
        <f>H2&amp;" "&amp;G2&amp;" "&amp;I2&amp;" "&amp;J2&amp;"%"&amp; " as"&amp;" "&amp;K2&amp; " "&amp;L2</f>
        <v>#REF!</v>
      </c>
      <c r="E5" s="426"/>
      <c r="G5" s="424" t="str">
        <f>'Q &amp; C'!G28</f>
        <v/>
      </c>
      <c r="H5" s="424" t="str">
        <f>'Q &amp; C'!H28</f>
        <v xml:space="preserve">Others </v>
      </c>
      <c r="I5" s="430"/>
      <c r="J5" s="430"/>
      <c r="K5" s="424" t="str">
        <f>'Q &amp; C'!K28</f>
        <v/>
      </c>
      <c r="L5" s="424" t="str">
        <f>'Q &amp; C'!L28</f>
        <v/>
      </c>
    </row>
    <row r="6" spans="1:12" ht="42" customHeight="1">
      <c r="A6" s="428"/>
      <c r="B6" s="428"/>
      <c r="C6" s="429" t="s">
        <v>358</v>
      </c>
      <c r="D6" s="426" t="e">
        <f>H3&amp;" "&amp;G3&amp;" "&amp;I3&amp;" "&amp;J3&amp;"%"&amp; " as"&amp;" "&amp;K3&amp; " "&amp;L3</f>
        <v>#REF!</v>
      </c>
      <c r="E6" s="426"/>
      <c r="G6" s="424"/>
      <c r="H6" s="424"/>
      <c r="I6" s="424"/>
      <c r="J6" s="424"/>
      <c r="K6" s="424"/>
      <c r="L6" s="424"/>
    </row>
    <row r="7" spans="1:12" ht="59.25" customHeight="1">
      <c r="A7" s="428"/>
      <c r="B7" s="428"/>
      <c r="C7" s="429" t="s">
        <v>359</v>
      </c>
      <c r="D7" s="426" t="str">
        <f>H4&amp;" "&amp;G4&amp;" "&amp;I4&amp;" "&amp;J4&amp; " as"&amp;" "&amp;K4&amp; " "&amp;L4</f>
        <v xml:space="preserve">Entry Tax/ Octroi    as  </v>
      </c>
      <c r="E7" s="426"/>
    </row>
    <row r="8" spans="1:12" ht="27">
      <c r="A8" s="428"/>
      <c r="B8" s="428"/>
      <c r="C8" s="429" t="s">
        <v>360</v>
      </c>
      <c r="D8" s="426" t="str">
        <f>H5&amp;" "&amp;G5&amp;" "&amp;I5&amp;" "&amp;J5&amp; " as"&amp;" "&amp;K5&amp; " "&amp;L5</f>
        <v xml:space="preserve">Others     as  </v>
      </c>
      <c r="E8" s="426"/>
    </row>
    <row r="9" spans="1:12" ht="40.5">
      <c r="A9" s="428"/>
      <c r="B9" s="428"/>
      <c r="C9" s="429" t="s">
        <v>361</v>
      </c>
      <c r="D9" s="426"/>
      <c r="E9" s="426"/>
    </row>
    <row r="10" spans="1:12" ht="94.5">
      <c r="A10" s="428"/>
      <c r="B10" s="428"/>
      <c r="C10" s="429" t="s">
        <v>362</v>
      </c>
      <c r="D10" s="426"/>
      <c r="E10" s="426"/>
    </row>
    <row r="11" spans="1:12" ht="67.5">
      <c r="A11" s="428"/>
      <c r="B11" s="428"/>
      <c r="C11" s="429" t="s">
        <v>363</v>
      </c>
      <c r="D11" s="426"/>
      <c r="E11" s="426"/>
    </row>
    <row r="12" spans="1:12" ht="99">
      <c r="A12" s="431">
        <v>2</v>
      </c>
      <c r="B12" s="432" t="s">
        <v>364</v>
      </c>
      <c r="C12" s="433" t="s">
        <v>365</v>
      </c>
      <c r="D12" s="432"/>
      <c r="E12" s="432"/>
    </row>
    <row r="13" spans="1:12">
      <c r="C13" s="434"/>
      <c r="D13" s="434"/>
      <c r="E13" s="434"/>
    </row>
    <row r="14" spans="1:12">
      <c r="C14" s="434"/>
      <c r="D14" s="434"/>
      <c r="E14" s="434"/>
    </row>
    <row r="15" spans="1:12">
      <c r="C15" s="434"/>
      <c r="D15" s="434"/>
      <c r="E15" s="434"/>
    </row>
    <row r="16" spans="1:12">
      <c r="C16" s="434"/>
      <c r="D16" s="434"/>
      <c r="E16" s="434"/>
    </row>
    <row r="17" spans="3:5">
      <c r="C17" s="434"/>
      <c r="D17" s="434"/>
      <c r="E17" s="435"/>
    </row>
    <row r="18" spans="3:5">
      <c r="C18" s="434"/>
      <c r="D18" s="434"/>
      <c r="E18" s="434"/>
    </row>
    <row r="19" spans="3:5">
      <c r="C19" s="434"/>
      <c r="D19" s="434"/>
      <c r="E19" s="434"/>
    </row>
    <row r="20" spans="3:5">
      <c r="C20" s="434"/>
      <c r="D20" s="434"/>
      <c r="E20" s="434"/>
    </row>
    <row r="21" spans="3:5">
      <c r="C21" s="434"/>
      <c r="D21" s="434"/>
      <c r="E21" s="434"/>
    </row>
    <row r="22" spans="3:5">
      <c r="C22" s="434"/>
      <c r="D22" s="434"/>
      <c r="E22" s="434"/>
    </row>
    <row r="23" spans="3:5">
      <c r="C23" s="434"/>
      <c r="D23" s="434"/>
      <c r="E23" s="434"/>
    </row>
    <row r="24" spans="3:5">
      <c r="C24" s="434"/>
      <c r="D24" s="434"/>
      <c r="E24" s="434"/>
    </row>
    <row r="25" spans="3:5">
      <c r="C25" s="434"/>
      <c r="D25" s="434"/>
      <c r="E25" s="434"/>
    </row>
    <row r="26" spans="3:5">
      <c r="C26" s="434"/>
      <c r="D26" s="434"/>
      <c r="E26" s="434"/>
    </row>
  </sheetData>
  <customSheetViews>
    <customSheetView guid="{9CA44E70-650F-49CD-967F-298619682CA2}" scale="80" showPageBreaks="1" printArea="1" state="hidden" view="pageBreakPreview" topLeftCell="B7">
      <selection activeCell="I10" sqref="I10"/>
      <pageMargins left="0.7" right="0.7" top="0.75" bottom="0.75" header="0.3" footer="0.3"/>
      <pageSetup scale="99" orientation="landscape" r:id="rId1"/>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2"/>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3"/>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4"/>
    </customSheetView>
    <customSheetView guid="{08A645C4-A23F-4400-B0CE-1685BC312A6F}" scale="80" showPageBreaks="1" printArea="1" state="hidden" view="pageBreakPreview" topLeftCell="B7">
      <selection activeCell="I10" sqref="I10"/>
      <pageMargins left="0.7" right="0.7" top="0.75" bottom="0.75" header="0.3" footer="0.3"/>
      <pageSetup scale="99" orientation="landscape" r:id="rId5"/>
    </customSheetView>
  </customSheetViews>
  <phoneticPr fontId="30" type="noConversion"/>
  <pageMargins left="0.7" right="0.7" top="0.75" bottom="0.75" header="0.3" footer="0.3"/>
  <pageSetup scale="99" orientation="landscape"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8"/>
  </sheetPr>
  <dimension ref="A1:D112"/>
  <sheetViews>
    <sheetView workbookViewId="0">
      <selection activeCell="E8" sqref="E8"/>
    </sheetView>
  </sheetViews>
  <sheetFormatPr defaultColWidth="8" defaultRowHeight="12.75"/>
  <cols>
    <col min="1" max="1" width="11.625" style="133" customWidth="1"/>
    <col min="2" max="2" width="10.375" style="133" customWidth="1"/>
    <col min="3" max="16384" width="8" style="133"/>
  </cols>
  <sheetData>
    <row r="1" spans="1:4" s="131" customFormat="1" ht="30" customHeight="1">
      <c r="A1" s="1016">
        <f>'Bid Form 2nd Envelope'!AB16</f>
        <v>116391.18799999999</v>
      </c>
      <c r="B1" s="1016"/>
    </row>
    <row r="2" spans="1:4" s="131" customFormat="1" ht="30" customHeight="1">
      <c r="A2" s="132"/>
    </row>
    <row r="3" spans="1:4">
      <c r="A3" s="132"/>
    </row>
    <row r="4" spans="1:4">
      <c r="A4" s="130" t="str">
        <f>IF(OR((A1&gt;9999999999),(A1&lt;0)),"Invalid Entry - More than 1000 crore OR -ve value",IF(A1=0, "Rs. Zero Only ",+CONCATENATE("Rs. ", B11,D11,B10,D10,B9,D9,B8,D8,B7,D7,B6," Only")))</f>
        <v>Rs. One Lac Sixteen Thousand Three Hundred Ninety One Only</v>
      </c>
    </row>
    <row r="5" spans="1:4">
      <c r="A5" s="132"/>
    </row>
    <row r="6" spans="1:4">
      <c r="A6" s="129">
        <f>-INT(A1/100)*100+ROUND(A1,0)</f>
        <v>91</v>
      </c>
      <c r="B6" s="133" t="str">
        <f t="shared" ref="B6:B11" si="0">IF(A6=0,"",LOOKUP(A6,$A$13:$A$112,$B$13:$B$112))</f>
        <v>Ninety One</v>
      </c>
      <c r="D6" s="130"/>
    </row>
    <row r="7" spans="1:4">
      <c r="A7" s="129">
        <f>-INT(A1/1000)*10+INT(A1/100)</f>
        <v>3</v>
      </c>
      <c r="B7" s="133" t="str">
        <f t="shared" si="0"/>
        <v>Three</v>
      </c>
      <c r="D7" s="130" t="str">
        <f>+IF(B7="",""," Hundred ")</f>
        <v xml:space="preserve"> Hundred </v>
      </c>
    </row>
    <row r="8" spans="1:4">
      <c r="A8" s="129">
        <f>-INT(A1/100000)*100+INT(A1/1000)</f>
        <v>16</v>
      </c>
      <c r="B8" s="133" t="str">
        <f t="shared" si="0"/>
        <v>Sixteen</v>
      </c>
      <c r="D8" s="130" t="str">
        <f>IF((B8=""),IF(C8="",""," Thousand ")," Thousand ")</f>
        <v xml:space="preserve"> Thousand </v>
      </c>
    </row>
    <row r="9" spans="1:4">
      <c r="A9" s="129">
        <f>-INT(A1/10000000)*100+INT(A1/100000)</f>
        <v>1</v>
      </c>
      <c r="B9" s="133" t="str">
        <f t="shared" si="0"/>
        <v>One</v>
      </c>
      <c r="D9" s="130" t="str">
        <f>IF((B9=""),IF(C9="",""," Lac ")," Lac ")</f>
        <v xml:space="preserve"> Lac </v>
      </c>
    </row>
    <row r="10" spans="1:4">
      <c r="A10" s="129">
        <f>-INT(A1/1000000000)*100+INT(A1/10000000)</f>
        <v>0</v>
      </c>
      <c r="B10" s="134" t="str">
        <f t="shared" si="0"/>
        <v/>
      </c>
      <c r="D10" s="130" t="str">
        <f>IF((B10=""),IF(C10="",""," Crore ")," Crore ")</f>
        <v/>
      </c>
    </row>
    <row r="11" spans="1:4">
      <c r="A11" s="135">
        <f>-INT(A1/10000000000)*1000+INT(A1/1000000000)</f>
        <v>0</v>
      </c>
      <c r="B11" s="134" t="str">
        <f t="shared" si="0"/>
        <v/>
      </c>
      <c r="D11" s="130" t="str">
        <f>IF((B11=""),IF(C11="",""," Hundred ")," Hundred ")</f>
        <v/>
      </c>
    </row>
    <row r="13" spans="1:4">
      <c r="A13" s="136">
        <v>1</v>
      </c>
      <c r="B13" s="137" t="s">
        <v>17</v>
      </c>
    </row>
    <row r="14" spans="1:4">
      <c r="A14" s="136">
        <v>2</v>
      </c>
      <c r="B14" s="137" t="s">
        <v>18</v>
      </c>
    </row>
    <row r="15" spans="1:4">
      <c r="A15" s="136">
        <v>3</v>
      </c>
      <c r="B15" s="137" t="s">
        <v>19</v>
      </c>
    </row>
    <row r="16" spans="1:4">
      <c r="A16" s="136">
        <v>4</v>
      </c>
      <c r="B16" s="137" t="s">
        <v>20</v>
      </c>
    </row>
    <row r="17" spans="1:2">
      <c r="A17" s="136">
        <v>5</v>
      </c>
      <c r="B17" s="137" t="s">
        <v>21</v>
      </c>
    </row>
    <row r="18" spans="1:2">
      <c r="A18" s="136">
        <v>6</v>
      </c>
      <c r="B18" s="137" t="s">
        <v>22</v>
      </c>
    </row>
    <row r="19" spans="1:2">
      <c r="A19" s="136">
        <v>7</v>
      </c>
      <c r="B19" s="137" t="s">
        <v>23</v>
      </c>
    </row>
    <row r="20" spans="1:2">
      <c r="A20" s="136">
        <v>8</v>
      </c>
      <c r="B20" s="137" t="s">
        <v>24</v>
      </c>
    </row>
    <row r="21" spans="1:2">
      <c r="A21" s="136">
        <v>9</v>
      </c>
      <c r="B21" s="137" t="s">
        <v>25</v>
      </c>
    </row>
    <row r="22" spans="1:2">
      <c r="A22" s="136">
        <v>10</v>
      </c>
      <c r="B22" s="137" t="s">
        <v>26</v>
      </c>
    </row>
    <row r="23" spans="1:2">
      <c r="A23" s="136">
        <v>11</v>
      </c>
      <c r="B23" s="137" t="s">
        <v>27</v>
      </c>
    </row>
    <row r="24" spans="1:2">
      <c r="A24" s="136">
        <v>12</v>
      </c>
      <c r="B24" s="137" t="s">
        <v>28</v>
      </c>
    </row>
    <row r="25" spans="1:2">
      <c r="A25" s="136">
        <v>13</v>
      </c>
      <c r="B25" s="137" t="s">
        <v>29</v>
      </c>
    </row>
    <row r="26" spans="1:2">
      <c r="A26" s="136">
        <v>14</v>
      </c>
      <c r="B26" s="137" t="s">
        <v>30</v>
      </c>
    </row>
    <row r="27" spans="1:2">
      <c r="A27" s="136">
        <v>15</v>
      </c>
      <c r="B27" s="137" t="s">
        <v>31</v>
      </c>
    </row>
    <row r="28" spans="1:2">
      <c r="A28" s="136">
        <v>16</v>
      </c>
      <c r="B28" s="137" t="s">
        <v>32</v>
      </c>
    </row>
    <row r="29" spans="1:2">
      <c r="A29" s="136">
        <v>17</v>
      </c>
      <c r="B29" s="137" t="s">
        <v>33</v>
      </c>
    </row>
    <row r="30" spans="1:2">
      <c r="A30" s="136">
        <v>18</v>
      </c>
      <c r="B30" s="137" t="s">
        <v>34</v>
      </c>
    </row>
    <row r="31" spans="1:2">
      <c r="A31" s="136">
        <v>19</v>
      </c>
      <c r="B31" s="137" t="s">
        <v>35</v>
      </c>
    </row>
    <row r="32" spans="1:2">
      <c r="A32" s="136">
        <v>20</v>
      </c>
      <c r="B32" s="137" t="s">
        <v>36</v>
      </c>
    </row>
    <row r="33" spans="1:2">
      <c r="A33" s="136">
        <v>21</v>
      </c>
      <c r="B33" s="137" t="s">
        <v>38</v>
      </c>
    </row>
    <row r="34" spans="1:2">
      <c r="A34" s="136">
        <v>22</v>
      </c>
      <c r="B34" s="137" t="s">
        <v>37</v>
      </c>
    </row>
    <row r="35" spans="1:2">
      <c r="A35" s="136">
        <v>23</v>
      </c>
      <c r="B35" s="137" t="s">
        <v>39</v>
      </c>
    </row>
    <row r="36" spans="1:2">
      <c r="A36" s="136">
        <v>24</v>
      </c>
      <c r="B36" s="137" t="s">
        <v>40</v>
      </c>
    </row>
    <row r="37" spans="1:2">
      <c r="A37" s="136">
        <v>25</v>
      </c>
      <c r="B37" s="137" t="s">
        <v>42</v>
      </c>
    </row>
    <row r="38" spans="1:2">
      <c r="A38" s="136">
        <v>26</v>
      </c>
      <c r="B38" s="137" t="s">
        <v>41</v>
      </c>
    </row>
    <row r="39" spans="1:2">
      <c r="A39" s="136">
        <v>27</v>
      </c>
      <c r="B39" s="137" t="s">
        <v>43</v>
      </c>
    </row>
    <row r="40" spans="1:2">
      <c r="A40" s="136">
        <v>28</v>
      </c>
      <c r="B40" s="137" t="s">
        <v>44</v>
      </c>
    </row>
    <row r="41" spans="1:2">
      <c r="A41" s="136">
        <v>29</v>
      </c>
      <c r="B41" s="137" t="s">
        <v>45</v>
      </c>
    </row>
    <row r="42" spans="1:2">
      <c r="A42" s="136">
        <v>30</v>
      </c>
      <c r="B42" s="137" t="s">
        <v>46</v>
      </c>
    </row>
    <row r="43" spans="1:2">
      <c r="A43" s="136">
        <v>31</v>
      </c>
      <c r="B43" s="137" t="s">
        <v>47</v>
      </c>
    </row>
    <row r="44" spans="1:2">
      <c r="A44" s="136">
        <v>32</v>
      </c>
      <c r="B44" s="137" t="s">
        <v>48</v>
      </c>
    </row>
    <row r="45" spans="1:2">
      <c r="A45" s="136">
        <v>33</v>
      </c>
      <c r="B45" s="137" t="s">
        <v>49</v>
      </c>
    </row>
    <row r="46" spans="1:2">
      <c r="A46" s="136">
        <v>34</v>
      </c>
      <c r="B46" s="137" t="s">
        <v>50</v>
      </c>
    </row>
    <row r="47" spans="1:2">
      <c r="A47" s="136">
        <v>35</v>
      </c>
      <c r="B47" s="137" t="s">
        <v>51</v>
      </c>
    </row>
    <row r="48" spans="1:2">
      <c r="A48" s="136">
        <v>36</v>
      </c>
      <c r="B48" s="137" t="s">
        <v>52</v>
      </c>
    </row>
    <row r="49" spans="1:2">
      <c r="A49" s="136">
        <v>37</v>
      </c>
      <c r="B49" s="137" t="s">
        <v>53</v>
      </c>
    </row>
    <row r="50" spans="1:2">
      <c r="A50" s="136">
        <v>38</v>
      </c>
      <c r="B50" s="137" t="s">
        <v>54</v>
      </c>
    </row>
    <row r="51" spans="1:2">
      <c r="A51" s="136">
        <v>39</v>
      </c>
      <c r="B51" s="137" t="s">
        <v>55</v>
      </c>
    </row>
    <row r="52" spans="1:2">
      <c r="A52" s="136">
        <v>40</v>
      </c>
      <c r="B52" s="137" t="s">
        <v>56</v>
      </c>
    </row>
    <row r="53" spans="1:2">
      <c r="A53" s="136">
        <v>41</v>
      </c>
      <c r="B53" s="137" t="s">
        <v>57</v>
      </c>
    </row>
    <row r="54" spans="1:2">
      <c r="A54" s="136">
        <v>42</v>
      </c>
      <c r="B54" s="137" t="s">
        <v>58</v>
      </c>
    </row>
    <row r="55" spans="1:2">
      <c r="A55" s="136">
        <v>43</v>
      </c>
      <c r="B55" s="137" t="s">
        <v>59</v>
      </c>
    </row>
    <row r="56" spans="1:2">
      <c r="A56" s="136">
        <v>44</v>
      </c>
      <c r="B56" s="137" t="s">
        <v>60</v>
      </c>
    </row>
    <row r="57" spans="1:2">
      <c r="A57" s="136">
        <v>45</v>
      </c>
      <c r="B57" s="137" t="s">
        <v>61</v>
      </c>
    </row>
    <row r="58" spans="1:2">
      <c r="A58" s="136">
        <v>46</v>
      </c>
      <c r="B58" s="137" t="s">
        <v>62</v>
      </c>
    </row>
    <row r="59" spans="1:2">
      <c r="A59" s="136">
        <v>47</v>
      </c>
      <c r="B59" s="137" t="s">
        <v>63</v>
      </c>
    </row>
    <row r="60" spans="1:2">
      <c r="A60" s="136">
        <v>48</v>
      </c>
      <c r="B60" s="137" t="s">
        <v>64</v>
      </c>
    </row>
    <row r="61" spans="1:2">
      <c r="A61" s="136">
        <v>49</v>
      </c>
      <c r="B61" s="137" t="s">
        <v>65</v>
      </c>
    </row>
    <row r="62" spans="1:2">
      <c r="A62" s="136">
        <v>50</v>
      </c>
      <c r="B62" s="137" t="s">
        <v>66</v>
      </c>
    </row>
    <row r="63" spans="1:2">
      <c r="A63" s="136">
        <v>51</v>
      </c>
      <c r="B63" s="137" t="s">
        <v>67</v>
      </c>
    </row>
    <row r="64" spans="1:2">
      <c r="A64" s="136">
        <v>52</v>
      </c>
      <c r="B64" s="137" t="s">
        <v>68</v>
      </c>
    </row>
    <row r="65" spans="1:2">
      <c r="A65" s="136">
        <v>53</v>
      </c>
      <c r="B65" s="137" t="s">
        <v>69</v>
      </c>
    </row>
    <row r="66" spans="1:2">
      <c r="A66" s="136">
        <v>54</v>
      </c>
      <c r="B66" s="137" t="s">
        <v>70</v>
      </c>
    </row>
    <row r="67" spans="1:2">
      <c r="A67" s="136">
        <v>55</v>
      </c>
      <c r="B67" s="137" t="s">
        <v>71</v>
      </c>
    </row>
    <row r="68" spans="1:2">
      <c r="A68" s="136">
        <v>56</v>
      </c>
      <c r="B68" s="137" t="s">
        <v>72</v>
      </c>
    </row>
    <row r="69" spans="1:2">
      <c r="A69" s="136">
        <v>57</v>
      </c>
      <c r="B69" s="137" t="s">
        <v>73</v>
      </c>
    </row>
    <row r="70" spans="1:2">
      <c r="A70" s="136">
        <v>58</v>
      </c>
      <c r="B70" s="137" t="s">
        <v>74</v>
      </c>
    </row>
    <row r="71" spans="1:2">
      <c r="A71" s="136">
        <v>59</v>
      </c>
      <c r="B71" s="137" t="s">
        <v>75</v>
      </c>
    </row>
    <row r="72" spans="1:2">
      <c r="A72" s="136">
        <v>60</v>
      </c>
      <c r="B72" s="137" t="s">
        <v>76</v>
      </c>
    </row>
    <row r="73" spans="1:2">
      <c r="A73" s="136">
        <v>61</v>
      </c>
      <c r="B73" s="137" t="s">
        <v>77</v>
      </c>
    </row>
    <row r="74" spans="1:2">
      <c r="A74" s="136">
        <v>62</v>
      </c>
      <c r="B74" s="137" t="s">
        <v>78</v>
      </c>
    </row>
    <row r="75" spans="1:2">
      <c r="A75" s="136">
        <v>63</v>
      </c>
      <c r="B75" s="138" t="s">
        <v>79</v>
      </c>
    </row>
    <row r="76" spans="1:2">
      <c r="A76" s="136">
        <v>64</v>
      </c>
      <c r="B76" s="138" t="s">
        <v>80</v>
      </c>
    </row>
    <row r="77" spans="1:2">
      <c r="A77" s="136">
        <v>65</v>
      </c>
      <c r="B77" s="138" t="s">
        <v>81</v>
      </c>
    </row>
    <row r="78" spans="1:2">
      <c r="A78" s="136">
        <v>66</v>
      </c>
      <c r="B78" s="138" t="s">
        <v>82</v>
      </c>
    </row>
    <row r="79" spans="1:2">
      <c r="A79" s="136">
        <v>67</v>
      </c>
      <c r="B79" s="138" t="s">
        <v>83</v>
      </c>
    </row>
    <row r="80" spans="1:2">
      <c r="A80" s="136">
        <v>68</v>
      </c>
      <c r="B80" s="138" t="s">
        <v>84</v>
      </c>
    </row>
    <row r="81" spans="1:2">
      <c r="A81" s="136">
        <v>69</v>
      </c>
      <c r="B81" s="138" t="s">
        <v>85</v>
      </c>
    </row>
    <row r="82" spans="1:2">
      <c r="A82" s="136">
        <v>70</v>
      </c>
      <c r="B82" s="138" t="s">
        <v>86</v>
      </c>
    </row>
    <row r="83" spans="1:2">
      <c r="A83" s="136">
        <v>71</v>
      </c>
      <c r="B83" s="138" t="s">
        <v>87</v>
      </c>
    </row>
    <row r="84" spans="1:2">
      <c r="A84" s="136">
        <v>72</v>
      </c>
      <c r="B84" s="138" t="s">
        <v>88</v>
      </c>
    </row>
    <row r="85" spans="1:2">
      <c r="A85" s="136">
        <v>73</v>
      </c>
      <c r="B85" s="138" t="s">
        <v>89</v>
      </c>
    </row>
    <row r="86" spans="1:2">
      <c r="A86" s="136">
        <v>74</v>
      </c>
      <c r="B86" s="138" t="s">
        <v>90</v>
      </c>
    </row>
    <row r="87" spans="1:2">
      <c r="A87" s="136">
        <v>75</v>
      </c>
      <c r="B87" s="138" t="s">
        <v>91</v>
      </c>
    </row>
    <row r="88" spans="1:2">
      <c r="A88" s="136">
        <v>76</v>
      </c>
      <c r="B88" s="138" t="s">
        <v>92</v>
      </c>
    </row>
    <row r="89" spans="1:2">
      <c r="A89" s="136">
        <v>77</v>
      </c>
      <c r="B89" s="138" t="s">
        <v>93</v>
      </c>
    </row>
    <row r="90" spans="1:2">
      <c r="A90" s="136">
        <v>78</v>
      </c>
      <c r="B90" s="138" t="s">
        <v>94</v>
      </c>
    </row>
    <row r="91" spans="1:2">
      <c r="A91" s="136">
        <v>79</v>
      </c>
      <c r="B91" s="138" t="s">
        <v>95</v>
      </c>
    </row>
    <row r="92" spans="1:2">
      <c r="A92" s="136">
        <v>80</v>
      </c>
      <c r="B92" s="138" t="s">
        <v>96</v>
      </c>
    </row>
    <row r="93" spans="1:2">
      <c r="A93" s="136">
        <v>81</v>
      </c>
      <c r="B93" s="138" t="s">
        <v>97</v>
      </c>
    </row>
    <row r="94" spans="1:2">
      <c r="A94" s="136">
        <v>82</v>
      </c>
      <c r="B94" s="138" t="s">
        <v>98</v>
      </c>
    </row>
    <row r="95" spans="1:2">
      <c r="A95" s="136">
        <v>83</v>
      </c>
      <c r="B95" s="138" t="s">
        <v>99</v>
      </c>
    </row>
    <row r="96" spans="1:2">
      <c r="A96" s="136">
        <v>84</v>
      </c>
      <c r="B96" s="138" t="s">
        <v>100</v>
      </c>
    </row>
    <row r="97" spans="1:2">
      <c r="A97" s="136">
        <v>85</v>
      </c>
      <c r="B97" s="138" t="s">
        <v>101</v>
      </c>
    </row>
    <row r="98" spans="1:2">
      <c r="A98" s="136">
        <v>86</v>
      </c>
      <c r="B98" s="138" t="s">
        <v>102</v>
      </c>
    </row>
    <row r="99" spans="1:2">
      <c r="A99" s="136">
        <v>87</v>
      </c>
      <c r="B99" s="138" t="s">
        <v>103</v>
      </c>
    </row>
    <row r="100" spans="1:2">
      <c r="A100" s="136">
        <v>88</v>
      </c>
      <c r="B100" s="138" t="s">
        <v>104</v>
      </c>
    </row>
    <row r="101" spans="1:2">
      <c r="A101" s="136">
        <v>89</v>
      </c>
      <c r="B101" s="138" t="s">
        <v>105</v>
      </c>
    </row>
    <row r="102" spans="1:2">
      <c r="A102" s="136">
        <v>90</v>
      </c>
      <c r="B102" s="138" t="s">
        <v>106</v>
      </c>
    </row>
    <row r="103" spans="1:2">
      <c r="A103" s="136">
        <v>91</v>
      </c>
      <c r="B103" s="138" t="s">
        <v>107</v>
      </c>
    </row>
    <row r="104" spans="1:2">
      <c r="A104" s="136">
        <v>92</v>
      </c>
      <c r="B104" s="138" t="s">
        <v>108</v>
      </c>
    </row>
    <row r="105" spans="1:2">
      <c r="A105" s="136">
        <v>93</v>
      </c>
      <c r="B105" s="138" t="s">
        <v>109</v>
      </c>
    </row>
    <row r="106" spans="1:2">
      <c r="A106" s="136">
        <v>94</v>
      </c>
      <c r="B106" s="138" t="s">
        <v>110</v>
      </c>
    </row>
    <row r="107" spans="1:2">
      <c r="A107" s="136">
        <v>95</v>
      </c>
      <c r="B107" s="138" t="s">
        <v>111</v>
      </c>
    </row>
    <row r="108" spans="1:2">
      <c r="A108" s="136">
        <v>96</v>
      </c>
      <c r="B108" s="138" t="s">
        <v>112</v>
      </c>
    </row>
    <row r="109" spans="1:2">
      <c r="A109" s="136">
        <v>97</v>
      </c>
      <c r="B109" s="138" t="s">
        <v>113</v>
      </c>
    </row>
    <row r="110" spans="1:2">
      <c r="A110" s="136">
        <v>98</v>
      </c>
      <c r="B110" s="138" t="s">
        <v>114</v>
      </c>
    </row>
    <row r="111" spans="1:2">
      <c r="A111" s="136">
        <v>99</v>
      </c>
      <c r="B111" s="138" t="s">
        <v>115</v>
      </c>
    </row>
    <row r="112" spans="1:2">
      <c r="A112" s="136">
        <v>100</v>
      </c>
      <c r="B112" s="138" t="s">
        <v>116</v>
      </c>
    </row>
  </sheetData>
  <sheetProtection password="E98F" sheet="1" objects="1" selectLockedCells="1" selectUnlockedCells="1"/>
  <customSheetViews>
    <customSheetView guid="{9CA44E70-650F-49CD-967F-298619682CA2}" state="hidden">
      <selection activeCell="E8" sqref="E8"/>
      <pageMargins left="0.75" right="0.75" top="1" bottom="1" header="0.5" footer="0.5"/>
      <pageSetup orientation="portrait" r:id="rId1"/>
      <headerFooter alignWithMargins="0"/>
    </customSheetView>
    <customSheetView guid="{C39F923C-6CD3-45D8-86F8-6C4D806DDD7E}" state="hidden">
      <selection activeCell="E8" sqref="E8"/>
      <pageMargins left="0.75" right="0.75" top="1" bottom="1" header="0.5" footer="0.5"/>
      <pageSetup orientation="portrait" r:id="rId2"/>
      <headerFooter alignWithMargins="0"/>
    </customSheetView>
    <customSheetView guid="{B1277D53-29D6-4226-81E2-084FB62977B6}" state="hidden">
      <selection activeCell="E8" sqref="E8"/>
      <pageMargins left="0.75" right="0.75" top="1" bottom="1" header="0.5" footer="0.5"/>
      <pageSetup orientation="portrait" r:id="rId3"/>
      <headerFooter alignWithMargins="0"/>
    </customSheetView>
    <customSheetView guid="{58D82F59-8CF6-455F-B9F4-081499FDF243}" state="hidden">
      <selection activeCell="E8" sqref="E8"/>
      <pageMargins left="0.75" right="0.75" top="1" bottom="1" header="0.5" footer="0.5"/>
      <pageSetup orientation="portrait" r:id="rId4"/>
      <headerFooter alignWithMargins="0"/>
    </customSheetView>
    <customSheetView guid="{696D9240-6693-44E8-B9A4-2BFADD101EE2}" state="hidden">
      <selection activeCell="E8" sqref="E8"/>
      <pageMargins left="0.75" right="0.75" top="1" bottom="1" header="0.5" footer="0.5"/>
      <pageSetup orientation="portrait" r:id="rId5"/>
      <headerFooter alignWithMargins="0"/>
    </customSheetView>
    <customSheetView guid="{B0EE7D76-5806-4718-BDAD-3A3EA691E5E4}" state="hidden">
      <selection activeCell="E8" sqref="E8"/>
      <pageMargins left="0.75" right="0.75" top="1" bottom="1" header="0.5" footer="0.5"/>
      <pageSetup orientation="portrait" r:id="rId6"/>
      <headerFooter alignWithMargins="0"/>
    </customSheetView>
    <customSheetView guid="{E95B21C1-D936-4435-AF6F-90CF0B6A7506}" state="hidden">
      <selection activeCell="E8" sqref="E8"/>
      <pageMargins left="0.75" right="0.75" top="1" bottom="1" header="0.5" footer="0.5"/>
      <pageSetup orientation="portrait" r:id="rId7"/>
      <headerFooter alignWithMargins="0"/>
    </customSheetView>
    <customSheetView guid="{08A645C4-A23F-4400-B0CE-1685BC312A6F}" state="hidden">
      <selection activeCell="E8" sqref="E8"/>
      <pageMargins left="0.75" right="0.75" top="1" bottom="1" header="0.5" footer="0.5"/>
      <pageSetup orientation="portrait" r:id="rId8"/>
      <headerFooter alignWithMargins="0"/>
    </customSheetView>
  </customSheetViews>
  <mergeCells count="1">
    <mergeCell ref="A1:B1"/>
  </mergeCells>
  <phoneticPr fontId="3" type="noConversion"/>
  <pageMargins left="0.75" right="0.75" top="1" bottom="1" header="0.5" footer="0.5"/>
  <pageSetup orientation="portrait" r:id="rId9"/>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
  <sheetViews>
    <sheetView workbookViewId="0"/>
  </sheetViews>
  <sheetFormatPr defaultRowHeight="16.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34</vt:i4>
      </vt:variant>
    </vt:vector>
  </HeadingPairs>
  <TitlesOfParts>
    <vt:vector size="59" baseType="lpstr">
      <vt:lpstr>Basic Data</vt:lpstr>
      <vt:lpstr>Cover</vt:lpstr>
      <vt:lpstr>Instructions</vt:lpstr>
      <vt:lpstr>Names of Bidder</vt:lpstr>
      <vt:lpstr>Sch-1</vt:lpstr>
      <vt:lpstr>Sch-1 Dis</vt:lpstr>
      <vt:lpstr>Sch-2</vt:lpstr>
      <vt:lpstr>Sch-2 Dis</vt:lpstr>
      <vt:lpstr>sch-3</vt:lpstr>
      <vt:lpstr>Sch-4</vt:lpstr>
      <vt:lpstr>Sch-5</vt:lpstr>
      <vt:lpstr>Sch-4 Dis</vt:lpstr>
      <vt:lpstr>Sch-6</vt:lpstr>
      <vt:lpstr>Sch-7</vt:lpstr>
      <vt:lpstr>Bid Form 2nd Envelope</vt:lpstr>
      <vt:lpstr>Sch-6 Dis</vt:lpstr>
      <vt:lpstr>Sch-5 after discount</vt:lpstr>
      <vt:lpstr>Discount</vt:lpstr>
      <vt:lpstr>Octroi</vt:lpstr>
      <vt:lpstr>Entry Tax</vt:lpstr>
      <vt:lpstr>Other taxes &amp; duties</vt:lpstr>
      <vt:lpstr>Q &amp; C</vt:lpstr>
      <vt:lpstr>T &amp; D</vt:lpstr>
      <vt:lpstr>N to W</vt:lpstr>
      <vt:lpstr>Sheet1</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'sch-3'!Print_Area</vt:lpstr>
      <vt:lpstr>'Sch-4'!Print_Area</vt:lpstr>
      <vt:lpstr>'Sch-4 Dis'!Print_Area</vt:lpstr>
      <vt:lpstr>'Sch-5'!Print_Area</vt:lpstr>
      <vt:lpstr>'Sch-5 after discount'!Print_Area</vt:lpstr>
      <vt:lpstr>'Sch-6'!Print_Area</vt:lpstr>
      <vt:lpstr>'Sch-6 Dis'!Print_Area</vt:lpstr>
      <vt:lpstr>'Sch-7'!Print_Area</vt:lpstr>
      <vt:lpstr>'T &amp; D'!Print_Area</vt:lpstr>
      <vt:lpstr>'Sch-1'!Print_Titles</vt:lpstr>
      <vt:lpstr>'Sch-1 Dis'!Print_Titles</vt:lpstr>
      <vt:lpstr>'Sch-2'!Print_Titles</vt:lpstr>
      <vt:lpstr>'Sch-2 Dis'!Print_Titles</vt:lpstr>
      <vt:lpstr>'sch-3'!Print_Titles</vt:lpstr>
      <vt:lpstr>'Sch-4'!Print_Titles</vt:lpstr>
      <vt:lpstr>'Sch-4 Dis'!Print_Titles</vt:lpstr>
      <vt:lpstr>'Sch-5'!Print_Titles</vt:lpstr>
      <vt:lpstr>'Sch-5 after discount'!Print_Titles</vt:lpstr>
      <vt:lpstr>'Sch-6'!Print_Titles</vt:lpstr>
      <vt:lpstr>'Sch-6 Dis'!Print_Titles</vt:lpstr>
      <vt:lpstr>'Sch-7'!Print_Titles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Sanjay Kumar Verma {संजय कुमार वर्मा}</cp:lastModifiedBy>
  <cp:lastPrinted>2019-03-29T11:24:49Z</cp:lastPrinted>
  <dcterms:created xsi:type="dcterms:W3CDTF">2001-07-26T10:23:15Z</dcterms:created>
  <dcterms:modified xsi:type="dcterms:W3CDTF">2020-10-22T05:14:06Z</dcterms:modified>
</cp:coreProperties>
</file>