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hidePivotFieldList="1" defaultThemeVersion="124226"/>
  <mc:AlternateContent xmlns:mc="http://schemas.openxmlformats.org/markup-compatibility/2006">
    <mc:Choice Requires="x15">
      <x15ac:absPath xmlns:x15ac="http://schemas.microsoft.com/office/spreadsheetml/2010/11/ac" url="V:\74_SS-111_Subhash Saha\04 Bidding Documents\"/>
    </mc:Choice>
  </mc:AlternateContent>
  <xr:revisionPtr revIDLastSave="0" documentId="13_ncr:1_{2E51276B-A491-42EE-A964-A9A8CF22F71C}" xr6:coauthVersionLast="47" xr6:coauthVersionMax="47" xr10:uidLastSave="{00000000-0000-0000-0000-000000000000}"/>
  <workbookProtection workbookAlgorithmName="SHA-512" workbookHashValue="WHLj65Z7irt7eMkP9Lfwr3MfLn0Dn5vExESETTBnUT7Fg6xKIZZRgZnu6Rm7xV3gBEUsTlbNl/k0znxy9TY3jw==" workbookSaltValue="+FNwdPp0aFDZz9rt2PEwPg==" workbookSpinCount="100000" lockStructure="1"/>
  <bookViews>
    <workbookView xWindow="-108" yWindow="-108" windowWidth="23256" windowHeight="12576" tabRatio="823"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'Sch-1'!$A$22:$AZ$22</definedName>
    <definedName name="_xlnm._FilterDatabase" localSheetId="5" hidden="1">'Sch-1 dis'!$A$16:$B$21</definedName>
    <definedName name="_xlnm._FilterDatabase" localSheetId="6" hidden="1">'Sch-2'!$G$21:$J$151</definedName>
    <definedName name="_xlnm._FilterDatabase" localSheetId="7" hidden="1">'Sch-2 Dis'!$A$15:$F$56</definedName>
    <definedName name="_xlnm._FilterDatabase" localSheetId="8" hidden="1">'Sch-3 '!$A$20:$BB$157</definedName>
    <definedName name="_xlnm._FilterDatabase" localSheetId="9" hidden="1">'Sch-3 Dis'!$A$15:$F$81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'Sch-1'!$A$1:$N$160</definedName>
    <definedName name="_xlnm.Print_Area" localSheetId="5">'Sch-1 dis'!$A$1:$G$84</definedName>
    <definedName name="_xlnm.Print_Area" localSheetId="6">'Sch-2'!$A$1:$J$160</definedName>
    <definedName name="_xlnm.Print_Area" localSheetId="7">'Sch-2 Dis'!$A$1:$F$62</definedName>
    <definedName name="_xlnm.Print_Area" localSheetId="8">'Sch-3 '!$A$1:$Q$165</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'Sch-1'!$A$1:$O$161</definedName>
    <definedName name="Z_01ACF2E1_8E61_4459_ABC1_B6C183DEED61_.wvu.PrintArea" localSheetId="5" hidden="1">'Sch-1 dis'!$A$1:$G$84</definedName>
    <definedName name="Z_01ACF2E1_8E61_4459_ABC1_B6C183DEED61_.wvu.PrintArea" localSheetId="6" hidden="1">'Sch-2'!$A$1:$J$150</definedName>
    <definedName name="Z_01ACF2E1_8E61_4459_ABC1_B6C183DEED61_.wvu.PrintArea" localSheetId="7" hidden="1">'Sch-2 Dis'!$A$1:$F$55</definedName>
    <definedName name="Z_01ACF2E1_8E61_4459_ABC1_B6C183DEED61_.wvu.PrintArea" localSheetId="8" hidden="1">'Sch-3 '!$A$1:$P$158</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'Sch-1'!$A$22:$AZ$22</definedName>
    <definedName name="Z_023E95C7_CD0A_46A1_945E_64751E02EBFE_.wvu.FilterData" localSheetId="5" hidden="1">'Sch-1 dis'!$A$16:$B$21</definedName>
    <definedName name="Z_023E95C7_CD0A_46A1_945E_64751E02EBFE_.wvu.FilterData" localSheetId="6" hidden="1">'Sch-2'!$G$21:$J$151</definedName>
    <definedName name="Z_023E95C7_CD0A_46A1_945E_64751E02EBFE_.wvu.FilterData" localSheetId="7" hidden="1">'Sch-2 Dis'!$A$15:$F$56</definedName>
    <definedName name="Z_023E95C7_CD0A_46A1_945E_64751E02EBFE_.wvu.FilterData" localSheetId="8" hidden="1">'Sch-3 '!$A$20:$BB$157</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'Sch-1'!$A$1:$O$160</definedName>
    <definedName name="Z_023E95C7_CD0A_46A1_945E_64751E02EBFE_.wvu.PrintArea" localSheetId="5" hidden="1">'Sch-1 dis'!$A$1:$G$84</definedName>
    <definedName name="Z_023E95C7_CD0A_46A1_945E_64751E02EBFE_.wvu.PrintArea" localSheetId="6" hidden="1">'Sch-2'!$A$1:$J$160</definedName>
    <definedName name="Z_023E95C7_CD0A_46A1_945E_64751E02EBFE_.wvu.PrintArea" localSheetId="7" hidden="1">'Sch-2 Dis'!$A$1:$F$62</definedName>
    <definedName name="Z_023E95C7_CD0A_46A1_945E_64751E02EBFE_.wvu.PrintArea" localSheetId="8" hidden="1">'Sch-3 '!$A$1:$Q$165</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'Sch-1'!$18:$20,'Sch-1'!$153:$153</definedName>
    <definedName name="Z_023E95C7_CD0A_46A1_945E_64751E02EBFE_.wvu.Rows" localSheetId="6" hidden="1">'Sch-2'!$18:$20</definedName>
    <definedName name="Z_023E95C7_CD0A_46A1_945E_64751E02EBFE_.wvu.Rows" localSheetId="8" hidden="1">'Sch-3 '!$18:$18,'Sch-3 '!$160:$160</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'Sch-1'!$A$18:$O$155</definedName>
    <definedName name="Z_14D7F02E_BCCA_4517_ABC7_537FF4AEB67A_.wvu.FilterData" localSheetId="5" hidden="1">'Sch-1 dis'!$A$17:$G$79</definedName>
    <definedName name="Z_14D7F02E_BCCA_4517_ABC7_537FF4AEB67A_.wvu.FilterData" localSheetId="8" hidden="1">'Sch-3 '!$A$16:$P$159</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'Sch-1'!$A$1:$O$161</definedName>
    <definedName name="Z_14D7F02E_BCCA_4517_ABC7_537FF4AEB67A_.wvu.PrintArea" localSheetId="5" hidden="1">'Sch-1 dis'!$A$1:$G$84</definedName>
    <definedName name="Z_14D7F02E_BCCA_4517_ABC7_537FF4AEB67A_.wvu.PrintArea" localSheetId="6" hidden="1">'Sch-2'!$A$1:$J$159</definedName>
    <definedName name="Z_14D7F02E_BCCA_4517_ABC7_537FF4AEB67A_.wvu.PrintArea" localSheetId="7" hidden="1">'Sch-2 Dis'!$A$1:$F$62</definedName>
    <definedName name="Z_14D7F02E_BCCA_4517_ABC7_537FF4AEB67A_.wvu.PrintArea" localSheetId="8" hidden="1">'Sch-3 '!$A$1:$P$166</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'Sch-1'!$A$22:$AY$147</definedName>
    <definedName name="Z_1E0C44A1_9358_4FBD_8C2C_4DB661DA1476_.wvu.FilterData" localSheetId="5" hidden="1">'Sch-1 dis'!$A$16:$B$21</definedName>
    <definedName name="Z_1E0C44A1_9358_4FBD_8C2C_4DB661DA1476_.wvu.FilterData" localSheetId="6" hidden="1">'Sch-2'!$G$21:$J$151</definedName>
    <definedName name="Z_1E0C44A1_9358_4FBD_8C2C_4DB661DA1476_.wvu.FilterData" localSheetId="7" hidden="1">'Sch-2 Dis'!$A$15:$F$56</definedName>
    <definedName name="Z_1E0C44A1_9358_4FBD_8C2C_4DB661DA1476_.wvu.FilterData" localSheetId="8" hidden="1">'Sch-3 '!$A$20:$BB$157</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'Sch-1'!$A$1:$O$160</definedName>
    <definedName name="Z_1E0C44A1_9358_4FBD_8C2C_4DB661DA1476_.wvu.PrintArea" localSheetId="5" hidden="1">'Sch-1 dis'!$A$1:$G$84</definedName>
    <definedName name="Z_1E0C44A1_9358_4FBD_8C2C_4DB661DA1476_.wvu.PrintArea" localSheetId="6" hidden="1">'Sch-2'!$A$1:$J$160</definedName>
    <definedName name="Z_1E0C44A1_9358_4FBD_8C2C_4DB661DA1476_.wvu.PrintArea" localSheetId="7" hidden="1">'Sch-2 Dis'!$A$1:$F$62</definedName>
    <definedName name="Z_1E0C44A1_9358_4FBD_8C2C_4DB661DA1476_.wvu.PrintArea" localSheetId="8" hidden="1">'Sch-3 '!$A$1:$Q$165</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'Sch-1'!$A$18:$O$147</definedName>
    <definedName name="Z_223BC0FC_814D_40F0_9795_CE82A16FF3A5_.wvu.FilterData" localSheetId="5" hidden="1">'Sch-1 dis'!$A$16:$B$21</definedName>
    <definedName name="Z_223BC0FC_814D_40F0_9795_CE82A16FF3A5_.wvu.FilterData" localSheetId="6" hidden="1">'Sch-2'!$G$21:$J$151</definedName>
    <definedName name="Z_223BC0FC_814D_40F0_9795_CE82A16FF3A5_.wvu.FilterData" localSheetId="7" hidden="1">'Sch-2 Dis'!$A$15:$F$56</definedName>
    <definedName name="Z_223BC0FC_814D_40F0_9795_CE82A16FF3A5_.wvu.FilterData" localSheetId="8" hidden="1">'Sch-3 '!$A$19:$P$159</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'Sch-1'!$A$1:$O$160</definedName>
    <definedName name="Z_223BC0FC_814D_40F0_9795_CE82A16FF3A5_.wvu.PrintArea" localSheetId="5" hidden="1">'Sch-1 dis'!$A$1:$G$84</definedName>
    <definedName name="Z_223BC0FC_814D_40F0_9795_CE82A16FF3A5_.wvu.PrintArea" localSheetId="6" hidden="1">'Sch-2'!$A$1:$J$158</definedName>
    <definedName name="Z_223BC0FC_814D_40F0_9795_CE82A16FF3A5_.wvu.PrintArea" localSheetId="7" hidden="1">'Sch-2 Dis'!$A$1:$F$62</definedName>
    <definedName name="Z_223BC0FC_814D_40F0_9795_CE82A16FF3A5_.wvu.PrintArea" localSheetId="8" hidden="1">'Sch-3 '!$A$1:$P$165</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'Sch-1'!$A$18:$O$147</definedName>
    <definedName name="Z_27A45B7A_04F2_4516_B80B_5ED0825D4ED3_.wvu.FilterData" localSheetId="5" hidden="1">'Sch-1 dis'!$A$16:$B$21</definedName>
    <definedName name="Z_27A45B7A_04F2_4516_B80B_5ED0825D4ED3_.wvu.FilterData" localSheetId="6" hidden="1">'Sch-2'!$G$21:$J$151</definedName>
    <definedName name="Z_27A45B7A_04F2_4516_B80B_5ED0825D4ED3_.wvu.FilterData" localSheetId="7" hidden="1">'Sch-2 Dis'!$A$15:$F$56</definedName>
    <definedName name="Z_27A45B7A_04F2_4516_B80B_5ED0825D4ED3_.wvu.FilterData" localSheetId="8" hidden="1">'Sch-3 '!$A$19:$P$159</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'Sch-1'!$A$1:$O$161</definedName>
    <definedName name="Z_27A45B7A_04F2_4516_B80B_5ED0825D4ED3_.wvu.PrintArea" localSheetId="5" hidden="1">'Sch-1 dis'!$A$1:$G$84</definedName>
    <definedName name="Z_27A45B7A_04F2_4516_B80B_5ED0825D4ED3_.wvu.PrintArea" localSheetId="6" hidden="1">'Sch-2'!$A$1:$J$159</definedName>
    <definedName name="Z_27A45B7A_04F2_4516_B80B_5ED0825D4ED3_.wvu.PrintArea" localSheetId="7" hidden="1">'Sch-2 Dis'!$A$1:$F$62</definedName>
    <definedName name="Z_27A45B7A_04F2_4516_B80B_5ED0825D4ED3_.wvu.PrintArea" localSheetId="8" hidden="1">'Sch-3 '!$A$1:$P$166</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'Sch-1'!$A$22:$AY$147</definedName>
    <definedName name="Z_498493C3_769C_4143_9114_C68CD1D40B11_.wvu.FilterData" localSheetId="5" hidden="1">'Sch-1 dis'!$A$16:$B$21</definedName>
    <definedName name="Z_498493C3_769C_4143_9114_C68CD1D40B11_.wvu.FilterData" localSheetId="6" hidden="1">'Sch-2'!$G$21:$J$151</definedName>
    <definedName name="Z_498493C3_769C_4143_9114_C68CD1D40B11_.wvu.FilterData" localSheetId="7" hidden="1">'Sch-2 Dis'!$A$15:$F$56</definedName>
    <definedName name="Z_498493C3_769C_4143_9114_C68CD1D40B11_.wvu.FilterData" localSheetId="8" hidden="1">'Sch-3 '!$A$20:$BB$157</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'Sch-1'!$A$1:$O$160</definedName>
    <definedName name="Z_498493C3_769C_4143_9114_C68CD1D40B11_.wvu.PrintArea" localSheetId="5" hidden="1">'Sch-1 dis'!$A$1:$G$84</definedName>
    <definedName name="Z_498493C3_769C_4143_9114_C68CD1D40B11_.wvu.PrintArea" localSheetId="6" hidden="1">'Sch-2'!$A$1:$J$160</definedName>
    <definedName name="Z_498493C3_769C_4143_9114_C68CD1D40B11_.wvu.PrintArea" localSheetId="7" hidden="1">'Sch-2 Dis'!$A$1:$F$62</definedName>
    <definedName name="Z_498493C3_769C_4143_9114_C68CD1D40B11_.wvu.PrintArea" localSheetId="8" hidden="1">'Sch-3 '!$A$1:$Q$165</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'Sch-1'!$A$18:$O$147</definedName>
    <definedName name="Z_4AA1107B_A795_4744_B566_827168772C7A_.wvu.FilterData" localSheetId="5" hidden="1">'Sch-1 dis'!$A$16:$B$21</definedName>
    <definedName name="Z_4AA1107B_A795_4744_B566_827168772C7A_.wvu.FilterData" localSheetId="6" hidden="1">'Sch-2'!$G$21:$J$151</definedName>
    <definedName name="Z_4AA1107B_A795_4744_B566_827168772C7A_.wvu.FilterData" localSheetId="7" hidden="1">'Sch-2 Dis'!$A$15:$F$56</definedName>
    <definedName name="Z_4AA1107B_A795_4744_B566_827168772C7A_.wvu.FilterData" localSheetId="8" hidden="1">'Sch-3 '!$A$19:$P$159</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'Sch-1'!$A$1:$O$160</definedName>
    <definedName name="Z_4AA1107B_A795_4744_B566_827168772C7A_.wvu.PrintArea" localSheetId="5" hidden="1">'Sch-1 dis'!$A$1:$G$84</definedName>
    <definedName name="Z_4AA1107B_A795_4744_B566_827168772C7A_.wvu.PrintArea" localSheetId="6" hidden="1">'Sch-2'!$A$1:$J$158</definedName>
    <definedName name="Z_4AA1107B_A795_4744_B566_827168772C7A_.wvu.PrintArea" localSheetId="7" hidden="1">'Sch-2 Dis'!$A$1:$F$62</definedName>
    <definedName name="Z_4AA1107B_A795_4744_B566_827168772C7A_.wvu.PrintArea" localSheetId="8" hidden="1">'Sch-3 '!$A$1:$P$165</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'Sch-1'!$A$1:$O$161</definedName>
    <definedName name="Z_4F65FF32_EC61_4022_A399_2986D7B6B8B3_.wvu.PrintArea" localSheetId="5" hidden="1">'Sch-1 dis'!$A$1:$G$84</definedName>
    <definedName name="Z_4F65FF32_EC61_4022_A399_2986D7B6B8B3_.wvu.PrintArea" localSheetId="6" hidden="1">'Sch-2'!$A$1:$J$150</definedName>
    <definedName name="Z_4F65FF32_EC61_4022_A399_2986D7B6B8B3_.wvu.PrintArea" localSheetId="7" hidden="1">'Sch-2 Dis'!$A$1:$F$55</definedName>
    <definedName name="Z_4F65FF32_EC61_4022_A399_2986D7B6B8B3_.wvu.PrintArea" localSheetId="8" hidden="1">'Sch-3 '!$A$1:$P$158</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'Sch-1'!$186:$252</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'Sch-1'!$A$18:$O$147</definedName>
    <definedName name="Z_7487ED9F_BBED_4B2A_9631_22F1A430946B_.wvu.FilterData" localSheetId="5" hidden="1">'Sch-1 dis'!$A$16:$B$21</definedName>
    <definedName name="Z_7487ED9F_BBED_4B2A_9631_22F1A430946B_.wvu.FilterData" localSheetId="6" hidden="1">'Sch-2'!$G$21:$J$151</definedName>
    <definedName name="Z_7487ED9F_BBED_4B2A_9631_22F1A430946B_.wvu.FilterData" localSheetId="7" hidden="1">'Sch-2 Dis'!$A$15:$F$56</definedName>
    <definedName name="Z_7487ED9F_BBED_4B2A_9631_22F1A430946B_.wvu.FilterData" localSheetId="8" hidden="1">'Sch-3 '!$A$19:$P$159</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'Sch-1'!$A$1:$O$160</definedName>
    <definedName name="Z_7487ED9F_BBED_4B2A_9631_22F1A430946B_.wvu.PrintArea" localSheetId="5" hidden="1">'Sch-1 dis'!$A$1:$G$84</definedName>
    <definedName name="Z_7487ED9F_BBED_4B2A_9631_22F1A430946B_.wvu.PrintArea" localSheetId="6" hidden="1">'Sch-2'!$A$1:$J$158</definedName>
    <definedName name="Z_7487ED9F_BBED_4B2A_9631_22F1A430946B_.wvu.PrintArea" localSheetId="7" hidden="1">'Sch-2 Dis'!$A$1:$F$62</definedName>
    <definedName name="Z_7487ED9F_BBED_4B2A_9631_22F1A430946B_.wvu.PrintArea" localSheetId="8" hidden="1">'Sch-3 '!$A$1:$P$165</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'Sch-1'!$A$22:$AZ$22</definedName>
    <definedName name="Z_8909CFDD_4F29_4C72_886E_908773EE94A2_.wvu.FilterData" localSheetId="5" hidden="1">'Sch-1 dis'!$A$16:$B$21</definedName>
    <definedName name="Z_8909CFDD_4F29_4C72_886E_908773EE94A2_.wvu.FilterData" localSheetId="6" hidden="1">'Sch-2'!$G$21:$J$151</definedName>
    <definedName name="Z_8909CFDD_4F29_4C72_886E_908773EE94A2_.wvu.FilterData" localSheetId="7" hidden="1">'Sch-2 Dis'!$A$15:$F$56</definedName>
    <definedName name="Z_8909CFDD_4F29_4C72_886E_908773EE94A2_.wvu.FilterData" localSheetId="8" hidden="1">'Sch-3 '!$A$20:$BB$157</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'Sch-1'!$A$1:$O$160</definedName>
    <definedName name="Z_8909CFDD_4F29_4C72_886E_908773EE94A2_.wvu.PrintArea" localSheetId="5" hidden="1">'Sch-1 dis'!$A$1:$G$84</definedName>
    <definedName name="Z_8909CFDD_4F29_4C72_886E_908773EE94A2_.wvu.PrintArea" localSheetId="6" hidden="1">'Sch-2'!$A$1:$J$160</definedName>
    <definedName name="Z_8909CFDD_4F29_4C72_886E_908773EE94A2_.wvu.PrintArea" localSheetId="7" hidden="1">'Sch-2 Dis'!$A$1:$F$62</definedName>
    <definedName name="Z_8909CFDD_4F29_4C72_886E_908773EE94A2_.wvu.PrintArea" localSheetId="8" hidden="1">'Sch-3 '!$A$1:$Q$165</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AC181BA_F443_4EA7_A647_328174FE3004_.wvu.Cols" localSheetId="22" hidden="1">'Bid Form 2nd Envelope'!$G:$K,'Bid Form 2nd Envelope'!$Y:$AN</definedName>
    <definedName name="Z_9AC181BA_F443_4EA7_A647_328174FE3004_.wvu.Cols" localSheetId="18" hidden="1">Discount!$H:$K</definedName>
    <definedName name="Z_9AC181BA_F443_4EA7_A647_328174FE3004_.wvu.Cols" localSheetId="3" hidden="1">'Names of Bidder'!$H:$R,'Names of Bidder'!$Z:$AC</definedName>
    <definedName name="Z_9AC181BA_F443_4EA7_A647_328174FE3004_.wvu.Cols" localSheetId="4" hidden="1">'Sch-1'!$O:$R,'Sch-1'!$AD:$AM</definedName>
    <definedName name="Z_9AC181BA_F443_4EA7_A647_328174FE3004_.wvu.Cols" localSheetId="7" hidden="1">'Sch-2 Dis'!$K:$Q</definedName>
    <definedName name="Z_9AC181BA_F443_4EA7_A647_328174FE3004_.wvu.Cols" localSheetId="8" hidden="1">'Sch-3 '!$R:$S,'Sch-3 '!$AK:$AP</definedName>
    <definedName name="Z_9AC181BA_F443_4EA7_A647_328174FE3004_.wvu.Cols" localSheetId="9" hidden="1">'Sch-3 Dis'!$AA:$AF</definedName>
    <definedName name="Z_9AC181BA_F443_4EA7_A647_328174FE3004_.wvu.Cols" localSheetId="10" hidden="1">'Sch-4'!$R:$S</definedName>
    <definedName name="Z_9AC181BA_F443_4EA7_A647_328174FE3004_.wvu.Cols" localSheetId="11" hidden="1">'Sch-4b'!$R:$S</definedName>
    <definedName name="Z_9AC181BA_F443_4EA7_A647_328174FE3004_.wvu.Cols" localSheetId="12" hidden="1">'Sch-5'!$I:$P</definedName>
    <definedName name="Z_9AC181BA_F443_4EA7_A647_328174FE3004_.wvu.Cols" localSheetId="16" hidden="1">'Sch-7'!$P:$R,'Sch-7'!$AG:$AM</definedName>
    <definedName name="Z_9AC181BA_F443_4EA7_A647_328174FE3004_.wvu.Cols" localSheetId="17" hidden="1">'Sch-7 Dis'!$AD:$AJ</definedName>
    <definedName name="Z_9AC181BA_F443_4EA7_A647_328174FE3004_.wvu.FilterData" localSheetId="4" hidden="1">'Sch-1'!$A$22:$AZ$22</definedName>
    <definedName name="Z_9AC181BA_F443_4EA7_A647_328174FE3004_.wvu.FilterData" localSheetId="5" hidden="1">'Sch-1 dis'!$A$16:$B$21</definedName>
    <definedName name="Z_9AC181BA_F443_4EA7_A647_328174FE3004_.wvu.FilterData" localSheetId="6" hidden="1">'Sch-2'!$G$21:$J$151</definedName>
    <definedName name="Z_9AC181BA_F443_4EA7_A647_328174FE3004_.wvu.FilterData" localSheetId="7" hidden="1">'Sch-2 Dis'!$A$15:$F$56</definedName>
    <definedName name="Z_9AC181BA_F443_4EA7_A647_328174FE3004_.wvu.FilterData" localSheetId="8" hidden="1">'Sch-3 '!$A$20:$BB$157</definedName>
    <definedName name="Z_9AC181BA_F443_4EA7_A647_328174FE3004_.wvu.FilterData" localSheetId="9" hidden="1">'Sch-3 Dis'!$A$15:$F$81</definedName>
    <definedName name="Z_9AC181BA_F443_4EA7_A647_328174FE3004_.wvu.PrintArea" localSheetId="22" hidden="1">'Bid Form 2nd Envelope'!$A$1:$F$68</definedName>
    <definedName name="Z_9AC181BA_F443_4EA7_A647_328174FE3004_.wvu.PrintArea" localSheetId="1" hidden="1">Cover!$A$1:$F$15</definedName>
    <definedName name="Z_9AC181BA_F443_4EA7_A647_328174FE3004_.wvu.PrintArea" localSheetId="18" hidden="1">Discount!$A$2:$G$43</definedName>
    <definedName name="Z_9AC181BA_F443_4EA7_A647_328174FE3004_.wvu.PrintArea" localSheetId="20" hidden="1">'Entry Tax'!$A$1:$E$16</definedName>
    <definedName name="Z_9AC181BA_F443_4EA7_A647_328174FE3004_.wvu.PrintArea" localSheetId="2" hidden="1">Instructions!$A$1:$C$54</definedName>
    <definedName name="Z_9AC181BA_F443_4EA7_A647_328174FE3004_.wvu.PrintArea" localSheetId="3" hidden="1">'Names of Bidder'!$B$1:$G$32</definedName>
    <definedName name="Z_9AC181BA_F443_4EA7_A647_328174FE3004_.wvu.PrintArea" localSheetId="19" hidden="1">Octroi!$A$1:$E$16</definedName>
    <definedName name="Z_9AC181BA_F443_4EA7_A647_328174FE3004_.wvu.PrintArea" localSheetId="21" hidden="1">'Other Taxes &amp; Duties'!$A$1:$F$16</definedName>
    <definedName name="Z_9AC181BA_F443_4EA7_A647_328174FE3004_.wvu.PrintArea" localSheetId="24" hidden="1">'Q &amp; C'!$A$1:$F$38</definedName>
    <definedName name="Z_9AC181BA_F443_4EA7_A647_328174FE3004_.wvu.PrintArea" localSheetId="23" hidden="1">'Q &amp; C (2)'!$A$1:$F$44</definedName>
    <definedName name="Z_9AC181BA_F443_4EA7_A647_328174FE3004_.wvu.PrintArea" localSheetId="4" hidden="1">'Sch-1'!$A$1:$N$160</definedName>
    <definedName name="Z_9AC181BA_F443_4EA7_A647_328174FE3004_.wvu.PrintArea" localSheetId="5" hidden="1">'Sch-1 dis'!$A$1:$G$84</definedName>
    <definedName name="Z_9AC181BA_F443_4EA7_A647_328174FE3004_.wvu.PrintArea" localSheetId="6" hidden="1">'Sch-2'!$A$1:$J$160</definedName>
    <definedName name="Z_9AC181BA_F443_4EA7_A647_328174FE3004_.wvu.PrintArea" localSheetId="7" hidden="1">'Sch-2 Dis'!$A$1:$F$62</definedName>
    <definedName name="Z_9AC181BA_F443_4EA7_A647_328174FE3004_.wvu.PrintArea" localSheetId="8" hidden="1">'Sch-3 '!$A$1:$Q$165</definedName>
    <definedName name="Z_9AC181BA_F443_4EA7_A647_328174FE3004_.wvu.PrintArea" localSheetId="9" hidden="1">'Sch-3 Dis'!$A$1:$F$87</definedName>
    <definedName name="Z_9AC181BA_F443_4EA7_A647_328174FE3004_.wvu.PrintArea" localSheetId="10" hidden="1">'Sch-4'!$A$1:$Q$29</definedName>
    <definedName name="Z_9AC181BA_F443_4EA7_A647_328174FE3004_.wvu.PrintArea" localSheetId="11" hidden="1">'Sch-4b'!$A$1:$Q$37</definedName>
    <definedName name="Z_9AC181BA_F443_4EA7_A647_328174FE3004_.wvu.PrintArea" localSheetId="12" hidden="1">'Sch-5'!$A$1:$E$26</definedName>
    <definedName name="Z_9AC181BA_F443_4EA7_A647_328174FE3004_.wvu.PrintArea" localSheetId="13" hidden="1">'Sch-5 Dis'!$A$1:$E$26</definedName>
    <definedName name="Z_9AC181BA_F443_4EA7_A647_328174FE3004_.wvu.PrintArea" localSheetId="14" hidden="1">'Sch-6'!$A$1:$D$33</definedName>
    <definedName name="Z_9AC181BA_F443_4EA7_A647_328174FE3004_.wvu.PrintArea" localSheetId="15" hidden="1">'Sch-6 After Discount'!$A$1:$D$33</definedName>
    <definedName name="Z_9AC181BA_F443_4EA7_A647_328174FE3004_.wvu.PrintArea" localSheetId="16" hidden="1">'Sch-7'!$A$1:$N$25</definedName>
    <definedName name="Z_9AC181BA_F443_4EA7_A647_328174FE3004_.wvu.PrintArea" localSheetId="17" hidden="1">'Sch-7 Dis'!$A$1:$G$28</definedName>
    <definedName name="Z_9AC181BA_F443_4EA7_A647_328174FE3004_.wvu.PrintTitles" localSheetId="4" hidden="1">'Sch-1'!$15:$17</definedName>
    <definedName name="Z_9AC181BA_F443_4EA7_A647_328174FE3004_.wvu.PrintTitles" localSheetId="5" hidden="1">'Sch-1 dis'!$14:$16</definedName>
    <definedName name="Z_9AC181BA_F443_4EA7_A647_328174FE3004_.wvu.PrintTitles" localSheetId="6" hidden="1">'Sch-2'!$15:$17</definedName>
    <definedName name="Z_9AC181BA_F443_4EA7_A647_328174FE3004_.wvu.PrintTitles" localSheetId="7" hidden="1">'Sch-2 Dis'!$13:$15</definedName>
    <definedName name="Z_9AC181BA_F443_4EA7_A647_328174FE3004_.wvu.PrintTitles" localSheetId="8" hidden="1">'Sch-3 '!$13:$17</definedName>
    <definedName name="Z_9AC181BA_F443_4EA7_A647_328174FE3004_.wvu.PrintTitles" localSheetId="9" hidden="1">'Sch-3 Dis'!$13:$15</definedName>
    <definedName name="Z_9AC181BA_F443_4EA7_A647_328174FE3004_.wvu.PrintTitles" localSheetId="12" hidden="1">'Sch-5'!$3:$13</definedName>
    <definedName name="Z_9AC181BA_F443_4EA7_A647_328174FE3004_.wvu.PrintTitles" localSheetId="13" hidden="1">'Sch-5 Dis'!$3:$13</definedName>
    <definedName name="Z_9AC181BA_F443_4EA7_A647_328174FE3004_.wvu.PrintTitles" localSheetId="14" hidden="1">'Sch-6'!$3:$13</definedName>
    <definedName name="Z_9AC181BA_F443_4EA7_A647_328174FE3004_.wvu.PrintTitles" localSheetId="15" hidden="1">'Sch-6 After Discount'!$3:$13</definedName>
    <definedName name="Z_9AC181BA_F443_4EA7_A647_328174FE3004_.wvu.PrintTitles" localSheetId="16" hidden="1">'Sch-7'!$14:$14</definedName>
    <definedName name="Z_9AC181BA_F443_4EA7_A647_328174FE3004_.wvu.PrintTitles" localSheetId="17" hidden="1">'Sch-7 Dis'!$14:$14</definedName>
    <definedName name="Z_9AC181BA_F443_4EA7_A647_328174FE3004_.wvu.Rows" localSheetId="22" hidden="1">'Bid Form 2nd Envelope'!$25:$25</definedName>
    <definedName name="Z_9AC181BA_F443_4EA7_A647_328174FE3004_.wvu.Rows" localSheetId="1" hidden="1">Cover!$7:$7</definedName>
    <definedName name="Z_9AC181BA_F443_4EA7_A647_328174FE3004_.wvu.Rows" localSheetId="18" hidden="1">Discount!$22:$22,Discount!$29:$29,Discount!$32:$34</definedName>
    <definedName name="Z_9AC181BA_F443_4EA7_A647_328174FE3004_.wvu.Rows" localSheetId="2" hidden="1">Instructions!$35:$36</definedName>
    <definedName name="Z_9AC181BA_F443_4EA7_A647_328174FE3004_.wvu.Rows" localSheetId="4" hidden="1">'Sch-1'!$20:$20</definedName>
    <definedName name="Z_9AC181BA_F443_4EA7_A647_328174FE3004_.wvu.Rows" localSheetId="6" hidden="1">'Sch-2'!$20:$20</definedName>
    <definedName name="Z_9AC181BA_F443_4EA7_A647_328174FE3004_.wvu.Rows" localSheetId="8" hidden="1">'Sch-3 '!$18:$18</definedName>
    <definedName name="Z_9AC181BA_F443_4EA7_A647_328174FE3004_.wvu.Rows" localSheetId="14" hidden="1">'Sch-6'!$22:$23</definedName>
    <definedName name="Z_9AC181BA_F443_4EA7_A647_328174FE3004_.wvu.Rows" localSheetId="15" hidden="1">'Sch-6 After Discount'!$22:$23</definedName>
    <definedName name="Z_9AC181BA_F443_4EA7_A647_328174FE3004_.wvu.Rows" localSheetId="16" hidden="1">'Sch-7'!$17:$18,'Sch-7'!$98:$216</definedName>
    <definedName name="Z_9AC181BA_F443_4EA7_A647_328174FE3004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'Sch-1'!$A$22:$AY$147</definedName>
    <definedName name="Z_A34CC49F_E309_4C23_B4F6_1E3B307C10D1_.wvu.FilterData" localSheetId="5" hidden="1">'Sch-1 dis'!$A$16:$B$21</definedName>
    <definedName name="Z_A34CC49F_E309_4C23_B4F6_1E3B307C10D1_.wvu.FilterData" localSheetId="6" hidden="1">'Sch-2'!$G$21:$J$151</definedName>
    <definedName name="Z_A34CC49F_E309_4C23_B4F6_1E3B307C10D1_.wvu.FilterData" localSheetId="7" hidden="1">'Sch-2 Dis'!$A$15:$F$56</definedName>
    <definedName name="Z_A34CC49F_E309_4C23_B4F6_1E3B307C10D1_.wvu.FilterData" localSheetId="8" hidden="1">'Sch-3 '!$A$20:$BB$157</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'Sch-1'!$A$1:$O$160</definedName>
    <definedName name="Z_A34CC49F_E309_4C23_B4F6_1E3B307C10D1_.wvu.PrintArea" localSheetId="5" hidden="1">'Sch-1 dis'!$A$1:$G$84</definedName>
    <definedName name="Z_A34CC49F_E309_4C23_B4F6_1E3B307C10D1_.wvu.PrintArea" localSheetId="6" hidden="1">'Sch-2'!$A$1:$J$160</definedName>
    <definedName name="Z_A34CC49F_E309_4C23_B4F6_1E3B307C10D1_.wvu.PrintArea" localSheetId="7" hidden="1">'Sch-2 Dis'!$A$1:$F$62</definedName>
    <definedName name="Z_A34CC49F_E309_4C23_B4F6_1E3B307C10D1_.wvu.PrintArea" localSheetId="8" hidden="1">'Sch-3 '!$A$1:$Q$165</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'Sch-1'!$A$22:$AY$147</definedName>
    <definedName name="Z_A41EE4DE_0D82_4A56_8210_F78316511D11_.wvu.FilterData" localSheetId="5" hidden="1">'Sch-1 dis'!$A$16:$B$21</definedName>
    <definedName name="Z_A41EE4DE_0D82_4A56_8210_F78316511D11_.wvu.FilterData" localSheetId="6" hidden="1">'Sch-2'!$G$21:$J$151</definedName>
    <definedName name="Z_A41EE4DE_0D82_4A56_8210_F78316511D11_.wvu.FilterData" localSheetId="7" hidden="1">'Sch-2 Dis'!$A$15:$F$56</definedName>
    <definedName name="Z_A41EE4DE_0D82_4A56_8210_F78316511D11_.wvu.FilterData" localSheetId="8" hidden="1">'Sch-3 '!$A$20:$BB$157</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'Sch-1'!$A$1:$O$160</definedName>
    <definedName name="Z_A41EE4DE_0D82_4A56_8210_F78316511D11_.wvu.PrintArea" localSheetId="5" hidden="1">'Sch-1 dis'!$A$1:$G$84</definedName>
    <definedName name="Z_A41EE4DE_0D82_4A56_8210_F78316511D11_.wvu.PrintArea" localSheetId="6" hidden="1">'Sch-2'!$A$1:$J$160</definedName>
    <definedName name="Z_A41EE4DE_0D82_4A56_8210_F78316511D11_.wvu.PrintArea" localSheetId="7" hidden="1">'Sch-2 Dis'!$A$1:$F$62</definedName>
    <definedName name="Z_A41EE4DE_0D82_4A56_8210_F78316511D11_.wvu.PrintArea" localSheetId="8" hidden="1">'Sch-3 '!$A$1:$Q$165</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'Sch-1'!$A$18:$O$147</definedName>
    <definedName name="Z_A7DBDDEF_9245_44C6_9EBF_032DB6E1C0A2_.wvu.FilterData" localSheetId="5" hidden="1">'Sch-1 dis'!$A$16:$B$21</definedName>
    <definedName name="Z_A7DBDDEF_9245_44C6_9EBF_032DB6E1C0A2_.wvu.FilterData" localSheetId="6" hidden="1">'Sch-2'!$G$21:$J$151</definedName>
    <definedName name="Z_A7DBDDEF_9245_44C6_9EBF_032DB6E1C0A2_.wvu.FilterData" localSheetId="7" hidden="1">'Sch-2 Dis'!$A$15:$F$56</definedName>
    <definedName name="Z_A7DBDDEF_9245_44C6_9EBF_032DB6E1C0A2_.wvu.FilterData" localSheetId="8" hidden="1">'Sch-3 '!$A$19:$P$159</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'Sch-1'!$A$1:$O$160</definedName>
    <definedName name="Z_A7DBDDEF_9245_44C6_9EBF_032DB6E1C0A2_.wvu.PrintArea" localSheetId="5" hidden="1">'Sch-1 dis'!$A$1:$G$84</definedName>
    <definedName name="Z_A7DBDDEF_9245_44C6_9EBF_032DB6E1C0A2_.wvu.PrintArea" localSheetId="6" hidden="1">'Sch-2'!$A$1:$J$158</definedName>
    <definedName name="Z_A7DBDDEF_9245_44C6_9EBF_032DB6E1C0A2_.wvu.PrintArea" localSheetId="7" hidden="1">'Sch-2 Dis'!$A$1:$F$62</definedName>
    <definedName name="Z_A7DBDDEF_9245_44C6_9EBF_032DB6E1C0A2_.wvu.PrintArea" localSheetId="8" hidden="1">'Sch-3 '!$A$1:$P$165</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'Sch-1'!$A$18:$O$147</definedName>
    <definedName name="Z_B23AD343_29DA_4CE0_BD10_47BF44F3782F_.wvu.FilterData" localSheetId="5" hidden="1">'Sch-1 dis'!$A$16:$B$21</definedName>
    <definedName name="Z_B23AD343_29DA_4CE0_BD10_47BF44F3782F_.wvu.FilterData" localSheetId="6" hidden="1">'Sch-2'!$G$21:$J$151</definedName>
    <definedName name="Z_B23AD343_29DA_4CE0_BD10_47BF44F3782F_.wvu.FilterData" localSheetId="7" hidden="1">'Sch-2 Dis'!$A$15:$F$56</definedName>
    <definedName name="Z_B23AD343_29DA_4CE0_BD10_47BF44F3782F_.wvu.FilterData" localSheetId="8" hidden="1">'Sch-3 '!$A$19:$P$159</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'Sch-1'!$A$1:$O$160</definedName>
    <definedName name="Z_B23AD343_29DA_4CE0_BD10_47BF44F3782F_.wvu.PrintArea" localSheetId="5" hidden="1">'Sch-1 dis'!$A$1:$G$84</definedName>
    <definedName name="Z_B23AD343_29DA_4CE0_BD10_47BF44F3782F_.wvu.PrintArea" localSheetId="6" hidden="1">'Sch-2'!$A$1:$J$158</definedName>
    <definedName name="Z_B23AD343_29DA_4CE0_BD10_47BF44F3782F_.wvu.PrintArea" localSheetId="7" hidden="1">'Sch-2 Dis'!$A$1:$F$62</definedName>
    <definedName name="Z_B23AD343_29DA_4CE0_BD10_47BF44F3782F_.wvu.PrintArea" localSheetId="8" hidden="1">'Sch-3 '!$A$1:$P$165</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'Sch-1'!$A$18:$O$147</definedName>
    <definedName name="Z_B3CE7B10_A914_4559_A6DA_AED8C22AFD6D_.wvu.FilterData" localSheetId="5" hidden="1">'Sch-1 dis'!$A$16:$B$21</definedName>
    <definedName name="Z_B3CE7B10_A914_4559_A6DA_AED8C22AFD6D_.wvu.FilterData" localSheetId="6" hidden="1">'Sch-2'!$G$21:$J$151</definedName>
    <definedName name="Z_B3CE7B10_A914_4559_A6DA_AED8C22AFD6D_.wvu.FilterData" localSheetId="7" hidden="1">'Sch-2 Dis'!$A$15:$F$56</definedName>
    <definedName name="Z_B3CE7B10_A914_4559_A6DA_AED8C22AFD6D_.wvu.FilterData" localSheetId="8" hidden="1">'Sch-3 '!$A$19:$P$159</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'Sch-1'!$A$1:$O$160</definedName>
    <definedName name="Z_B3CE7B10_A914_4559_A6DA_AED8C22AFD6D_.wvu.PrintArea" localSheetId="5" hidden="1">'Sch-1 dis'!$A$1:$G$84</definedName>
    <definedName name="Z_B3CE7B10_A914_4559_A6DA_AED8C22AFD6D_.wvu.PrintArea" localSheetId="6" hidden="1">'Sch-2'!$A$1:$J$158</definedName>
    <definedName name="Z_B3CE7B10_A914_4559_A6DA_AED8C22AFD6D_.wvu.PrintArea" localSheetId="7" hidden="1">'Sch-2 Dis'!$A$1:$F$62</definedName>
    <definedName name="Z_B3CE7B10_A914_4559_A6DA_AED8C22AFD6D_.wvu.PrintArea" localSheetId="8" hidden="1">'Sch-3 '!$A$1:$P$165</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'Sch-1'!$A$22:$AZ$152</definedName>
    <definedName name="Z_B835C05C_B615_4DCB_982D_4519616B3CD8_.wvu.FilterData" localSheetId="5" hidden="1">'Sch-1 dis'!$A$16:$B$21</definedName>
    <definedName name="Z_B835C05C_B615_4DCB_982D_4519616B3CD8_.wvu.FilterData" localSheetId="6" hidden="1">'Sch-2'!$G$21:$J$151</definedName>
    <definedName name="Z_B835C05C_B615_4DCB_982D_4519616B3CD8_.wvu.FilterData" localSheetId="7" hidden="1">'Sch-2 Dis'!$A$15:$F$56</definedName>
    <definedName name="Z_B835C05C_B615_4DCB_982D_4519616B3CD8_.wvu.FilterData" localSheetId="8" hidden="1">'Sch-3 '!$A$20:$BB$159</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'Sch-1'!$A$1:$O$160</definedName>
    <definedName name="Z_B835C05C_B615_4DCB_982D_4519616B3CD8_.wvu.PrintArea" localSheetId="5" hidden="1">'Sch-1 dis'!$A$1:$G$84</definedName>
    <definedName name="Z_B835C05C_B615_4DCB_982D_4519616B3CD8_.wvu.PrintArea" localSheetId="6" hidden="1">'Sch-2'!$A$1:$J$158</definedName>
    <definedName name="Z_B835C05C_B615_4DCB_982D_4519616B3CD8_.wvu.PrintArea" localSheetId="7" hidden="1">'Sch-2 Dis'!$A$1:$F$62</definedName>
    <definedName name="Z_B835C05C_B615_4DCB_982D_4519616B3CD8_.wvu.PrintArea" localSheetId="8" hidden="1">'Sch-3 '!$A$1:$P$165</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'Sch-1'!$A$22:$AZ$22</definedName>
    <definedName name="Z_BB6473B7_092C_417E_97E7_ED0705AE17A0_.wvu.FilterData" localSheetId="5" hidden="1">'Sch-1 dis'!$A$16:$B$21</definedName>
    <definedName name="Z_BB6473B7_092C_417E_97E7_ED0705AE17A0_.wvu.FilterData" localSheetId="6" hidden="1">'Sch-2'!$G$21:$J$151</definedName>
    <definedName name="Z_BB6473B7_092C_417E_97E7_ED0705AE17A0_.wvu.FilterData" localSheetId="7" hidden="1">'Sch-2 Dis'!$A$15:$F$56</definedName>
    <definedName name="Z_BB6473B7_092C_417E_97E7_ED0705AE17A0_.wvu.FilterData" localSheetId="8" hidden="1">'Sch-3 '!$A$20:$BB$157</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'Sch-1'!$A$1:$O$160</definedName>
    <definedName name="Z_BB6473B7_092C_417E_97E7_ED0705AE17A0_.wvu.PrintArea" localSheetId="5" hidden="1">'Sch-1 dis'!$A$1:$G$84</definedName>
    <definedName name="Z_BB6473B7_092C_417E_97E7_ED0705AE17A0_.wvu.PrintArea" localSheetId="6" hidden="1">'Sch-2'!$A$1:$J$160</definedName>
    <definedName name="Z_BB6473B7_092C_417E_97E7_ED0705AE17A0_.wvu.PrintArea" localSheetId="7" hidden="1">'Sch-2 Dis'!$A$1:$F$62</definedName>
    <definedName name="Z_BB6473B7_092C_417E_97E7_ED0705AE17A0_.wvu.PrintArea" localSheetId="8" hidden="1">'Sch-3 '!$A$1:$Q$165</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'Sch-1'!$18:$20,'Sch-1'!$153:$153</definedName>
    <definedName name="Z_BB6473B7_092C_417E_97E7_ED0705AE17A0_.wvu.Rows" localSheetId="6" hidden="1">'Sch-2'!$18:$20</definedName>
    <definedName name="Z_BB6473B7_092C_417E_97E7_ED0705AE17A0_.wvu.Rows" localSheetId="8" hidden="1">'Sch-3 '!$18:$18,'Sch-3 '!$160:$160</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'Sch-1'!$A$22:$AZ$152</definedName>
    <definedName name="Z_C431BC99_7569_44AB_83F6_AB73BDED3783_.wvu.FilterData" localSheetId="5" hidden="1">'Sch-1 dis'!$A$16:$B$21</definedName>
    <definedName name="Z_C431BC99_7569_44AB_83F6_AB73BDED3783_.wvu.FilterData" localSheetId="6" hidden="1">'Sch-2'!$G$21:$J$151</definedName>
    <definedName name="Z_C431BC99_7569_44AB_83F6_AB73BDED3783_.wvu.FilterData" localSheetId="7" hidden="1">'Sch-2 Dis'!$A$15:$F$56</definedName>
    <definedName name="Z_C431BC99_7569_44AB_83F6_AB73BDED3783_.wvu.FilterData" localSheetId="8" hidden="1">'Sch-3 '!$A$20:$BB$159</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'Sch-1'!$A$1:$O$160</definedName>
    <definedName name="Z_C431BC99_7569_44AB_83F6_AB73BDED3783_.wvu.PrintArea" localSheetId="5" hidden="1">'Sch-1 dis'!$A$1:$G$84</definedName>
    <definedName name="Z_C431BC99_7569_44AB_83F6_AB73BDED3783_.wvu.PrintArea" localSheetId="6" hidden="1">'Sch-2'!$A$1:$J$158</definedName>
    <definedName name="Z_C431BC99_7569_44AB_83F6_AB73BDED3783_.wvu.PrintArea" localSheetId="7" hidden="1">'Sch-2 Dis'!$A$1:$F$62</definedName>
    <definedName name="Z_C431BC99_7569_44AB_83F6_AB73BDED3783_.wvu.PrintArea" localSheetId="8" hidden="1">'Sch-3 '!$A$1:$P$165</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'Sch-1'!$A$22:$AY$153</definedName>
    <definedName name="Z_CB55CDDD_15EC_4265_9148_3411BBB26D54_.wvu.FilterData" localSheetId="5" hidden="1">'Sch-1 dis'!$A$16:$B$21</definedName>
    <definedName name="Z_CB55CDDD_15EC_4265_9148_3411BBB26D54_.wvu.FilterData" localSheetId="6" hidden="1">'Sch-2'!$G$21:$J$151</definedName>
    <definedName name="Z_CB55CDDD_15EC_4265_9148_3411BBB26D54_.wvu.FilterData" localSheetId="7" hidden="1">'Sch-2 Dis'!$A$15:$F$56</definedName>
    <definedName name="Z_CB55CDDD_15EC_4265_9148_3411BBB26D54_.wvu.FilterData" localSheetId="8" hidden="1">'Sch-3 '!$A$20:$BB$157</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'Sch-1'!$A$1:$N$160</definedName>
    <definedName name="Z_CB55CDDD_15EC_4265_9148_3411BBB26D54_.wvu.PrintArea" localSheetId="5" hidden="1">'Sch-1 dis'!$A$1:$G$84</definedName>
    <definedName name="Z_CB55CDDD_15EC_4265_9148_3411BBB26D54_.wvu.PrintArea" localSheetId="6" hidden="1">'Sch-2'!$A$1:$J$160</definedName>
    <definedName name="Z_CB55CDDD_15EC_4265_9148_3411BBB26D54_.wvu.PrintArea" localSheetId="7" hidden="1">'Sch-2 Dis'!$A$1:$F$62</definedName>
    <definedName name="Z_CB55CDDD_15EC_4265_9148_3411BBB26D54_.wvu.PrintArea" localSheetId="8" hidden="1">'Sch-3 '!$A$1:$Q$165</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'!$160:$160</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'Sch-1'!$A$18:$O$147</definedName>
    <definedName name="Z_D0757F9E_DF41_4B40_A5E5_F4F8FDD8D61D_.wvu.FilterData" localSheetId="5" hidden="1">'Sch-1 dis'!$A$16:$B$21</definedName>
    <definedName name="Z_D0757F9E_DF41_4B40_A5E5_F4F8FDD8D61D_.wvu.FilterData" localSheetId="6" hidden="1">'Sch-2'!$G$21:$J$151</definedName>
    <definedName name="Z_D0757F9E_DF41_4B40_A5E5_F4F8FDD8D61D_.wvu.FilterData" localSheetId="7" hidden="1">'Sch-2 Dis'!$A$15:$F$56</definedName>
    <definedName name="Z_D0757F9E_DF41_4B40_A5E5_F4F8FDD8D61D_.wvu.FilterData" localSheetId="8" hidden="1">'Sch-3 '!$A$19:$P$159</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'Sch-1'!$A$1:$O$160</definedName>
    <definedName name="Z_D0757F9E_DF41_4B40_A5E5_F4F8FDD8D61D_.wvu.PrintArea" localSheetId="5" hidden="1">'Sch-1 dis'!$A$1:$G$84</definedName>
    <definedName name="Z_D0757F9E_DF41_4B40_A5E5_F4F8FDD8D61D_.wvu.PrintArea" localSheetId="6" hidden="1">'Sch-2'!$A$1:$J$158</definedName>
    <definedName name="Z_D0757F9E_DF41_4B40_A5E5_F4F8FDD8D61D_.wvu.PrintArea" localSheetId="7" hidden="1">'Sch-2 Dis'!$A$1:$F$62</definedName>
    <definedName name="Z_D0757F9E_DF41_4B40_A5E5_F4F8FDD8D61D_.wvu.PrintArea" localSheetId="8" hidden="1">'Sch-3 '!$A$1:$P$165</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'Sch-1'!$A$18:$O$147</definedName>
    <definedName name="Z_D53177B2_31EC_4222_B97A_A37DCFD9E45B_.wvu.FilterData" localSheetId="5" hidden="1">'Sch-1 dis'!$A$16:$B$21</definedName>
    <definedName name="Z_D53177B2_31EC_4222_B97A_A37DCFD9E45B_.wvu.FilterData" localSheetId="6" hidden="1">'Sch-2'!$G$21:$J$151</definedName>
    <definedName name="Z_D53177B2_31EC_4222_B97A_A37DCFD9E45B_.wvu.FilterData" localSheetId="7" hidden="1">'Sch-2 Dis'!$A$15:$F$56</definedName>
    <definedName name="Z_D53177B2_31EC_4222_B97A_A37DCFD9E45B_.wvu.FilterData" localSheetId="8" hidden="1">'Sch-3 '!$A$19:$P$159</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'Sch-1'!$A$1:$O$160</definedName>
    <definedName name="Z_D53177B2_31EC_4222_B97A_A37DCFD9E45B_.wvu.PrintArea" localSheetId="5" hidden="1">'Sch-1 dis'!$A$1:$G$84</definedName>
    <definedName name="Z_D53177B2_31EC_4222_B97A_A37DCFD9E45B_.wvu.PrintArea" localSheetId="6" hidden="1">'Sch-2'!$A$1:$J$158</definedName>
    <definedName name="Z_D53177B2_31EC_4222_B97A_A37DCFD9E45B_.wvu.PrintArea" localSheetId="7" hidden="1">'Sch-2 Dis'!$A$1:$F$62</definedName>
    <definedName name="Z_D53177B2_31EC_4222_B97A_A37DCFD9E45B_.wvu.PrintArea" localSheetId="8" hidden="1">'Sch-3 '!$A$1:$P$165</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'Sch-1'!$A$22:$AZ$22</definedName>
    <definedName name="Z_D5F8AD2D_F014_4A7B_9CE7_589273BD9F11_.wvu.FilterData" localSheetId="5" hidden="1">'Sch-1 dis'!$A$16:$B$21</definedName>
    <definedName name="Z_D5F8AD2D_F014_4A7B_9CE7_589273BD9F11_.wvu.FilterData" localSheetId="6" hidden="1">'Sch-2'!$G$21:$J$151</definedName>
    <definedName name="Z_D5F8AD2D_F014_4A7B_9CE7_589273BD9F11_.wvu.FilterData" localSheetId="7" hidden="1">'Sch-2 Dis'!$A$15:$F$56</definedName>
    <definedName name="Z_D5F8AD2D_F014_4A7B_9CE7_589273BD9F11_.wvu.FilterData" localSheetId="8" hidden="1">'Sch-3 '!$A$20:$BB$157</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'Sch-1'!$A$1:$N$160</definedName>
    <definedName name="Z_D5F8AD2D_F014_4A7B_9CE7_589273BD9F11_.wvu.PrintArea" localSheetId="5" hidden="1">'Sch-1 dis'!$A$1:$G$84</definedName>
    <definedName name="Z_D5F8AD2D_F014_4A7B_9CE7_589273BD9F11_.wvu.PrintArea" localSheetId="6" hidden="1">'Sch-2'!$A$1:$J$160</definedName>
    <definedName name="Z_D5F8AD2D_F014_4A7B_9CE7_589273BD9F11_.wvu.PrintArea" localSheetId="7" hidden="1">'Sch-2 Dis'!$A$1:$F$62</definedName>
    <definedName name="Z_D5F8AD2D_F014_4A7B_9CE7_589273BD9F11_.wvu.PrintArea" localSheetId="8" hidden="1">'Sch-3 '!$A$1:$Q$165</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'Sch-1'!$20:$20</definedName>
    <definedName name="Z_D5F8AD2D_F014_4A7B_9CE7_589273BD9F11_.wvu.Rows" localSheetId="6" hidden="1">'Sch-2'!$20:$20</definedName>
    <definedName name="Z_D5F8AD2D_F014_4A7B_9CE7_589273BD9F11_.wvu.Rows" localSheetId="8" hidden="1">'Sch-3 '!$18:$18</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'Sch-1'!$A$18:$O$147</definedName>
    <definedName name="Z_E97134B6_5E8D_4951_8DA0_73D065532361_.wvu.FilterData" localSheetId="5" hidden="1">'Sch-1 dis'!$A$16:$B$21</definedName>
    <definedName name="Z_E97134B6_5E8D_4951_8DA0_73D065532361_.wvu.FilterData" localSheetId="6" hidden="1">'Sch-2'!$G$21:$J$151</definedName>
    <definedName name="Z_E97134B6_5E8D_4951_8DA0_73D065532361_.wvu.FilterData" localSheetId="7" hidden="1">'Sch-2 Dis'!$A$15:$F$56</definedName>
    <definedName name="Z_E97134B6_5E8D_4951_8DA0_73D065532361_.wvu.FilterData" localSheetId="8" hidden="1">'Sch-3 '!$A$19:$P$159</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'Sch-1'!$A$1:$O$160</definedName>
    <definedName name="Z_E97134B6_5E8D_4951_8DA0_73D065532361_.wvu.PrintArea" localSheetId="5" hidden="1">'Sch-1 dis'!$A$1:$G$84</definedName>
    <definedName name="Z_E97134B6_5E8D_4951_8DA0_73D065532361_.wvu.PrintArea" localSheetId="6" hidden="1">'Sch-2'!$A$1:$J$158</definedName>
    <definedName name="Z_E97134B6_5E8D_4951_8DA0_73D065532361_.wvu.PrintArea" localSheetId="7" hidden="1">'Sch-2 Dis'!$A$1:$F$62</definedName>
    <definedName name="Z_E97134B6_5E8D_4951_8DA0_73D065532361_.wvu.PrintArea" localSheetId="8" hidden="1">'Sch-3 '!$A$1:$P$165</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'Sch-1'!$A$18:$O$147</definedName>
    <definedName name="Z_E9F4E142_7D26_464D_BECA_4F3806DB1FE1_.wvu.FilterData" localSheetId="5" hidden="1">'Sch-1 dis'!$A$16:$B$21</definedName>
    <definedName name="Z_E9F4E142_7D26_464D_BECA_4F3806DB1FE1_.wvu.FilterData" localSheetId="6" hidden="1">'Sch-2'!$G$21:$J$151</definedName>
    <definedName name="Z_E9F4E142_7D26_464D_BECA_4F3806DB1FE1_.wvu.FilterData" localSheetId="7" hidden="1">'Sch-2 Dis'!$A$15:$F$56</definedName>
    <definedName name="Z_E9F4E142_7D26_464D_BECA_4F3806DB1FE1_.wvu.FilterData" localSheetId="8" hidden="1">'Sch-3 '!$A$19:$P$159</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'Sch-1'!$A$1:$O$160</definedName>
    <definedName name="Z_E9F4E142_7D26_464D_BECA_4F3806DB1FE1_.wvu.PrintArea" localSheetId="5" hidden="1">'Sch-1 dis'!$A$1:$G$84</definedName>
    <definedName name="Z_E9F4E142_7D26_464D_BECA_4F3806DB1FE1_.wvu.PrintArea" localSheetId="6" hidden="1">'Sch-2'!$A$1:$J$158</definedName>
    <definedName name="Z_E9F4E142_7D26_464D_BECA_4F3806DB1FE1_.wvu.PrintArea" localSheetId="7" hidden="1">'Sch-2 Dis'!$A$1:$F$62</definedName>
    <definedName name="Z_E9F4E142_7D26_464D_BECA_4F3806DB1FE1_.wvu.PrintArea" localSheetId="8" hidden="1">'Sch-3 '!$A$1:$P$165</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'Sch-1'!$A$18:$O$147</definedName>
    <definedName name="Z_ECE9294F_C910_4036_88BC_B1F2176FB06B_.wvu.FilterData" localSheetId="5" hidden="1">'Sch-1 dis'!$A$16:$B$21</definedName>
    <definedName name="Z_ECE9294F_C910_4036_88BC_B1F2176FB06B_.wvu.FilterData" localSheetId="6" hidden="1">'Sch-2'!$G$21:$J$151</definedName>
    <definedName name="Z_ECE9294F_C910_4036_88BC_B1F2176FB06B_.wvu.FilterData" localSheetId="7" hidden="1">'Sch-2 Dis'!$A$15:$F$56</definedName>
    <definedName name="Z_ECE9294F_C910_4036_88BC_B1F2176FB06B_.wvu.FilterData" localSheetId="8" hidden="1">'Sch-3 '!$A$19:$P$159</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'Sch-1'!$A$1:$O$160</definedName>
    <definedName name="Z_ECE9294F_C910_4036_88BC_B1F2176FB06B_.wvu.PrintArea" localSheetId="5" hidden="1">'Sch-1 dis'!$A$1:$G$84</definedName>
    <definedName name="Z_ECE9294F_C910_4036_88BC_B1F2176FB06B_.wvu.PrintArea" localSheetId="6" hidden="1">'Sch-2'!$A$1:$J$158</definedName>
    <definedName name="Z_ECE9294F_C910_4036_88BC_B1F2176FB06B_.wvu.PrintArea" localSheetId="7" hidden="1">'Sch-2 Dis'!$A$1:$F$62</definedName>
    <definedName name="Z_ECE9294F_C910_4036_88BC_B1F2176FB06B_.wvu.PrintArea" localSheetId="8" hidden="1">'Sch-3 '!$A$1:$P$165</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'Sch-1'!$A$18:$O$147</definedName>
    <definedName name="Z_EE46BCD1_F715_4FA9_A5FC_1B125AD601E0_.wvu.FilterData" localSheetId="5" hidden="1">'Sch-1 dis'!$A$16:$B$21</definedName>
    <definedName name="Z_EE46BCD1_F715_4FA9_A5FC_1B125AD601E0_.wvu.FilterData" localSheetId="6" hidden="1">'Sch-2'!$G$21:$J$151</definedName>
    <definedName name="Z_EE46BCD1_F715_4FA9_A5FC_1B125AD601E0_.wvu.FilterData" localSheetId="7" hidden="1">'Sch-2 Dis'!$A$15:$F$56</definedName>
    <definedName name="Z_EE46BCD1_F715_4FA9_A5FC_1B125AD601E0_.wvu.FilterData" localSheetId="8" hidden="1">'Sch-3 '!$A$19:$P$159</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'Sch-1'!$A$1:$O$160</definedName>
    <definedName name="Z_EE46BCD1_F715_4FA9_A5FC_1B125AD601E0_.wvu.PrintArea" localSheetId="5" hidden="1">'Sch-1 dis'!$A$1:$G$84</definedName>
    <definedName name="Z_EE46BCD1_F715_4FA9_A5FC_1B125AD601E0_.wvu.PrintArea" localSheetId="6" hidden="1">'Sch-2'!$A$1:$J$158</definedName>
    <definedName name="Z_EE46BCD1_F715_4FA9_A5FC_1B125AD601E0_.wvu.PrintArea" localSheetId="7" hidden="1">'Sch-2 Dis'!$A$1:$F$62</definedName>
    <definedName name="Z_EE46BCD1_F715_4FA9_A5FC_1B125AD601E0_.wvu.PrintArea" localSheetId="8" hidden="1">'Sch-3 '!$A$1:$P$165</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Adil Iqbal Khan - Personal View" guid="{9AC181BA-F443-4EA7-A647-328174FE3004}" mergeInterval="0" personalView="1" maximized="1" xWindow="-9" yWindow="-9" windowWidth="1938" windowHeight="1048" tabRatio="823" activeSheetId="5"/>
    <customWorkbookView name="Neelam Singh {नीलम सिंह} - Personal View" guid="{CB55CDDD-15EC-4265-9148-3411BBB26D54}" mergeInterval="0" personalView="1" maximized="1" xWindow="-8" yWindow="-8" windowWidth="1936" windowHeight="1056" tabRatio="823" activeSheetId="5"/>
    <customWorkbookView name="Ankit Vaishnav {Ankit Vaishnav} - Personal View" guid="{023E95C7-CD0A-46A1-945E-64751E02EBFE}" mergeInterval="0" personalView="1" maximized="1" xWindow="-8" yWindow="-8" windowWidth="1456" windowHeight="876" tabRatio="823" activeSheetId="23"/>
    <customWorkbookView name="60003018 - Personal View" guid="{BB6473B7-092C-417E-97E7-ED0705AE17A0}" mergeInterval="0" personalView="1" maximized="1" windowWidth="1362" windowHeight="502" tabRatio="644" activeSheetId="2" showComments="commIndAndComment"/>
    <customWorkbookView name="Rahul Mendhe {Rahul Mendhe} - Personal View" guid="{A41EE4DE-0D82-4A56-8210-F78316511D11}" mergeInterval="0" personalView="1" maximized="1" windowWidth="1916" windowHeight="814" tabRatio="644" activeSheetId="23"/>
    <customWorkbookView name="Samrat Jain {Samrat Jain} - Personal View" guid="{1E0C44A1-9358-4FBD-8C2C-4DB661DA1476}" mergeInterval="0" personalView="1" maximized="1" windowWidth="1916" windowHeight="774" tabRatio="644" activeSheetId="2"/>
    <customWorkbookView name="60003099 - Personal View" guid="{498493C3-769C-4143-9114-C68CD1D40B11}" mergeInterval="0" personalView="1" maximized="1" windowWidth="1276" windowHeight="758" tabRatio="746" activeSheetId="2"/>
    <customWorkbookView name="Swatantra Kumar {स्वतंत्र कुमार} - Personal View" guid="{C431BC99-7569-44AB-83F6-AB73BDED3783}" mergeInterval="0" personalView="1" maximized="1" windowWidth="1362" windowHeight="502" tabRatio="821" activeSheetId="5"/>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60001959 - Personal View" guid="{B835C05C-B615-4DCB-982D-4519616B3CD8}" mergeInterval="0" personalView="1" maximized="1" windowWidth="1362" windowHeight="553" tabRatio="821" activeSheetId="7"/>
    <customWorkbookView name="Jasminder Singh Bhatia {जसमिंदर सिंह भाटिया} - Personal View" guid="{A34CC49F-E309-4C23-B4F6-1E3B307C10D1}" mergeInterval="0" personalView="1" maximized="1" windowWidth="1596" windowHeight="634" tabRatio="746" activeSheetId="5"/>
    <customWorkbookView name="Ram Lal {Ram Lal} - Personal View" guid="{8909CFDD-4F29-4C72-886E-908773EE94A2}" mergeInterval="0" personalView="1" maximized="1" windowWidth="1916" windowHeight="854" tabRatio="644" activeSheetId="11"/>
    <customWorkbookView name="Adil Iqbal Khan {Adil Iqbal Khan} - Personal View" guid="{D5F8AD2D-F014-4A7B-9CE7-589273BD9F11}" mergeInterval="0" personalView="1" maximized="1" xWindow="-9" yWindow="-9" windowWidth="1938" windowHeight="1048" tabRatio="823"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7" i="9" l="1"/>
  <c r="H149" i="7"/>
  <c r="G149" i="7"/>
  <c r="F149" i="7"/>
  <c r="E149" i="7"/>
  <c r="D149" i="7"/>
  <c r="C149" i="7"/>
  <c r="B149" i="7"/>
  <c r="H148" i="7"/>
  <c r="G148" i="7"/>
  <c r="F148" i="7"/>
  <c r="E148" i="7"/>
  <c r="D148" i="7"/>
  <c r="C148" i="7"/>
  <c r="B148" i="7"/>
  <c r="H147" i="7"/>
  <c r="G147" i="7"/>
  <c r="F147" i="7"/>
  <c r="E147" i="7"/>
  <c r="D147" i="7"/>
  <c r="C147" i="7"/>
  <c r="B147" i="7"/>
  <c r="H146" i="7"/>
  <c r="G146" i="7"/>
  <c r="F146" i="7"/>
  <c r="E146" i="7"/>
  <c r="D146" i="7"/>
  <c r="C146" i="7"/>
  <c r="B146" i="7"/>
  <c r="H145" i="7"/>
  <c r="G145" i="7"/>
  <c r="F145" i="7"/>
  <c r="E145" i="7"/>
  <c r="D145" i="7"/>
  <c r="C145" i="7"/>
  <c r="B145" i="7"/>
  <c r="H144" i="7"/>
  <c r="G144" i="7"/>
  <c r="F144" i="7"/>
  <c r="E144" i="7"/>
  <c r="D144" i="7"/>
  <c r="C144" i="7"/>
  <c r="B144" i="7"/>
  <c r="H143" i="7"/>
  <c r="G143" i="7"/>
  <c r="F143" i="7"/>
  <c r="E143" i="7"/>
  <c r="D143" i="7"/>
  <c r="C143" i="7"/>
  <c r="B143" i="7"/>
  <c r="H142" i="7"/>
  <c r="G142" i="7"/>
  <c r="F142" i="7"/>
  <c r="E142" i="7"/>
  <c r="D142" i="7"/>
  <c r="C142" i="7"/>
  <c r="B142" i="7"/>
  <c r="H141" i="7"/>
  <c r="G141" i="7"/>
  <c r="F141" i="7"/>
  <c r="E141" i="7"/>
  <c r="D141" i="7"/>
  <c r="C141" i="7"/>
  <c r="B141" i="7"/>
  <c r="H140" i="7"/>
  <c r="G140" i="7"/>
  <c r="F140" i="7"/>
  <c r="E140" i="7"/>
  <c r="D140" i="7"/>
  <c r="C140" i="7"/>
  <c r="B140" i="7"/>
  <c r="H139" i="7"/>
  <c r="G139" i="7"/>
  <c r="F139" i="7"/>
  <c r="E139" i="7"/>
  <c r="D139" i="7"/>
  <c r="C139" i="7"/>
  <c r="B139" i="7"/>
  <c r="H138" i="7"/>
  <c r="G138" i="7"/>
  <c r="F138" i="7"/>
  <c r="E138" i="7"/>
  <c r="D138" i="7"/>
  <c r="C138" i="7"/>
  <c r="B138" i="7"/>
  <c r="H137" i="7"/>
  <c r="G137" i="7"/>
  <c r="F137" i="7"/>
  <c r="E137" i="7"/>
  <c r="D137" i="7"/>
  <c r="C137" i="7"/>
  <c r="B137" i="7"/>
  <c r="H136" i="7"/>
  <c r="G136" i="7"/>
  <c r="F136" i="7"/>
  <c r="E136" i="7"/>
  <c r="D136" i="7"/>
  <c r="C136" i="7"/>
  <c r="B136" i="7"/>
  <c r="H135" i="7"/>
  <c r="G135" i="7"/>
  <c r="F135" i="7"/>
  <c r="E135" i="7"/>
  <c r="D135" i="7"/>
  <c r="C135" i="7"/>
  <c r="B135" i="7"/>
  <c r="H134" i="7"/>
  <c r="G134" i="7"/>
  <c r="F134" i="7"/>
  <c r="E134" i="7"/>
  <c r="D134" i="7"/>
  <c r="C134" i="7"/>
  <c r="B134" i="7"/>
  <c r="H133" i="7"/>
  <c r="G133" i="7"/>
  <c r="F133" i="7"/>
  <c r="E133" i="7"/>
  <c r="D133" i="7"/>
  <c r="C133" i="7"/>
  <c r="B133" i="7"/>
  <c r="H132" i="7"/>
  <c r="G132" i="7"/>
  <c r="F132" i="7"/>
  <c r="E132" i="7"/>
  <c r="D132" i="7"/>
  <c r="C132" i="7"/>
  <c r="B132" i="7"/>
  <c r="H131" i="7"/>
  <c r="G131" i="7"/>
  <c r="F131" i="7"/>
  <c r="E131" i="7"/>
  <c r="D131" i="7"/>
  <c r="C131" i="7"/>
  <c r="B131" i="7"/>
  <c r="H130" i="7"/>
  <c r="G130" i="7"/>
  <c r="F130" i="7"/>
  <c r="E130" i="7"/>
  <c r="D130" i="7"/>
  <c r="C130" i="7"/>
  <c r="B130" i="7"/>
  <c r="H129" i="7"/>
  <c r="G129" i="7"/>
  <c r="F129" i="7"/>
  <c r="E129" i="7"/>
  <c r="D129" i="7"/>
  <c r="C129" i="7"/>
  <c r="B129" i="7"/>
  <c r="H128" i="7"/>
  <c r="G128" i="7"/>
  <c r="F128" i="7"/>
  <c r="E128" i="7"/>
  <c r="D128" i="7"/>
  <c r="C128" i="7"/>
  <c r="B128" i="7"/>
  <c r="H127" i="7"/>
  <c r="G127" i="7"/>
  <c r="F127" i="7"/>
  <c r="E127" i="7"/>
  <c r="D127" i="7"/>
  <c r="C127" i="7"/>
  <c r="B127" i="7"/>
  <c r="H126" i="7"/>
  <c r="G126" i="7"/>
  <c r="F126" i="7"/>
  <c r="E126" i="7"/>
  <c r="D126" i="7"/>
  <c r="C126" i="7"/>
  <c r="B126" i="7"/>
  <c r="H125" i="7"/>
  <c r="G125" i="7"/>
  <c r="F125" i="7"/>
  <c r="E125" i="7"/>
  <c r="D125" i="7"/>
  <c r="C125" i="7"/>
  <c r="B125" i="7"/>
  <c r="H124" i="7"/>
  <c r="G124" i="7"/>
  <c r="F124" i="7"/>
  <c r="E124" i="7"/>
  <c r="D124" i="7"/>
  <c r="C124" i="7"/>
  <c r="B124" i="7"/>
  <c r="H123" i="7"/>
  <c r="G123" i="7"/>
  <c r="F123" i="7"/>
  <c r="E123" i="7"/>
  <c r="D123" i="7"/>
  <c r="C123" i="7"/>
  <c r="B123" i="7"/>
  <c r="H122" i="7"/>
  <c r="G122" i="7"/>
  <c r="F122" i="7"/>
  <c r="E122" i="7"/>
  <c r="D122" i="7"/>
  <c r="C122" i="7"/>
  <c r="B122" i="7"/>
  <c r="H121" i="7"/>
  <c r="G121" i="7"/>
  <c r="F121" i="7"/>
  <c r="E121" i="7"/>
  <c r="D121" i="7"/>
  <c r="C121" i="7"/>
  <c r="B121" i="7"/>
  <c r="H120" i="7"/>
  <c r="G120" i="7"/>
  <c r="F120" i="7"/>
  <c r="E120" i="7"/>
  <c r="D120" i="7"/>
  <c r="C120" i="7"/>
  <c r="B120" i="7"/>
  <c r="H119" i="7"/>
  <c r="G119" i="7"/>
  <c r="F119" i="7"/>
  <c r="E119" i="7"/>
  <c r="D119" i="7"/>
  <c r="C119" i="7"/>
  <c r="B119" i="7"/>
  <c r="H118" i="7"/>
  <c r="G118" i="7"/>
  <c r="F118" i="7"/>
  <c r="E118" i="7"/>
  <c r="D118" i="7"/>
  <c r="C118" i="7"/>
  <c r="B118" i="7"/>
  <c r="H117" i="7"/>
  <c r="G117" i="7"/>
  <c r="F117" i="7"/>
  <c r="E117" i="7"/>
  <c r="D117" i="7"/>
  <c r="C117" i="7"/>
  <c r="B117" i="7"/>
  <c r="H116" i="7"/>
  <c r="G116" i="7"/>
  <c r="F116" i="7"/>
  <c r="E116" i="7"/>
  <c r="D116" i="7"/>
  <c r="C116" i="7"/>
  <c r="B116" i="7"/>
  <c r="H115" i="7"/>
  <c r="G115" i="7"/>
  <c r="F115" i="7"/>
  <c r="E115" i="7"/>
  <c r="D115" i="7"/>
  <c r="C115" i="7"/>
  <c r="B115" i="7"/>
  <c r="H114" i="7"/>
  <c r="G114" i="7"/>
  <c r="F114" i="7"/>
  <c r="E114" i="7"/>
  <c r="D114" i="7"/>
  <c r="C114" i="7"/>
  <c r="B114" i="7"/>
  <c r="H113" i="7"/>
  <c r="G113" i="7"/>
  <c r="F113" i="7"/>
  <c r="E113" i="7"/>
  <c r="D113" i="7"/>
  <c r="C113" i="7"/>
  <c r="B113" i="7"/>
  <c r="H112" i="7"/>
  <c r="G112" i="7"/>
  <c r="F112" i="7"/>
  <c r="E112" i="7"/>
  <c r="D112" i="7"/>
  <c r="C112" i="7"/>
  <c r="B112" i="7"/>
  <c r="H111" i="7"/>
  <c r="G111" i="7"/>
  <c r="F111" i="7"/>
  <c r="E111" i="7"/>
  <c r="D111" i="7"/>
  <c r="C111" i="7"/>
  <c r="B111" i="7"/>
  <c r="H110" i="7"/>
  <c r="G110" i="7"/>
  <c r="F110" i="7"/>
  <c r="E110" i="7"/>
  <c r="D110" i="7"/>
  <c r="C110" i="7"/>
  <c r="B110" i="7"/>
  <c r="H109" i="7"/>
  <c r="G109" i="7"/>
  <c r="F109" i="7"/>
  <c r="E109" i="7"/>
  <c r="D109" i="7"/>
  <c r="C109" i="7"/>
  <c r="B109" i="7"/>
  <c r="H108" i="7"/>
  <c r="G108" i="7"/>
  <c r="F108" i="7"/>
  <c r="E108" i="7"/>
  <c r="D108" i="7"/>
  <c r="C108" i="7"/>
  <c r="B108" i="7"/>
  <c r="H107" i="7"/>
  <c r="G107" i="7"/>
  <c r="F107" i="7"/>
  <c r="E107" i="7"/>
  <c r="D107" i="7"/>
  <c r="C107" i="7"/>
  <c r="B107" i="7"/>
  <c r="H106" i="7"/>
  <c r="G106" i="7"/>
  <c r="F106" i="7"/>
  <c r="E106" i="7"/>
  <c r="D106" i="7"/>
  <c r="C106" i="7"/>
  <c r="B106" i="7"/>
  <c r="H105" i="7"/>
  <c r="G105" i="7"/>
  <c r="F105" i="7"/>
  <c r="E105" i="7"/>
  <c r="D105" i="7"/>
  <c r="C105" i="7"/>
  <c r="B105" i="7"/>
  <c r="H104" i="7"/>
  <c r="G104" i="7"/>
  <c r="F104" i="7"/>
  <c r="E104" i="7"/>
  <c r="D104" i="7"/>
  <c r="C104" i="7"/>
  <c r="B104" i="7"/>
  <c r="H103" i="7"/>
  <c r="G103" i="7"/>
  <c r="F103" i="7"/>
  <c r="E103" i="7"/>
  <c r="D103" i="7"/>
  <c r="C103" i="7"/>
  <c r="B103" i="7"/>
  <c r="H102" i="7"/>
  <c r="G102" i="7"/>
  <c r="F102" i="7"/>
  <c r="E102" i="7"/>
  <c r="D102" i="7"/>
  <c r="C102" i="7"/>
  <c r="B102" i="7"/>
  <c r="H101" i="7"/>
  <c r="G101" i="7"/>
  <c r="F101" i="7"/>
  <c r="E101" i="7"/>
  <c r="D101" i="7"/>
  <c r="C101" i="7"/>
  <c r="B101" i="7"/>
  <c r="H100" i="7"/>
  <c r="G100" i="7"/>
  <c r="F100" i="7"/>
  <c r="E100" i="7"/>
  <c r="D100" i="7"/>
  <c r="C100" i="7"/>
  <c r="B100" i="7"/>
  <c r="H99" i="7"/>
  <c r="G99" i="7"/>
  <c r="F99" i="7"/>
  <c r="E99" i="7"/>
  <c r="D99" i="7"/>
  <c r="C99" i="7"/>
  <c r="B99" i="7"/>
  <c r="H98" i="7"/>
  <c r="G98" i="7"/>
  <c r="F98" i="7"/>
  <c r="E98" i="7"/>
  <c r="D98" i="7"/>
  <c r="C98" i="7"/>
  <c r="B98" i="7"/>
  <c r="H97" i="7"/>
  <c r="G97" i="7"/>
  <c r="F97" i="7"/>
  <c r="E97" i="7"/>
  <c r="D97" i="7"/>
  <c r="C97" i="7"/>
  <c r="B97" i="7"/>
  <c r="H96" i="7"/>
  <c r="G96" i="7"/>
  <c r="F96" i="7"/>
  <c r="E96" i="7"/>
  <c r="D96" i="7"/>
  <c r="C96" i="7"/>
  <c r="B96" i="7"/>
  <c r="H95" i="7"/>
  <c r="G95" i="7"/>
  <c r="F95" i="7"/>
  <c r="E95" i="7"/>
  <c r="D95" i="7"/>
  <c r="C95" i="7"/>
  <c r="B95" i="7"/>
  <c r="H94" i="7"/>
  <c r="G94" i="7"/>
  <c r="F94" i="7"/>
  <c r="E94" i="7"/>
  <c r="D94" i="7"/>
  <c r="C94" i="7"/>
  <c r="B94" i="7"/>
  <c r="H93" i="7"/>
  <c r="G93" i="7"/>
  <c r="F93" i="7"/>
  <c r="E93" i="7"/>
  <c r="D93" i="7"/>
  <c r="C93" i="7"/>
  <c r="B93" i="7"/>
  <c r="H92" i="7"/>
  <c r="G92" i="7"/>
  <c r="F92" i="7"/>
  <c r="E92" i="7"/>
  <c r="D92" i="7"/>
  <c r="C92" i="7"/>
  <c r="B92" i="7"/>
  <c r="H91" i="7"/>
  <c r="G91" i="7"/>
  <c r="F91" i="7"/>
  <c r="E91" i="7"/>
  <c r="D91" i="7"/>
  <c r="C91" i="7"/>
  <c r="B91" i="7"/>
  <c r="H90" i="7"/>
  <c r="G90" i="7"/>
  <c r="F90" i="7"/>
  <c r="E90" i="7"/>
  <c r="D90" i="7"/>
  <c r="C90" i="7"/>
  <c r="B90" i="7"/>
  <c r="H89" i="7"/>
  <c r="G89" i="7"/>
  <c r="F89" i="7"/>
  <c r="E89" i="7"/>
  <c r="D89" i="7"/>
  <c r="C89" i="7"/>
  <c r="B89" i="7"/>
  <c r="H88" i="7"/>
  <c r="G88" i="7"/>
  <c r="F88" i="7"/>
  <c r="E88" i="7"/>
  <c r="D88" i="7"/>
  <c r="C88" i="7"/>
  <c r="B88" i="7"/>
  <c r="H87" i="7"/>
  <c r="G87" i="7"/>
  <c r="F87" i="7"/>
  <c r="E87" i="7"/>
  <c r="D87" i="7"/>
  <c r="C87" i="7"/>
  <c r="B87" i="7"/>
  <c r="H86" i="7"/>
  <c r="G86" i="7"/>
  <c r="F86" i="7"/>
  <c r="E86" i="7"/>
  <c r="D86" i="7"/>
  <c r="C86" i="7"/>
  <c r="B86" i="7"/>
  <c r="H85" i="7"/>
  <c r="G85" i="7"/>
  <c r="F85" i="7"/>
  <c r="E85" i="7"/>
  <c r="D85" i="7"/>
  <c r="C85" i="7"/>
  <c r="B85" i="7"/>
  <c r="H84" i="7"/>
  <c r="G84" i="7"/>
  <c r="F84" i="7"/>
  <c r="E84" i="7"/>
  <c r="D84" i="7"/>
  <c r="C84" i="7"/>
  <c r="B84" i="7"/>
  <c r="H83" i="7"/>
  <c r="G83" i="7"/>
  <c r="F83" i="7"/>
  <c r="E83" i="7"/>
  <c r="D83" i="7"/>
  <c r="C83" i="7"/>
  <c r="B83" i="7"/>
  <c r="H82" i="7"/>
  <c r="G82" i="7"/>
  <c r="F82" i="7"/>
  <c r="E82" i="7"/>
  <c r="D82" i="7"/>
  <c r="C82" i="7"/>
  <c r="B82" i="7"/>
  <c r="H81" i="7"/>
  <c r="G81" i="7"/>
  <c r="F81" i="7"/>
  <c r="E81" i="7"/>
  <c r="D81" i="7"/>
  <c r="C81" i="7"/>
  <c r="B81" i="7"/>
  <c r="H80" i="7"/>
  <c r="G80" i="7"/>
  <c r="F80" i="7"/>
  <c r="E80" i="7"/>
  <c r="D80" i="7"/>
  <c r="C80" i="7"/>
  <c r="B80" i="7"/>
  <c r="H79" i="7"/>
  <c r="G79" i="7"/>
  <c r="F79" i="7"/>
  <c r="E79" i="7"/>
  <c r="D79" i="7"/>
  <c r="C79" i="7"/>
  <c r="B79" i="7"/>
  <c r="H78" i="7"/>
  <c r="G78" i="7"/>
  <c r="F78" i="7"/>
  <c r="E78" i="7"/>
  <c r="D78" i="7"/>
  <c r="C78" i="7"/>
  <c r="B78" i="7"/>
  <c r="H77" i="7"/>
  <c r="G77" i="7"/>
  <c r="F77" i="7"/>
  <c r="E77" i="7"/>
  <c r="D77" i="7"/>
  <c r="C77" i="7"/>
  <c r="B77" i="7"/>
  <c r="H76" i="7"/>
  <c r="G76" i="7"/>
  <c r="F76" i="7"/>
  <c r="E76" i="7"/>
  <c r="D76" i="7"/>
  <c r="C76" i="7"/>
  <c r="B76" i="7"/>
  <c r="H75" i="7"/>
  <c r="G75" i="7"/>
  <c r="F75" i="7"/>
  <c r="E75" i="7"/>
  <c r="D75" i="7"/>
  <c r="C75" i="7"/>
  <c r="B75" i="7"/>
  <c r="H74" i="7"/>
  <c r="G74" i="7"/>
  <c r="F74" i="7"/>
  <c r="E74" i="7"/>
  <c r="D74" i="7"/>
  <c r="C74" i="7"/>
  <c r="B74" i="7"/>
  <c r="H73" i="7"/>
  <c r="G73" i="7"/>
  <c r="F73" i="7"/>
  <c r="E73" i="7"/>
  <c r="D73" i="7"/>
  <c r="C73" i="7"/>
  <c r="B73" i="7"/>
  <c r="H72" i="7"/>
  <c r="G72" i="7"/>
  <c r="F72" i="7"/>
  <c r="E72" i="7"/>
  <c r="D72" i="7"/>
  <c r="C72" i="7"/>
  <c r="B72" i="7"/>
  <c r="H71" i="7"/>
  <c r="G71" i="7"/>
  <c r="F71" i="7"/>
  <c r="E71" i="7"/>
  <c r="D71" i="7"/>
  <c r="C71" i="7"/>
  <c r="B71" i="7"/>
  <c r="H70" i="7"/>
  <c r="G70" i="7"/>
  <c r="F70" i="7"/>
  <c r="E70" i="7"/>
  <c r="D70" i="7"/>
  <c r="C70" i="7"/>
  <c r="B70" i="7"/>
  <c r="H69" i="7"/>
  <c r="G69" i="7"/>
  <c r="F69" i="7"/>
  <c r="E69" i="7"/>
  <c r="D69" i="7"/>
  <c r="C69" i="7"/>
  <c r="B69" i="7"/>
  <c r="H68" i="7"/>
  <c r="G68" i="7"/>
  <c r="F68" i="7"/>
  <c r="E68" i="7"/>
  <c r="D68" i="7"/>
  <c r="C68" i="7"/>
  <c r="B68" i="7"/>
  <c r="H67" i="7"/>
  <c r="G67" i="7"/>
  <c r="F67" i="7"/>
  <c r="E67" i="7"/>
  <c r="D67" i="7"/>
  <c r="C67" i="7"/>
  <c r="B67" i="7"/>
  <c r="H66" i="7"/>
  <c r="G66" i="7"/>
  <c r="F66" i="7"/>
  <c r="E66" i="7"/>
  <c r="D66" i="7"/>
  <c r="C66" i="7"/>
  <c r="B66" i="7"/>
  <c r="H65" i="7"/>
  <c r="G65" i="7"/>
  <c r="F65" i="7"/>
  <c r="E65" i="7"/>
  <c r="D65" i="7"/>
  <c r="C65" i="7"/>
  <c r="B65" i="7"/>
  <c r="H64" i="7"/>
  <c r="G64" i="7"/>
  <c r="F64" i="7"/>
  <c r="E64" i="7"/>
  <c r="D64" i="7"/>
  <c r="C64" i="7"/>
  <c r="B64" i="7"/>
  <c r="H63" i="7"/>
  <c r="G63" i="7"/>
  <c r="F63" i="7"/>
  <c r="E63" i="7"/>
  <c r="D63" i="7"/>
  <c r="C63" i="7"/>
  <c r="B63" i="7"/>
  <c r="H62" i="7"/>
  <c r="G62" i="7"/>
  <c r="F62" i="7"/>
  <c r="E62" i="7"/>
  <c r="D62" i="7"/>
  <c r="C62" i="7"/>
  <c r="B62" i="7"/>
  <c r="H61" i="7"/>
  <c r="G61" i="7"/>
  <c r="F61" i="7"/>
  <c r="E61" i="7"/>
  <c r="D61" i="7"/>
  <c r="C61" i="7"/>
  <c r="B61" i="7"/>
  <c r="H60" i="7"/>
  <c r="G60" i="7"/>
  <c r="F60" i="7"/>
  <c r="E60" i="7"/>
  <c r="D60" i="7"/>
  <c r="C60" i="7"/>
  <c r="B60" i="7"/>
  <c r="H59" i="7"/>
  <c r="G59" i="7"/>
  <c r="F59" i="7"/>
  <c r="E59" i="7"/>
  <c r="D59" i="7"/>
  <c r="C59" i="7"/>
  <c r="B59" i="7"/>
  <c r="H58" i="7"/>
  <c r="G58" i="7"/>
  <c r="F58" i="7"/>
  <c r="E58" i="7"/>
  <c r="D58" i="7"/>
  <c r="C58" i="7"/>
  <c r="B58" i="7"/>
  <c r="H57" i="7"/>
  <c r="G57" i="7"/>
  <c r="F57" i="7"/>
  <c r="E57" i="7"/>
  <c r="D57" i="7"/>
  <c r="C57" i="7"/>
  <c r="B57" i="7"/>
  <c r="H56" i="7"/>
  <c r="G56" i="7"/>
  <c r="F56" i="7"/>
  <c r="E56" i="7"/>
  <c r="D56" i="7"/>
  <c r="C56" i="7"/>
  <c r="B56" i="7"/>
  <c r="H55" i="7"/>
  <c r="G55" i="7"/>
  <c r="F55" i="7"/>
  <c r="E55" i="7"/>
  <c r="D55" i="7"/>
  <c r="C55" i="7"/>
  <c r="B55" i="7"/>
  <c r="H54" i="7"/>
  <c r="G54" i="7"/>
  <c r="F54" i="7"/>
  <c r="E54" i="7"/>
  <c r="D54" i="7"/>
  <c r="C54" i="7"/>
  <c r="B54" i="7"/>
  <c r="H53" i="7"/>
  <c r="G53" i="7"/>
  <c r="F53" i="7"/>
  <c r="E53" i="7"/>
  <c r="D53" i="7"/>
  <c r="C53" i="7"/>
  <c r="B53" i="7"/>
  <c r="H52" i="7"/>
  <c r="G52" i="7"/>
  <c r="F52" i="7"/>
  <c r="E52" i="7"/>
  <c r="D52" i="7"/>
  <c r="C52" i="7"/>
  <c r="B52" i="7"/>
  <c r="H51" i="7"/>
  <c r="G51" i="7"/>
  <c r="F51" i="7"/>
  <c r="E51" i="7"/>
  <c r="D51" i="7"/>
  <c r="C51" i="7"/>
  <c r="B51" i="7"/>
  <c r="H50" i="7"/>
  <c r="G50" i="7"/>
  <c r="F50" i="7"/>
  <c r="E50" i="7"/>
  <c r="D50" i="7"/>
  <c r="C50" i="7"/>
  <c r="B50" i="7"/>
  <c r="H49" i="7"/>
  <c r="G49" i="7"/>
  <c r="F49" i="7"/>
  <c r="E49" i="7"/>
  <c r="D49" i="7"/>
  <c r="C49" i="7"/>
  <c r="B49" i="7"/>
  <c r="H48" i="7"/>
  <c r="G48" i="7"/>
  <c r="F48" i="7"/>
  <c r="E48" i="7"/>
  <c r="D48" i="7"/>
  <c r="C48" i="7"/>
  <c r="B48" i="7"/>
  <c r="H47" i="7"/>
  <c r="G47" i="7"/>
  <c r="F47" i="7"/>
  <c r="E47" i="7"/>
  <c r="D47" i="7"/>
  <c r="C47" i="7"/>
  <c r="B47" i="7"/>
  <c r="H46" i="7"/>
  <c r="G46" i="7"/>
  <c r="F46" i="7"/>
  <c r="E46" i="7"/>
  <c r="D46" i="7"/>
  <c r="C46" i="7"/>
  <c r="B46" i="7"/>
  <c r="H45" i="7"/>
  <c r="G45" i="7"/>
  <c r="F45" i="7"/>
  <c r="E45" i="7"/>
  <c r="D45" i="7"/>
  <c r="C45" i="7"/>
  <c r="B45" i="7"/>
  <c r="H44" i="7"/>
  <c r="G44" i="7"/>
  <c r="F44" i="7"/>
  <c r="E44" i="7"/>
  <c r="D44" i="7"/>
  <c r="C44" i="7"/>
  <c r="B44" i="7"/>
  <c r="H43" i="7"/>
  <c r="G43" i="7"/>
  <c r="F43" i="7"/>
  <c r="E43" i="7"/>
  <c r="D43" i="7"/>
  <c r="C43" i="7"/>
  <c r="B43" i="7"/>
  <c r="H42" i="7"/>
  <c r="G42" i="7"/>
  <c r="F42" i="7"/>
  <c r="E42" i="7"/>
  <c r="D42" i="7"/>
  <c r="C42" i="7"/>
  <c r="B42" i="7"/>
  <c r="H41" i="7"/>
  <c r="G41" i="7"/>
  <c r="F41" i="7"/>
  <c r="E41" i="7"/>
  <c r="D41" i="7"/>
  <c r="C41" i="7"/>
  <c r="B41" i="7"/>
  <c r="H40" i="7"/>
  <c r="G40" i="7"/>
  <c r="F40" i="7"/>
  <c r="E40" i="7"/>
  <c r="D40" i="7"/>
  <c r="C40" i="7"/>
  <c r="B40" i="7"/>
  <c r="H39" i="7"/>
  <c r="G39" i="7"/>
  <c r="F39" i="7"/>
  <c r="E39" i="7"/>
  <c r="D39" i="7"/>
  <c r="C39" i="7"/>
  <c r="B39" i="7"/>
  <c r="H38" i="7"/>
  <c r="G38" i="7"/>
  <c r="F38" i="7"/>
  <c r="E38" i="7"/>
  <c r="D38" i="7"/>
  <c r="C38" i="7"/>
  <c r="B38" i="7"/>
  <c r="H37" i="7"/>
  <c r="G37" i="7"/>
  <c r="F37" i="7"/>
  <c r="E37" i="7"/>
  <c r="D37" i="7"/>
  <c r="C37" i="7"/>
  <c r="B37" i="7"/>
  <c r="H36" i="7"/>
  <c r="G36" i="7"/>
  <c r="F36" i="7"/>
  <c r="E36" i="7"/>
  <c r="D36" i="7"/>
  <c r="C36" i="7"/>
  <c r="B36" i="7"/>
  <c r="H35" i="7"/>
  <c r="G35" i="7"/>
  <c r="F35" i="7"/>
  <c r="E35" i="7"/>
  <c r="D35" i="7"/>
  <c r="C35" i="7"/>
  <c r="B35" i="7"/>
  <c r="H34" i="7"/>
  <c r="G34" i="7"/>
  <c r="F34" i="7"/>
  <c r="E34" i="7"/>
  <c r="D34" i="7"/>
  <c r="C34" i="7"/>
  <c r="B34" i="7"/>
  <c r="H33" i="7"/>
  <c r="G33" i="7"/>
  <c r="F33" i="7"/>
  <c r="E33" i="7"/>
  <c r="D33" i="7"/>
  <c r="C33" i="7"/>
  <c r="B33" i="7"/>
  <c r="H32" i="7"/>
  <c r="G32" i="7"/>
  <c r="F32" i="7"/>
  <c r="E32" i="7"/>
  <c r="D32" i="7"/>
  <c r="C32" i="7"/>
  <c r="B32" i="7"/>
  <c r="H31" i="7"/>
  <c r="G31" i="7"/>
  <c r="F31" i="7"/>
  <c r="E31" i="7"/>
  <c r="D31" i="7"/>
  <c r="C31" i="7"/>
  <c r="B31" i="7"/>
  <c r="H30" i="7"/>
  <c r="G30" i="7"/>
  <c r="F30" i="7"/>
  <c r="E30" i="7"/>
  <c r="D30" i="7"/>
  <c r="C30" i="7"/>
  <c r="B30" i="7"/>
  <c r="H29" i="7"/>
  <c r="G29" i="7"/>
  <c r="F29" i="7"/>
  <c r="E29" i="7"/>
  <c r="D29" i="7"/>
  <c r="C29" i="7"/>
  <c r="B29" i="7"/>
  <c r="H28" i="7"/>
  <c r="G28" i="7"/>
  <c r="F28" i="7"/>
  <c r="E28" i="7"/>
  <c r="D28" i="7"/>
  <c r="C28" i="7"/>
  <c r="B28" i="7"/>
  <c r="H27" i="7"/>
  <c r="G27" i="7"/>
  <c r="F27" i="7"/>
  <c r="E27" i="7"/>
  <c r="D27" i="7"/>
  <c r="C27" i="7"/>
  <c r="B27" i="7"/>
  <c r="H26" i="7"/>
  <c r="G26" i="7"/>
  <c r="F26" i="7"/>
  <c r="E26" i="7"/>
  <c r="D26" i="7"/>
  <c r="C26" i="7"/>
  <c r="B26" i="7"/>
  <c r="H25" i="7"/>
  <c r="G25" i="7"/>
  <c r="F25" i="7"/>
  <c r="E25" i="7"/>
  <c r="D25" i="7"/>
  <c r="C25" i="7"/>
  <c r="B25" i="7"/>
  <c r="H24" i="7"/>
  <c r="G24" i="7"/>
  <c r="F24" i="7"/>
  <c r="E24" i="7"/>
  <c r="D24" i="7"/>
  <c r="C24" i="7"/>
  <c r="B24" i="7"/>
  <c r="H23" i="7"/>
  <c r="G23" i="7"/>
  <c r="F23" i="7"/>
  <c r="E23" i="7"/>
  <c r="D23" i="7"/>
  <c r="C23" i="7"/>
  <c r="B23" i="7"/>
  <c r="H22" i="7"/>
  <c r="G22" i="7"/>
  <c r="F22" i="7"/>
  <c r="E22" i="7"/>
  <c r="D22" i="7"/>
  <c r="C22" i="7"/>
  <c r="B22" i="7"/>
  <c r="A148" i="7"/>
  <c r="A149" i="7" s="1"/>
  <c r="A148" i="5"/>
  <c r="A149" i="5" s="1"/>
  <c r="P96" i="9"/>
  <c r="R96" i="9" s="1"/>
  <c r="S96" i="9" s="1"/>
  <c r="Q96" i="9" s="1"/>
  <c r="P97" i="9"/>
  <c r="R97" i="9" s="1"/>
  <c r="S97" i="9" s="1"/>
  <c r="Q97" i="9" s="1"/>
  <c r="P98" i="9"/>
  <c r="R98" i="9" s="1"/>
  <c r="S98" i="9" s="1"/>
  <c r="Q98" i="9" s="1"/>
  <c r="P99" i="9"/>
  <c r="R99" i="9" s="1"/>
  <c r="S99" i="9" s="1"/>
  <c r="Q99" i="9" s="1"/>
  <c r="P100" i="9"/>
  <c r="R100" i="9" s="1"/>
  <c r="S100" i="9" s="1"/>
  <c r="Q100" i="9" s="1"/>
  <c r="P101" i="9"/>
  <c r="R101" i="9" s="1"/>
  <c r="S101" i="9" s="1"/>
  <c r="Q101" i="9" s="1"/>
  <c r="P102" i="9"/>
  <c r="R102" i="9" s="1"/>
  <c r="S102" i="9" s="1"/>
  <c r="Q102" i="9" s="1"/>
  <c r="P103" i="9"/>
  <c r="R103" i="9" s="1"/>
  <c r="S103" i="9" s="1"/>
  <c r="Q103" i="9" s="1"/>
  <c r="P104" i="9"/>
  <c r="R104" i="9" s="1"/>
  <c r="S104" i="9" s="1"/>
  <c r="Q104" i="9" s="1"/>
  <c r="P105" i="9"/>
  <c r="R105" i="9" s="1"/>
  <c r="S105" i="9" s="1"/>
  <c r="Q105" i="9" s="1"/>
  <c r="P106" i="9"/>
  <c r="R106" i="9" s="1"/>
  <c r="S106" i="9" s="1"/>
  <c r="Q106" i="9" s="1"/>
  <c r="P107" i="9"/>
  <c r="R107" i="9" s="1"/>
  <c r="S107" i="9" s="1"/>
  <c r="Q107" i="9" s="1"/>
  <c r="P108" i="9"/>
  <c r="R108" i="9" s="1"/>
  <c r="S108" i="9" s="1"/>
  <c r="Q108" i="9" s="1"/>
  <c r="P109" i="9"/>
  <c r="R109" i="9" s="1"/>
  <c r="S109" i="9" s="1"/>
  <c r="Q109" i="9" s="1"/>
  <c r="P110" i="9"/>
  <c r="R110" i="9" s="1"/>
  <c r="S110" i="9" s="1"/>
  <c r="Q110" i="9" s="1"/>
  <c r="P111" i="9"/>
  <c r="R111" i="9" s="1"/>
  <c r="S111" i="9" s="1"/>
  <c r="Q111" i="9" s="1"/>
  <c r="P112" i="9"/>
  <c r="R112" i="9" s="1"/>
  <c r="S112" i="9" s="1"/>
  <c r="Q112" i="9" s="1"/>
  <c r="P113" i="9"/>
  <c r="R113" i="9" s="1"/>
  <c r="S113" i="9" s="1"/>
  <c r="Q113" i="9" s="1"/>
  <c r="P114" i="9"/>
  <c r="R114" i="9" s="1"/>
  <c r="S114" i="9" s="1"/>
  <c r="Q114" i="9" s="1"/>
  <c r="P115" i="9"/>
  <c r="R115" i="9" s="1"/>
  <c r="S115" i="9" s="1"/>
  <c r="Q115" i="9" s="1"/>
  <c r="P116" i="9"/>
  <c r="R116" i="9" s="1"/>
  <c r="S116" i="9" s="1"/>
  <c r="Q116" i="9" s="1"/>
  <c r="P117" i="9"/>
  <c r="R117" i="9" s="1"/>
  <c r="S117" i="9" s="1"/>
  <c r="Q117" i="9" s="1"/>
  <c r="P118" i="9"/>
  <c r="R118" i="9" s="1"/>
  <c r="S118" i="9" s="1"/>
  <c r="Q118" i="9" s="1"/>
  <c r="P119" i="9"/>
  <c r="R119" i="9" s="1"/>
  <c r="S119" i="9" s="1"/>
  <c r="Q119" i="9" s="1"/>
  <c r="P120" i="9"/>
  <c r="R120" i="9" s="1"/>
  <c r="S120" i="9" s="1"/>
  <c r="Q120" i="9" s="1"/>
  <c r="P121" i="9"/>
  <c r="R121" i="9" s="1"/>
  <c r="S121" i="9" s="1"/>
  <c r="Q121" i="9" s="1"/>
  <c r="P122" i="9"/>
  <c r="R122" i="9" s="1"/>
  <c r="S122" i="9" s="1"/>
  <c r="Q122" i="9" s="1"/>
  <c r="P123" i="9"/>
  <c r="R123" i="9" s="1"/>
  <c r="S123" i="9" s="1"/>
  <c r="Q123" i="9" s="1"/>
  <c r="P124" i="9"/>
  <c r="R124" i="9" s="1"/>
  <c r="S124" i="9" s="1"/>
  <c r="Q124" i="9" s="1"/>
  <c r="P125" i="9"/>
  <c r="R125" i="9" s="1"/>
  <c r="S125" i="9" s="1"/>
  <c r="Q125" i="9" s="1"/>
  <c r="P126" i="9"/>
  <c r="R126" i="9" s="1"/>
  <c r="S126" i="9" s="1"/>
  <c r="Q126" i="9" s="1"/>
  <c r="P127" i="9"/>
  <c r="R127" i="9" s="1"/>
  <c r="S127" i="9" s="1"/>
  <c r="Q127" i="9" s="1"/>
  <c r="P128" i="9"/>
  <c r="R128" i="9" s="1"/>
  <c r="S128" i="9" s="1"/>
  <c r="Q128" i="9" s="1"/>
  <c r="P129" i="9"/>
  <c r="R129" i="9" s="1"/>
  <c r="S129" i="9" s="1"/>
  <c r="Q129" i="9" s="1"/>
  <c r="P130" i="9"/>
  <c r="R130" i="9" s="1"/>
  <c r="S130" i="9" s="1"/>
  <c r="Q130" i="9" s="1"/>
  <c r="P131" i="9"/>
  <c r="R131" i="9" s="1"/>
  <c r="S131" i="9" s="1"/>
  <c r="Q131" i="9" s="1"/>
  <c r="P132" i="9"/>
  <c r="R132" i="9" s="1"/>
  <c r="S132" i="9" s="1"/>
  <c r="Q132" i="9" s="1"/>
  <c r="P133" i="9"/>
  <c r="R133" i="9" s="1"/>
  <c r="S133" i="9" s="1"/>
  <c r="Q133" i="9" s="1"/>
  <c r="P134" i="9"/>
  <c r="R134" i="9" s="1"/>
  <c r="S134" i="9" s="1"/>
  <c r="Q134" i="9" s="1"/>
  <c r="P135" i="9"/>
  <c r="R135" i="9" s="1"/>
  <c r="S135" i="9" s="1"/>
  <c r="Q135" i="9" s="1"/>
  <c r="P136" i="9"/>
  <c r="R136" i="9" s="1"/>
  <c r="S136" i="9" s="1"/>
  <c r="Q136" i="9" s="1"/>
  <c r="P137" i="9"/>
  <c r="R137" i="9" s="1"/>
  <c r="S137" i="9" s="1"/>
  <c r="Q137" i="9" s="1"/>
  <c r="P138" i="9"/>
  <c r="R138" i="9" s="1"/>
  <c r="S138" i="9" s="1"/>
  <c r="Q138" i="9" s="1"/>
  <c r="P139" i="9"/>
  <c r="R139" i="9" s="1"/>
  <c r="S139" i="9" s="1"/>
  <c r="Q139" i="9" s="1"/>
  <c r="P140" i="9"/>
  <c r="R140" i="9" s="1"/>
  <c r="S140" i="9" s="1"/>
  <c r="Q140" i="9" s="1"/>
  <c r="P141" i="9"/>
  <c r="R141" i="9" s="1"/>
  <c r="S141" i="9" s="1"/>
  <c r="Q141" i="9" s="1"/>
  <c r="P142" i="9"/>
  <c r="R142" i="9" s="1"/>
  <c r="S142" i="9" s="1"/>
  <c r="Q142" i="9" s="1"/>
  <c r="P143" i="9"/>
  <c r="R143" i="9" s="1"/>
  <c r="S143" i="9" s="1"/>
  <c r="Q143" i="9" s="1"/>
  <c r="P144" i="9"/>
  <c r="R144" i="9" s="1"/>
  <c r="S144" i="9" s="1"/>
  <c r="Q144" i="9" s="1"/>
  <c r="P145" i="9"/>
  <c r="R145" i="9" s="1"/>
  <c r="S145" i="9" s="1"/>
  <c r="Q145" i="9" s="1"/>
  <c r="P146" i="9"/>
  <c r="R146" i="9" s="1"/>
  <c r="S146" i="9" s="1"/>
  <c r="Q146" i="9" s="1"/>
  <c r="P147" i="9"/>
  <c r="R147" i="9" s="1"/>
  <c r="S147" i="9" s="1"/>
  <c r="Q147" i="9" s="1"/>
  <c r="P148" i="9"/>
  <c r="R148" i="9" s="1"/>
  <c r="S148" i="9" s="1"/>
  <c r="Q148" i="9" s="1"/>
  <c r="P149" i="9"/>
  <c r="R149" i="9" s="1"/>
  <c r="S149" i="9" s="1"/>
  <c r="Q149" i="9" s="1"/>
  <c r="P150" i="9"/>
  <c r="R150" i="9" s="1"/>
  <c r="S150" i="9" s="1"/>
  <c r="Q150" i="9" s="1"/>
  <c r="P151" i="9"/>
  <c r="R151" i="9" s="1"/>
  <c r="S151" i="9" s="1"/>
  <c r="Q151" i="9" s="1"/>
  <c r="P152" i="9"/>
  <c r="R152" i="9" s="1"/>
  <c r="S152" i="9" s="1"/>
  <c r="Q152" i="9" s="1"/>
  <c r="P153" i="9"/>
  <c r="R153" i="9" s="1"/>
  <c r="S153" i="9" s="1"/>
  <c r="Q153" i="9" s="1"/>
  <c r="P154" i="9"/>
  <c r="R154" i="9" s="1"/>
  <c r="S154" i="9" s="1"/>
  <c r="Q154" i="9" s="1"/>
  <c r="P155" i="9"/>
  <c r="R155" i="9" s="1"/>
  <c r="S155" i="9" s="1"/>
  <c r="Q155" i="9" s="1"/>
  <c r="P156" i="9"/>
  <c r="R156" i="9" s="1"/>
  <c r="S156" i="9" s="1"/>
  <c r="Q156" i="9" s="1"/>
  <c r="P95" i="9" l="1"/>
  <c r="R95" i="9" s="1"/>
  <c r="S95" i="9" s="1"/>
  <c r="Q95" i="9" s="1"/>
  <c r="P94" i="9"/>
  <c r="R94" i="9" s="1"/>
  <c r="S94" i="9" s="1"/>
  <c r="Q94" i="9" s="1"/>
  <c r="P93" i="9"/>
  <c r="R93" i="9" s="1"/>
  <c r="S93" i="9" s="1"/>
  <c r="Q93" i="9" s="1"/>
  <c r="P92" i="9"/>
  <c r="R92" i="9" s="1"/>
  <c r="S92" i="9" s="1"/>
  <c r="Q92" i="9" s="1"/>
  <c r="P91" i="9"/>
  <c r="R91" i="9" s="1"/>
  <c r="S91" i="9" s="1"/>
  <c r="Q91" i="9" s="1"/>
  <c r="P90" i="9"/>
  <c r="R90" i="9" s="1"/>
  <c r="S90" i="9" s="1"/>
  <c r="Q90" i="9" s="1"/>
  <c r="P89" i="9"/>
  <c r="R89" i="9" s="1"/>
  <c r="S89" i="9" s="1"/>
  <c r="Q89" i="9" s="1"/>
  <c r="P88" i="9"/>
  <c r="R88" i="9" s="1"/>
  <c r="S88" i="9" s="1"/>
  <c r="Q88" i="9" s="1"/>
  <c r="P87" i="9"/>
  <c r="R87" i="9" s="1"/>
  <c r="S87" i="9" s="1"/>
  <c r="Q87" i="9" s="1"/>
  <c r="P86" i="9"/>
  <c r="R86" i="9" s="1"/>
  <c r="S86" i="9" s="1"/>
  <c r="Q86" i="9" s="1"/>
  <c r="P85" i="9"/>
  <c r="R85" i="9" s="1"/>
  <c r="S85" i="9" s="1"/>
  <c r="Q85" i="9" s="1"/>
  <c r="P84" i="9"/>
  <c r="R84" i="9" s="1"/>
  <c r="S84" i="9" s="1"/>
  <c r="Q84" i="9" s="1"/>
  <c r="P83" i="9"/>
  <c r="R83" i="9" s="1"/>
  <c r="S83" i="9" s="1"/>
  <c r="Q83" i="9" s="1"/>
  <c r="P82" i="9"/>
  <c r="R82" i="9" s="1"/>
  <c r="S82" i="9" s="1"/>
  <c r="Q82" i="9" s="1"/>
  <c r="P81" i="9"/>
  <c r="R81" i="9" s="1"/>
  <c r="S81" i="9" s="1"/>
  <c r="Q81" i="9" s="1"/>
  <c r="P80" i="9"/>
  <c r="R80" i="9" s="1"/>
  <c r="S80" i="9" s="1"/>
  <c r="Q80" i="9" s="1"/>
  <c r="P79" i="9"/>
  <c r="R79" i="9" s="1"/>
  <c r="S79" i="9" s="1"/>
  <c r="Q79" i="9" s="1"/>
  <c r="P78" i="9"/>
  <c r="R78" i="9" s="1"/>
  <c r="S78" i="9" s="1"/>
  <c r="Q78" i="9" s="1"/>
  <c r="P77" i="9"/>
  <c r="R77" i="9" s="1"/>
  <c r="S77" i="9" s="1"/>
  <c r="Q77" i="9" s="1"/>
  <c r="P76" i="9"/>
  <c r="R76" i="9" s="1"/>
  <c r="S76" i="9" s="1"/>
  <c r="Q76" i="9" s="1"/>
  <c r="P75" i="9"/>
  <c r="R75" i="9" s="1"/>
  <c r="S75" i="9" s="1"/>
  <c r="Q75" i="9" s="1"/>
  <c r="P74" i="9"/>
  <c r="R74" i="9" s="1"/>
  <c r="S74" i="9" s="1"/>
  <c r="Q74" i="9" s="1"/>
  <c r="P73" i="9"/>
  <c r="R73" i="9" s="1"/>
  <c r="S73" i="9" s="1"/>
  <c r="Q73" i="9" s="1"/>
  <c r="P72" i="9"/>
  <c r="R72" i="9" s="1"/>
  <c r="S72" i="9" s="1"/>
  <c r="Q72" i="9" s="1"/>
  <c r="P71" i="9"/>
  <c r="R71" i="9" s="1"/>
  <c r="S71" i="9" s="1"/>
  <c r="Q71" i="9" s="1"/>
  <c r="P70" i="9"/>
  <c r="R70" i="9" s="1"/>
  <c r="S70" i="9" s="1"/>
  <c r="Q70" i="9" s="1"/>
  <c r="P69" i="9"/>
  <c r="R69" i="9" s="1"/>
  <c r="S69" i="9" s="1"/>
  <c r="Q69" i="9" s="1"/>
  <c r="P68" i="9"/>
  <c r="R68" i="9" s="1"/>
  <c r="S68" i="9" s="1"/>
  <c r="Q68" i="9" s="1"/>
  <c r="P67" i="9"/>
  <c r="R67" i="9" s="1"/>
  <c r="S67" i="9" s="1"/>
  <c r="Q67" i="9" s="1"/>
  <c r="P66" i="9"/>
  <c r="R66" i="9" s="1"/>
  <c r="S66" i="9" s="1"/>
  <c r="Q66" i="9" s="1"/>
  <c r="P65" i="9"/>
  <c r="R65" i="9" s="1"/>
  <c r="S65" i="9" s="1"/>
  <c r="Q65" i="9" s="1"/>
  <c r="P64" i="9"/>
  <c r="R64" i="9" s="1"/>
  <c r="S64" i="9" s="1"/>
  <c r="Q64" i="9" s="1"/>
  <c r="P63" i="9"/>
  <c r="R63" i="9" s="1"/>
  <c r="S63" i="9" s="1"/>
  <c r="Q63" i="9" s="1"/>
  <c r="P62" i="9"/>
  <c r="R62" i="9" s="1"/>
  <c r="S62" i="9" s="1"/>
  <c r="Q62" i="9" s="1"/>
  <c r="P61" i="9"/>
  <c r="R61" i="9" s="1"/>
  <c r="S61" i="9" s="1"/>
  <c r="Q61" i="9" s="1"/>
  <c r="P60" i="9"/>
  <c r="R60" i="9" s="1"/>
  <c r="S60" i="9" s="1"/>
  <c r="Q60" i="9" s="1"/>
  <c r="P59" i="9"/>
  <c r="R59" i="9" s="1"/>
  <c r="S59" i="9" s="1"/>
  <c r="Q59" i="9" s="1"/>
  <c r="P58" i="9"/>
  <c r="R58" i="9" s="1"/>
  <c r="S58" i="9" s="1"/>
  <c r="Q58" i="9" s="1"/>
  <c r="P57" i="9"/>
  <c r="R57" i="9" s="1"/>
  <c r="S57" i="9" s="1"/>
  <c r="Q57" i="9" s="1"/>
  <c r="P56" i="9"/>
  <c r="R56" i="9" s="1"/>
  <c r="S56" i="9" s="1"/>
  <c r="Q56" i="9" s="1"/>
  <c r="P55" i="9"/>
  <c r="R55" i="9" s="1"/>
  <c r="S55" i="9" s="1"/>
  <c r="Q55" i="9" s="1"/>
  <c r="P54" i="9"/>
  <c r="R54" i="9" s="1"/>
  <c r="S54" i="9" s="1"/>
  <c r="Q54" i="9" s="1"/>
  <c r="P53" i="9"/>
  <c r="R53" i="9" s="1"/>
  <c r="S53" i="9" s="1"/>
  <c r="Q53" i="9" s="1"/>
  <c r="P52" i="9"/>
  <c r="R52" i="9" s="1"/>
  <c r="S52" i="9" s="1"/>
  <c r="Q52" i="9" s="1"/>
  <c r="P51" i="9"/>
  <c r="R51" i="9" s="1"/>
  <c r="S51" i="9" s="1"/>
  <c r="Q51" i="9" s="1"/>
  <c r="P50" i="9"/>
  <c r="R50" i="9" s="1"/>
  <c r="S50" i="9" s="1"/>
  <c r="Q50" i="9" s="1"/>
  <c r="P49" i="9"/>
  <c r="R49" i="9" s="1"/>
  <c r="S49" i="9" s="1"/>
  <c r="Q49" i="9" s="1"/>
  <c r="P48" i="9"/>
  <c r="R48" i="9" s="1"/>
  <c r="S48" i="9" s="1"/>
  <c r="Q48" i="9" s="1"/>
  <c r="P47" i="9"/>
  <c r="R47" i="9" s="1"/>
  <c r="S47" i="9" s="1"/>
  <c r="Q47" i="9" s="1"/>
  <c r="P46" i="9"/>
  <c r="R46" i="9" s="1"/>
  <c r="S46" i="9" s="1"/>
  <c r="Q46" i="9" s="1"/>
  <c r="P45" i="9"/>
  <c r="R45" i="9" s="1"/>
  <c r="S45" i="9" s="1"/>
  <c r="Q45" i="9" s="1"/>
  <c r="P44" i="9"/>
  <c r="R44" i="9" s="1"/>
  <c r="S44" i="9" s="1"/>
  <c r="Q44" i="9" s="1"/>
  <c r="P43" i="9"/>
  <c r="R43" i="9" s="1"/>
  <c r="S43" i="9" s="1"/>
  <c r="Q43" i="9" s="1"/>
  <c r="P42" i="9"/>
  <c r="R42" i="9" s="1"/>
  <c r="S42" i="9" s="1"/>
  <c r="Q42" i="9" s="1"/>
  <c r="P41" i="9"/>
  <c r="R41" i="9" s="1"/>
  <c r="S41" i="9" s="1"/>
  <c r="Q41" i="9" s="1"/>
  <c r="P40" i="9"/>
  <c r="R40" i="9" s="1"/>
  <c r="S40" i="9" s="1"/>
  <c r="Q40" i="9" s="1"/>
  <c r="P39" i="9"/>
  <c r="R39" i="9" s="1"/>
  <c r="S39" i="9" s="1"/>
  <c r="Q39" i="9" s="1"/>
  <c r="P38" i="9"/>
  <c r="R38" i="9" s="1"/>
  <c r="S38" i="9" s="1"/>
  <c r="Q38" i="9" s="1"/>
  <c r="P37" i="9"/>
  <c r="R37" i="9" s="1"/>
  <c r="S37" i="9" s="1"/>
  <c r="Q37" i="9" s="1"/>
  <c r="P36" i="9"/>
  <c r="R36" i="9" s="1"/>
  <c r="S36" i="9" s="1"/>
  <c r="Q36" i="9" s="1"/>
  <c r="P35" i="9"/>
  <c r="R35" i="9" s="1"/>
  <c r="S35" i="9" s="1"/>
  <c r="Q35" i="9" s="1"/>
  <c r="P34" i="9"/>
  <c r="R34" i="9" s="1"/>
  <c r="S34" i="9" s="1"/>
  <c r="Q34" i="9" s="1"/>
  <c r="P33" i="9"/>
  <c r="R33" i="9" s="1"/>
  <c r="S33" i="9" s="1"/>
  <c r="Q33" i="9" s="1"/>
  <c r="P32" i="9"/>
  <c r="R32" i="9" s="1"/>
  <c r="S32" i="9" s="1"/>
  <c r="Q32" i="9" s="1"/>
  <c r="P31" i="9"/>
  <c r="R31" i="9" s="1"/>
  <c r="S31" i="9" s="1"/>
  <c r="Q31" i="9" s="1"/>
  <c r="P30" i="9"/>
  <c r="R30" i="9" s="1"/>
  <c r="S30" i="9" s="1"/>
  <c r="Q30" i="9" s="1"/>
  <c r="P29" i="9"/>
  <c r="R29" i="9" s="1"/>
  <c r="S29" i="9" s="1"/>
  <c r="Q29" i="9" s="1"/>
  <c r="P28" i="9"/>
  <c r="R28" i="9" s="1"/>
  <c r="S28" i="9" s="1"/>
  <c r="Q28" i="9" s="1"/>
  <c r="P27" i="9"/>
  <c r="R27" i="9" s="1"/>
  <c r="S27" i="9" s="1"/>
  <c r="Q27" i="9" s="1"/>
  <c r="P26" i="9"/>
  <c r="R26" i="9" s="1"/>
  <c r="S26" i="9" s="1"/>
  <c r="Q26" i="9" s="1"/>
  <c r="P25" i="9"/>
  <c r="R25" i="9" s="1"/>
  <c r="S25" i="9" s="1"/>
  <c r="Q25" i="9" s="1"/>
  <c r="P24" i="9"/>
  <c r="R24" i="9" s="1"/>
  <c r="S24" i="9" s="1"/>
  <c r="Q24" i="9" s="1"/>
  <c r="P23" i="9"/>
  <c r="R23" i="9" s="1"/>
  <c r="S23" i="9" s="1"/>
  <c r="Q23" i="9" s="1"/>
  <c r="J147" i="7"/>
  <c r="J146" i="7"/>
  <c r="J145" i="7"/>
  <c r="J144" i="7"/>
  <c r="J143"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35" i="7"/>
  <c r="J34" i="7"/>
  <c r="J33" i="7"/>
  <c r="J32" i="7"/>
  <c r="J31" i="7"/>
  <c r="J30" i="7"/>
  <c r="J29" i="7"/>
  <c r="J28" i="7"/>
  <c r="J27" i="7"/>
  <c r="J26" i="7"/>
  <c r="J25" i="7"/>
  <c r="J110" i="7"/>
  <c r="J109" i="7"/>
  <c r="J108" i="7"/>
  <c r="J107" i="7"/>
  <c r="J106" i="7"/>
  <c r="J105" i="7"/>
  <c r="J104" i="7"/>
  <c r="J103" i="7"/>
  <c r="J102" i="7"/>
  <c r="J101" i="7"/>
  <c r="J100" i="7"/>
  <c r="J99" i="7"/>
  <c r="J43" i="7"/>
  <c r="J42" i="7"/>
  <c r="J41" i="7"/>
  <c r="J40" i="7"/>
  <c r="J39" i="7"/>
  <c r="J38" i="7"/>
  <c r="J37" i="7"/>
  <c r="J36" i="7"/>
  <c r="J24" i="7"/>
  <c r="A24" i="7"/>
  <c r="J23" i="7"/>
  <c r="J132" i="7"/>
  <c r="J131" i="7"/>
  <c r="J130" i="7"/>
  <c r="J129" i="7"/>
  <c r="J128" i="7"/>
  <c r="J127" i="7"/>
  <c r="J126" i="7"/>
  <c r="J125" i="7"/>
  <c r="J124" i="7"/>
  <c r="J123" i="7"/>
  <c r="J122" i="7"/>
  <c r="J121" i="7"/>
  <c r="J120" i="7"/>
  <c r="J119" i="7"/>
  <c r="J118" i="7"/>
  <c r="J117" i="7"/>
  <c r="J116" i="7"/>
  <c r="J115" i="7"/>
  <c r="J114" i="7"/>
  <c r="J113" i="7"/>
  <c r="J112" i="7"/>
  <c r="J111" i="7"/>
  <c r="J142" i="7"/>
  <c r="J141" i="7"/>
  <c r="J140" i="7"/>
  <c r="J139" i="7"/>
  <c r="J138" i="7"/>
  <c r="J137" i="7"/>
  <c r="J136" i="7"/>
  <c r="J135" i="7"/>
  <c r="J134" i="7"/>
  <c r="J133" i="7"/>
  <c r="N126" i="5"/>
  <c r="Q126" i="5" s="1"/>
  <c r="R126" i="5" s="1"/>
  <c r="O126" i="5" s="1"/>
  <c r="N125" i="5"/>
  <c r="Q125" i="5" s="1"/>
  <c r="R125" i="5" s="1"/>
  <c r="O125" i="5" s="1"/>
  <c r="N124" i="5"/>
  <c r="Q124" i="5" s="1"/>
  <c r="R124" i="5" s="1"/>
  <c r="O124" i="5" s="1"/>
  <c r="N123" i="5"/>
  <c r="Q123" i="5" s="1"/>
  <c r="R123" i="5" s="1"/>
  <c r="O123" i="5" s="1"/>
  <c r="N122" i="5"/>
  <c r="Q122" i="5" s="1"/>
  <c r="R122" i="5" s="1"/>
  <c r="O122" i="5" s="1"/>
  <c r="N121" i="5"/>
  <c r="Q121" i="5" s="1"/>
  <c r="R121" i="5" s="1"/>
  <c r="O121" i="5" s="1"/>
  <c r="N120" i="5"/>
  <c r="Q120" i="5" s="1"/>
  <c r="R120" i="5" s="1"/>
  <c r="O120" i="5" s="1"/>
  <c r="N119" i="5"/>
  <c r="Q119" i="5" s="1"/>
  <c r="R119" i="5" s="1"/>
  <c r="O119" i="5" s="1"/>
  <c r="N118" i="5"/>
  <c r="Q118" i="5" s="1"/>
  <c r="R118" i="5" s="1"/>
  <c r="O118" i="5" s="1"/>
  <c r="N117" i="5"/>
  <c r="Q117" i="5" s="1"/>
  <c r="R117" i="5" s="1"/>
  <c r="O117" i="5" s="1"/>
  <c r="N116" i="5"/>
  <c r="Q116" i="5" s="1"/>
  <c r="R116" i="5" s="1"/>
  <c r="O116" i="5" s="1"/>
  <c r="N115" i="5"/>
  <c r="Q115" i="5" s="1"/>
  <c r="R115" i="5" s="1"/>
  <c r="O115" i="5" s="1"/>
  <c r="N114" i="5"/>
  <c r="Q114" i="5" s="1"/>
  <c r="R114" i="5" s="1"/>
  <c r="O114" i="5" s="1"/>
  <c r="N113" i="5"/>
  <c r="Q113" i="5" s="1"/>
  <c r="R113" i="5" s="1"/>
  <c r="O113" i="5" s="1"/>
  <c r="N112" i="5"/>
  <c r="Q112" i="5" s="1"/>
  <c r="R112" i="5" s="1"/>
  <c r="O112" i="5" s="1"/>
  <c r="N111" i="5"/>
  <c r="Q111" i="5" s="1"/>
  <c r="R111" i="5" s="1"/>
  <c r="O111" i="5" s="1"/>
  <c r="N110" i="5"/>
  <c r="Q110" i="5" s="1"/>
  <c r="R110" i="5" s="1"/>
  <c r="O110" i="5" s="1"/>
  <c r="N109" i="5"/>
  <c r="Q109" i="5" s="1"/>
  <c r="R109" i="5" s="1"/>
  <c r="O109" i="5" s="1"/>
  <c r="N108" i="5"/>
  <c r="Q108" i="5" s="1"/>
  <c r="R108" i="5" s="1"/>
  <c r="O108" i="5" s="1"/>
  <c r="N107" i="5"/>
  <c r="Q107" i="5" s="1"/>
  <c r="R107" i="5" s="1"/>
  <c r="O107" i="5" s="1"/>
  <c r="N106" i="5"/>
  <c r="Q106" i="5" s="1"/>
  <c r="R106" i="5" s="1"/>
  <c r="O106" i="5" s="1"/>
  <c r="N105" i="5"/>
  <c r="Q105" i="5" s="1"/>
  <c r="R105" i="5" s="1"/>
  <c r="O105" i="5" s="1"/>
  <c r="N104" i="5"/>
  <c r="Q104" i="5" s="1"/>
  <c r="R104" i="5" s="1"/>
  <c r="O104" i="5" s="1"/>
  <c r="N103" i="5"/>
  <c r="Q103" i="5" s="1"/>
  <c r="R103" i="5" s="1"/>
  <c r="O103" i="5" s="1"/>
  <c r="N102" i="5"/>
  <c r="Q102" i="5" s="1"/>
  <c r="R102" i="5" s="1"/>
  <c r="O102" i="5" s="1"/>
  <c r="N101" i="5"/>
  <c r="Q101" i="5" s="1"/>
  <c r="R101" i="5" s="1"/>
  <c r="O101" i="5" s="1"/>
  <c r="N100" i="5"/>
  <c r="Q100" i="5" s="1"/>
  <c r="R100" i="5" s="1"/>
  <c r="O100" i="5" s="1"/>
  <c r="N99" i="5"/>
  <c r="Q99" i="5" s="1"/>
  <c r="R99" i="5" s="1"/>
  <c r="O99" i="5" s="1"/>
  <c r="N98" i="5"/>
  <c r="Q98" i="5" s="1"/>
  <c r="R98" i="5" s="1"/>
  <c r="O98" i="5" s="1"/>
  <c r="N97" i="5"/>
  <c r="Q97" i="5" s="1"/>
  <c r="R97" i="5" s="1"/>
  <c r="O97" i="5" s="1"/>
  <c r="N96" i="5"/>
  <c r="Q96" i="5" s="1"/>
  <c r="R96" i="5" s="1"/>
  <c r="O96" i="5" s="1"/>
  <c r="N95" i="5"/>
  <c r="Q95" i="5" s="1"/>
  <c r="R95" i="5" s="1"/>
  <c r="O95" i="5" s="1"/>
  <c r="N94" i="5"/>
  <c r="Q94" i="5" s="1"/>
  <c r="R94" i="5" s="1"/>
  <c r="O94" i="5" s="1"/>
  <c r="N93" i="5"/>
  <c r="Q93" i="5" s="1"/>
  <c r="R93" i="5" s="1"/>
  <c r="O93" i="5" s="1"/>
  <c r="N92" i="5"/>
  <c r="Q92" i="5" s="1"/>
  <c r="R92" i="5" s="1"/>
  <c r="O92" i="5" s="1"/>
  <c r="N91" i="5"/>
  <c r="Q91" i="5" s="1"/>
  <c r="R91" i="5" s="1"/>
  <c r="O91" i="5" s="1"/>
  <c r="N90" i="5"/>
  <c r="Q90" i="5" s="1"/>
  <c r="R90" i="5" s="1"/>
  <c r="O90" i="5" s="1"/>
  <c r="N89" i="5"/>
  <c r="Q89" i="5" s="1"/>
  <c r="R89" i="5" s="1"/>
  <c r="O89" i="5" s="1"/>
  <c r="N88" i="5"/>
  <c r="Q88" i="5" s="1"/>
  <c r="R88" i="5" s="1"/>
  <c r="O88" i="5" s="1"/>
  <c r="N87" i="5"/>
  <c r="Q87" i="5" s="1"/>
  <c r="R87" i="5" s="1"/>
  <c r="O87" i="5" s="1"/>
  <c r="N86" i="5"/>
  <c r="Q86" i="5" s="1"/>
  <c r="R86" i="5" s="1"/>
  <c r="O86" i="5" s="1"/>
  <c r="N85" i="5"/>
  <c r="Q85" i="5" s="1"/>
  <c r="R85" i="5" s="1"/>
  <c r="O85" i="5" s="1"/>
  <c r="N84" i="5"/>
  <c r="Q84" i="5" s="1"/>
  <c r="R84" i="5" s="1"/>
  <c r="O84" i="5" s="1"/>
  <c r="N83" i="5"/>
  <c r="Q83" i="5" s="1"/>
  <c r="R83" i="5" s="1"/>
  <c r="O83" i="5" s="1"/>
  <c r="N82" i="5"/>
  <c r="Q82" i="5" s="1"/>
  <c r="R82" i="5" s="1"/>
  <c r="O82" i="5" s="1"/>
  <c r="N81" i="5"/>
  <c r="Q81" i="5" s="1"/>
  <c r="R81" i="5" s="1"/>
  <c r="O81" i="5" s="1"/>
  <c r="N80" i="5"/>
  <c r="Q80" i="5" s="1"/>
  <c r="R80" i="5" s="1"/>
  <c r="O80" i="5" s="1"/>
  <c r="N79" i="5"/>
  <c r="Q79" i="5" s="1"/>
  <c r="R79" i="5" s="1"/>
  <c r="O79" i="5" s="1"/>
  <c r="N78" i="5"/>
  <c r="Q78" i="5" s="1"/>
  <c r="R78" i="5" s="1"/>
  <c r="O78" i="5" s="1"/>
  <c r="N77" i="5"/>
  <c r="Q77" i="5" s="1"/>
  <c r="R77" i="5" s="1"/>
  <c r="O77" i="5" s="1"/>
  <c r="N76" i="5"/>
  <c r="Q76" i="5" s="1"/>
  <c r="R76" i="5" s="1"/>
  <c r="O76" i="5" s="1"/>
  <c r="N75" i="5"/>
  <c r="Q75" i="5" s="1"/>
  <c r="R75" i="5" s="1"/>
  <c r="O75" i="5" s="1"/>
  <c r="N74" i="5"/>
  <c r="Q74" i="5" s="1"/>
  <c r="R74" i="5" s="1"/>
  <c r="O74" i="5" s="1"/>
  <c r="N73" i="5"/>
  <c r="Q73" i="5" s="1"/>
  <c r="R73" i="5" s="1"/>
  <c r="O73" i="5" s="1"/>
  <c r="N72" i="5"/>
  <c r="Q72" i="5" s="1"/>
  <c r="R72" i="5" s="1"/>
  <c r="O72" i="5" s="1"/>
  <c r="N71" i="5"/>
  <c r="Q71" i="5" s="1"/>
  <c r="R71" i="5" s="1"/>
  <c r="O71" i="5" s="1"/>
  <c r="N70" i="5"/>
  <c r="Q70" i="5" s="1"/>
  <c r="R70" i="5" s="1"/>
  <c r="O70" i="5" s="1"/>
  <c r="N69" i="5"/>
  <c r="Q69" i="5" s="1"/>
  <c r="R69" i="5" s="1"/>
  <c r="O69" i="5" s="1"/>
  <c r="N68" i="5"/>
  <c r="Q68" i="5" s="1"/>
  <c r="R68" i="5" s="1"/>
  <c r="O68" i="5" s="1"/>
  <c r="N67" i="5"/>
  <c r="Q67" i="5" s="1"/>
  <c r="R67" i="5" s="1"/>
  <c r="O67" i="5" s="1"/>
  <c r="N66" i="5"/>
  <c r="Q66" i="5" s="1"/>
  <c r="R66" i="5" s="1"/>
  <c r="O66" i="5" s="1"/>
  <c r="N65" i="5"/>
  <c r="Q65" i="5" s="1"/>
  <c r="R65" i="5" s="1"/>
  <c r="O65" i="5" s="1"/>
  <c r="N64" i="5"/>
  <c r="Q64" i="5" s="1"/>
  <c r="R64" i="5" s="1"/>
  <c r="O64" i="5" s="1"/>
  <c r="N63" i="5"/>
  <c r="Q63" i="5" s="1"/>
  <c r="R63" i="5" s="1"/>
  <c r="O63" i="5" s="1"/>
  <c r="N62" i="5"/>
  <c r="Q62" i="5" s="1"/>
  <c r="R62" i="5" s="1"/>
  <c r="O62" i="5" s="1"/>
  <c r="N61" i="5"/>
  <c r="Q61" i="5" s="1"/>
  <c r="R61" i="5" s="1"/>
  <c r="O61" i="5" s="1"/>
  <c r="N60" i="5"/>
  <c r="Q60" i="5" s="1"/>
  <c r="R60" i="5" s="1"/>
  <c r="O60" i="5" s="1"/>
  <c r="N59" i="5"/>
  <c r="Q59" i="5" s="1"/>
  <c r="R59" i="5" s="1"/>
  <c r="O59" i="5" s="1"/>
  <c r="N58" i="5"/>
  <c r="Q58" i="5" s="1"/>
  <c r="R58" i="5" s="1"/>
  <c r="O58" i="5" s="1"/>
  <c r="N57" i="5"/>
  <c r="Q57" i="5" s="1"/>
  <c r="R57" i="5" s="1"/>
  <c r="O57" i="5" s="1"/>
  <c r="N56" i="5"/>
  <c r="Q56" i="5" s="1"/>
  <c r="R56" i="5" s="1"/>
  <c r="O56" i="5" s="1"/>
  <c r="N55" i="5"/>
  <c r="Q55" i="5" s="1"/>
  <c r="R55" i="5" s="1"/>
  <c r="O55" i="5" s="1"/>
  <c r="N54" i="5"/>
  <c r="Q54" i="5" s="1"/>
  <c r="R54" i="5" s="1"/>
  <c r="O54" i="5" s="1"/>
  <c r="N53" i="5"/>
  <c r="Q53" i="5" s="1"/>
  <c r="R53" i="5" s="1"/>
  <c r="O53" i="5" s="1"/>
  <c r="N52" i="5"/>
  <c r="Q52" i="5" s="1"/>
  <c r="R52" i="5" s="1"/>
  <c r="O52" i="5" s="1"/>
  <c r="N51" i="5"/>
  <c r="Q51" i="5" s="1"/>
  <c r="R51" i="5" s="1"/>
  <c r="O51" i="5" s="1"/>
  <c r="N50" i="5"/>
  <c r="Q50" i="5" s="1"/>
  <c r="R50" i="5" s="1"/>
  <c r="O50" i="5" s="1"/>
  <c r="N49" i="5"/>
  <c r="Q49" i="5" s="1"/>
  <c r="R49" i="5" s="1"/>
  <c r="O49" i="5" s="1"/>
  <c r="N48" i="5"/>
  <c r="Q48" i="5" s="1"/>
  <c r="R48" i="5" s="1"/>
  <c r="O48" i="5" s="1"/>
  <c r="N47" i="5"/>
  <c r="Q47" i="5" s="1"/>
  <c r="R47" i="5" s="1"/>
  <c r="O47" i="5" s="1"/>
  <c r="N46" i="5"/>
  <c r="Q46" i="5" s="1"/>
  <c r="R46" i="5" s="1"/>
  <c r="O46" i="5" s="1"/>
  <c r="N45" i="5"/>
  <c r="Q45" i="5" s="1"/>
  <c r="R45" i="5" s="1"/>
  <c r="O45" i="5" s="1"/>
  <c r="N44" i="5"/>
  <c r="Q44" i="5" s="1"/>
  <c r="R44" i="5" s="1"/>
  <c r="O44" i="5" s="1"/>
  <c r="N43" i="5"/>
  <c r="Q43" i="5" s="1"/>
  <c r="R43" i="5" s="1"/>
  <c r="O43" i="5" s="1"/>
  <c r="N42" i="5"/>
  <c r="Q42" i="5" s="1"/>
  <c r="R42" i="5" s="1"/>
  <c r="O42" i="5" s="1"/>
  <c r="N41" i="5"/>
  <c r="Q41" i="5" s="1"/>
  <c r="R41" i="5" s="1"/>
  <c r="O41" i="5" s="1"/>
  <c r="N40" i="5"/>
  <c r="Q40" i="5" s="1"/>
  <c r="R40" i="5" s="1"/>
  <c r="O40" i="5" s="1"/>
  <c r="N39" i="5"/>
  <c r="Q39" i="5" s="1"/>
  <c r="R39" i="5" s="1"/>
  <c r="O39" i="5" s="1"/>
  <c r="N38" i="5"/>
  <c r="Q38" i="5" s="1"/>
  <c r="R38" i="5" s="1"/>
  <c r="O38" i="5" s="1"/>
  <c r="N37" i="5"/>
  <c r="Q37" i="5" s="1"/>
  <c r="R37" i="5" s="1"/>
  <c r="O37" i="5" s="1"/>
  <c r="N36" i="5"/>
  <c r="Q36" i="5" s="1"/>
  <c r="R36" i="5" s="1"/>
  <c r="O36" i="5" s="1"/>
  <c r="N35" i="5"/>
  <c r="Q35" i="5" s="1"/>
  <c r="R35" i="5" s="1"/>
  <c r="O35" i="5" s="1"/>
  <c r="N34" i="5"/>
  <c r="Q34" i="5" s="1"/>
  <c r="R34" i="5" s="1"/>
  <c r="O34" i="5" s="1"/>
  <c r="N33" i="5"/>
  <c r="Q33" i="5" s="1"/>
  <c r="R33" i="5" s="1"/>
  <c r="O33" i="5" s="1"/>
  <c r="N32" i="5"/>
  <c r="Q32" i="5" s="1"/>
  <c r="R32" i="5" s="1"/>
  <c r="O32" i="5" s="1"/>
  <c r="N31" i="5"/>
  <c r="Q31" i="5" s="1"/>
  <c r="R31" i="5" s="1"/>
  <c r="O31" i="5" s="1"/>
  <c r="N30" i="5"/>
  <c r="Q30" i="5" s="1"/>
  <c r="R30" i="5" s="1"/>
  <c r="O30" i="5" s="1"/>
  <c r="N29" i="5"/>
  <c r="Q29" i="5" s="1"/>
  <c r="R29" i="5" s="1"/>
  <c r="O29" i="5" s="1"/>
  <c r="N28" i="5"/>
  <c r="Q28" i="5" s="1"/>
  <c r="R28" i="5" s="1"/>
  <c r="O28" i="5" s="1"/>
  <c r="N27" i="5"/>
  <c r="Q27" i="5" s="1"/>
  <c r="R27" i="5" s="1"/>
  <c r="O27" i="5" s="1"/>
  <c r="N26" i="5"/>
  <c r="Q26" i="5" s="1"/>
  <c r="R26" i="5" s="1"/>
  <c r="O26" i="5" s="1"/>
  <c r="N25" i="5"/>
  <c r="Q25" i="5" s="1"/>
  <c r="R25" i="5" s="1"/>
  <c r="O25" i="5" s="1"/>
  <c r="N24" i="5"/>
  <c r="Q24" i="5" s="1"/>
  <c r="R24" i="5" s="1"/>
  <c r="O24"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N23" i="5"/>
  <c r="Q23" i="5" s="1"/>
  <c r="R23" i="5" s="1"/>
  <c r="O23" i="5" s="1"/>
  <c r="N147" i="5"/>
  <c r="Q147" i="5" s="1"/>
  <c r="R147" i="5" s="1"/>
  <c r="O147" i="5" s="1"/>
  <c r="N146" i="5"/>
  <c r="Q146" i="5" s="1"/>
  <c r="R146" i="5" s="1"/>
  <c r="O146" i="5" s="1"/>
  <c r="N145" i="5"/>
  <c r="Q145" i="5" s="1"/>
  <c r="R145" i="5" s="1"/>
  <c r="O145" i="5" s="1"/>
  <c r="N144" i="5"/>
  <c r="Q144" i="5" s="1"/>
  <c r="R144" i="5" s="1"/>
  <c r="O144" i="5" s="1"/>
  <c r="N143" i="5"/>
  <c r="Q143" i="5" s="1"/>
  <c r="R143" i="5" s="1"/>
  <c r="O143" i="5" s="1"/>
  <c r="N142" i="5"/>
  <c r="Q142" i="5" s="1"/>
  <c r="R142" i="5" s="1"/>
  <c r="O142" i="5" s="1"/>
  <c r="N141" i="5"/>
  <c r="Q141" i="5" s="1"/>
  <c r="R141" i="5" s="1"/>
  <c r="O141" i="5" s="1"/>
  <c r="N140" i="5"/>
  <c r="Q140" i="5" s="1"/>
  <c r="R140" i="5" s="1"/>
  <c r="O140" i="5" s="1"/>
  <c r="N139" i="5"/>
  <c r="Q139" i="5" s="1"/>
  <c r="R139" i="5" s="1"/>
  <c r="O139" i="5" s="1"/>
  <c r="N138" i="5"/>
  <c r="Q138" i="5" s="1"/>
  <c r="R138" i="5" s="1"/>
  <c r="O138" i="5" s="1"/>
  <c r="N137" i="5"/>
  <c r="Q137" i="5" s="1"/>
  <c r="R137" i="5" s="1"/>
  <c r="O137" i="5" s="1"/>
  <c r="N136" i="5"/>
  <c r="Q136" i="5" s="1"/>
  <c r="R136" i="5" s="1"/>
  <c r="O136" i="5" s="1"/>
  <c r="N135" i="5"/>
  <c r="Q135" i="5" s="1"/>
  <c r="R135" i="5" s="1"/>
  <c r="O135" i="5" s="1"/>
  <c r="N134" i="5"/>
  <c r="Q134" i="5" s="1"/>
  <c r="R134" i="5" s="1"/>
  <c r="O134" i="5" s="1"/>
  <c r="N133" i="5"/>
  <c r="Q133" i="5" s="1"/>
  <c r="R133" i="5" s="1"/>
  <c r="O133" i="5" s="1"/>
  <c r="N132" i="5"/>
  <c r="Q132" i="5" s="1"/>
  <c r="R132" i="5" s="1"/>
  <c r="O132" i="5" s="1"/>
  <c r="N131" i="5"/>
  <c r="Q131" i="5" s="1"/>
  <c r="R131" i="5" s="1"/>
  <c r="O131" i="5" s="1"/>
  <c r="N130" i="5"/>
  <c r="Q130" i="5" s="1"/>
  <c r="R130" i="5" s="1"/>
  <c r="O130" i="5" s="1"/>
  <c r="N129" i="5"/>
  <c r="Q129" i="5" s="1"/>
  <c r="R129" i="5" s="1"/>
  <c r="O129" i="5" s="1"/>
  <c r="N128" i="5"/>
  <c r="Q128" i="5" s="1"/>
  <c r="R128" i="5" s="1"/>
  <c r="O128" i="5" s="1"/>
  <c r="N127" i="5"/>
  <c r="Q127" i="5" s="1"/>
  <c r="R127" i="5" s="1"/>
  <c r="O127" i="5" s="1"/>
  <c r="A25" i="7" l="1"/>
  <c r="A26" i="7" s="1"/>
  <c r="A27" i="7" s="1"/>
  <c r="A21" i="9"/>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l="1"/>
  <c r="A49" i="9" s="1"/>
  <c r="A50" i="9" s="1"/>
  <c r="A51" i="9" s="1"/>
  <c r="A52" i="9" s="1"/>
  <c r="A53" i="9" s="1"/>
  <c r="A54" i="9" s="1"/>
  <c r="A55" i="9" s="1"/>
  <c r="A56" i="9" s="1"/>
  <c r="A57" i="9" s="1"/>
  <c r="A58" i="9" s="1"/>
  <c r="A59" i="9" s="1"/>
  <c r="A60" i="9" s="1"/>
  <c r="A61" i="9" s="1"/>
  <c r="A62" i="9" s="1"/>
  <c r="A63" i="9" s="1"/>
  <c r="A28" i="7"/>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64" i="9" l="1"/>
  <c r="P157" i="9" l="1"/>
  <c r="R157" i="9" s="1"/>
  <c r="S157" i="9" s="1"/>
  <c r="Q157" i="9" s="1"/>
  <c r="B10" i="4" l="1"/>
  <c r="J149" i="7" l="1"/>
  <c r="J148" i="7"/>
  <c r="N149" i="5"/>
  <c r="Q149" i="5" s="1"/>
  <c r="R149" i="5" s="1"/>
  <c r="O149" i="5" s="1"/>
  <c r="N148" i="5" l="1"/>
  <c r="Q148" i="5" s="1"/>
  <c r="R148" i="5" s="1"/>
  <c r="O148" i="5" s="1"/>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K11"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11" i="16"/>
  <c r="D7" i="15"/>
  <c r="D8" i="15"/>
  <c r="D9" i="15"/>
  <c r="D10" i="15"/>
  <c r="D11" i="15"/>
  <c r="D7" i="14"/>
  <c r="D8" i="14"/>
  <c r="D9" i="14"/>
  <c r="D10" i="14"/>
  <c r="D11" i="14"/>
  <c r="D7" i="13"/>
  <c r="D8" i="13"/>
  <c r="D9" i="13"/>
  <c r="D10" i="13"/>
  <c r="D11"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11"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M11" i="9"/>
  <c r="B19" i="9"/>
  <c r="P20" i="9"/>
  <c r="R20" i="9" s="1"/>
  <c r="S20" i="9" s="1"/>
  <c r="P21" i="9"/>
  <c r="R21" i="9" s="1"/>
  <c r="S21" i="9" s="1"/>
  <c r="Q21" i="9" s="1"/>
  <c r="P22" i="9"/>
  <c r="R22" i="9" s="1"/>
  <c r="S22" i="9" s="1"/>
  <c r="Q22"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I11" i="7"/>
  <c r="A21" i="7"/>
  <c r="B21" i="7"/>
  <c r="J22"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22" i="5"/>
  <c r="B158" i="5"/>
  <c r="B159" i="5"/>
  <c r="M159" i="5"/>
  <c r="M160" i="5"/>
  <c r="I6" i="4"/>
  <c r="K6" i="4" s="1"/>
  <c r="H39" i="23" s="1"/>
  <c r="L6" i="4"/>
  <c r="AJ2" i="5" s="1"/>
  <c r="M6" i="4"/>
  <c r="N6" i="4" s="1"/>
  <c r="AA6" i="4"/>
  <c r="B7" i="4"/>
  <c r="L8" i="4"/>
  <c r="B9" i="4"/>
  <c r="A6" i="6" s="1"/>
  <c r="B14" i="4"/>
  <c r="B15" i="4"/>
  <c r="H31" i="4"/>
  <c r="G31" i="4" s="1"/>
  <c r="B2" i="2"/>
  <c r="F2" i="2"/>
  <c r="B3" i="2"/>
  <c r="A1" i="12" l="1"/>
  <c r="A1" i="11"/>
  <c r="A1" i="17"/>
  <c r="S159" i="9"/>
  <c r="N150" i="5"/>
  <c r="K31" i="25"/>
  <c r="Q22" i="5"/>
  <c r="R22" i="5" s="1"/>
  <c r="O22" i="5" s="1"/>
  <c r="O33" i="25"/>
  <c r="O32" i="25"/>
  <c r="O37" i="25"/>
  <c r="T76" i="6"/>
  <c r="F36" i="24"/>
  <c r="F18" i="24" s="1"/>
  <c r="O35" i="25"/>
  <c r="P22" i="11"/>
  <c r="D20" i="15" s="1"/>
  <c r="E16" i="21"/>
  <c r="E53" i="23"/>
  <c r="E16" i="20"/>
  <c r="F16" i="22"/>
  <c r="B26" i="24"/>
  <c r="J37" i="25"/>
  <c r="J35" i="25"/>
  <c r="J33" i="25"/>
  <c r="O31" i="25"/>
  <c r="M20" i="17"/>
  <c r="F35" i="24"/>
  <c r="F16" i="24" s="1"/>
  <c r="P30" i="12"/>
  <c r="J151" i="7"/>
  <c r="H19" i="19" s="1"/>
  <c r="I19" i="19" s="1"/>
  <c r="K36" i="25"/>
  <c r="K34" i="25"/>
  <c r="K32" i="25"/>
  <c r="B15" i="23"/>
  <c r="A3" i="15"/>
  <c r="A3" i="7"/>
  <c r="A3" i="9"/>
  <c r="Z2" i="6"/>
  <c r="Z2" i="23"/>
  <c r="Q20" i="9"/>
  <c r="Q160" i="9" s="1"/>
  <c r="P159" i="9"/>
  <c r="Q20" i="12"/>
  <c r="Q31" i="12" s="1"/>
  <c r="S30" i="12"/>
  <c r="A6" i="5"/>
  <c r="A6" i="17" s="1"/>
  <c r="A103" i="17" s="1"/>
  <c r="H22" i="19"/>
  <c r="I22" i="19" s="1"/>
  <c r="D22" i="15"/>
  <c r="H29" i="19"/>
  <c r="Q20" i="11"/>
  <c r="Q23" i="11" s="1"/>
  <c r="S22" i="11"/>
  <c r="N21" i="17"/>
  <c r="O36" i="25"/>
  <c r="O34" i="25"/>
  <c r="F33" i="25"/>
  <c r="F15" i="25" s="1"/>
  <c r="F18" i="25" s="1"/>
  <c r="H21" i="19"/>
  <c r="I21" i="19" s="1"/>
  <c r="F37" i="24"/>
  <c r="F38" i="24" s="1"/>
  <c r="F17" i="24" s="1"/>
  <c r="F19" i="24" s="1"/>
  <c r="H28" i="19"/>
  <c r="O18" i="13"/>
  <c r="F71" i="6"/>
  <c r="B77" i="6"/>
  <c r="U1" i="6"/>
  <c r="U2" i="6" s="1"/>
  <c r="K18" i="13"/>
  <c r="C42" i="19"/>
  <c r="B27" i="11"/>
  <c r="B60" i="8"/>
  <c r="B25" i="18"/>
  <c r="B25" i="14"/>
  <c r="B25" i="13"/>
  <c r="D164" i="9"/>
  <c r="B157" i="7"/>
  <c r="B47" i="23"/>
  <c r="E24" i="17"/>
  <c r="B35" i="12"/>
  <c r="B33" i="16"/>
  <c r="B33" i="15"/>
  <c r="B85" i="10"/>
  <c r="D33" i="16"/>
  <c r="D33" i="15"/>
  <c r="F42" i="19"/>
  <c r="O27" i="11"/>
  <c r="E86" i="10"/>
  <c r="C25" i="18"/>
  <c r="D25" i="14"/>
  <c r="D25" i="13"/>
  <c r="E61" i="8"/>
  <c r="F47" i="23"/>
  <c r="J24" i="17"/>
  <c r="O35" i="12"/>
  <c r="O165" i="9"/>
  <c r="J158" i="7"/>
  <c r="D18" i="25"/>
  <c r="F22" i="25"/>
  <c r="B6" i="23"/>
  <c r="B46" i="23"/>
  <c r="E23" i="17"/>
  <c r="B34" i="12"/>
  <c r="D163" i="9"/>
  <c r="B156"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164" i="9"/>
  <c r="J157"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7" i="12"/>
  <c r="B2" i="4"/>
  <c r="A1" i="6"/>
  <c r="A1" i="13"/>
  <c r="A1" i="15"/>
  <c r="A1" i="16"/>
  <c r="A1" i="18"/>
  <c r="A104" i="18" s="1"/>
  <c r="A2" i="19"/>
  <c r="A1" i="5"/>
  <c r="A1" i="9"/>
  <c r="A1" i="7"/>
  <c r="A1" i="8"/>
  <c r="A1" i="10"/>
  <c r="A1" i="23"/>
  <c r="A1" i="14"/>
  <c r="A98" i="17"/>
  <c r="B1" i="4"/>
  <c r="A3" i="8"/>
  <c r="A3" i="12"/>
  <c r="A3" i="5"/>
  <c r="A3" i="6"/>
  <c r="A3" i="10"/>
  <c r="A3" i="11"/>
  <c r="A3" i="17"/>
  <c r="A100" i="17" s="1"/>
  <c r="C12" i="19"/>
  <c r="A3" i="13"/>
  <c r="A3" i="14"/>
  <c r="A38" i="25"/>
  <c r="A3" i="16"/>
  <c r="A3" i="18"/>
  <c r="A106" i="18" s="1"/>
  <c r="I39" i="25" l="1"/>
  <c r="O150" i="5"/>
  <c r="N153" i="5" s="1"/>
  <c r="D15" i="13" s="1"/>
  <c r="I41" i="25"/>
  <c r="AE1" i="5"/>
  <c r="AE2" i="5" s="1"/>
  <c r="F73" i="6"/>
  <c r="F75" i="6" s="1"/>
  <c r="Q76" i="6" s="1"/>
  <c r="A6" i="12"/>
  <c r="A6" i="10"/>
  <c r="A6" i="7"/>
  <c r="A6" i="13"/>
  <c r="A6" i="11"/>
  <c r="A6" i="16"/>
  <c r="A6" i="8"/>
  <c r="A6" i="15"/>
  <c r="A6" i="18"/>
  <c r="A109" i="18" s="1"/>
  <c r="A6" i="9"/>
  <c r="A6" i="14"/>
  <c r="I40" i="25"/>
  <c r="H26" i="19"/>
  <c r="H30" i="19"/>
  <c r="N151" i="5"/>
  <c r="D26" i="15"/>
  <c r="D16" i="15"/>
  <c r="D7" i="25" s="1"/>
  <c r="F7" i="25" s="1"/>
  <c r="H23" i="19"/>
  <c r="I23" i="19" s="1"/>
  <c r="H20" i="19"/>
  <c r="I20" i="19" s="1"/>
  <c r="H27" i="19"/>
  <c r="D18" i="15"/>
  <c r="D17" i="13"/>
  <c r="F50" i="23"/>
  <c r="B53" i="23"/>
  <c r="B51" i="23"/>
  <c r="B52" i="23"/>
  <c r="B54" i="23"/>
  <c r="C50" i="23"/>
  <c r="H16" i="19"/>
  <c r="H25" i="19"/>
  <c r="H15" i="19"/>
  <c r="I15" i="19" s="1"/>
  <c r="H18" i="19"/>
  <c r="I18" i="19" s="1"/>
  <c r="AG6" i="23"/>
  <c r="AG9" i="23"/>
  <c r="AG7" i="23"/>
  <c r="AG8" i="23" s="1"/>
  <c r="I17" i="13" l="1"/>
  <c r="M17" i="13" s="1"/>
  <c r="D18" i="13"/>
  <c r="D24" i="15" s="1"/>
  <c r="D7" i="24"/>
  <c r="F7" i="24" s="1"/>
  <c r="D20" i="25"/>
  <c r="F20" i="25" s="1"/>
  <c r="N152" i="5"/>
  <c r="D8" i="24"/>
  <c r="F8" i="24" s="1"/>
  <c r="D8" i="25"/>
  <c r="F8" i="25" s="1"/>
  <c r="B41" i="23"/>
  <c r="K19" i="19"/>
  <c r="D16" i="16" s="1"/>
  <c r="K23" i="19"/>
  <c r="D26" i="16" s="1"/>
  <c r="K18" i="19"/>
  <c r="K22" i="19"/>
  <c r="D22" i="16" s="1"/>
  <c r="K21" i="19"/>
  <c r="D20" i="16" s="1"/>
  <c r="K20" i="19"/>
  <c r="H11" i="24" l="1"/>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<sst xmlns="http://schemas.openxmlformats.org/spreadsheetml/2006/main" count="1870" uniqueCount="863">
  <si>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</si>
  <si>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</si>
  <si>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</si>
  <si>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</si>
  <si>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</si>
  <si>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</si>
  <si>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</si>
  <si>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</si>
  <si>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</si>
  <si>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</si>
  <si>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</si>
  <si>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</si>
  <si>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</si>
  <si>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</si>
  <si>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</si>
  <si>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</si>
  <si>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</si>
  <si>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</si>
  <si>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</si>
  <si>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</si>
  <si>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</si>
  <si>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</si>
  <si>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</si>
  <si>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</si>
  <si>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</si>
  <si>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</si>
  <si>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</si>
  <si>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</si>
  <si>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</si>
  <si>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</si>
  <si>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</si>
  <si>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</si>
  <si>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</si>
  <si>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</si>
  <si>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</si>
  <si>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</si>
  <si>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</si>
  <si>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</si>
  <si>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</si>
  <si>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</si>
  <si>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</si>
  <si>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</si>
  <si>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</si>
  <si>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</si>
  <si>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</si>
  <si>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</si>
  <si>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</si>
  <si>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</si>
  <si>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</si>
  <si>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</si>
  <si>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</si>
  <si>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</si>
  <si>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</si>
  <si>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</si>
  <si>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</si>
  <si>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</si>
  <si>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</si>
  <si>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</si>
  <si>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</si>
  <si>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</si>
  <si>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</si>
  <si>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</si>
  <si>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</si>
  <si>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</si>
  <si>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</si>
  <si>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</si>
  <si>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</si>
  <si>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</si>
  <si>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</si>
  <si>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</si>
  <si>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</si>
  <si>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</si>
  <si>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</si>
  <si>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</si>
  <si>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</si>
  <si>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</si>
  <si>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</si>
  <si>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</si>
  <si>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</si>
  <si>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</si>
  <si>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</si>
  <si>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</si>
  <si>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</si>
  <si>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</si>
  <si>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</si>
  <si>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</si>
  <si>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</si>
  <si>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</si>
  <si>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</si>
  <si>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</si>
  <si>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</si>
  <si>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</si>
  <si>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</si>
  <si>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</si>
  <si>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</si>
  <si>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</si>
  <si>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</si>
  <si>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</si>
  <si>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</si>
  <si>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</si>
  <si>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</si>
  <si>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</si>
  <si>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</si>
  <si>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</si>
  <si>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</si>
  <si>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</si>
  <si>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</si>
  <si>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</si>
  <si>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</si>
  <si>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</si>
  <si>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</si>
  <si>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</si>
  <si>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</si>
  <si>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</si>
  <si>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</si>
  <si>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</si>
  <si>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</si>
  <si>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</si>
  <si>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</si>
  <si>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</si>
  <si>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</si>
  <si>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</si>
  <si>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</si>
  <si>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</si>
  <si>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</si>
  <si>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</si>
  <si>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</si>
  <si>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</si>
  <si>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</si>
  <si>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</si>
  <si>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</si>
  <si>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</si>
  <si>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</si>
  <si>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</si>
  <si>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</si>
  <si>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</si>
  <si>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</si>
  <si>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</si>
  <si>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</si>
  <si>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</si>
  <si>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</si>
  <si>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</si>
  <si>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</si>
  <si>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</si>
  <si>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</si>
  <si>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</si>
  <si>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</si>
  <si>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</si>
  <si>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</si>
  <si>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</si>
  <si>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</si>
  <si>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</si>
  <si>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</si>
  <si>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</si>
  <si>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</si>
  <si>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</si>
  <si>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</si>
  <si>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</si>
  <si>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</si>
  <si>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</si>
  <si>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</si>
  <si>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</si>
  <si>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</si>
  <si>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</si>
  <si>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</si>
  <si>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</si>
  <si>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</si>
  <si>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</si>
  <si>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</si>
  <si>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</si>
  <si>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</si>
  <si>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</si>
  <si>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</si>
  <si>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</si>
  <si>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</si>
  <si>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</si>
  <si>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</si>
  <si>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</si>
  <si>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</si>
  <si>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</si>
  <si>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</si>
  <si>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</si>
  <si>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</si>
  <si>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</si>
  <si>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</si>
  <si>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</si>
  <si>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</si>
  <si>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</si>
  <si>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</si>
  <si>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</si>
  <si>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</si>
  <si>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</si>
  <si>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</si>
  <si>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</si>
  <si>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</si>
  <si>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</si>
  <si>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</si>
  <si>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</si>
  <si>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</si>
  <si>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</si>
  <si>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</si>
  <si>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</si>
  <si>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</si>
  <si>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</si>
  <si>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</si>
  <si>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</si>
  <si>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</si>
  <si>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</si>
  <si>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</si>
  <si>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</si>
  <si>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</si>
  <si>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</si>
  <si>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</si>
  <si>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</si>
  <si>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</si>
  <si>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</si>
  <si>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</si>
  <si>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</si>
  <si>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</si>
  <si>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</si>
  <si>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</si>
  <si>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</si>
  <si>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</si>
  <si>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</si>
  <si>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</si>
  <si>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</si>
  <si>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</si>
  <si>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</si>
  <si>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</si>
  <si>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</si>
  <si>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</si>
  <si>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</si>
  <si>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</si>
  <si>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</si>
  <si>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</si>
  <si>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</si>
  <si>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</si>
  <si>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</si>
  <si>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</si>
  <si>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</si>
  <si>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</si>
  <si>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</si>
  <si>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</si>
  <si>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</si>
  <si>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</si>
  <si>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</si>
  <si>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</si>
  <si>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</si>
  <si>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</si>
  <si>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</si>
  <si>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</si>
  <si>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</si>
  <si>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</si>
  <si>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</si>
  <si>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</si>
  <si>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</si>
  <si>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</si>
  <si>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</si>
  <si>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</si>
  <si>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</si>
  <si>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</si>
  <si>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</si>
  <si>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</si>
  <si>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</si>
  <si>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</si>
  <si>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</si>
  <si>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</si>
  <si>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</si>
  <si>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</si>
  <si>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</si>
  <si>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</si>
  <si>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</si>
  <si>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</si>
  <si>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</si>
  <si>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</si>
  <si>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</si>
  <si>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</si>
  <si>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</si>
  <si>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</si>
  <si>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</si>
  <si>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</si>
  <si>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</si>
  <si>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</si>
  <si>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</si>
  <si>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</si>
  <si>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</si>
  <si>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</si>
  <si>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</si>
  <si>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</si>
  <si>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</si>
  <si>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</si>
  <si>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</si>
  <si>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</si>
  <si>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</si>
  <si>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</si>
  <si>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</si>
  <si>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</si>
  <si>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</si>
  <si>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</si>
  <si>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</si>
  <si>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</si>
  <si>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</si>
  <si>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</si>
  <si>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</si>
  <si>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</si>
  <si>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</si>
  <si>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</si>
  <si>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</si>
  <si>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</si>
  <si>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</si>
  <si>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</si>
  <si>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</si>
  <si>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</si>
  <si>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</si>
  <si>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</si>
  <si>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</si>
  <si>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</si>
  <si>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</si>
  <si>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</si>
  <si>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</si>
  <si>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</si>
  <si>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</si>
  <si>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</si>
  <si>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</si>
  <si>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</si>
  <si>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</si>
  <si>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</si>
  <si>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</si>
  <si>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</si>
  <si>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</si>
  <si>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</si>
  <si>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</si>
  <si>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</si>
  <si>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</si>
  <si>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</si>
  <si>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</si>
  <si>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</si>
  <si>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</si>
  <si>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</si>
  <si>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</si>
  <si>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</si>
  <si>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</si>
  <si>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</si>
  <si>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</si>
  <si>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</si>
  <si>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</si>
  <si>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</si>
  <si>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</si>
  <si>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</si>
  <si>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</si>
  <si>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</si>
  <si>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</si>
  <si>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</si>
  <si>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</si>
  <si>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</si>
  <si>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</si>
  <si>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</si>
  <si>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</si>
  <si>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</si>
  <si>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</si>
  <si>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</si>
  <si>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</si>
  <si>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</si>
  <si>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</si>
  <si>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</si>
  <si>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</si>
  <si>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</si>
  <si>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</si>
  <si>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</si>
  <si>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</si>
  <si>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</si>
  <si>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</si>
  <si>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</si>
  <si>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</si>
  <si>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</si>
  <si>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</si>
  <si>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</si>
  <si>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</si>
  <si>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</si>
  <si>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</si>
  <si>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</si>
  <si>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</si>
  <si>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</si>
  <si>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</si>
  <si>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</si>
  <si>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</si>
  <si>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</si>
  <si>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</si>
  <si>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</si>
  <si>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</si>
  <si>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</si>
  <si>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</si>
  <si>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</si>
  <si>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</si>
  <si>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</si>
  <si>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</si>
  <si>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</si>
  <si>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</si>
  <si>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</si>
  <si>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</si>
  <si>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</si>
  <si>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</si>
  <si>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</si>
  <si>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</si>
  <si>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</si>
  <si>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</si>
  <si>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</si>
  <si>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</si>
  <si>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</si>
  <si>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</si>
  <si>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</si>
  <si>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</si>
  <si>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</si>
  <si>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</si>
  <si>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</si>
  <si>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</si>
  <si>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</si>
  <si>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</si>
  <si>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</si>
  <si>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</si>
  <si>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</si>
  <si>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</si>
  <si>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</si>
  <si>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</si>
  <si>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</si>
  <si>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- 2</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</si>
  <si>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</si>
  <si>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</si>
  <si>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</si>
  <si>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</si>
  <si>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</si>
  <si>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</si>
  <si>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</si>
  <si>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</si>
  <si>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</si>
  <si>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</si>
  <si>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</si>
  <si>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</si>
  <si>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</si>
  <si>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</si>
  <si>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</si>
  <si>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</si>
  <si>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</si>
  <si>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</si>
  <si>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</si>
  <si>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</si>
  <si>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</si>
  <si>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</si>
  <si>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</si>
  <si>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</si>
  <si>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</si>
  <si>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</si>
  <si>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</si>
  <si>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</si>
  <si>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</si>
  <si>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</si>
  <si>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</si>
  <si>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</si>
  <si>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</si>
  <si>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</si>
  <si>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</si>
  <si>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</si>
  <si>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</si>
  <si>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</si>
  <si>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</si>
  <si>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</si>
  <si>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</si>
  <si>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</si>
  <si>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</si>
  <si>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</si>
  <si>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</si>
  <si>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</si>
  <si>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</si>
  <si>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</si>
  <si>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</si>
  <si>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</si>
  <si>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</si>
  <si>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</si>
  <si>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</si>
  <si>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</si>
  <si>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</si>
  <si>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</si>
  <si>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</si>
  <si>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</si>
  <si>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</si>
  <si>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</si>
  <si>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</si>
  <si>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</si>
  <si>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</si>
  <si>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</si>
  <si>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</si>
  <si>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</si>
  <si>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</si>
  <si>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</si>
  <si>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</si>
  <si>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</si>
  <si>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</si>
  <si>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</si>
  <si>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</si>
  <si>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</si>
  <si>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</si>
  <si>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</si>
  <si>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</si>
  <si>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</si>
  <si>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</si>
  <si>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</si>
  <si>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</si>
  <si>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</si>
  <si>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</si>
  <si>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</si>
  <si>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</si>
  <si>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</si>
  <si>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</si>
  <si>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</si>
  <si>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</si>
  <si>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</si>
  <si>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</si>
  <si>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</si>
  <si>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</si>
  <si>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</si>
  <si>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</si>
  <si>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</si>
  <si>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</si>
  <si>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</si>
  <si>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</si>
  <si>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</si>
  <si>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</si>
  <si>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</si>
  <si>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</si>
  <si>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</si>
  <si>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</si>
  <si>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</si>
  <si>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</si>
  <si>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</si>
  <si>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</si>
  <si>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</si>
  <si>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</si>
  <si>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</si>
  <si>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</si>
  <si>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</si>
  <si>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</si>
  <si>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</si>
  <si>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</si>
  <si>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</si>
  <si>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</si>
  <si>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</si>
  <si>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</si>
  <si>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</si>
  <si>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</si>
  <si>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</si>
  <si>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</si>
  <si>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</si>
  <si>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</si>
  <si>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</si>
  <si>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</si>
  <si>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</si>
  <si>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</si>
  <si>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</si>
  <si>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</si>
  <si>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</si>
  <si>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</si>
  <si>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</si>
  <si>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</si>
  <si>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</si>
  <si>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</si>
  <si>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</si>
  <si>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</si>
  <si>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</si>
  <si>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</si>
  <si>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</si>
  <si>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</si>
  <si>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</si>
  <si>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</si>
  <si>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</si>
  <si>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 xml:space="preserve">EA </t>
  </si>
  <si>
    <t>336kV Surge Arrester (1-phase)</t>
  </si>
  <si>
    <t>420 kV, 1 phase Bus Post Insulator (except for Line Traps)</t>
  </si>
  <si>
    <t xml:space="preserve">LS </t>
  </si>
  <si>
    <t>SET</t>
  </si>
  <si>
    <t>Standard Pipe Structure for 400kV BPI (excluding wave trap)</t>
  </si>
  <si>
    <t>Fabrication, galvanising and supply ofStandard Pipe Structure - 400 kV,3-Phase,  ISOLATOR including nuts,bolts, all type of washers, packplates,step bolts and gusset plates excludingfoundation bolts</t>
  </si>
  <si>
    <t>Fabrication, galvanising and supply ofStandard Pipe Structure - 400 kV,1-Phase,   SA including nuts, bolts,all type of washers, packplates, stepbolts and gusset plates excludingfoundation bolts</t>
  </si>
  <si>
    <t>Augmentation of Substation automation System for 400kV Main bay as perTechnical Specification</t>
  </si>
  <si>
    <t>Air conditioning system  for Switchyard Panel Room of 6m length</t>
  </si>
  <si>
    <t>Fire Detection and Alarm System for Switchyard Panel Room of 6 mlength</t>
  </si>
  <si>
    <t>Lighting Panel type ACP-2 as per technical specification</t>
  </si>
  <si>
    <t>63A, 415V : Interlocked switch socket outdoor Receptacle (type RP) asper technical specifications</t>
  </si>
  <si>
    <t>Outdoor Power Receptacle for oilfiltration unit (250A)</t>
  </si>
  <si>
    <t>LIGHTING FIXTURE LED LUMINAIRES TYPE FL2 AS PER TECH. SPECIFICATIONS</t>
  </si>
  <si>
    <t>Illumination System for switchyard panel room of 6 m length</t>
  </si>
  <si>
    <t>Fabrication, galvanising and supply ofStandard Pipe Structure - 400 kV,1-Phase,  CT including nuts, bolts, alltype of washers, packplates, step boltsand gusset plates excluding foundationbolts</t>
  </si>
  <si>
    <t>Fabrication, galvanising and supply of 28mm dia foundation boltsincluding nuts, checknuts, washers and packplates.</t>
  </si>
  <si>
    <t>Fabrication, galvanising and supply of 56mm dia foundation boltsincluding nuts, checknuts, washers and packplates</t>
  </si>
  <si>
    <t>40 MM MS ROD FOR MAIN EARTHMAT</t>
  </si>
  <si>
    <t xml:space="preserve">KM </t>
  </si>
  <si>
    <t>LED FLOOD LIGHT LUMINARIESTYPE FL-1 (150W) AS PER TECHNICALSPECIFICATION</t>
  </si>
  <si>
    <t xml:space="preserve">MT </t>
  </si>
  <si>
    <t xml:space="preserve">Total Ex-works Price </t>
  </si>
  <si>
    <t xml:space="preserve">Civil Works                             </t>
  </si>
  <si>
    <t>420KV, 1-PHASE BUS POST INSULATORS</t>
  </si>
  <si>
    <t>Erection of Pipe Structure - 400 kV, 1-Phase,   BPI, (Excluding Wave Trap),  including nuts, bolts, all  type of washers,packplates, step bolts and gusset plates excluding foundation bolts</t>
  </si>
  <si>
    <t>Erection of Pipe Structure - 400 kV 3-Phase ISOLATOR including nuts, bolts, all type of washers, packplates, step bolts and gussetplates excluding foundation bolts</t>
  </si>
  <si>
    <t>Erection of Pipe Structure - 400 kV 1-Phase SA including nuts, bolts, all type of washers, packplates, step bolts and gusset platesexcluding foundation bolts</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</si>
  <si>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</si>
  <si>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</si>
  <si>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</si>
  <si>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Plain Cement Concrete 1:5:10 (1 cement : 5 sand : 10 brick aggregate)</t>
  </si>
  <si>
    <t>Steel Reinforcement</t>
  </si>
  <si>
    <t>Stone filling (40 mm size) for transformer/Reactor foundation</t>
  </si>
  <si>
    <t>Misc. Structural steel including rails, embedments, edge protection angles, gratings etc. but excluding the reinforcement steel andsteel for lattice and pipe structures.</t>
  </si>
  <si>
    <t>Antiweed treatment</t>
  </si>
  <si>
    <t xml:space="preserve">M2 </t>
  </si>
  <si>
    <t>Augmentation of existing 400kV bus bar protection scheme.(No. of bays as per specification)-(with Automation)</t>
  </si>
  <si>
    <t>Augmentation of   Substation automation System for 400kV Main bay as per Technical Specification</t>
  </si>
  <si>
    <t>Fire Detection and Alarm System for Switchyard Panel Room of 6 m length</t>
  </si>
  <si>
    <t>63A, 415V : Interlocked switch socket outdoor Receptacle (type RP) as per technical specifications</t>
  </si>
  <si>
    <t>Erection of Pipe Structure - 400 kV  1-Phase CT including nuts, bolts, all type of washers, packplates, step bolts and gusset platesexcluding foundation bolts</t>
  </si>
  <si>
    <t>Erection of 28mm dia foundation bolts including nuts, checknuts, washers and packplates.</t>
  </si>
  <si>
    <t>Erection of 56mm dia foundation bolts including nuts, checknuts, washers and packplates</t>
  </si>
  <si>
    <t>Providing and laying of Plain Cement Concrete (PCC) (1:2:4)</t>
  </si>
  <si>
    <t>Providing and laying of Reinforced Cement Concrete M25 mix including pre cast, shuttering, Grouting of pockets &amp; underpinning butexcluding steel reinforcement</t>
  </si>
  <si>
    <t>External finishing / painting of fire wall (water proofing cement paint) (DSR 13.44.1)</t>
  </si>
  <si>
    <t>RCC culverts and cable trench crossings including supplying and laying hume pipe 250mm dia of grade (NP-3) excluding concrete as perspecification.</t>
  </si>
  <si>
    <t xml:space="preserve">M  </t>
  </si>
  <si>
    <t>RCC culverts and cable trench crossings including supplying and laying hume pipe 450mm dia of grade (NP-3) excluding concrete as perspecification.</t>
  </si>
  <si>
    <t>Switchyard Panel Room - Civil Works. All civil works as per drawing and specifications complete, including - brickwork, finishing(external and internal), windows etc. However, excavation, PCC, RCC and reinforcement shall be paid separately as per BPS.</t>
  </si>
  <si>
    <t>40 mm MS rod for Main Earthmat</t>
  </si>
  <si>
    <t>Stone spreading in switchyard excluding PCC</t>
  </si>
  <si>
    <t>Unit Erection  Charges</t>
  </si>
  <si>
    <t>Total Erection   Charges</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</si>
  <si>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</si>
  <si>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Total F&amp;I Price</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</si>
  <si>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</si>
  <si>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 xml:space="preserve">Total Installation Charges </t>
  </si>
  <si>
    <t>Spares for 420kV Double break Isolator</t>
  </si>
  <si>
    <t>Spares for 420kV Circuit Breaker</t>
  </si>
  <si>
    <t>Spare-420kV CT 1</t>
  </si>
  <si>
    <t>SPARES FOR 336KV SURGE ARRESTER</t>
  </si>
  <si>
    <t xml:space="preserve">Earthmat                                </t>
  </si>
  <si>
    <t xml:space="preserve">220kV Equipment support structures      </t>
  </si>
  <si>
    <t xml:space="preserve">VMS                                     </t>
  </si>
  <si>
    <t>216kV Surge Arrester (1-phase)</t>
  </si>
  <si>
    <t>245 kV, 1 phase Bus Post Insulator (except for Line Traps)</t>
  </si>
  <si>
    <t>FIRE WALL MOUNTED LED LUMINARIE TYPE FL-2 (250W)</t>
  </si>
  <si>
    <t>Fabrication, galvanising and supply of Standard 220 kV Tower CTAincluding nuts, bolts, all type of washers, packplates, step bolts andgusset plates excluding foundation bolts</t>
  </si>
  <si>
    <t>Fabrication, galvanising and supply of Standard 220 kV Gantry BG1including nuts, bolts, all type of washers, packplates, step bolts andgusset plates excluding foundation bolts</t>
  </si>
  <si>
    <t>Fabrication, galvanising and supply of Std Pipe Structure - 220 kV highBPI including nuts, bolts, all type of washers, packplates, step boltsand gusset plates excluding foundation bolts</t>
  </si>
  <si>
    <t>Standard Pipe Structure for 220kV BPI (excluding wave trap)</t>
  </si>
  <si>
    <t>Fabrication, galvanising and supply of Standard Pipe Structure - 220kV  CT including nuts, bolts, all type of washers, packplates, stepbolts and gusset plates excluding foundation bolts</t>
  </si>
  <si>
    <t>Fabrication, galvanising and supply of Standard Pipe Structure - 220kV  ISOLATOR including nuts, bolts, all type of washers, packplates,step bolts and gusset plates excluding foundation bolts</t>
  </si>
  <si>
    <t>Fabrication, galvanising and supply of Standard Pipe Structure - 220kV  SA including nuts, bolts, all type of washers, packplates, stepbolts and gusset plates excluding foundation bolts</t>
  </si>
  <si>
    <t>415V ACDB (Extn.)</t>
  </si>
  <si>
    <t>Spare-245kV Circuit Breaker</t>
  </si>
  <si>
    <t>Spare-245kV CT</t>
  </si>
  <si>
    <t>Spare-216kV Surge Arrester</t>
  </si>
  <si>
    <t>Relay &amp; protection Panels (with automation)</t>
  </si>
  <si>
    <t>Spares-Substation Automation System</t>
  </si>
  <si>
    <t>Fabrication, galvanising and supply of 40mm dia foundation boltsincluding nuts, checknuts, washers and packplates.</t>
  </si>
  <si>
    <t>Erection Hardware for 420  kV I Type S/Y</t>
  </si>
  <si>
    <t>Erection Hardware for 220  kV DMT Type S</t>
  </si>
  <si>
    <t xml:space="preserve">CRP for 220kV Bays with SAS             </t>
  </si>
  <si>
    <t>Erection Hardware for 220kV layout (Double Main and TransferScheme)-Transformer Bay as per technical specification</t>
  </si>
  <si>
    <t>400kV Transformer Protection Panel (For both HV &amp; MV side)-(withAutomation)</t>
  </si>
  <si>
    <t>Augmentation of Substation automation System for 220kV bay as perTechnical Specification</t>
  </si>
  <si>
    <t>245 kV, 4400pf  Capacitive Voltage Transformer (1- Phase)</t>
  </si>
  <si>
    <t>220kV Line Protection Panel (with Automation)</t>
  </si>
  <si>
    <t>Fabrication, galvanising and supply of Standard 220 kV Tower CTGincluding nuts, bolts, all type of washers, packplates, step bolts andgusset plates excluding foundation bolts</t>
  </si>
  <si>
    <t>Fabrication, galvanising and supply of Standard 220 kV Tower CTHincluding nuts, bolts, all type of washers, packplates, step bolts andgusset plates excluding foundation bolts</t>
  </si>
  <si>
    <t>Fabrication, galvanising and supply of Standard Pipe Structure - 220kV  CVT including nuts, bolts, all type of washers, packplates, stepbolts and gusset plates excluding foundation bolts</t>
  </si>
  <si>
    <t>Spare-245kV CVT</t>
  </si>
  <si>
    <t>245 kV,1 phase Bus Post Insulator (except for Line Traps)</t>
  </si>
  <si>
    <t>Lighting Fixture LED Luminaires type FL-1 as per tech. specifications</t>
  </si>
  <si>
    <t>Lighting Fixture LED Luminaires type FL2 as per tech. specifications</t>
  </si>
  <si>
    <t>Fire Wall Mounted LED Luminarie Type FL-2 (250W)</t>
  </si>
  <si>
    <t>Erection of Std 220 kV Tower CTA including nuts, bolts, all type of washers, packplates, step bolts and gusset plates excludingfoundation bolts</t>
  </si>
  <si>
    <t>Erection of Std 220 kV Gantry BG1 including nuts, bolts, all type of washers, packplates, step bolts and gusset plates excludingfoundation bolts</t>
  </si>
  <si>
    <t>Erection of Pipe Structure - 220 kV 1-Phase High BPI including nuts, bolts, all type of washers, packplates, step bolts and gussetplates excluding foundation bolts</t>
  </si>
  <si>
    <t>Erection of Pipe Structure - 220 kV 1-Phase BPI including nuts, bolts, all type of washers, packplates, step bolts and gusset platesexcluding foundation bolts</t>
  </si>
  <si>
    <t>Erection of Pipe Structure - 220 kV 1-Phase CT including nuts, bolts, all type of washers, packplates, step bolts and gusset platesexcluding foundation bolts</t>
  </si>
  <si>
    <t>Erection of Pipe Structure - 220 kV 3-Phase ISOLATOR including nuts, bolts, all type of washers, packplates, step bolts and gussetplates excluding foundation bolts</t>
  </si>
  <si>
    <t>Erection of Pipe Structure - 220 kV 1-Phase SA including nuts, bolts, all type of washers, packplates, step bolts and gusset platesexcluding foundation bolts</t>
  </si>
  <si>
    <t>Erection of 40mm dia foundation bolts including nuts, checknuts, washers and packplates.</t>
  </si>
  <si>
    <t>Supplying and erecting dewatering pumps- 2 HP</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</si>
  <si>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</si>
  <si>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 xml:space="preserve">CRP for 420kV Bays with SAS             </t>
  </si>
  <si>
    <t>Erection Hardware for 220kV layout (Double Main and Transfer Scheme as per SLD)-Transformer Bay as per specification</t>
  </si>
  <si>
    <t>400kV Transformer Protection Panel (For both HV &amp; MV side)-(with Automation)</t>
  </si>
  <si>
    <t>Augmentation of   Substation automation System for 220kV bay as per Technical Specification</t>
  </si>
  <si>
    <t>Erection of Std 220 kV Gantry B1 including nuts, bolts, all type of washers, packplates, step bolts and gusset plates excludingfoundation bolts</t>
  </si>
  <si>
    <t>Erection of Std 220 kV Tower CTG including nuts, bolts, all type of washers, packplates, step bolts and gusset plates excludingfoundation bolts</t>
  </si>
  <si>
    <t>Erection of Std 220 kV Tower CTH including nuts, bolts, all type of washers, packplates, step bolts and gusset plates excludingfoundation bolts</t>
  </si>
  <si>
    <t>Erection of Pipe Structure - 220 kV 1-Phase CVT including nuts, bolts, all type of washers, packplates, step bolts and gusset platesexcluding foundation bolts</t>
  </si>
  <si>
    <t>AAABBAAAABBf</t>
  </si>
  <si>
    <t>1.1KV GRADE 10CX2.5 SQMM CONTROL CABLE</t>
  </si>
  <si>
    <t>1.1KV GRADE 5CX2.5 SQMM CONTROL CABLE</t>
  </si>
  <si>
    <t>1.1KV GRADE 3CX2.5 SQMM CONTROL CABLE</t>
  </si>
  <si>
    <t>1.1KV GRADE 2CX6 SQMM (PVC) POWER CABLE</t>
  </si>
  <si>
    <t>1.1KV GRADE 4CX6 SQMM (PVC) POWER CABLE</t>
  </si>
  <si>
    <t>1.1KV GRADE 4CX16 SQMM (PVC) POWER CABLE</t>
  </si>
  <si>
    <t>1.1KV GRADE 3.5CX35 SQMM (PVC) POWER CABLE</t>
  </si>
  <si>
    <t>1.1KV GRADE 3.5CX70 SQMM (PVC) POWER CABLE</t>
  </si>
  <si>
    <t>1.1KV GRADE 3.5CX300 SQMM (XLPE) POWER CABLE</t>
  </si>
  <si>
    <t>Fire Detection and Alarm System for Switchyard Panel Room of 9 mlength</t>
  </si>
  <si>
    <t>Illumination System for switchyard panel room of 9 m length</t>
  </si>
  <si>
    <t>Air conditioning system  for Switchyard Panel Room of 9m length</t>
  </si>
  <si>
    <t>220KV  TENSION INSULATOR STRING  AND ASSOCIATED HARDWARE FITTINGSWITHOUT TURN BUCKLE SUITABLE FOR TWIN CONDUCTOR</t>
  </si>
  <si>
    <t>220KV  TENSION INSULATOR STRING  AND ASSOCIATED HARDWARE FITTINGS WITHTURN BUCKLE SUITABLE FOR TWIN CONDUCTOR</t>
  </si>
  <si>
    <t>220KV SUSPENSION INSULATOR STRING  AND ASSOCIATED HARDWARE FITTINGSWITH DROP CLAMP SUITABLE FOR TWIN CONDUCTOR</t>
  </si>
  <si>
    <t>220KV SUSPENSION INSULATOR STRING  AND ASSOCIATED HARDWARE FITTINGSWITH THROUGH CLAMP SUITABLE FOR TWIN CONDUCTOR</t>
  </si>
  <si>
    <t>Erection Hardware for 400kV I type layout-Any feeder Extn. on existinghalf dia. as per technical specification</t>
  </si>
  <si>
    <t>245 kV ,1 phase Bus Post Insulators for Line Traps</t>
  </si>
  <si>
    <t>Erection Hardware for 220kV layout (Double Main and TransferScheme)-Line Bay as per technical specification</t>
  </si>
  <si>
    <t>Standard Pipe Structure for 220kV BPI for WT (1- phase)</t>
  </si>
  <si>
    <t>Spare-245kV Isolator</t>
  </si>
  <si>
    <t xml:space="preserve">Illumination System                     </t>
  </si>
  <si>
    <t>Erection Hardware for 220kV layout (Double Main and TransferScheme)-Bus work (three Bay) as per technical specification</t>
  </si>
  <si>
    <t>220KV  TENSION INSULATOR STRING  AND ASSOCIATED HARDWARE FITTINGSWITHOUT TURN BUCKLE SUITABLE FOR QUAD CONDUCTOR</t>
  </si>
  <si>
    <t>220KV  TENSION INSULATOR STRING  AND ASSOCIATED HARDWARE FITTINGS WITHTURN BUCKLE SUITABLE FOR QUAD CONDUCTOR</t>
  </si>
  <si>
    <t>Fire Detection and Alarm System for Switchyard Panel Room of 9 m length</t>
  </si>
  <si>
    <t>220KV  TENSION INSULATOR STRING  AND ASSOCIATED HARDWARE FITTINGS WITH TURN BUCKLE SUITABLE FOR TWIN CONDUCTOR</t>
  </si>
  <si>
    <t>220KV  TENSION INSULATOR STRING  AND ASSOCIATED HARDWARE FITTINGS WITHOUT TURN BUCKLE SUITABLE FOR TWIN CONDUCTOR</t>
  </si>
  <si>
    <t>220KV SUSPENSION INSULATOR STRING  AND ASSOCIATED HARDWARE FITTINGS WITH THROUGH CLAMP SUITABLE FOR TWIN CONDUCTOR</t>
  </si>
  <si>
    <t>220KV SUSPENSION INSULATOR STRING  AND ASSOCIATED HARDWARE FITTINGS WITH DROP CLAMP SUITABLE FOR TWIN CONDUCTOR</t>
  </si>
  <si>
    <t>RCC culverts and cable trench crossings including supplying and laying hume pipe 300mm dia of grade (NP-3) excluding concrete as perspecification.</t>
  </si>
  <si>
    <t>Removing,cleaning and washing of existing stones and respreading of stones in switchyard excluding PCC</t>
  </si>
  <si>
    <t xml:space="preserve"> Construction of rail cum road as per drawing including all item such as excavation,compactions, rolling watering, WBM etc. butexcluding concrete reinforcement and structural steel-Section having four rails for auto transformer.</t>
  </si>
  <si>
    <t>Erection of Pipe Structure - 220 kV 1 - PH  BPI for WT including nuts, bolts, all type of washers, packplates, step bolts and gussetplates excluding foundation bolts</t>
  </si>
  <si>
    <t>Erection Hardware for 220kV layout (Double Main and Transfer Scheme as per SLD)-Line Bay as per specification</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</si>
  <si>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</si>
  <si>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Erection Hardware for 220kV layout (Double Main and Transfer Scheme as per SLD)-Bus work (three Bay) as per specification</t>
  </si>
  <si>
    <t>220KV  TENSION INSULATOR STRING  AND ASSOCIATED HARDWARE FITTINGS WITH TURN BUCKLE SUITABLE FOR QUAD CONDUCTOR</t>
  </si>
  <si>
    <t>220KV  TENSION INSULATOR STRING  AND ASSOCIATED HARDWARE FITTINGS WITHOUT TURN BUCKLE SUITABLE FOR QUAD CONDUCTOR</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</si>
  <si>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</si>
  <si>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</si>
  <si>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</si>
  <si>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</si>
  <si>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</si>
  <si>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</si>
  <si>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220kV Gantry Structure                  </t>
  </si>
  <si>
    <t>420kV, 3150A, 63kA Circuit Breaker (3-Phase) without closing resistorand with Support Structure</t>
  </si>
  <si>
    <t>420 kV, 3000A, 63KA, 1-Phase CurrentTransformer with 120% extended currentrating</t>
  </si>
  <si>
    <t>420kV, 3150A, 63KA,  Isolator (3-phase)(Double Break) with one E/S</t>
  </si>
  <si>
    <t>245kV, 1600A, 50KA Circuit Breaker(3-Phase) with support structure</t>
  </si>
  <si>
    <t>245 kV, 2500A, 50KA, 1-Phase CurrentTransformer with 120% extended currentrating</t>
  </si>
  <si>
    <t>245 kV, 1600A, 50KA, 1-Phase CurrentTransformer with 120% extended currentrating</t>
  </si>
  <si>
    <t>245kV, 1600A, 50 KA, 3-phase DoubleBreak Isolator with two E/S</t>
  </si>
  <si>
    <t>245kV, 1600A, 50 KA, 3-phase DoubleBreak Isolator with one E/S</t>
  </si>
  <si>
    <t>245KV, 1600 A, 50KA, 3-PHASE, DOUBLE BREAK TANDEM ISOLATOR WITHOUT E/S</t>
  </si>
  <si>
    <t>400KV SUSPENSION INSULATOR STRING  AND ASSOCIATED HARDWARE FITTINGSWITH DROP CLAMP SUITABLE FOR QUAD CONDUCTOR</t>
  </si>
  <si>
    <t>Erection Hardware for 220kV layout (Double Main and TransferScheme)-Transfer Bus Coupler Bay as per technical specification</t>
  </si>
  <si>
    <t>Erection Hardware for 220kV layout (Double Main and TransferScheme)-Bus Coupler Bay as per technical specification</t>
  </si>
  <si>
    <t>220KV SUSPENSION INSULATOR STRING  AND ASSOCIATED HARDWARE FITTINGSWITH DROP CLAMP SUITABLE FOR QUAD CONDUCTOR</t>
  </si>
  <si>
    <t>220kV Bus Bar Protection Panel (Single)-(with Automation)</t>
  </si>
  <si>
    <t>220kV,1600A,0.5mH ,50kA Line Trap</t>
  </si>
  <si>
    <t>Fabrication, galvanising and supply of Standard 220 kV Tower CAincluding nuts, bolts, all type of washers, packplates, step bolts andgusset plates excluding foundation bolts</t>
  </si>
  <si>
    <t>Fabrication, galvanising and supply of Standard 220 kV Tower CTIincluding nuts, bolts, all type of washers, packplates, step bolts andgusset plates excluding foundation bolts</t>
  </si>
  <si>
    <t>Fabrication, galvanising and supply of Standard 220 kV Tower CTJincluding nuts, bolts, all type of washers, packplates, step bolts andgusset plates excluding foundation bolts</t>
  </si>
  <si>
    <t>Fabrication, galvanising and supply of Standard 220 kV Tower CTKincluding nuts, bolts, all type of washers, packplates, step bolts andgusset plates excluding foundation bolts</t>
  </si>
  <si>
    <t>Fabrication, galvanising and supply of Standard 220 kV Gantry B1including nuts, bolts, all type of washers, packplates, step bolts andgusset plates excluding foundation bolts</t>
  </si>
  <si>
    <t>1.1KV GRADE 19CX1.5 SQMM CONTROL CABLE</t>
  </si>
  <si>
    <t>1.1KV GRADE 27CX1.5 SQMM CONTROL CABLE</t>
  </si>
  <si>
    <t xml:space="preserve">220kV Insulator and Hardware            </t>
  </si>
  <si>
    <t xml:space="preserve">400kV Equipment support structures      </t>
  </si>
  <si>
    <t xml:space="preserve">420kV Insulator and Hardware            </t>
  </si>
  <si>
    <t>14.4.2  Providing, laying and fixing following dia RCC pipe NP2 class (light duty) in ground complete with RCC collars, jointingwith cement mortar 1:2 (1 cement : 2 fine sand) including trenching (75 cm deep) and refilling etc as required. : 150 mm dia</t>
  </si>
  <si>
    <t>14.4.3  Providing, laying and fixing following dia RCC pipe NP2 class (light duty) in ground complete with RCC collars, jointingwith cement mortar 1:2 (1 cement : 2 fine sand) including trenching (75 cm deep) and refilling etc as required. : 250 mm dia</t>
  </si>
  <si>
    <t>Supplying and erecting dewatering pumps-5 HP</t>
  </si>
  <si>
    <t>420kV, 3150A, 63kA Circuit Breaker(3-Phase) without closing resistor(with support structure)</t>
  </si>
  <si>
    <t>245 kV 1600A, 50KA Circuit Breakers (3-Phase) with support</t>
  </si>
  <si>
    <t>245kV, 1600A, 50 KA, 3-phase DoubleBreak Tandem Isolator without E/S</t>
  </si>
  <si>
    <t>Erection Hardware for 400kV I type layout-Any feeder Extn. on existing half dia. as per specification</t>
  </si>
  <si>
    <t>400KV SUSPENSION INSULATOR STRING  AND ASSOCIATED HARDWARE FITTINGS WITH DROP CLAMP SUITABLE FOR QUAD CONDUCTOR</t>
  </si>
  <si>
    <t>Erection Hardware for 220kV layout (Double Main and Transfer Scheme as per SLD)-Transfer Bus Coupler Bay as per specification</t>
  </si>
  <si>
    <t>Erection Hardware for 220kV layout (Double Main and Transfer Scheme as per SLD)-Bus Coupler Bay as per specification</t>
  </si>
  <si>
    <t>220KV SUSPENSION INSULATOR STRING  AND ASSOCIATED HARDWARE FITTINGS WITH DROP CLAMP SUITABLE FOR QUAD CONDUCTOR</t>
  </si>
  <si>
    <t>Erection of Std 220 kV Tower CA including nuts, bolts, all type of washers, packplates, step bolts and gusset plates excludingfoundation bolts</t>
  </si>
  <si>
    <t>Erection of Std 220 kV Tower CTI including nuts, bolts, all type of washers, packplates, step bolts and gusset plates excludingfoundation bolts</t>
  </si>
  <si>
    <t>Erection of Std 220 kV Tower CTJ including nuts, bolts, all type of washers, packplates, step bolts and gusset plates excludingfoundation bolts</t>
  </si>
  <si>
    <t>Erection of Std 220 kV Tower CTK including nuts, bolts, all type of washers, packplates, step bolts and gusset plates excludingfoundation bolts</t>
  </si>
  <si>
    <t>1.1kV grade Control Cables (PVCinsulated) along withlugs,glands,straight joints &amp;accessories,etc.</t>
  </si>
  <si>
    <t>1.1kV grade Power Cables (PVCinsulated)along withlugs,glands,straight joints &amp;accessories,etc.</t>
  </si>
  <si>
    <t>1.1kV grade Power Cables (XLPEinsulated) along withlugs,glands,straight joints &amp;accessories,etc.</t>
  </si>
  <si>
    <t>400kV AIS Substation Extension Package SS-111 for Extension of 400/220 kV Jabalpur Substation associated with Western Region Expansion Scheme-XXXIII (WRES-XXXIII): Part A.</t>
  </si>
  <si>
    <t>400kV AIS Substation Extension Package SS-111</t>
  </si>
  <si>
    <t>Specification No.: CC/NT/W-AIS/DOM/A00/23/02698</t>
  </si>
  <si>
    <t xml:space="preserve">Date    : </t>
  </si>
  <si>
    <t>Place  :</t>
  </si>
  <si>
    <t xml:space="preserve">765/400kV Jabalpur PS Extension        </t>
  </si>
  <si>
    <t xml:space="preserve">420kV, 63kA AIS Equipments              </t>
  </si>
  <si>
    <t xml:space="preserve">245kV, 50kA AIS Equipments              </t>
  </si>
  <si>
    <t xml:space="preserve">CRP for  420kV Bays with SAS            </t>
  </si>
  <si>
    <t xml:space="preserve">PLCC Equipment                          </t>
  </si>
  <si>
    <t xml:space="preserve">LT Switchgear                           </t>
  </si>
  <si>
    <t xml:space="preserve">Power &amp; Control Cables                  </t>
  </si>
  <si>
    <t xml:space="preserve">Air Conditioning &amp; Ventilation System   </t>
  </si>
  <si>
    <t xml:space="preserve">Fire Fighting System                    </t>
  </si>
  <si>
    <t xml:space="preserve">Mandatory Spare LOT                     </t>
  </si>
  <si>
    <t xml:space="preserve">SAS 400kV Bays                          </t>
  </si>
  <si>
    <t xml:space="preserve">SAS 220kV Bays                          </t>
  </si>
  <si>
    <t xml:space="preserve">Foundation bolts                        </t>
  </si>
  <si>
    <t xml:space="preserve">BOQ of Comm Equip Supply Jabalpur PS    </t>
  </si>
  <si>
    <t xml:space="preserve">BoQ of Comm Equip Mandatory Spares      </t>
  </si>
  <si>
    <t xml:space="preserve">LCLM-40mtr                              </t>
  </si>
  <si>
    <t>245kV, 3150A, 50KA Circuit Breaker(3-Phase) with support structure</t>
  </si>
  <si>
    <t>245KV, 3150A, 50KA, 3-PHASE DOUBLE BREAK ISOLATOR WITH TWO E/S</t>
  </si>
  <si>
    <t>400KV CIRCUIT BREAKER RELAY PANEL (WITH AUTOMATION)</t>
  </si>
  <si>
    <t>220KV CIRCUIT BREAKER RELAY PANEL (WITH AUTOMATION)</t>
  </si>
  <si>
    <t>220V DCDB (Extn.)</t>
  </si>
  <si>
    <t>48V DCDB (Extn.)</t>
  </si>
  <si>
    <t>1.1KV GRADE 1CX150 SQMM (PVC) POWER CABLE</t>
  </si>
  <si>
    <t>HVW spray system, Hydrant system and complete U/G &amp; O/G piping andaccessories etc. out side the pump house  for 500MVA , 400KV/220/33kV, 3-phase  Autotransformer</t>
  </si>
  <si>
    <t>TYPE L1 STREET LIGHTING POLE OF 6 METER AS PER TECHNICALSPECIFICATION.</t>
  </si>
  <si>
    <t>LED STREET LIGHT LUMINAIRE TYPE SL-L1 (= 45W)AS PER TECHNICALSPECIFICATION</t>
  </si>
  <si>
    <t>Fabrication, galvanising and supply of Standard 220 kV Tower CBincluding nuts, bolts, all type of washers, packplates, step bolts andgusset plates excluding foundation bolts</t>
  </si>
  <si>
    <t>Spare-420kV BPI</t>
  </si>
  <si>
    <t>Spare-245kV BPI</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</si>
  <si>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</si>
  <si>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S16.1 SFP</t>
  </si>
  <si>
    <t>L16.2 SFP</t>
  </si>
  <si>
    <t>OPTICAL INTERFACE/SFP-V16.2</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</si>
  <si>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</si>
  <si>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</si>
  <si>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</si>
  <si>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</si>
  <si>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24F (DWSM) APPROACH FIBRE OPTIC CABLE  INCLUDING ALL INSTALLATIONHARDWARE SET</t>
  </si>
  <si>
    <t>OPGW Fibre Optic Distribution Panel (FODP): Indoor Type: 96F</t>
  </si>
  <si>
    <t>SDH EQUIPMENT (STM-16 MADM UPTO 5 MSP PROTECTED DIRECTIONS)-COMMONCARDS, CROSS-CONNECT/CONTROL CARDS, OPTICAL BASE CARD, POWER SUPPLYCARDS, POWER CABLING, OTHER HARDWARE &amp; ACCESSORIES (EACH).</t>
  </si>
  <si>
    <t>PRE CONNECTORIZED OPTICAL FIBER PATCH CORDS(10 MTRS) â€“ PACK OF SIXPATCH CORDS</t>
  </si>
  <si>
    <t>HIGH MAST FOR LIGHTING CUM LIGHTNING PROTECTION (40M HEIGHT &amp; 2.5 MPEAK ), INCLUDING HARDWARE, LANTERN CARRIAGES,PULLEY SYSTEM WITH WIREROPES,NUTS, BOLTS,FOUNDATION BOLTS, ALL TYPE OF WASHERS ETC  COMPLETEIN ALL RESPECT.</t>
  </si>
  <si>
    <t xml:space="preserve">Install of Comm Equip at Jabalpur PS    </t>
  </si>
  <si>
    <t>245kV, 3150A, 50KA, 3-Phase Double Break Isolator with two E/S</t>
  </si>
  <si>
    <t>245KV, 3150 A, 50kA Circuit Breaker (3-Phase) with support structure</t>
  </si>
  <si>
    <t>400kV Circuit Breaker Relay Panel (with Automation)</t>
  </si>
  <si>
    <t>220kV Circuit Breaker Relay Panel (with Automation)</t>
  </si>
  <si>
    <t>HVW spray system, Hydrant system and complete U/G &amp; O/G piping and accessories etc. out side the pump house  for 500MVA ,400KV/220/33 kV, 3-phase  Autotransformer</t>
  </si>
  <si>
    <t>Type L1 Street Lighting Pole of 6 meter as per technical specification.</t>
  </si>
  <si>
    <t>Lighting Fixture LED Luminaires type SL-L1 as per tech. specifications</t>
  </si>
  <si>
    <t>Erection of Std 220 kV Tower CB including nuts, bolts, all type of washers, packplates, step bolts and gusset plates excludingfoundation bolts</t>
  </si>
  <si>
    <t>Dismantling of existing Chain link fencing</t>
  </si>
  <si>
    <t>Chain link fencing as per tender drawing &amp; technical specification. All type of concrete shall be paid as per relevant items of BPS.</t>
  </si>
  <si>
    <t>DISMANTLING OF EXISTING -CONCRETE ROAD .</t>
  </si>
  <si>
    <t>3.75m wide Cement Concrete road with PCC shoulder including 100 mm dia RCC Hume Pipe @ 100 metre interval as per drawing and TS.However, reinforcement steel and all type concrete shall be paid separately under relevant items</t>
  </si>
  <si>
    <t>Boring, providing and installing bored cast-in-situ reinforced cement concrete pile of 450 mm dia and specified length below thepile cap to carry a safe working load not less than specified including the cost of boring, temporary casing, bentonite solutionetc. complete. The length of the piles shall be measured from bottom of the pile cap to the lowest point of pile. The cost ofreinforcement steel, cement concrete, routine and initial test shall be paid separately under respective items of BPS.</t>
  </si>
  <si>
    <t xml:space="preserve">RM </t>
  </si>
  <si>
    <t>Providing and laying of reinforced cement concrete for piling work of Grade M-25   ( Minimum cement content of 400Kg/cu.m.) ofspecified diameter &amp; length below the pile cap</t>
  </si>
  <si>
    <t>Initial Vertical Compression load testing of piles in accordance with IS 2911 (Part IV) including installation of loading platformand preparation of pile head or construction of test cap and dismantling of test cap after test etc. complete as per specification &amp;the direction of Engineer in-charge. - 450mm Dia pile</t>
  </si>
  <si>
    <t>Initial Pullout Test of piles in accordance with IS 2911(Part-IV) inlcuding T&amp;P, labour , hydraulic jack etc. complete - 450mm diapile</t>
  </si>
  <si>
    <t>Initial Lateral load testing of single pile in accordance with IS Code of practice IS : 2911 (Part IV) for determining safeallowable lateral load on pile  -450mm dia Pile</t>
  </si>
  <si>
    <t>Routine test-Vertical load testing of piles in accordance with IS 2911 (Part IV) including installation of loading platform andpreparation of pile head or construction of test cap and dismantling of test cap after test etc. complete as per specification &amp; thedirection of Engineer in-charge. - 450mm Dia pile</t>
  </si>
  <si>
    <t>Routine Pullout Test of piles in accordance with IS 2911(Part-IV) inlcuding T&amp;P, labour , hydraulic jack etc. complete-450mm diapile</t>
  </si>
  <si>
    <t>Routine test- Lateral load testing of single pile in accordance with IS Code of practice IS : 2911 (Part IV) for determining safeallowable lateral load on pile -450mm dia pile</t>
  </si>
  <si>
    <t>20.9 Integrity testing of Pile using Low Strain/ Sonic Integrity Test/ Sonic Echo Test method in accordance with IS 14893 includingsurface preparation of pile top by removing soil, mud, dust &amp; chipping lean concrete lumps etc. and use of computerised equipmentand high skill trained personal for conducting the test &amp; submission of results, all complete as per direction ofEngineer-in-charge.
Note: DSR unit is 'per test'</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</si>
  <si>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</si>
  <si>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</si>
  <si>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Optical Interface Cards/SFP# -L16.2 for SDH Equipment-STM-16</t>
  </si>
  <si>
    <t>Optical Interface/SFP-V16.2</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</si>
  <si>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</si>
  <si>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</si>
  <si>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</si>
  <si>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</si>
  <si>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Fibre Optic Approach cabling: Including installation hardware like ties/clips/cleats, conduits, ducts, supports, fittings,accessories etc.: 24 Fibre</t>
  </si>
  <si>
    <t>Fibre Optic Distribution Panel (FODP): Indoor Type: FC Coupling and mounted on ETSI 19" rack or slimline rack: Type 2  (96 Fibre)</t>
  </si>
  <si>
    <t>High Mast for Lighting cum Lightning protection (40m height &amp; 2.5 M Peak ), including Hardware, Lantern carriages,pulley system withwire ropes,nuts, bolts,foundation bolts, all type of washers etc  complete in all respect.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</si>
</sst>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0.0"/>
    <numFmt numFmtId="165" formatCode="0.000"/>
    <numFmt numFmtId="166" formatCode="_(* #,##0.00_);_(* \(#,##0.00\);_(* \-??_);_(@_)"/>
    <numFmt numFmtId="167" formatCode="_(* #,##0_);_(* \(#,##0\);_(* \-??_);_(@_)"/>
    <numFmt numFmtId="168" formatCode="_(* #,##0.0_);_(* \(#,##0.0\);_(* \-??_);_(@_)"/>
    <numFmt numFmtId="169" formatCode="#,##0.0"/>
    <numFmt numFmtId="170" formatCode="0.00_)"/>
    <numFmt numFmtId="171" formatCode="_-&quot;£&quot;* #,##0.00_-;\-&quot;£&quot;* #,##0.00_-;_-&quot;£&quot;* &quot;-&quot;??_-;_-@_-"/>
    <numFmt numFmtId="172" formatCode="&quot;\&quot;#,##0.00;[Red]\-&quot;\&quot;#,##0.00"/>
    <numFmt numFmtId="173" formatCode="#,##0.000_);\(#,##0.000\)"/>
    <numFmt numFmtId="174" formatCode="0.0_)"/>
    <numFmt numFmtId="175" formatCode=";;"/>
    <numFmt numFmtId="176" formatCode="&quot; &quot;@"/>
    <numFmt numFmtId="177" formatCode="[$-409]dd\-mmm\-yy;@"/>
    <numFmt numFmtId="178" formatCode="_(* #,##0_);_(* \(#,##0\);_(* &quot;-&quot;??_);_(@_)"/>
    <numFmt numFmtId="179" formatCode="0.0000%"/>
    <numFmt numFmtId="180" formatCode="0.0000000000%"/>
  </numFmts>
  <fonts count="111">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b/>
      <sz val="11"/>
      <color indexed="9"/>
      <name val="Book Antiqua"/>
      <family val="1"/>
    </font>
    <font>
      <sz val="11"/>
      <color indexed="9"/>
      <name val="Book Antiqua"/>
      <family val="1"/>
    </font>
    <font>
      <sz val="11"/>
      <color indexed="9"/>
      <name val="Cambria"/>
      <family val="1"/>
    </font>
    <font>
      <b/>
      <sz val="12"/>
      <color indexed="9"/>
      <name val="Cambria"/>
      <family val="1"/>
    </font>
    <font>
      <b/>
      <sz val="12"/>
      <color indexed="9"/>
      <name val="Arial"/>
      <family val="2"/>
    </font>
    <font>
      <sz val="10"/>
      <color indexed="9"/>
      <name val="Cambria"/>
      <family val="1"/>
    </font>
    <font>
      <sz val="10"/>
      <color indexed="9"/>
      <name val="Arial"/>
      <family val="2"/>
    </font>
    <font>
      <sz val="11"/>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1"/>
      <color indexed="8"/>
      <name val="Cambria"/>
      <family val="1"/>
    </font>
    <font>
      <b/>
      <sz val="12"/>
      <color indexed="8"/>
      <name val="Cambria"/>
      <family val="1"/>
    </font>
    <font>
      <b/>
      <sz val="10"/>
      <color indexed="8"/>
      <name val="Cambria"/>
      <family val="1"/>
    </font>
    <font>
      <sz val="10"/>
      <color indexed="8"/>
      <name val="Cambria"/>
      <family val="1"/>
    </font>
    <font>
      <sz val="11"/>
      <color indexed="8"/>
      <name val="Cambria"/>
      <family val="1"/>
    </font>
    <font>
      <b/>
      <sz val="11"/>
      <color indexed="8"/>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11"/>
      <name val="Times New Roman"/>
      <family val="1"/>
    </font>
    <font>
      <sz val="11"/>
      <name val="Times New Roman"/>
      <family val="1"/>
    </font>
    <font>
      <b/>
      <sz val="11"/>
      <color indexed="9"/>
      <name val="Times New Roman"/>
      <family val="1"/>
    </font>
    <font>
      <sz val="11"/>
      <color indexed="9"/>
      <name val="Times New Roman"/>
      <family val="1"/>
    </font>
    <font>
      <b/>
      <i/>
      <sz val="11"/>
      <name val="Times New Roman"/>
      <family val="1"/>
    </font>
    <font>
      <sz val="11"/>
      <name val="Calibri"/>
      <family val="2"/>
    </font>
    <font>
      <b/>
      <i/>
      <sz val="11"/>
      <name val="Book Antiqua"/>
      <family val="1"/>
    </font>
    <font>
      <b/>
      <i/>
      <sz val="10"/>
      <name val="Book Antiqua"/>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1"/>
      <color theme="0"/>
      <name val="Book Antiqua"/>
      <family val="1"/>
    </font>
    <font>
      <sz val="12"/>
      <color theme="0"/>
      <name val="Book Antiqua"/>
      <family val="1"/>
    </font>
    <font>
      <b/>
      <sz val="16"/>
      <color indexed="10"/>
      <name val="Book Antiqua"/>
      <family val="1"/>
    </font>
    <font>
      <b/>
      <sz val="13"/>
      <color indexed="10"/>
      <name val="Book Antiqua"/>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2">
    <xf numFmtId="0" fontId="0" fillId="0" borderId="0"/>
    <xf numFmtId="9" fontId="6" fillId="0" borderId="0"/>
    <xf numFmtId="9" fontId="73" fillId="0" borderId="0"/>
    <xf numFmtId="9" fontId="6" fillId="0" borderId="0"/>
    <xf numFmtId="9" fontId="87" fillId="0" borderId="0"/>
    <xf numFmtId="9" fontId="6" fillId="0" borderId="0"/>
    <xf numFmtId="171" fontId="1" fillId="0" borderId="0" applyFont="0" applyFill="0" applyBorder="0" applyAlignment="0" applyProtection="0"/>
    <xf numFmtId="174"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0" fontId="7" fillId="0" borderId="0"/>
    <xf numFmtId="43" fontId="1" fillId="0" borderId="0" applyFont="0" applyFill="0" applyBorder="0" applyAlignment="0" applyProtection="0"/>
    <xf numFmtId="172" fontId="1" fillId="0" borderId="0"/>
    <xf numFmtId="172" fontId="37" fillId="0" borderId="0"/>
    <xf numFmtId="172" fontId="1" fillId="0" borderId="0"/>
    <xf numFmtId="172" fontId="37" fillId="0" borderId="0"/>
    <xf numFmtId="172" fontId="1" fillId="0" borderId="0"/>
    <xf numFmtId="172" fontId="37" fillId="0" borderId="0"/>
    <xf numFmtId="172" fontId="1" fillId="0" borderId="0"/>
    <xf numFmtId="172" fontId="37" fillId="0" borderId="0"/>
    <xf numFmtId="172" fontId="1" fillId="0" borderId="0"/>
    <xf numFmtId="172" fontId="37" fillId="0" borderId="0"/>
    <xf numFmtId="172" fontId="1" fillId="0" borderId="0"/>
    <xf numFmtId="172" fontId="37" fillId="0" borderId="0"/>
    <xf numFmtId="172" fontId="1" fillId="0" borderId="0"/>
    <xf numFmtId="172" fontId="37" fillId="0" borderId="0"/>
    <xf numFmtId="172" fontId="1" fillId="0" borderId="0"/>
    <xf numFmtId="172" fontId="3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8" fillId="0" borderId="1">
      <alignment horizontal="right"/>
    </xf>
    <xf numFmtId="169" fontId="74" fillId="0" borderId="1">
      <alignment horizontal="right"/>
    </xf>
    <xf numFmtId="169"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76" fillId="0" borderId="0"/>
    <xf numFmtId="37" fontId="10" fillId="0" borderId="0"/>
    <xf numFmtId="165" fontId="1" fillId="0" borderId="0"/>
    <xf numFmtId="165"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85"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1" fillId="0" borderId="0" applyNumberFormat="0" applyFont="0" applyFill="0" applyBorder="0" applyAlignment="0" applyProtection="0">
      <alignment vertical="top"/>
    </xf>
    <xf numFmtId="0" fontId="16" fillId="0" borderId="0"/>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18" fillId="0" borderId="0"/>
    <xf numFmtId="0" fontId="16" fillId="0" borderId="0"/>
    <xf numFmtId="0" fontId="34" fillId="0" borderId="0"/>
    <xf numFmtId="0" fontId="1" fillId="0" borderId="0"/>
    <xf numFmtId="0" fontId="37" fillId="0" borderId="0" applyNumberFormat="0" applyFont="0" applyFill="0" applyBorder="0" applyAlignment="0" applyProtection="0">
      <alignment vertical="top"/>
    </xf>
    <xf numFmtId="0" fontId="16" fillId="0" borderId="0" applyNumberFormat="0" applyFill="0" applyBorder="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7"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7" fillId="0" borderId="0" applyNumberFormat="0" applyFont="0" applyFill="0" applyBorder="0" applyAlignment="0" applyProtection="0">
      <alignment vertical="top"/>
    </xf>
    <xf numFmtId="9" fontId="37" fillId="0" borderId="0" applyFill="0" applyBorder="0" applyAlignment="0" applyProtection="0"/>
    <xf numFmtId="9" fontId="37"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cellStyleXfs>
  <cellXfs count="1500">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19" fillId="0" borderId="0" xfId="205" applyFont="1" applyProtection="1">
      <protection hidden="1"/>
    </xf>
    <xf numFmtId="0" fontId="1" fillId="0" borderId="0" xfId="205" applyProtection="1">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23" fillId="0" borderId="7" xfId="205" applyFont="1" applyBorder="1" applyAlignment="1" applyProtection="1">
      <alignment vertical="center"/>
      <protection hidden="1"/>
    </xf>
    <xf numFmtId="0" fontId="1" fillId="0" borderId="0" xfId="205" applyAlignment="1" applyProtection="1">
      <alignment vertical="center"/>
      <protection hidden="1"/>
    </xf>
    <xf numFmtId="0" fontId="18" fillId="0" borderId="7" xfId="205" applyFont="1" applyBorder="1" applyAlignment="1" applyProtection="1">
      <alignment vertical="center"/>
      <protection hidden="1"/>
    </xf>
    <xf numFmtId="0" fontId="25" fillId="0" borderId="0" xfId="205" applyFont="1" applyAlignment="1" applyProtection="1">
      <alignment vertical="center"/>
      <protection hidden="1"/>
    </xf>
    <xf numFmtId="0" fontId="18"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8" fillId="0" borderId="0" xfId="205" applyFont="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7"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7" fillId="0" borderId="0" xfId="205" applyFont="1" applyAlignment="1" applyProtection="1">
      <alignment vertical="center"/>
      <protection hidden="1"/>
    </xf>
    <xf numFmtId="176"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9"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3"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6"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7"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7" fontId="15" fillId="0" borderId="0" xfId="0" applyNumberFormat="1" applyFont="1" applyAlignment="1">
      <alignment horizontal="left" vertical="center" indent="1"/>
    </xf>
    <xf numFmtId="177" fontId="15" fillId="0" borderId="0" xfId="0" applyNumberFormat="1" applyFont="1" applyAlignment="1" applyProtection="1">
      <alignment horizontal="justify" vertical="center"/>
      <protection hidden="1"/>
    </xf>
    <xf numFmtId="177" fontId="15" fillId="0" borderId="0" xfId="0" applyNumberFormat="1" applyFont="1" applyAlignment="1" applyProtection="1">
      <alignment horizontal="left" vertical="center" indent="1"/>
      <protection hidden="1"/>
    </xf>
    <xf numFmtId="0" fontId="37"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7"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8"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9" fillId="0" borderId="0" xfId="205" applyFont="1" applyAlignment="1" applyProtection="1">
      <alignment vertical="top"/>
      <protection hidden="1"/>
    </xf>
    <xf numFmtId="0" fontId="34" fillId="0" borderId="0" xfId="197" applyProtection="1">
      <protection hidden="1"/>
    </xf>
    <xf numFmtId="0" fontId="40"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4"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41" fillId="0" borderId="0" xfId="197" applyFont="1" applyAlignment="1" applyProtection="1">
      <alignment vertical="center"/>
      <protection hidden="1"/>
    </xf>
    <xf numFmtId="0" fontId="41" fillId="0" borderId="0" xfId="197" applyFont="1" applyProtection="1">
      <protection hidden="1"/>
    </xf>
    <xf numFmtId="0" fontId="33" fillId="0" borderId="0" xfId="0" applyFont="1" applyProtection="1">
      <protection hidden="1"/>
    </xf>
    <xf numFmtId="0" fontId="33" fillId="0" borderId="0" xfId="0" applyFont="1" applyAlignment="1">
      <alignment vertical="center"/>
    </xf>
    <xf numFmtId="0" fontId="15" fillId="0" borderId="0" xfId="0" applyFont="1" applyAlignment="1" applyProtection="1">
      <alignment horizontal="left" vertical="center"/>
      <protection hidden="1"/>
    </xf>
    <xf numFmtId="3" fontId="23"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3" fillId="0" borderId="0" xfId="0" applyFont="1" applyAlignment="1">
      <alignment horizontal="left" vertical="center"/>
    </xf>
    <xf numFmtId="10" fontId="33" fillId="0" borderId="0" xfId="0" applyNumberFormat="1" applyFont="1" applyAlignment="1">
      <alignment horizontal="center" vertical="center"/>
    </xf>
    <xf numFmtId="0" fontId="27" fillId="0" borderId="0" xfId="0" applyFont="1" applyAlignment="1">
      <alignment vertical="center"/>
    </xf>
    <xf numFmtId="0" fontId="33" fillId="0" borderId="0" xfId="206" applyFont="1" applyAlignment="1" applyProtection="1">
      <alignment vertical="center"/>
      <protection hidden="1"/>
    </xf>
    <xf numFmtId="0" fontId="33" fillId="0" borderId="0" xfId="0" applyFont="1" applyAlignment="1" applyProtection="1">
      <alignment vertical="center"/>
      <protection hidden="1"/>
    </xf>
    <xf numFmtId="0" fontId="27" fillId="0" borderId="0" xfId="200" applyNumberFormat="1" applyFont="1" applyFill="1" applyBorder="1" applyAlignment="1" applyProtection="1">
      <alignment horizontal="center" vertical="center" wrapText="1"/>
      <protection hidden="1"/>
    </xf>
    <xf numFmtId="0" fontId="27" fillId="0" borderId="0" xfId="0" applyFont="1" applyAlignment="1">
      <alignment horizontal="center" vertical="center"/>
    </xf>
    <xf numFmtId="0" fontId="27" fillId="0" borderId="0" xfId="0" applyFont="1" applyAlignment="1" applyProtection="1">
      <alignment horizontal="center" vertical="center"/>
      <protection hidden="1"/>
    </xf>
    <xf numFmtId="0" fontId="33" fillId="0" borderId="0" xfId="200" applyNumberFormat="1"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justify" vertical="center"/>
      <protection hidden="1"/>
    </xf>
    <xf numFmtId="0" fontId="33" fillId="0" borderId="0" xfId="0" applyFont="1" applyAlignment="1" applyProtection="1">
      <alignment horizontal="center" vertical="center"/>
      <protection hidden="1"/>
    </xf>
    <xf numFmtId="0" fontId="33" fillId="0" borderId="0" xfId="200" applyNumberFormat="1" applyFont="1" applyFill="1" applyBorder="1" applyAlignment="1" applyProtection="1">
      <alignment vertical="center"/>
      <protection hidden="1"/>
    </xf>
    <xf numFmtId="0" fontId="33" fillId="0" borderId="0" xfId="0" applyFont="1" applyAlignment="1" applyProtection="1">
      <alignment horizontal="left" vertical="center" indent="1"/>
      <protection hidden="1"/>
    </xf>
    <xf numFmtId="0" fontId="33" fillId="0" borderId="0" xfId="206" applyFont="1" applyAlignment="1" applyProtection="1">
      <alignment horizontal="left" vertical="center" indent="1"/>
      <protection hidden="1"/>
    </xf>
    <xf numFmtId="0" fontId="33" fillId="0" borderId="0" xfId="206" applyFont="1" applyAlignment="1" applyProtection="1">
      <alignment horizontal="left" vertical="center"/>
      <protection hidden="1"/>
    </xf>
    <xf numFmtId="0" fontId="27" fillId="0" borderId="0" xfId="206" applyFont="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200" applyNumberFormat="1" applyFont="1" applyFill="1" applyBorder="1" applyAlignment="1" applyProtection="1">
      <alignment vertical="center" wrapText="1"/>
      <protection hidden="1"/>
    </xf>
    <xf numFmtId="0" fontId="33" fillId="0" borderId="0" xfId="211" applyFont="1" applyFill="1" applyBorder="1" applyAlignment="1" applyProtection="1">
      <alignment vertical="center" wrapText="1"/>
      <protection hidden="1"/>
    </xf>
    <xf numFmtId="0" fontId="33" fillId="0" borderId="0" xfId="211" applyNumberFormat="1" applyFont="1" applyFill="1" applyBorder="1" applyAlignment="1" applyProtection="1">
      <alignment horizontal="center" vertical="center" wrapText="1"/>
      <protection hidden="1"/>
    </xf>
    <xf numFmtId="3"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center" vertical="center" wrapText="1"/>
      <protection hidden="1"/>
    </xf>
    <xf numFmtId="164" fontId="27" fillId="0" borderId="0" xfId="211" applyNumberFormat="1" applyFont="1" applyFill="1" applyBorder="1" applyAlignment="1" applyProtection="1">
      <alignment horizontal="center" vertical="center" wrapText="1"/>
      <protection hidden="1"/>
    </xf>
    <xf numFmtId="164" fontId="33" fillId="0" borderId="0" xfId="211" applyNumberFormat="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vertical="center" wrapText="1"/>
      <protection hidden="1"/>
    </xf>
    <xf numFmtId="0" fontId="33" fillId="0" borderId="0" xfId="211" applyFont="1" applyFill="1" applyBorder="1" applyAlignment="1" applyProtection="1">
      <alignment horizontal="left" vertical="center" wrapText="1"/>
      <protection hidden="1"/>
    </xf>
    <xf numFmtId="0" fontId="27" fillId="0" borderId="0" xfId="211" applyFont="1" applyFill="1" applyBorder="1" applyAlignment="1" applyProtection="1">
      <alignment vertical="center" wrapText="1"/>
      <protection hidden="1"/>
    </xf>
    <xf numFmtId="10" fontId="33" fillId="0" borderId="0" xfId="0" applyNumberFormat="1" applyFont="1" applyAlignment="1" applyProtection="1">
      <alignment horizontal="center" vertical="center"/>
      <protection hidden="1"/>
    </xf>
    <xf numFmtId="4" fontId="33" fillId="0" borderId="0" xfId="200" applyNumberFormat="1" applyFont="1" applyFill="1" applyBorder="1" applyAlignment="1" applyProtection="1">
      <alignment vertical="center"/>
      <protection hidden="1"/>
    </xf>
    <xf numFmtId="0" fontId="33" fillId="0" borderId="0" xfId="0" applyFont="1" applyAlignment="1" applyProtection="1">
      <alignment horizontal="justify" vertical="center" wrapText="1"/>
      <protection hidden="1"/>
    </xf>
    <xf numFmtId="0" fontId="27" fillId="0" borderId="0" xfId="0" applyFont="1" applyAlignment="1" applyProtection="1">
      <alignment horizontal="center" vertical="center" wrapText="1"/>
      <protection hidden="1"/>
    </xf>
    <xf numFmtId="0" fontId="33" fillId="0" borderId="0" xfId="205" applyFont="1" applyAlignment="1" applyProtection="1">
      <alignment vertical="center"/>
      <protection hidden="1"/>
    </xf>
    <xf numFmtId="0" fontId="33" fillId="0" borderId="0" xfId="205" applyFont="1" applyAlignment="1" applyProtection="1">
      <alignment horizontal="right" vertical="center"/>
      <protection hidden="1"/>
    </xf>
    <xf numFmtId="0" fontId="33" fillId="0" borderId="0" xfId="205" applyFont="1" applyAlignment="1" applyProtection="1">
      <alignment horizontal="left" vertical="center"/>
      <protection hidden="1"/>
    </xf>
    <xf numFmtId="179" fontId="33" fillId="0" borderId="0" xfId="0" applyNumberFormat="1" applyFont="1" applyAlignment="1" applyProtection="1">
      <alignment horizontal="center" vertical="center"/>
      <protection hidden="1"/>
    </xf>
    <xf numFmtId="2" fontId="33" fillId="0" borderId="0" xfId="206" applyNumberFormat="1" applyFont="1" applyAlignment="1" applyProtection="1">
      <alignment vertical="center"/>
      <protection hidden="1"/>
    </xf>
    <xf numFmtId="2" fontId="33" fillId="0" borderId="0" xfId="0" applyNumberFormat="1" applyFont="1" applyProtection="1">
      <protection hidden="1"/>
    </xf>
    <xf numFmtId="0" fontId="27" fillId="0" borderId="0" xfId="0" applyFont="1" applyAlignment="1" applyProtection="1">
      <alignment horizontal="left" vertical="center" wrapText="1"/>
      <protection hidden="1"/>
    </xf>
    <xf numFmtId="0" fontId="27" fillId="0" borderId="0" xfId="211" applyFont="1" applyFill="1" applyBorder="1" applyAlignment="1" applyProtection="1">
      <alignment vertical="center"/>
      <protection hidden="1"/>
    </xf>
    <xf numFmtId="0" fontId="33" fillId="0" borderId="0" xfId="211" applyNumberFormat="1" applyFont="1" applyFill="1" applyBorder="1" applyAlignment="1" applyProtection="1">
      <alignment horizontal="right" vertical="center" wrapText="1"/>
      <protection hidden="1"/>
    </xf>
    <xf numFmtId="2"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horizontal="right" vertical="center"/>
      <protection hidden="1"/>
    </xf>
    <xf numFmtId="0" fontId="33" fillId="0" borderId="0" xfId="211" applyFont="1" applyFill="1" applyBorder="1" applyAlignment="1" applyProtection="1">
      <alignment horizontal="justify" vertical="center" wrapText="1"/>
      <protection hidden="1"/>
    </xf>
    <xf numFmtId="167"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211" applyNumberFormat="1" applyFont="1" applyFill="1" applyBorder="1" applyAlignment="1" applyProtection="1">
      <alignment horizontal="left" vertical="center"/>
      <protection hidden="1"/>
    </xf>
    <xf numFmtId="166"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protection hidden="1"/>
    </xf>
    <xf numFmtId="2" fontId="33" fillId="0" borderId="0" xfId="11" applyNumberFormat="1" applyFont="1" applyFill="1" applyBorder="1" applyAlignment="1" applyProtection="1">
      <alignment horizontal="right" vertical="center" wrapText="1"/>
      <protection hidden="1"/>
    </xf>
    <xf numFmtId="167" fontId="33" fillId="0" borderId="0" xfId="11" applyNumberFormat="1" applyFont="1" applyFill="1" applyBorder="1" applyAlignment="1" applyProtection="1">
      <alignment horizontal="center" vertical="center"/>
      <protection hidden="1"/>
    </xf>
    <xf numFmtId="170" fontId="33" fillId="0" borderId="0" xfId="211" quotePrefix="1" applyNumberFormat="1" applyFont="1" applyFill="1" applyBorder="1" applyAlignment="1" applyProtection="1">
      <alignment horizontal="left" vertical="center" wrapText="1"/>
      <protection hidden="1"/>
    </xf>
    <xf numFmtId="170" fontId="33" fillId="0" borderId="0" xfId="211" applyNumberFormat="1" applyFont="1" applyFill="1" applyBorder="1" applyAlignment="1" applyProtection="1">
      <alignment horizontal="left" vertical="center" wrapText="1"/>
      <protection hidden="1"/>
    </xf>
    <xf numFmtId="164"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right" vertical="center" wrapText="1"/>
      <protection hidden="1"/>
    </xf>
    <xf numFmtId="0" fontId="27" fillId="0" borderId="0" xfId="21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horizontal="center" vertical="center"/>
      <protection hidden="1"/>
    </xf>
    <xf numFmtId="0" fontId="33" fillId="0" borderId="0" xfId="211" applyNumberFormat="1" applyFont="1" applyFill="1" applyBorder="1" applyAlignment="1" applyProtection="1">
      <alignment horizontal="right" vertical="center"/>
      <protection hidden="1"/>
    </xf>
    <xf numFmtId="0" fontId="33" fillId="0" borderId="0" xfId="0" applyFont="1" applyAlignment="1">
      <alignment horizont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3" fillId="0" borderId="0" xfId="0" applyFont="1" applyAlignment="1" applyProtection="1">
      <alignment horizontal="right"/>
      <protection hidden="1"/>
    </xf>
    <xf numFmtId="0" fontId="29"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29"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4" fillId="0" borderId="0" xfId="205" applyFont="1" applyAlignment="1" applyProtection="1">
      <alignment vertical="top"/>
      <protection hidden="1"/>
    </xf>
    <xf numFmtId="2" fontId="44" fillId="0" borderId="0" xfId="205" applyNumberFormat="1" applyFont="1" applyAlignment="1" applyProtection="1">
      <alignment vertical="top"/>
      <protection hidden="1"/>
    </xf>
    <xf numFmtId="165" fontId="39" fillId="0" borderId="0" xfId="205" applyNumberFormat="1" applyFont="1" applyAlignment="1" applyProtection="1">
      <alignment vertical="top"/>
      <protection hidden="1"/>
    </xf>
    <xf numFmtId="2" fontId="44" fillId="2" borderId="0" xfId="205" applyNumberFormat="1" applyFont="1" applyFill="1" applyAlignment="1" applyProtection="1">
      <alignment vertical="top"/>
      <protection hidden="1"/>
    </xf>
    <xf numFmtId="0" fontId="33" fillId="0" borderId="0" xfId="0" applyFont="1" applyAlignment="1" applyProtection="1">
      <alignment horizontal="right" vertical="center"/>
      <protection hidden="1"/>
    </xf>
    <xf numFmtId="0" fontId="46" fillId="0" borderId="0" xfId="209" applyFont="1" applyProtection="1">
      <protection hidden="1"/>
    </xf>
    <xf numFmtId="0" fontId="45" fillId="0" borderId="0" xfId="209" applyFont="1" applyProtection="1">
      <protection hidden="1"/>
    </xf>
    <xf numFmtId="0" fontId="45" fillId="0" borderId="0" xfId="209" applyFont="1" applyAlignment="1" applyProtection="1">
      <alignment vertical="center"/>
      <protection hidden="1"/>
    </xf>
    <xf numFmtId="0" fontId="45" fillId="0" borderId="0" xfId="209" applyFont="1" applyAlignment="1" applyProtection="1">
      <alignment wrapText="1"/>
      <protection hidden="1"/>
    </xf>
    <xf numFmtId="10" fontId="45" fillId="0" borderId="0" xfId="209" applyNumberFormat="1" applyFont="1" applyAlignment="1" applyProtection="1">
      <alignment vertical="center"/>
      <protection hidden="1"/>
    </xf>
    <xf numFmtId="0" fontId="33" fillId="0" borderId="0" xfId="203" applyNumberFormat="1" applyFont="1" applyFill="1" applyBorder="1" applyAlignment="1" applyProtection="1">
      <alignment vertical="center" wrapText="1"/>
      <protection hidden="1"/>
    </xf>
    <xf numFmtId="0" fontId="46"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8" fillId="0" borderId="0" xfId="0" applyFont="1" applyAlignment="1" applyProtection="1">
      <alignment horizontal="center" vertical="center" wrapText="1"/>
      <protection hidden="1"/>
    </xf>
    <xf numFmtId="0" fontId="38"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4"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4"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7" fontId="15" fillId="0" borderId="0" xfId="0" applyNumberFormat="1" applyFont="1" applyAlignment="1" applyProtection="1">
      <alignment horizontal="center" vertical="center" wrapText="1"/>
      <protection hidden="1"/>
    </xf>
    <xf numFmtId="168"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8"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8" fontId="16" fillId="0" borderId="0" xfId="11" applyNumberFormat="1" applyFont="1" applyFill="1" applyBorder="1" applyAlignment="1" applyProtection="1">
      <alignment horizontal="left" vertical="center" wrapText="1"/>
      <protection hidden="1"/>
    </xf>
    <xf numFmtId="164" fontId="15" fillId="0" borderId="0" xfId="206" applyNumberFormat="1" applyFont="1" applyAlignment="1" applyProtection="1">
      <alignment horizontal="center" vertical="center"/>
      <protection hidden="1"/>
    </xf>
    <xf numFmtId="168" fontId="15" fillId="0" borderId="0" xfId="11" applyNumberFormat="1" applyFont="1" applyFill="1" applyBorder="1" applyAlignment="1" applyProtection="1">
      <alignment horizontal="right" vertical="center" wrapText="1" indent="1"/>
      <protection hidden="1"/>
    </xf>
    <xf numFmtId="168"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8" fontId="16" fillId="0" borderId="0" xfId="11" applyNumberFormat="1" applyFont="1" applyFill="1" applyBorder="1" applyAlignment="1" applyProtection="1">
      <alignment horizontal="right" vertical="center" wrapText="1"/>
      <protection hidden="1"/>
    </xf>
    <xf numFmtId="0" fontId="50" fillId="0" borderId="0" xfId="0" applyFont="1"/>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lignment horizontal="center" vertical="center"/>
    </xf>
    <xf numFmtId="0" fontId="50" fillId="0" borderId="0" xfId="206" applyFont="1" applyAlignment="1" applyProtection="1">
      <alignment vertical="center"/>
      <protection hidden="1"/>
    </xf>
    <xf numFmtId="0" fontId="50" fillId="0" borderId="0" xfId="206" applyFont="1" applyAlignment="1" applyProtection="1">
      <alignment horizontal="left" vertical="center" indent="1"/>
      <protection hidden="1"/>
    </xf>
    <xf numFmtId="2" fontId="50" fillId="0" borderId="4" xfId="0" applyNumberFormat="1" applyFont="1" applyBorder="1" applyAlignment="1">
      <alignment horizontal="right" vertical="center"/>
    </xf>
    <xf numFmtId="0" fontId="50" fillId="0" borderId="4" xfId="211" applyNumberFormat="1" applyFont="1" applyFill="1" applyBorder="1" applyAlignment="1" applyProtection="1">
      <alignment horizontal="center" vertical="center"/>
    </xf>
    <xf numFmtId="0" fontId="51" fillId="0" borderId="0" xfId="213" applyFont="1" applyAlignment="1" applyProtection="1">
      <alignment horizontal="center"/>
      <protection hidden="1"/>
    </xf>
    <xf numFmtId="0" fontId="51" fillId="0" borderId="0" xfId="213" applyFont="1" applyProtection="1">
      <protection hidden="1"/>
    </xf>
    <xf numFmtId="0" fontId="51" fillId="0" borderId="0" xfId="198" applyFont="1" applyAlignment="1" applyProtection="1">
      <alignment horizontal="left" vertical="center"/>
      <protection hidden="1"/>
    </xf>
    <xf numFmtId="0" fontId="51" fillId="0" borderId="0" xfId="198" applyFont="1" applyProtection="1">
      <protection hidden="1"/>
    </xf>
    <xf numFmtId="0" fontId="51" fillId="0" borderId="0" xfId="198" applyFont="1" applyAlignment="1" applyProtection="1">
      <alignment vertical="center"/>
      <protection hidden="1"/>
    </xf>
    <xf numFmtId="0" fontId="51" fillId="0" borderId="0" xfId="198" applyFont="1" applyAlignment="1" applyProtection="1">
      <alignment horizontal="center" vertical="center"/>
      <protection hidden="1"/>
    </xf>
    <xf numFmtId="0" fontId="51" fillId="0" borderId="0" xfId="198" applyFont="1" applyAlignment="1" applyProtection="1">
      <alignment horizontal="left"/>
      <protection hidden="1"/>
    </xf>
    <xf numFmtId="0" fontId="51"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9" fillId="0" borderId="0" xfId="197" applyFont="1" applyAlignment="1" applyProtection="1">
      <alignment horizontal="center" vertical="center"/>
      <protection hidden="1"/>
    </xf>
    <xf numFmtId="0" fontId="52" fillId="0" borderId="0" xfId="197" applyFont="1" applyAlignment="1" applyProtection="1">
      <alignment vertical="center"/>
      <protection hidden="1"/>
    </xf>
    <xf numFmtId="0" fontId="34"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79"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7"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79"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50" fillId="0" borderId="0" xfId="0" applyFont="1" applyAlignment="1">
      <alignment horizontal="justify" vertical="center"/>
    </xf>
    <xf numFmtId="0" fontId="50" fillId="0" borderId="0" xfId="200" applyNumberFormat="1" applyFont="1" applyFill="1" applyBorder="1" applyAlignment="1" applyProtection="1">
      <alignment vertical="center"/>
    </xf>
    <xf numFmtId="0" fontId="50" fillId="0" borderId="0" xfId="200" applyNumberFormat="1" applyFont="1" applyFill="1" applyBorder="1" applyAlignment="1" applyProtection="1">
      <alignment vertical="center" wrapText="1"/>
    </xf>
    <xf numFmtId="0" fontId="50" fillId="0" borderId="0" xfId="200" applyNumberFormat="1" applyFont="1" applyFill="1" applyBorder="1" applyAlignment="1" applyProtection="1">
      <alignment vertical="center"/>
      <protection hidden="1"/>
    </xf>
    <xf numFmtId="0" fontId="50" fillId="0" borderId="0" xfId="200" applyNumberFormat="1" applyFont="1" applyFill="1" applyBorder="1" applyAlignment="1" applyProtection="1">
      <alignment vertical="center" wrapText="1"/>
      <protection hidden="1"/>
    </xf>
    <xf numFmtId="164"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8"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50" fillId="0" borderId="0" xfId="206" applyFont="1" applyAlignment="1" applyProtection="1">
      <alignment horizontal="left" vertical="center"/>
      <protection hidden="1"/>
    </xf>
    <xf numFmtId="2" fontId="33" fillId="0" borderId="0" xfId="200" applyNumberFormat="1" applyFont="1" applyFill="1" applyBorder="1" applyAlignment="1" applyProtection="1">
      <alignment horizontal="right" vertical="center"/>
      <protection hidden="1"/>
    </xf>
    <xf numFmtId="2" fontId="27"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50" fillId="0" borderId="0" xfId="0" applyFont="1" applyProtection="1">
      <protection hidden="1"/>
    </xf>
    <xf numFmtId="0" fontId="50" fillId="0" borderId="0" xfId="0" applyFont="1" applyAlignment="1" applyProtection="1">
      <alignment horizontal="left" vertical="center"/>
      <protection hidden="1"/>
    </xf>
    <xf numFmtId="0" fontId="50" fillId="0" borderId="0" xfId="0" applyFont="1" applyAlignment="1" applyProtection="1">
      <alignment horizontal="justify" vertical="center"/>
      <protection hidden="1"/>
    </xf>
    <xf numFmtId="0" fontId="50" fillId="0" borderId="0" xfId="0" applyFont="1" applyAlignment="1" applyProtection="1">
      <alignment horizontal="center" vertical="center"/>
      <protection hidden="1"/>
    </xf>
    <xf numFmtId="0" fontId="50" fillId="0" borderId="0" xfId="205" applyFont="1" applyAlignment="1" applyProtection="1">
      <alignment vertical="top"/>
      <protection hidden="1"/>
    </xf>
    <xf numFmtId="0" fontId="50" fillId="0" borderId="0" xfId="205" applyFont="1" applyAlignment="1" applyProtection="1">
      <alignment horizontal="left" vertical="top"/>
      <protection hidden="1"/>
    </xf>
    <xf numFmtId="0" fontId="29" fillId="0" borderId="0" xfId="206" applyFont="1" applyAlignment="1" applyProtection="1">
      <alignment horizontal="center" vertical="center" wrapText="1"/>
      <protection hidden="1"/>
    </xf>
    <xf numFmtId="0" fontId="50" fillId="4" borderId="22" xfId="0" applyFont="1" applyFill="1" applyBorder="1" applyAlignment="1" applyProtection="1">
      <alignment horizontal="left" vertical="center"/>
      <protection locked="0"/>
    </xf>
    <xf numFmtId="0" fontId="50" fillId="0" borderId="0" xfId="206" applyFont="1" applyAlignment="1">
      <alignment horizontal="left" vertical="center"/>
    </xf>
    <xf numFmtId="0" fontId="15" fillId="0" borderId="0" xfId="0" applyFont="1" applyAlignment="1">
      <alignment horizontal="left" vertical="center" wrapText="1"/>
    </xf>
    <xf numFmtId="0" fontId="28" fillId="0" borderId="0" xfId="0" applyFont="1" applyAlignment="1">
      <alignment horizontal="left" vertical="center"/>
    </xf>
    <xf numFmtId="10" fontId="28" fillId="0" borderId="0" xfId="0" applyNumberFormat="1" applyFont="1" applyAlignment="1">
      <alignment horizontal="center" vertical="center"/>
    </xf>
    <xf numFmtId="0" fontId="28" fillId="0" borderId="0" xfId="0" applyFont="1" applyAlignment="1">
      <alignment vertical="center"/>
    </xf>
    <xf numFmtId="0" fontId="50" fillId="0" borderId="0" xfId="200" applyNumberFormat="1" applyFont="1" applyFill="1" applyBorder="1" applyAlignment="1" applyProtection="1">
      <alignment horizontal="center" vertical="center"/>
    </xf>
    <xf numFmtId="10" fontId="50" fillId="0" borderId="0" xfId="0" applyNumberFormat="1" applyFont="1" applyAlignment="1">
      <alignment horizontal="center" vertical="center"/>
    </xf>
    <xf numFmtId="0" fontId="50" fillId="0" borderId="0" xfId="200" applyNumberFormat="1" applyFont="1" applyFill="1" applyBorder="1" applyAlignment="1" applyProtection="1">
      <alignment horizontal="center" vertical="center"/>
      <protection hidden="1"/>
    </xf>
    <xf numFmtId="0" fontId="29" fillId="0" borderId="0" xfId="0" applyFont="1" applyAlignment="1">
      <alignment vertical="center"/>
    </xf>
    <xf numFmtId="2" fontId="16" fillId="0" borderId="4" xfId="200" applyNumberFormat="1" applyFill="1" applyBorder="1" applyAlignment="1" applyProtection="1">
      <alignment horizontal="right" vertical="top"/>
    </xf>
    <xf numFmtId="0" fontId="50"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50"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7"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3" fillId="0" borderId="0" xfId="0" applyFont="1" applyAlignment="1" applyProtection="1">
      <alignment horizontal="center" vertical="top"/>
      <protection hidden="1"/>
    </xf>
    <xf numFmtId="0" fontId="33" fillId="0" borderId="0" xfId="0" applyFont="1" applyAlignment="1" applyProtection="1">
      <alignment horizontal="justify" vertical="top"/>
      <protection hidden="1"/>
    </xf>
    <xf numFmtId="0" fontId="33" fillId="0" borderId="0" xfId="0" applyFont="1" applyAlignment="1" applyProtection="1">
      <alignment vertical="top"/>
      <protection hidden="1"/>
    </xf>
    <xf numFmtId="0" fontId="50"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50"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16" fillId="0" borderId="0" xfId="194" applyFont="1"/>
    <xf numFmtId="0" fontId="33" fillId="0" borderId="0" xfId="194" applyFont="1"/>
    <xf numFmtId="0" fontId="33" fillId="0" borderId="0" xfId="194" applyFont="1" applyAlignment="1">
      <alignment horizontal="center" vertical="center"/>
    </xf>
    <xf numFmtId="0" fontId="50" fillId="0" borderId="0" xfId="194" applyFont="1"/>
    <xf numFmtId="0" fontId="50" fillId="0" borderId="0" xfId="194" applyFont="1" applyAlignment="1">
      <alignment vertical="center"/>
    </xf>
    <xf numFmtId="0" fontId="15" fillId="0" borderId="0" xfId="194" applyFont="1" applyAlignment="1">
      <alignment horizontal="center" vertical="center"/>
    </xf>
    <xf numFmtId="0" fontId="50" fillId="0" borderId="0" xfId="194" applyFont="1" applyAlignment="1">
      <alignment horizontal="left" vertical="center"/>
    </xf>
    <xf numFmtId="177" fontId="50" fillId="0" borderId="0" xfId="194" applyNumberFormat="1" applyFont="1" applyAlignment="1">
      <alignment horizontal="left" vertical="center"/>
    </xf>
    <xf numFmtId="0" fontId="33" fillId="0" borderId="0" xfId="194" applyFont="1" applyAlignment="1">
      <alignment horizontal="center"/>
    </xf>
    <xf numFmtId="0" fontId="50"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50" fillId="0" borderId="0" xfId="207" applyFont="1" applyAlignment="1">
      <alignment horizontal="left" vertical="center"/>
    </xf>
    <xf numFmtId="0" fontId="50" fillId="0" borderId="0" xfId="194" applyFont="1" applyAlignment="1">
      <alignment horizontal="justify" vertical="center"/>
    </xf>
    <xf numFmtId="0" fontId="50" fillId="0" borderId="0" xfId="194" applyFont="1" applyAlignment="1">
      <alignment vertical="top"/>
    </xf>
    <xf numFmtId="164" fontId="50" fillId="0" borderId="0" xfId="194" applyNumberFormat="1" applyFont="1" applyAlignment="1">
      <alignment horizontal="center" vertical="top"/>
    </xf>
    <xf numFmtId="0" fontId="50" fillId="0" borderId="0" xfId="194" applyFont="1" applyAlignment="1">
      <alignment horizontal="justify"/>
    </xf>
    <xf numFmtId="4" fontId="15" fillId="0" borderId="0" xfId="194" applyNumberFormat="1" applyFont="1" applyAlignment="1">
      <alignment vertical="center"/>
    </xf>
    <xf numFmtId="0" fontId="15" fillId="0" borderId="0" xfId="194" applyFont="1" applyAlignment="1">
      <alignment horizontal="justify" vertical="center"/>
    </xf>
    <xf numFmtId="164" fontId="50" fillId="0" borderId="0" xfId="194" applyNumberFormat="1" applyFont="1" applyAlignment="1">
      <alignment horizontal="center" vertical="center"/>
    </xf>
    <xf numFmtId="0" fontId="33" fillId="0" borderId="0" xfId="194" applyFont="1" applyAlignment="1">
      <alignment vertical="center"/>
    </xf>
    <xf numFmtId="0" fontId="50" fillId="0" borderId="0" xfId="194" applyFont="1" applyAlignment="1">
      <alignment horizontal="center" vertical="top"/>
    </xf>
    <xf numFmtId="164" fontId="50" fillId="0" borderId="0" xfId="0" applyNumberFormat="1" applyFont="1" applyAlignment="1">
      <alignment horizontal="center" vertical="center"/>
    </xf>
    <xf numFmtId="0" fontId="50" fillId="0" borderId="0" xfId="0" applyFont="1" applyAlignment="1">
      <alignment horizontal="right" vertical="center"/>
    </xf>
    <xf numFmtId="177"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15" fillId="0" borderId="0" xfId="194" applyFont="1" applyAlignment="1">
      <alignment horizontal="left" vertical="center" indent="2"/>
    </xf>
    <xf numFmtId="0" fontId="15" fillId="0" borderId="0" xfId="194" applyFont="1" applyAlignment="1">
      <alignment horizontal="left" vertical="center" indent="1"/>
    </xf>
    <xf numFmtId="0" fontId="16" fillId="0" borderId="0" xfId="194" applyFont="1" applyAlignment="1">
      <alignment horizontal="left" vertical="center" indent="1"/>
    </xf>
    <xf numFmtId="0" fontId="50" fillId="0" borderId="0" xfId="0" applyFont="1" applyAlignment="1">
      <alignment horizontal="left" vertical="center" wrapText="1" indent="2"/>
    </xf>
    <xf numFmtId="0" fontId="50" fillId="0" borderId="0" xfId="0" applyFont="1" applyAlignment="1">
      <alignment vertical="center" wrapText="1"/>
    </xf>
    <xf numFmtId="0" fontId="50" fillId="0" borderId="0" xfId="0" applyFont="1" applyAlignment="1">
      <alignment horizontal="left" vertical="center" indent="2"/>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9" fillId="0" borderId="0" xfId="206" applyFont="1" applyAlignment="1" applyProtection="1">
      <alignment horizontal="justify" vertical="center" wrapText="1"/>
      <protection hidden="1"/>
    </xf>
    <xf numFmtId="0" fontId="0" fillId="0" borderId="0" xfId="0" applyAlignment="1">
      <alignment wrapText="1"/>
    </xf>
    <xf numFmtId="164"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4" fontId="19" fillId="0" borderId="23" xfId="0" applyNumberFormat="1" applyFont="1" applyBorder="1" applyAlignment="1">
      <alignment horizontal="right" vertical="top" wrapText="1"/>
    </xf>
    <xf numFmtId="0" fontId="55" fillId="0" borderId="0" xfId="0" applyFont="1" applyAlignment="1">
      <alignment vertical="top"/>
    </xf>
    <xf numFmtId="0" fontId="56" fillId="0" borderId="0" xfId="0" applyFont="1" applyAlignment="1">
      <alignment vertical="top"/>
    </xf>
    <xf numFmtId="164"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9" fillId="4" borderId="4" xfId="0" applyFont="1" applyFill="1" applyBorder="1" applyAlignment="1" applyProtection="1">
      <alignment vertical="center"/>
      <protection locked="0"/>
    </xf>
    <xf numFmtId="0" fontId="58"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8"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5"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4" fontId="15" fillId="0" borderId="23" xfId="0" applyNumberFormat="1" applyFont="1" applyBorder="1" applyAlignment="1">
      <alignment horizontal="center" vertical="top" wrapText="1"/>
    </xf>
    <xf numFmtId="0" fontId="3" fillId="0" borderId="0" xfId="204" applyNumberFormat="1" applyFont="1" applyFill="1" applyBorder="1" applyAlignment="1" applyProtection="1">
      <alignment horizontal="center" vertical="top"/>
      <protection hidden="1"/>
    </xf>
    <xf numFmtId="0" fontId="37" fillId="0" borderId="0" xfId="204" applyNumberFormat="1" applyFont="1" applyFill="1" applyBorder="1" applyAlignment="1" applyProtection="1">
      <alignment vertical="top"/>
      <protection hidden="1"/>
    </xf>
    <xf numFmtId="0" fontId="16" fillId="0" borderId="0" xfId="204" applyFont="1" applyAlignment="1" applyProtection="1">
      <alignment vertical="top"/>
      <protection hidden="1"/>
    </xf>
    <xf numFmtId="0" fontId="16" fillId="0" borderId="0" xfId="204" applyFont="1" applyAlignment="1" applyProtection="1">
      <alignment vertical="center"/>
      <protection hidden="1"/>
    </xf>
    <xf numFmtId="0" fontId="16" fillId="0" borderId="0" xfId="204" applyFont="1" applyAlignment="1" applyProtection="1">
      <alignment vertical="center" wrapText="1"/>
      <protection hidden="1"/>
    </xf>
    <xf numFmtId="0" fontId="16" fillId="0" borderId="0" xfId="204" applyNumberFormat="1" applyFont="1" applyFill="1" applyBorder="1" applyAlignment="1" applyProtection="1">
      <alignment vertical="center"/>
      <protection hidden="1"/>
    </xf>
    <xf numFmtId="0" fontId="16" fillId="0" borderId="4" xfId="204" applyFont="1" applyBorder="1" applyAlignment="1" applyProtection="1">
      <alignment horizontal="center" vertical="top"/>
      <protection hidden="1"/>
    </xf>
    <xf numFmtId="4" fontId="16" fillId="4" borderId="4" xfId="204" applyNumberFormat="1" applyFont="1" applyFill="1" applyBorder="1" applyAlignment="1" applyProtection="1">
      <alignment horizontal="right" vertical="center"/>
      <protection locked="0"/>
    </xf>
    <xf numFmtId="10" fontId="16" fillId="4" borderId="4" xfId="204" applyNumberFormat="1" applyFont="1" applyFill="1" applyBorder="1" applyAlignment="1" applyProtection="1">
      <alignment horizontal="right" vertical="center"/>
      <protection locked="0"/>
    </xf>
    <xf numFmtId="0" fontId="54" fillId="0" borderId="0" xfId="204" applyNumberFormat="1" applyFont="1" applyFill="1" applyBorder="1" applyAlignment="1" applyProtection="1">
      <alignment vertical="top"/>
      <protection hidden="1"/>
    </xf>
    <xf numFmtId="0" fontId="16" fillId="0" borderId="11" xfId="204" applyFont="1" applyBorder="1" applyAlignment="1" applyProtection="1">
      <alignment horizontal="center" vertical="top"/>
      <protection hidden="1"/>
    </xf>
    <xf numFmtId="0" fontId="54" fillId="0" borderId="24" xfId="204" applyNumberFormat="1" applyFont="1" applyFill="1" applyBorder="1" applyAlignment="1" applyProtection="1">
      <alignment horizontal="right" vertical="top"/>
      <protection hidden="1"/>
    </xf>
    <xf numFmtId="0" fontId="15" fillId="0" borderId="12" xfId="204" applyFont="1" applyBorder="1" applyAlignment="1" applyProtection="1">
      <alignment horizontal="center" vertical="center" wrapText="1"/>
      <protection hidden="1"/>
    </xf>
    <xf numFmtId="0" fontId="16" fillId="0" borderId="18" xfId="204" applyNumberFormat="1" applyFont="1" applyFill="1" applyBorder="1" applyAlignment="1" applyProtection="1">
      <alignment horizontal="left" vertical="center" indent="3"/>
      <protection hidden="1"/>
    </xf>
    <xf numFmtId="0" fontId="54" fillId="0" borderId="22" xfId="204" applyNumberFormat="1" applyFont="1" applyFill="1" applyBorder="1" applyAlignment="1" applyProtection="1">
      <alignment vertical="top"/>
      <protection hidden="1"/>
    </xf>
    <xf numFmtId="0" fontId="16" fillId="0" borderId="22" xfId="204" applyFont="1" applyBorder="1" applyAlignment="1" applyProtection="1">
      <alignment horizontal="center" vertical="center"/>
      <protection hidden="1"/>
    </xf>
    <xf numFmtId="0" fontId="16" fillId="0" borderId="19" xfId="204" applyFont="1" applyBorder="1" applyAlignment="1" applyProtection="1">
      <alignment horizontal="right" vertical="center"/>
      <protection hidden="1"/>
    </xf>
    <xf numFmtId="4" fontId="16" fillId="4" borderId="25" xfId="204" applyNumberFormat="1" applyFont="1" applyFill="1" applyBorder="1" applyAlignment="1" applyProtection="1">
      <alignment horizontal="right" vertical="center" wrapText="1"/>
      <protection locked="0"/>
    </xf>
    <xf numFmtId="0" fontId="15" fillId="0" borderId="13" xfId="204" applyFont="1" applyBorder="1" applyAlignment="1" applyProtection="1">
      <alignment horizontal="center" vertical="center" wrapText="1"/>
      <protection hidden="1"/>
    </xf>
    <xf numFmtId="0" fontId="0" fillId="0" borderId="26" xfId="204" applyNumberFormat="1" applyFont="1" applyFill="1" applyBorder="1" applyAlignment="1" applyProtection="1">
      <alignment horizontal="left" vertical="center" indent="3"/>
      <protection hidden="1"/>
    </xf>
    <xf numFmtId="0" fontId="54" fillId="0" borderId="27" xfId="204" applyNumberFormat="1" applyFont="1" applyFill="1" applyBorder="1" applyAlignment="1" applyProtection="1">
      <alignment vertical="top"/>
      <protection hidden="1"/>
    </xf>
    <xf numFmtId="0" fontId="16" fillId="0" borderId="28" xfId="204" applyFont="1" applyBorder="1" applyAlignment="1" applyProtection="1">
      <alignment horizontal="right" vertical="center"/>
      <protection hidden="1"/>
    </xf>
    <xf numFmtId="0" fontId="15" fillId="0" borderId="0" xfId="204" applyFont="1" applyAlignment="1" applyProtection="1">
      <alignment horizontal="center" vertical="center" wrapText="1"/>
      <protection hidden="1"/>
    </xf>
    <xf numFmtId="0" fontId="16" fillId="0" borderId="22" xfId="204" applyFont="1" applyBorder="1" applyAlignment="1" applyProtection="1">
      <alignment horizontal="right" vertical="center"/>
      <protection hidden="1"/>
    </xf>
    <xf numFmtId="10" fontId="16" fillId="4" borderId="25" xfId="204" applyNumberFormat="1" applyFont="1" applyFill="1" applyBorder="1" applyAlignment="1" applyProtection="1">
      <alignment horizontal="right" vertical="center" wrapText="1"/>
      <protection locked="0"/>
    </xf>
    <xf numFmtId="0" fontId="16" fillId="0" borderId="27" xfId="204" applyFont="1" applyBorder="1" applyAlignment="1" applyProtection="1">
      <alignment horizontal="right" vertical="center"/>
      <protection hidden="1"/>
    </xf>
    <xf numFmtId="0" fontId="16" fillId="0" borderId="10" xfId="204" applyFont="1" applyBorder="1" applyAlignment="1" applyProtection="1">
      <alignment vertical="center"/>
      <protection hidden="1"/>
    </xf>
    <xf numFmtId="0" fontId="15" fillId="0" borderId="0" xfId="204" applyFont="1" applyBorder="1" applyAlignment="1" applyProtection="1">
      <alignment horizontal="center" vertical="center" wrapText="1"/>
      <protection hidden="1"/>
    </xf>
    <xf numFmtId="0" fontId="16" fillId="0" borderId="0" xfId="204" applyNumberFormat="1" applyFont="1" applyFill="1" applyBorder="1" applyAlignment="1" applyProtection="1">
      <alignment horizontal="left" vertical="center" indent="6"/>
      <protection hidden="1"/>
    </xf>
    <xf numFmtId="0" fontId="16" fillId="0" borderId="0" xfId="204" applyFont="1" applyBorder="1" applyAlignment="1" applyProtection="1">
      <alignment horizontal="justify" vertical="center"/>
      <protection hidden="1"/>
    </xf>
    <xf numFmtId="0" fontId="16" fillId="0" borderId="0" xfId="204" applyNumberFormat="1" applyFont="1" applyFill="1" applyBorder="1" applyAlignment="1" applyProtection="1">
      <alignment vertical="center" wrapText="1"/>
      <protection hidden="1"/>
    </xf>
    <xf numFmtId="0" fontId="16" fillId="0" borderId="0" xfId="195" applyFont="1" applyAlignment="1" applyProtection="1">
      <alignment vertical="center"/>
      <protection hidden="1"/>
    </xf>
    <xf numFmtId="164" fontId="16" fillId="0" borderId="0" xfId="0" applyNumberFormat="1" applyFont="1" applyAlignment="1" applyProtection="1">
      <alignment horizontal="center" vertical="center"/>
      <protection hidden="1"/>
    </xf>
    <xf numFmtId="0" fontId="18" fillId="0" borderId="0" xfId="195" applyProtection="1">
      <protection hidden="1"/>
    </xf>
    <xf numFmtId="177" fontId="15" fillId="0" borderId="0" xfId="195" applyNumberFormat="1" applyFont="1" applyAlignment="1" applyProtection="1">
      <alignment vertical="center"/>
      <protection hidden="1"/>
    </xf>
    <xf numFmtId="0" fontId="15" fillId="0" borderId="0" xfId="195" applyFont="1" applyAlignment="1" applyProtection="1">
      <alignment horizontal="right" vertical="center"/>
      <protection hidden="1"/>
    </xf>
    <xf numFmtId="0" fontId="15" fillId="0" borderId="0" xfId="195" applyFont="1" applyAlignment="1" applyProtection="1">
      <alignment horizontal="left" vertical="center" indent="2"/>
      <protection hidden="1"/>
    </xf>
    <xf numFmtId="0" fontId="16" fillId="0" borderId="0" xfId="195"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50"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4" fillId="0" borderId="4" xfId="0" applyFont="1" applyBorder="1" applyAlignment="1" applyProtection="1">
      <alignment vertical="top"/>
      <protection locked="0"/>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0" borderId="4" xfId="0" applyFont="1" applyBorder="1" applyAlignment="1">
      <alignment horizontal="center" vertical="top"/>
    </xf>
    <xf numFmtId="3" fontId="4" fillId="0" borderId="4" xfId="11" applyNumberFormat="1" applyFont="1" applyFill="1" applyBorder="1" applyAlignment="1" applyProtection="1">
      <alignment horizontal="center" vertical="top"/>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69" fontId="57" fillId="0" borderId="4" xfId="0" applyNumberFormat="1" applyFont="1" applyBorder="1" applyAlignment="1">
      <alignment horizontal="center" vertical="top" wrapText="1"/>
    </xf>
    <xf numFmtId="0" fontId="60" fillId="0" borderId="0" xfId="197" applyFont="1" applyAlignment="1" applyProtection="1">
      <alignment horizontal="center" vertical="center"/>
      <protection hidden="1"/>
    </xf>
    <xf numFmtId="177" fontId="0" fillId="4" borderId="11" xfId="197" applyNumberFormat="1" applyFont="1" applyFill="1" applyBorder="1" applyAlignment="1" applyProtection="1">
      <alignment horizontal="center" vertical="center"/>
      <protection locked="0"/>
    </xf>
    <xf numFmtId="0" fontId="61" fillId="0" borderId="0" xfId="205" applyFont="1" applyAlignment="1" applyProtection="1">
      <alignment vertical="top"/>
      <protection hidden="1"/>
    </xf>
    <xf numFmtId="0" fontId="50" fillId="4" borderId="0" xfId="0" applyFont="1" applyFill="1" applyAlignment="1" applyProtection="1">
      <alignment vertical="center"/>
      <protection locked="0"/>
    </xf>
    <xf numFmtId="0" fontId="64" fillId="0" borderId="0" xfId="205" applyFont="1" applyAlignment="1" applyProtection="1">
      <alignment vertical="top"/>
      <protection hidden="1"/>
    </xf>
    <xf numFmtId="0" fontId="68" fillId="0" borderId="0" xfId="204" applyNumberFormat="1" applyFont="1" applyFill="1" applyBorder="1" applyAlignment="1" applyProtection="1">
      <alignment horizontal="center" vertical="top"/>
      <protection hidden="1"/>
    </xf>
    <xf numFmtId="0" fontId="69" fillId="0" borderId="0" xfId="204" applyNumberFormat="1" applyFont="1" applyFill="1" applyBorder="1" applyAlignment="1" applyProtection="1">
      <alignment horizontal="center" vertical="top"/>
      <protection hidden="1"/>
    </xf>
    <xf numFmtId="0" fontId="70" fillId="0" borderId="0" xfId="204" applyNumberFormat="1" applyFont="1" applyFill="1" applyBorder="1" applyAlignment="1" applyProtection="1">
      <alignment vertical="top"/>
      <protection hidden="1"/>
    </xf>
    <xf numFmtId="0" fontId="71" fillId="0" borderId="0" xfId="204" applyNumberFormat="1" applyFont="1" applyFill="1" applyBorder="1" applyAlignment="1" applyProtection="1">
      <alignment vertical="top"/>
      <protection hidden="1"/>
    </xf>
    <xf numFmtId="0" fontId="67" fillId="0" borderId="0" xfId="204" applyNumberFormat="1" applyFont="1" applyFill="1" applyBorder="1" applyAlignment="1" applyProtection="1">
      <alignment vertical="top"/>
      <protection hidden="1"/>
    </xf>
    <xf numFmtId="0" fontId="72" fillId="0" borderId="0" xfId="204" applyNumberFormat="1" applyFont="1" applyFill="1" applyBorder="1" applyAlignment="1" applyProtection="1">
      <alignment vertical="top"/>
      <protection hidden="1"/>
    </xf>
    <xf numFmtId="0" fontId="16" fillId="0" borderId="0" xfId="204" applyFont="1" applyBorder="1" applyAlignment="1" applyProtection="1">
      <alignment horizontal="center" vertical="center"/>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7"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8"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63"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65" fillId="0" borderId="0" xfId="0" applyFont="1" applyAlignment="1" applyProtection="1">
      <alignment vertical="center"/>
      <protection hidden="1"/>
    </xf>
    <xf numFmtId="0" fontId="66" fillId="0" borderId="0" xfId="0" applyFont="1" applyProtection="1">
      <protection hidden="1"/>
    </xf>
    <xf numFmtId="0" fontId="0" fillId="0" borderId="13" xfId="205" applyFont="1" applyBorder="1" applyAlignment="1" applyProtection="1">
      <alignment horizontal="justify" vertical="top" wrapText="1"/>
      <protection hidden="1"/>
    </xf>
    <xf numFmtId="0" fontId="79" fillId="0" borderId="0" xfId="204" applyNumberFormat="1" applyFont="1" applyFill="1" applyBorder="1" applyAlignment="1" applyProtection="1">
      <alignment horizontal="center" vertical="center"/>
      <protection hidden="1"/>
    </xf>
    <xf numFmtId="0" fontId="79" fillId="0" borderId="0" xfId="204" applyNumberFormat="1" applyFont="1" applyFill="1" applyBorder="1" applyAlignment="1" applyProtection="1">
      <alignment horizontal="center" vertical="top"/>
      <protection hidden="1"/>
    </xf>
    <xf numFmtId="0" fontId="78" fillId="0" borderId="0" xfId="204" applyNumberFormat="1" applyFont="1" applyFill="1" applyBorder="1" applyAlignment="1" applyProtection="1">
      <alignment vertical="center"/>
      <protection hidden="1"/>
    </xf>
    <xf numFmtId="0" fontId="80" fillId="0" borderId="0" xfId="204" applyNumberFormat="1" applyFont="1" applyFill="1" applyBorder="1" applyAlignment="1" applyProtection="1">
      <alignment vertical="center"/>
      <protection hidden="1"/>
    </xf>
    <xf numFmtId="0" fontId="80" fillId="0" borderId="0"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vertical="top"/>
      <protection hidden="1"/>
    </xf>
    <xf numFmtId="0" fontId="80" fillId="0" borderId="0" xfId="204" applyNumberFormat="1" applyFont="1" applyFill="1" applyBorder="1" applyAlignment="1" applyProtection="1">
      <alignment vertical="top" wrapText="1"/>
      <protection hidden="1"/>
    </xf>
    <xf numFmtId="2" fontId="80" fillId="0" borderId="0" xfId="204" applyNumberFormat="1" applyFont="1" applyFill="1" applyBorder="1" applyAlignment="1" applyProtection="1">
      <alignment vertical="center"/>
      <protection hidden="1"/>
    </xf>
    <xf numFmtId="180" fontId="78" fillId="0" borderId="0" xfId="204" applyNumberFormat="1" applyFont="1" applyFill="1" applyBorder="1" applyAlignment="1" applyProtection="1">
      <alignment vertical="center"/>
      <protection hidden="1"/>
    </xf>
    <xf numFmtId="10" fontId="80" fillId="0" borderId="0" xfId="204" applyNumberFormat="1" applyFont="1" applyFill="1" applyBorder="1" applyAlignment="1" applyProtection="1">
      <alignment vertical="top"/>
      <protection hidden="1"/>
    </xf>
    <xf numFmtId="0" fontId="78" fillId="0" borderId="0" xfId="204" applyNumberFormat="1" applyFont="1" applyFill="1" applyBorder="1" applyAlignment="1" applyProtection="1">
      <alignment vertical="top"/>
      <protection hidden="1"/>
    </xf>
    <xf numFmtId="0" fontId="82" fillId="0" borderId="0" xfId="204" applyNumberFormat="1" applyFont="1" applyFill="1" applyBorder="1" applyAlignment="1" applyProtection="1">
      <alignment vertical="top"/>
      <protection hidden="1"/>
    </xf>
    <xf numFmtId="2" fontId="78" fillId="0" borderId="0" xfId="204" applyNumberFormat="1" applyFont="1" applyFill="1" applyBorder="1" applyAlignment="1" applyProtection="1">
      <alignment vertical="center"/>
      <protection hidden="1"/>
    </xf>
    <xf numFmtId="180" fontId="78" fillId="0" borderId="0" xfId="204" applyNumberFormat="1" applyFont="1" applyFill="1" applyBorder="1" applyAlignment="1" applyProtection="1">
      <alignment vertical="top"/>
      <protection hidden="1"/>
    </xf>
    <xf numFmtId="0" fontId="83" fillId="0" borderId="0" xfId="204" applyNumberFormat="1" applyFont="1" applyFill="1" applyBorder="1" applyAlignment="1" applyProtection="1">
      <alignment horizontal="left" vertical="center" indent="3"/>
      <protection hidden="1"/>
    </xf>
    <xf numFmtId="10" fontId="78" fillId="0" borderId="0" xfId="204" applyNumberFormat="1" applyFont="1" applyFill="1" applyBorder="1" applyAlignment="1" applyProtection="1">
      <alignment vertical="top"/>
      <protection hidden="1"/>
    </xf>
    <xf numFmtId="0" fontId="4" fillId="0" borderId="0" xfId="200" applyNumberFormat="1" applyFont="1" applyFill="1" applyBorder="1" applyProtection="1">
      <alignment vertical="top"/>
    </xf>
    <xf numFmtId="0" fontId="62" fillId="0" borderId="0" xfId="200" applyNumberFormat="1" applyFont="1" applyFill="1" applyBorder="1" applyProtection="1">
      <alignment vertical="top"/>
    </xf>
    <xf numFmtId="164" fontId="39" fillId="0" borderId="0" xfId="0" applyNumberFormat="1" applyFont="1" applyAlignment="1">
      <alignment horizontal="center" vertical="top"/>
    </xf>
    <xf numFmtId="0" fontId="18" fillId="0" borderId="4" xfId="205" quotePrefix="1" applyFont="1" applyBorder="1" applyAlignment="1" applyProtection="1">
      <alignment horizontal="left" vertical="center"/>
      <protection hidden="1"/>
    </xf>
    <xf numFmtId="0" fontId="0" fillId="0" borderId="0" xfId="0" quotePrefix="1" applyAlignment="1">
      <alignment horizontal="left"/>
    </xf>
    <xf numFmtId="0" fontId="55" fillId="0" borderId="0" xfId="0" applyFont="1" applyAlignment="1">
      <alignment horizontal="right" vertical="top"/>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4" fillId="0" borderId="0" xfId="0" applyFont="1" applyAlignment="1">
      <alignment horizontal="center" vertical="top"/>
    </xf>
    <xf numFmtId="0" fontId="4" fillId="8" borderId="0" xfId="200" applyNumberFormat="1" applyFont="1" applyFill="1" applyBorder="1" applyProtection="1">
      <alignment vertical="top"/>
    </xf>
    <xf numFmtId="0" fontId="62" fillId="8" borderId="0" xfId="200" applyNumberFormat="1" applyFont="1" applyFill="1" applyBorder="1" applyProtection="1">
      <alignment vertical="top"/>
    </xf>
    <xf numFmtId="164" fontId="5" fillId="0" borderId="0" xfId="0" applyNumberFormat="1" applyFont="1" applyAlignment="1">
      <alignment horizontal="center" vertical="top"/>
    </xf>
    <xf numFmtId="0" fontId="86" fillId="0" borderId="0" xfId="0" applyFont="1" applyAlignment="1" applyProtection="1">
      <alignment vertical="top" wrapText="1"/>
      <protection hidden="1"/>
    </xf>
    <xf numFmtId="0" fontId="84" fillId="11"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5" fillId="0" borderId="5" xfId="0" applyFont="1" applyBorder="1" applyAlignment="1">
      <alignment horizontal="left" vertical="top"/>
    </xf>
    <xf numFmtId="0" fontId="5" fillId="0" borderId="5" xfId="0" applyFont="1" applyBorder="1" applyAlignment="1">
      <alignment horizontal="justify" vertical="top"/>
    </xf>
    <xf numFmtId="0" fontId="5" fillId="0" borderId="5" xfId="0" applyFont="1" applyBorder="1" applyAlignment="1">
      <alignment horizontal="center" vertical="top"/>
    </xf>
    <xf numFmtId="0" fontId="5" fillId="0" borderId="5" xfId="0" applyFont="1" applyBorder="1" applyAlignment="1">
      <alignment vertical="top"/>
    </xf>
    <xf numFmtId="0" fontId="39" fillId="0" borderId="0" xfId="0" applyFont="1" applyAlignment="1">
      <alignment vertical="top"/>
    </xf>
    <xf numFmtId="0" fontId="4" fillId="0" borderId="0" xfId="0" applyFont="1" applyAlignment="1">
      <alignment vertical="top"/>
    </xf>
    <xf numFmtId="0" fontId="4" fillId="0" borderId="0" xfId="0" applyFont="1" applyAlignment="1">
      <alignment horizontal="justify" vertical="top"/>
    </xf>
    <xf numFmtId="0" fontId="39" fillId="0" borderId="0" xfId="0" applyFont="1" applyAlignment="1">
      <alignment horizontal="left" vertical="top"/>
    </xf>
    <xf numFmtId="0" fontId="39" fillId="0" borderId="0" xfId="0" applyFont="1" applyAlignment="1">
      <alignment horizontal="center" vertical="top"/>
    </xf>
    <xf numFmtId="0" fontId="4" fillId="0" borderId="0" xfId="200" applyNumberFormat="1" applyFont="1" applyFill="1" applyBorder="1" applyAlignment="1" applyProtection="1">
      <alignment horizontal="center" vertical="top"/>
    </xf>
    <xf numFmtId="0" fontId="4" fillId="0" borderId="0" xfId="200" applyNumberFormat="1" applyFont="1" applyFill="1" applyBorder="1" applyAlignment="1" applyProtection="1">
      <alignment horizontal="justify" vertical="top" wrapText="1"/>
    </xf>
    <xf numFmtId="0" fontId="4" fillId="0" borderId="0" xfId="206" applyFont="1" applyAlignment="1" applyProtection="1">
      <alignment horizontal="justify" vertical="top"/>
      <protection hidden="1"/>
    </xf>
    <xf numFmtId="0" fontId="4" fillId="0" borderId="0" xfId="206" applyFont="1" applyAlignment="1" applyProtection="1">
      <alignment horizontal="left" vertical="top"/>
      <protection hidden="1"/>
    </xf>
    <xf numFmtId="0" fontId="39" fillId="0" borderId="0" xfId="0" applyFont="1" applyAlignment="1" applyProtection="1">
      <alignment vertical="top"/>
      <protection hidden="1"/>
    </xf>
    <xf numFmtId="0" fontId="5" fillId="0" borderId="0" xfId="0" applyFont="1" applyAlignment="1">
      <alignment horizontal="center" vertical="top"/>
    </xf>
    <xf numFmtId="14" fontId="4" fillId="0" borderId="0" xfId="0" applyNumberFormat="1" applyFont="1" applyAlignment="1">
      <alignment horizontal="center" vertical="top"/>
    </xf>
    <xf numFmtId="0" fontId="39" fillId="0" borderId="0" xfId="0" applyFont="1" applyAlignment="1">
      <alignment horizontal="justify" vertical="top"/>
    </xf>
    <xf numFmtId="177" fontId="5" fillId="0" borderId="0" xfId="0" applyNumberFormat="1" applyFont="1" applyAlignment="1" applyProtection="1">
      <alignment horizontal="justify" vertical="top"/>
      <protection hidden="1"/>
    </xf>
    <xf numFmtId="0" fontId="4" fillId="0" borderId="0" xfId="200" applyNumberFormat="1" applyFont="1" applyFill="1" applyBorder="1" applyAlignment="1" applyProtection="1">
      <alignment horizontal="center" vertical="top"/>
      <protection hidden="1"/>
    </xf>
    <xf numFmtId="0" fontId="4" fillId="0" borderId="0" xfId="200" applyNumberFormat="1" applyFont="1" applyFill="1" applyBorder="1" applyAlignment="1" applyProtection="1">
      <alignment horizontal="justify" vertical="top" wrapText="1"/>
      <protection hidden="1"/>
    </xf>
    <xf numFmtId="0" fontId="4" fillId="0" borderId="0" xfId="200" applyNumberFormat="1" applyFont="1" applyFill="1" applyBorder="1" applyProtection="1">
      <alignment vertical="top"/>
      <protection hidden="1"/>
    </xf>
    <xf numFmtId="164" fontId="4" fillId="0" borderId="4" xfId="0" applyNumberFormat="1" applyFont="1" applyBorder="1" applyAlignment="1">
      <alignment horizontal="center" vertical="top" wrapText="1"/>
    </xf>
    <xf numFmtId="164" fontId="5" fillId="0" borderId="5" xfId="0" applyNumberFormat="1" applyFont="1" applyBorder="1" applyAlignment="1">
      <alignment horizontal="left" vertical="top"/>
    </xf>
    <xf numFmtId="164" fontId="4" fillId="0" borderId="0" xfId="0" applyNumberFormat="1" applyFont="1" applyAlignment="1">
      <alignment horizontal="center" vertical="top"/>
    </xf>
    <xf numFmtId="10" fontId="39" fillId="0" borderId="0" xfId="0" applyNumberFormat="1" applyFont="1" applyAlignment="1">
      <alignment horizontal="center" vertical="top"/>
    </xf>
    <xf numFmtId="164" fontId="4" fillId="0" borderId="0" xfId="200" applyNumberFormat="1" applyFont="1" applyFill="1" applyBorder="1" applyAlignment="1" applyProtection="1">
      <alignment horizontal="center" vertical="top"/>
    </xf>
    <xf numFmtId="164" fontId="5" fillId="0" borderId="0" xfId="206" applyNumberFormat="1" applyFont="1" applyAlignment="1" applyProtection="1">
      <alignment horizontal="left" vertical="top"/>
      <protection hidden="1"/>
    </xf>
    <xf numFmtId="0" fontId="5" fillId="0" borderId="0" xfId="200" applyNumberFormat="1" applyFont="1" applyFill="1" applyBorder="1" applyAlignment="1" applyProtection="1">
      <alignment vertical="top" wrapText="1"/>
    </xf>
    <xf numFmtId="164" fontId="4" fillId="0" borderId="0" xfId="206" applyNumberFormat="1" applyFont="1" applyAlignment="1" applyProtection="1">
      <alignment horizontal="left" vertical="top"/>
      <protection hidden="1"/>
    </xf>
    <xf numFmtId="164" fontId="4" fillId="0" borderId="0" xfId="206" applyNumberFormat="1" applyFont="1" applyAlignment="1" applyProtection="1">
      <alignment horizontal="center" vertical="top"/>
      <protection hidden="1"/>
    </xf>
    <xf numFmtId="0" fontId="4" fillId="0" borderId="0" xfId="206" applyFont="1" applyAlignment="1">
      <alignment horizontal="justify" vertical="top"/>
    </xf>
    <xf numFmtId="0" fontId="4" fillId="0" borderId="0" xfId="206" applyFont="1" applyAlignment="1">
      <alignment horizontal="center" vertical="top"/>
    </xf>
    <xf numFmtId="0" fontId="62" fillId="0" borderId="0" xfId="0" applyFont="1" applyAlignment="1">
      <alignment vertical="top"/>
    </xf>
    <xf numFmtId="0" fontId="44" fillId="0" borderId="0" xfId="0" applyFont="1" applyAlignment="1">
      <alignment horizontal="center" vertical="top"/>
    </xf>
    <xf numFmtId="0" fontId="44" fillId="0" borderId="0" xfId="200" applyNumberFormat="1" applyFont="1" applyFill="1" applyBorder="1" applyAlignment="1" applyProtection="1">
      <alignment horizontal="center" vertical="top" wrapText="1"/>
      <protection hidden="1"/>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8"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0" fontId="5" fillId="0" borderId="0" xfId="0" applyFont="1" applyAlignment="1">
      <alignment horizontal="center" vertical="top" wrapText="1"/>
    </xf>
    <xf numFmtId="2" fontId="4" fillId="0" borderId="0" xfId="200" applyNumberFormat="1" applyFont="1" applyFill="1" applyBorder="1" applyAlignment="1" applyProtection="1">
      <alignment horizontal="right" vertical="top"/>
    </xf>
    <xf numFmtId="164" fontId="5" fillId="0" borderId="0" xfId="212"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justify" vertical="top" wrapText="1"/>
      <protection hidden="1"/>
    </xf>
    <xf numFmtId="178" fontId="4" fillId="0" borderId="0" xfId="11"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center" vertical="top"/>
      <protection hidden="1"/>
    </xf>
    <xf numFmtId="2" fontId="4" fillId="0" borderId="0" xfId="200" applyNumberFormat="1" applyFont="1" applyFill="1" applyBorder="1" applyAlignment="1" applyProtection="1">
      <alignment horizontal="right" vertical="top"/>
      <protection hidden="1"/>
    </xf>
    <xf numFmtId="2" fontId="39" fillId="0" borderId="0" xfId="200" applyNumberFormat="1" applyFont="1" applyFill="1" applyBorder="1" applyAlignment="1" applyProtection="1">
      <alignment horizontal="right" vertical="top"/>
      <protection hidden="1"/>
    </xf>
    <xf numFmtId="4" fontId="39" fillId="0" borderId="0" xfId="200" applyNumberFormat="1" applyFont="1" applyFill="1" applyBorder="1" applyProtection="1">
      <alignment vertical="top"/>
      <protection hidden="1"/>
    </xf>
    <xf numFmtId="2" fontId="44" fillId="0" borderId="0" xfId="200" applyNumberFormat="1" applyFont="1" applyFill="1" applyBorder="1" applyAlignment="1" applyProtection="1">
      <alignment horizontal="right" vertical="top"/>
      <protection hidden="1"/>
    </xf>
    <xf numFmtId="2" fontId="39" fillId="0" borderId="0" xfId="0" applyNumberFormat="1" applyFont="1" applyAlignment="1" applyProtection="1">
      <alignment vertical="top"/>
      <protection hidden="1"/>
    </xf>
    <xf numFmtId="164" fontId="39" fillId="0" borderId="0" xfId="200" applyNumberFormat="1" applyFont="1" applyFill="1" applyBorder="1" applyAlignment="1" applyProtection="1">
      <alignment horizontal="center" vertical="top"/>
      <protection hidden="1"/>
    </xf>
    <xf numFmtId="0" fontId="39" fillId="0" borderId="0" xfId="0" applyFont="1" applyAlignment="1" applyProtection="1">
      <alignment horizontal="justify" vertical="top" wrapText="1"/>
      <protection hidden="1"/>
    </xf>
    <xf numFmtId="0" fontId="39" fillId="0" borderId="0" xfId="200" applyNumberFormat="1" applyFont="1" applyFill="1" applyBorder="1" applyAlignment="1" applyProtection="1">
      <alignment horizontal="center" vertical="top"/>
      <protection hidden="1"/>
    </xf>
    <xf numFmtId="0" fontId="44" fillId="0" borderId="0" xfId="200" applyNumberFormat="1" applyFont="1" applyFill="1" applyBorder="1" applyAlignment="1" applyProtection="1">
      <alignment horizontal="justify" vertical="top" wrapText="1"/>
      <protection hidden="1"/>
    </xf>
    <xf numFmtId="164" fontId="4" fillId="0" borderId="0" xfId="200" applyNumberFormat="1" applyFont="1" applyFill="1" applyBorder="1" applyAlignment="1" applyProtection="1">
      <alignment horizontal="center" vertical="top"/>
      <protection hidden="1"/>
    </xf>
    <xf numFmtId="164" fontId="5" fillId="0" borderId="0" xfId="0" applyNumberFormat="1" applyFont="1" applyAlignment="1" applyProtection="1">
      <alignment horizontal="center" vertical="top"/>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4" fontId="15" fillId="0" borderId="11" xfId="205" applyNumberFormat="1" applyFont="1" applyBorder="1" applyAlignment="1" applyProtection="1">
      <alignment horizontal="right" vertical="top"/>
      <protection hidden="1"/>
    </xf>
    <xf numFmtId="0" fontId="4" fillId="0" borderId="0" xfId="0" applyFont="1" applyAlignment="1" applyProtection="1">
      <alignment horizontal="center" vertical="top"/>
      <protection hidden="1"/>
    </xf>
    <xf numFmtId="9" fontId="4" fillId="0" borderId="4" xfId="0" applyNumberFormat="1" applyFont="1" applyBorder="1" applyAlignment="1">
      <alignment horizontal="center" vertical="top" wrapText="1"/>
    </xf>
    <xf numFmtId="0" fontId="5" fillId="11" borderId="13" xfId="0" applyFont="1" applyFill="1" applyBorder="1" applyAlignment="1">
      <alignment horizontal="center" vertical="top" wrapText="1"/>
    </xf>
    <xf numFmtId="0" fontId="4" fillId="0" borderId="0" xfId="0" applyFont="1" applyAlignment="1">
      <alignment vertical="top" wrapText="1"/>
    </xf>
    <xf numFmtId="0" fontId="5" fillId="0" borderId="0" xfId="206" applyFont="1" applyAlignment="1" applyProtection="1">
      <alignment horizontal="left" vertical="top"/>
      <protection hidden="1"/>
    </xf>
    <xf numFmtId="0" fontId="4" fillId="0" borderId="0" xfId="206" applyFont="1" applyAlignment="1" applyProtection="1">
      <alignment horizontal="center" vertical="top"/>
      <protection hidden="1"/>
    </xf>
    <xf numFmtId="0" fontId="5" fillId="0" borderId="0" xfId="212" applyNumberFormat="1" applyFont="1" applyFill="1" applyBorder="1" applyAlignment="1" applyProtection="1">
      <alignment horizontal="center" vertical="top" wrapText="1"/>
      <protection hidden="1"/>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4" fillId="0" borderId="0" xfId="206" applyNumberFormat="1" applyFont="1" applyAlignment="1" applyProtection="1">
      <alignment horizontal="center" vertical="center"/>
      <protection hidden="1"/>
    </xf>
    <xf numFmtId="1" fontId="39"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212" applyNumberFormat="1" applyFont="1" applyFill="1" applyBorder="1" applyAlignment="1" applyProtection="1">
      <alignment horizontal="center" vertical="center" wrapText="1"/>
      <protection hidden="1"/>
    </xf>
    <xf numFmtId="1" fontId="39"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0" fontId="39" fillId="0" borderId="0" xfId="0" applyFont="1" applyAlignment="1">
      <alignment vertical="center"/>
    </xf>
    <xf numFmtId="0" fontId="62" fillId="0" borderId="0" xfId="0" applyFont="1" applyAlignment="1">
      <alignment vertical="center"/>
    </xf>
    <xf numFmtId="0" fontId="44" fillId="0" borderId="0" xfId="0" applyFont="1" applyAlignment="1" applyProtection="1">
      <alignment horizontal="center" vertical="center"/>
      <protection hidden="1"/>
    </xf>
    <xf numFmtId="0" fontId="39" fillId="0" borderId="0" xfId="0" applyFont="1" applyAlignment="1">
      <alignment horizontal="center" vertical="center"/>
    </xf>
    <xf numFmtId="0" fontId="4" fillId="0" borderId="0" xfId="0" applyFont="1" applyAlignment="1">
      <alignment vertical="center"/>
    </xf>
    <xf numFmtId="0" fontId="4" fillId="0" borderId="0" xfId="206" applyFont="1" applyAlignment="1" applyProtection="1">
      <alignment vertical="top"/>
      <protection hidden="1"/>
    </xf>
    <xf numFmtId="1" fontId="4" fillId="0" borderId="13" xfId="200" applyNumberFormat="1" applyFont="1" applyFill="1" applyBorder="1" applyAlignment="1" applyProtection="1">
      <alignment horizontal="center" vertical="top"/>
      <protection locked="0" hidden="1"/>
    </xf>
    <xf numFmtId="2" fontId="4" fillId="0" borderId="0" xfId="0" applyNumberFormat="1" applyFont="1" applyAlignment="1">
      <alignment vertical="top"/>
    </xf>
    <xf numFmtId="10" fontId="4" fillId="0" borderId="13" xfId="200" applyNumberFormat="1" applyFont="1" applyFill="1" applyBorder="1" applyAlignment="1" applyProtection="1">
      <alignment horizontal="center" vertical="top"/>
      <protection locked="0" hidden="1"/>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0" fillId="0" borderId="18" xfId="204" applyNumberFormat="1" applyFont="1" applyFill="1" applyBorder="1" applyAlignment="1" applyProtection="1">
      <alignment horizontal="left" vertical="center" indent="3"/>
      <protection hidden="1"/>
    </xf>
    <xf numFmtId="167" fontId="27" fillId="0" borderId="0" xfId="0" applyNumberFormat="1" applyFont="1" applyAlignment="1" applyProtection="1">
      <alignment horizontal="center" vertical="center" wrapText="1"/>
      <protection hidden="1"/>
    </xf>
    <xf numFmtId="0" fontId="0" fillId="0" borderId="0" xfId="194" quotePrefix="1" applyFont="1" applyAlignment="1">
      <alignment horizontal="justify"/>
    </xf>
    <xf numFmtId="0" fontId="0" fillId="0" borderId="0" xfId="194" applyFont="1" applyAlignment="1">
      <alignment vertical="top"/>
    </xf>
    <xf numFmtId="0" fontId="102" fillId="12" borderId="4" xfId="0" applyFont="1" applyFill="1" applyBorder="1" applyAlignment="1">
      <alignment vertical="top" wrapText="1"/>
    </xf>
    <xf numFmtId="0" fontId="102" fillId="12" borderId="15" xfId="0" applyFont="1" applyFill="1" applyBorder="1" applyAlignment="1">
      <alignment vertical="top" wrapText="1"/>
    </xf>
    <xf numFmtId="2" fontId="4" fillId="0" borderId="4" xfId="200" applyNumberFormat="1" applyFont="1" applyFill="1" applyBorder="1" applyProtection="1">
      <alignment vertical="top"/>
    </xf>
    <xf numFmtId="170" fontId="88" fillId="13" borderId="4" xfId="0" applyNumberFormat="1" applyFont="1" applyFill="1" applyBorder="1" applyAlignment="1">
      <alignment horizontal="justify" vertical="top" wrapText="1"/>
    </xf>
    <xf numFmtId="0" fontId="4" fillId="13" borderId="4" xfId="0" applyFont="1" applyFill="1" applyBorder="1" applyAlignment="1">
      <alignment horizontal="center" vertical="top" wrapText="1"/>
    </xf>
    <xf numFmtId="0" fontId="4" fillId="13" borderId="4" xfId="0" applyFont="1" applyFill="1" applyBorder="1" applyAlignment="1">
      <alignment horizontal="center" vertical="top"/>
    </xf>
    <xf numFmtId="2" fontId="4" fillId="13" borderId="4" xfId="200" applyNumberFormat="1" applyFont="1" applyFill="1" applyBorder="1" applyAlignment="1" applyProtection="1">
      <alignment horizontal="right" vertical="top"/>
    </xf>
    <xf numFmtId="2" fontId="5" fillId="13" borderId="4" xfId="200" applyNumberFormat="1" applyFont="1" applyFill="1" applyBorder="1" applyAlignment="1" applyProtection="1">
      <alignment horizontal="right" vertical="top"/>
    </xf>
    <xf numFmtId="0" fontId="39" fillId="13" borderId="4" xfId="0" applyFont="1" applyFill="1" applyBorder="1" applyAlignment="1">
      <alignment vertical="top"/>
    </xf>
    <xf numFmtId="2" fontId="5" fillId="13" borderId="4" xfId="200" applyNumberFormat="1" applyFont="1" applyFill="1" applyBorder="1" applyProtection="1">
      <alignment vertical="top"/>
    </xf>
    <xf numFmtId="9" fontId="0" fillId="0" borderId="4" xfId="0" applyNumberFormat="1" applyBorder="1" applyAlignment="1">
      <alignment horizontal="center" vertical="top"/>
    </xf>
    <xf numFmtId="0" fontId="4" fillId="8" borderId="0" xfId="200" applyNumberFormat="1" applyFont="1" applyFill="1" applyBorder="1" applyAlignment="1" applyProtection="1">
      <alignment vertical="top" wrapText="1"/>
    </xf>
    <xf numFmtId="0" fontId="4" fillId="0" borderId="0" xfId="200" applyNumberFormat="1" applyFont="1" applyFill="1" applyBorder="1" applyAlignment="1" applyProtection="1">
      <alignment vertical="top" wrapText="1"/>
    </xf>
    <xf numFmtId="0" fontId="33" fillId="0" borderId="0" xfId="0" applyFont="1" applyAlignment="1" applyProtection="1">
      <alignment horizontal="center"/>
      <protection hidden="1"/>
    </xf>
    <xf numFmtId="1" fontId="5" fillId="0" borderId="5" xfId="0" applyNumberFormat="1" applyFont="1" applyBorder="1" applyAlignment="1">
      <alignment horizontal="left" vertical="top"/>
    </xf>
    <xf numFmtId="1" fontId="4" fillId="0" borderId="0" xfId="0" applyNumberFormat="1" applyFont="1" applyAlignment="1">
      <alignment horizontal="center" vertical="top"/>
    </xf>
    <xf numFmtId="1" fontId="4" fillId="0" borderId="0" xfId="200" applyNumberFormat="1" applyFont="1" applyFill="1" applyBorder="1" applyAlignment="1" applyProtection="1">
      <alignment horizontal="center" vertical="top"/>
    </xf>
    <xf numFmtId="1" fontId="5" fillId="0" borderId="0" xfId="206" applyNumberFormat="1" applyFont="1" applyAlignment="1" applyProtection="1">
      <alignment horizontal="left" vertical="top"/>
      <protection hidden="1"/>
    </xf>
    <xf numFmtId="1" fontId="5" fillId="0" borderId="0" xfId="200" applyNumberFormat="1" applyFont="1" applyFill="1" applyBorder="1" applyAlignment="1" applyProtection="1">
      <alignment vertical="top" wrapText="1"/>
    </xf>
    <xf numFmtId="1" fontId="4" fillId="0" borderId="0" xfId="206" applyNumberFormat="1" applyFont="1" applyAlignment="1" applyProtection="1">
      <alignment horizontal="left" vertical="top"/>
      <protection hidden="1"/>
    </xf>
    <xf numFmtId="1" fontId="4" fillId="0" borderId="0" xfId="206" applyNumberFormat="1" applyFont="1" applyAlignment="1" applyProtection="1">
      <alignment horizontal="center" vertical="top"/>
      <protection hidden="1"/>
    </xf>
    <xf numFmtId="1" fontId="5" fillId="11" borderId="13" xfId="0" applyNumberFormat="1" applyFont="1" applyFill="1" applyBorder="1" applyAlignment="1">
      <alignment horizontal="center" vertical="top" wrapText="1"/>
    </xf>
    <xf numFmtId="1" fontId="55" fillId="0" borderId="0" xfId="0" applyNumberFormat="1" applyFont="1" applyAlignment="1">
      <alignment horizontal="right" vertical="top"/>
    </xf>
    <xf numFmtId="1" fontId="4" fillId="0" borderId="0" xfId="0" applyNumberFormat="1" applyFont="1" applyAlignment="1">
      <alignment horizontal="right" vertical="top"/>
    </xf>
    <xf numFmtId="1" fontId="5" fillId="0" borderId="0" xfId="0" applyNumberFormat="1" applyFont="1" applyAlignment="1">
      <alignment horizontal="center" vertical="top"/>
    </xf>
    <xf numFmtId="1" fontId="39" fillId="0" borderId="0" xfId="0" applyNumberFormat="1" applyFont="1" applyAlignment="1">
      <alignment horizontal="center" vertical="top"/>
    </xf>
    <xf numFmtId="1" fontId="5" fillId="0" borderId="0" xfId="212" applyNumberFormat="1" applyFont="1" applyFill="1" applyBorder="1" applyAlignment="1" applyProtection="1">
      <alignment horizontal="center" vertical="top" wrapText="1"/>
      <protection hidden="1"/>
    </xf>
    <xf numFmtId="1" fontId="39" fillId="0" borderId="0" xfId="200" applyNumberFormat="1" applyFont="1" applyFill="1" applyBorder="1" applyAlignment="1" applyProtection="1">
      <alignment horizontal="center" vertical="top"/>
      <protection hidden="1"/>
    </xf>
    <xf numFmtId="1" fontId="4" fillId="0" borderId="0" xfId="200" applyNumberFormat="1" applyFont="1" applyFill="1" applyBorder="1" applyAlignment="1" applyProtection="1">
      <alignment horizontal="center" vertical="top"/>
      <protection hidden="1"/>
    </xf>
    <xf numFmtId="1" fontId="5" fillId="0" borderId="0" xfId="0" applyNumberFormat="1" applyFont="1" applyAlignment="1" applyProtection="1">
      <alignment horizontal="center" vertical="top"/>
      <protection hidden="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18" fillId="0" borderId="0" xfId="197" applyFont="1" applyProtection="1">
      <protection hidden="1"/>
    </xf>
    <xf numFmtId="0" fontId="42" fillId="14" borderId="0" xfId="203" applyFont="1" applyFill="1" applyAlignment="1" applyProtection="1">
      <alignment vertical="center"/>
      <protection hidden="1"/>
    </xf>
    <xf numFmtId="0" fontId="4" fillId="14" borderId="0" xfId="203" applyFont="1" applyFill="1" applyAlignment="1" applyProtection="1">
      <alignment vertical="center" wrapText="1"/>
      <protection hidden="1"/>
    </xf>
    <xf numFmtId="0" fontId="4" fillId="14" borderId="0" xfId="203" applyFont="1" applyFill="1" applyAlignment="1" applyProtection="1">
      <alignment vertical="center"/>
      <protection hidden="1"/>
    </xf>
    <xf numFmtId="0" fontId="32" fillId="14" borderId="0" xfId="203" applyFont="1" applyFill="1" applyAlignment="1" applyProtection="1">
      <alignment vertical="center" wrapText="1"/>
      <protection hidden="1"/>
    </xf>
    <xf numFmtId="0" fontId="32" fillId="14" borderId="0" xfId="203" applyFont="1" applyFill="1" applyAlignment="1" applyProtection="1">
      <alignment vertical="center"/>
      <protection hidden="1"/>
    </xf>
    <xf numFmtId="0" fontId="5" fillId="15" borderId="4" xfId="200" applyNumberFormat="1" applyFont="1" applyFill="1" applyBorder="1" applyAlignment="1" applyProtection="1">
      <alignment horizontal="center" vertical="top" wrapText="1"/>
    </xf>
    <xf numFmtId="0" fontId="5" fillId="15" borderId="4" xfId="200" applyNumberFormat="1" applyFont="1" applyFill="1" applyBorder="1" applyAlignment="1" applyProtection="1">
      <alignment horizontal="center" vertical="top"/>
    </xf>
    <xf numFmtId="1" fontId="5" fillId="15" borderId="4" xfId="200" applyNumberFormat="1" applyFont="1" applyFill="1" applyBorder="1" applyAlignment="1" applyProtection="1">
      <alignment horizontal="center" vertical="top" wrapText="1"/>
    </xf>
    <xf numFmtId="164" fontId="5" fillId="15" borderId="4" xfId="200" applyNumberFormat="1" applyFont="1" applyFill="1" applyBorder="1" applyAlignment="1" applyProtection="1">
      <alignment horizontal="center" vertical="top" wrapText="1"/>
    </xf>
    <xf numFmtId="1" fontId="89" fillId="15" borderId="4" xfId="0" applyNumberFormat="1" applyFont="1" applyFill="1" applyBorder="1" applyAlignment="1">
      <alignment horizontal="center" vertical="top" wrapText="1"/>
    </xf>
    <xf numFmtId="0" fontId="89" fillId="15" borderId="4" xfId="0" applyFont="1" applyFill="1" applyBorder="1" applyAlignment="1">
      <alignment horizontal="center" vertical="top" wrapText="1"/>
    </xf>
    <xf numFmtId="0" fontId="5" fillId="15" borderId="4" xfId="0" applyFont="1" applyFill="1" applyBorder="1" applyAlignment="1">
      <alignment vertical="top" wrapText="1"/>
    </xf>
    <xf numFmtId="1" fontId="5" fillId="15" borderId="4" xfId="0" applyNumberFormat="1" applyFont="1" applyFill="1" applyBorder="1" applyAlignment="1">
      <alignment horizontal="center" vertical="center"/>
    </xf>
    <xf numFmtId="1" fontId="90" fillId="15" borderId="4" xfId="0" applyNumberFormat="1" applyFont="1" applyFill="1" applyBorder="1" applyAlignment="1">
      <alignment horizontal="center" vertical="center"/>
    </xf>
    <xf numFmtId="1" fontId="90" fillId="15" borderId="4" xfId="0" applyNumberFormat="1" applyFont="1" applyFill="1" applyBorder="1" applyAlignment="1">
      <alignment horizontal="center" vertical="center" wrapText="1"/>
    </xf>
    <xf numFmtId="1" fontId="89" fillId="15" borderId="4" xfId="0" applyNumberFormat="1" applyFont="1" applyFill="1" applyBorder="1" applyAlignment="1">
      <alignment horizontal="center" vertical="center" wrapText="1"/>
    </xf>
    <xf numFmtId="0" fontId="89" fillId="15" borderId="4" xfId="0" applyFont="1" applyFill="1" applyBorder="1" applyAlignment="1">
      <alignment horizontal="center" vertical="center" wrapText="1"/>
    </xf>
    <xf numFmtId="0" fontId="5" fillId="15" borderId="4" xfId="0" applyFont="1" applyFill="1" applyBorder="1" applyAlignment="1">
      <alignment horizontal="center" vertical="center"/>
    </xf>
    <xf numFmtId="0" fontId="26" fillId="0" borderId="4" xfId="203" applyNumberFormat="1" applyFont="1" applyFill="1" applyBorder="1" applyAlignment="1" applyProtection="1">
      <alignment vertical="center" wrapText="1"/>
      <protection hidden="1"/>
    </xf>
    <xf numFmtId="0" fontId="26" fillId="11" borderId="0" xfId="203" applyNumberFormat="1" applyFont="1" applyFill="1" applyBorder="1" applyAlignment="1" applyProtection="1">
      <alignment vertical="center" wrapText="1"/>
      <protection hidden="1"/>
    </xf>
    <xf numFmtId="1" fontId="4" fillId="13" borderId="0" xfId="0" applyNumberFormat="1" applyFont="1" applyFill="1" applyAlignment="1">
      <alignment horizontal="center" vertical="top" wrapText="1"/>
    </xf>
    <xf numFmtId="164" fontId="4" fillId="13" borderId="0" xfId="0" applyNumberFormat="1" applyFont="1" applyFill="1" applyAlignment="1">
      <alignment horizontal="center" vertical="top" wrapText="1"/>
    </xf>
    <xf numFmtId="1" fontId="4" fillId="13" borderId="0" xfId="0" applyNumberFormat="1" applyFont="1" applyFill="1" applyAlignment="1">
      <alignment horizontal="center" vertical="center" wrapText="1"/>
    </xf>
    <xf numFmtId="0" fontId="4" fillId="13" borderId="0" xfId="0" applyFont="1" applyFill="1" applyAlignment="1">
      <alignment horizontal="center" vertical="top" wrapText="1"/>
    </xf>
    <xf numFmtId="0" fontId="15" fillId="15" borderId="4" xfId="0" applyFont="1" applyFill="1" applyBorder="1" applyAlignment="1" applyProtection="1">
      <alignment horizontal="left" vertical="center" wrapText="1"/>
      <protection hidden="1"/>
    </xf>
    <xf numFmtId="0" fontId="5" fillId="15" borderId="33" xfId="0" applyFont="1" applyFill="1" applyBorder="1" applyAlignment="1">
      <alignment horizontal="center" vertical="top" wrapText="1"/>
    </xf>
    <xf numFmtId="0" fontId="15" fillId="15" borderId="34" xfId="0" applyFont="1" applyFill="1" applyBorder="1" applyAlignment="1">
      <alignment horizontal="left" vertical="top" wrapText="1"/>
    </xf>
    <xf numFmtId="0" fontId="15" fillId="15" borderId="4" xfId="0" applyFont="1" applyFill="1" applyBorder="1" applyAlignment="1" applyProtection="1">
      <alignment horizontal="center" vertical="center" wrapText="1"/>
      <protection hidden="1"/>
    </xf>
    <xf numFmtId="167" fontId="15" fillId="15" borderId="4" xfId="0" applyNumberFormat="1" applyFont="1" applyFill="1" applyBorder="1" applyAlignment="1" applyProtection="1">
      <alignment horizontal="center" vertical="center" wrapText="1"/>
      <protection hidden="1"/>
    </xf>
    <xf numFmtId="0" fontId="15" fillId="15" borderId="15" xfId="0" applyFont="1" applyFill="1" applyBorder="1" applyAlignment="1" applyProtection="1">
      <alignment horizontal="center" vertical="center" wrapText="1"/>
      <protection hidden="1"/>
    </xf>
    <xf numFmtId="0" fontId="102" fillId="0" borderId="0" xfId="0" applyFont="1" applyAlignment="1">
      <alignment vertical="top"/>
    </xf>
    <xf numFmtId="0" fontId="103" fillId="0" borderId="0" xfId="0" applyFont="1" applyAlignment="1">
      <alignment vertical="top"/>
    </xf>
    <xf numFmtId="0" fontId="15" fillId="13" borderId="4" xfId="0" applyFont="1" applyFill="1" applyBorder="1" applyAlignment="1">
      <alignment horizontal="left" vertical="top" wrapText="1"/>
    </xf>
    <xf numFmtId="4" fontId="15" fillId="13" borderId="4" xfId="11" applyNumberFormat="1" applyFont="1" applyFill="1" applyBorder="1" applyAlignment="1" applyProtection="1">
      <alignment vertical="top" wrapText="1"/>
    </xf>
    <xf numFmtId="0" fontId="15" fillId="13" borderId="4" xfId="0" applyFont="1" applyFill="1" applyBorder="1" applyAlignment="1" applyProtection="1">
      <alignment horizontal="left" vertical="center" wrapText="1"/>
      <protection hidden="1"/>
    </xf>
    <xf numFmtId="180" fontId="78" fillId="0" borderId="4" xfId="204" applyNumberFormat="1" applyFont="1" applyFill="1" applyBorder="1" applyAlignment="1" applyProtection="1">
      <alignment vertical="top"/>
      <protection hidden="1"/>
    </xf>
    <xf numFmtId="0" fontId="80" fillId="0" borderId="0" xfId="204" applyNumberFormat="1" applyFont="1" applyFill="1" applyBorder="1" applyAlignment="1" applyProtection="1">
      <alignment horizontal="left" vertical="top" wrapText="1"/>
      <protection hidden="1"/>
    </xf>
    <xf numFmtId="0" fontId="15" fillId="11" borderId="15" xfId="0" applyFont="1" applyFill="1" applyBorder="1" applyAlignment="1" applyProtection="1">
      <alignment horizontal="center" vertical="center" wrapText="1"/>
      <protection hidden="1"/>
    </xf>
    <xf numFmtId="164" fontId="4" fillId="0" borderId="4" xfId="0" applyNumberFormat="1" applyFont="1" applyBorder="1" applyAlignment="1">
      <alignment horizontal="left" vertical="top" wrapText="1"/>
    </xf>
    <xf numFmtId="0" fontId="15" fillId="16" borderId="12" xfId="204" applyFont="1" applyFill="1" applyBorder="1" applyAlignment="1" applyProtection="1">
      <alignment horizontal="center" vertical="center" wrapText="1"/>
      <protection hidden="1"/>
    </xf>
    <xf numFmtId="0" fontId="84" fillId="17" borderId="15" xfId="0" applyFont="1" applyFill="1" applyBorder="1" applyAlignment="1">
      <alignment horizontal="center" vertical="top" wrapText="1"/>
    </xf>
    <xf numFmtId="0" fontId="84" fillId="17" borderId="3" xfId="214" applyFont="1" applyFill="1" applyBorder="1" applyAlignment="1">
      <alignment vertical="top" wrapText="1"/>
    </xf>
    <xf numFmtId="0" fontId="84" fillId="17" borderId="15" xfId="214" applyFont="1" applyFill="1" applyBorder="1" applyAlignment="1">
      <alignment vertical="top" wrapText="1"/>
    </xf>
    <xf numFmtId="0" fontId="93" fillId="0" borderId="0" xfId="0" applyFont="1" applyAlignment="1">
      <alignment horizontal="left" vertical="top"/>
    </xf>
    <xf numFmtId="0" fontId="94" fillId="0" borderId="0" xfId="0" applyFont="1" applyAlignment="1">
      <alignment horizontal="center" vertical="top"/>
    </xf>
    <xf numFmtId="0" fontId="94" fillId="0" borderId="0" xfId="0" applyFont="1" applyAlignment="1">
      <alignment vertical="top"/>
    </xf>
    <xf numFmtId="0" fontId="92" fillId="0" borderId="0" xfId="0" applyFont="1" applyAlignment="1">
      <alignment vertical="top"/>
    </xf>
    <xf numFmtId="0" fontId="92" fillId="0" borderId="0" xfId="0" applyFont="1" applyAlignment="1">
      <alignment horizontal="center" vertical="top"/>
    </xf>
    <xf numFmtId="0" fontId="92" fillId="5" borderId="0" xfId="0" applyFont="1" applyFill="1" applyAlignment="1">
      <alignment horizontal="left" vertical="top"/>
    </xf>
    <xf numFmtId="0" fontId="92" fillId="5" borderId="0" xfId="0" applyFont="1" applyFill="1" applyAlignment="1">
      <alignment vertical="top"/>
    </xf>
    <xf numFmtId="0" fontId="92" fillId="0" borderId="0" xfId="0" applyFont="1" applyAlignment="1">
      <alignment horizontal="left" vertical="top"/>
    </xf>
    <xf numFmtId="10" fontId="92" fillId="0" borderId="0" xfId="0" applyNumberFormat="1" applyFont="1" applyAlignment="1">
      <alignment horizontal="left" vertical="top"/>
    </xf>
    <xf numFmtId="1" fontId="92" fillId="5" borderId="0" xfId="0" applyNumberFormat="1" applyFont="1" applyFill="1" applyAlignment="1">
      <alignment vertical="top"/>
    </xf>
    <xf numFmtId="2" fontId="92" fillId="0" borderId="0" xfId="0" applyNumberFormat="1" applyFont="1" applyAlignment="1">
      <alignment vertical="top"/>
    </xf>
    <xf numFmtId="0" fontId="94" fillId="0" borderId="0" xfId="0" applyFont="1" applyAlignment="1">
      <alignment horizontal="left" vertical="top"/>
    </xf>
    <xf numFmtId="10" fontId="92" fillId="0" borderId="0" xfId="0" applyNumberFormat="1" applyFont="1" applyAlignment="1">
      <alignment horizontal="center" vertical="top"/>
    </xf>
    <xf numFmtId="1" fontId="92" fillId="0" borderId="0" xfId="0" applyNumberFormat="1" applyFont="1" applyAlignment="1">
      <alignment vertical="top"/>
    </xf>
    <xf numFmtId="10" fontId="91" fillId="0" borderId="0" xfId="0" applyNumberFormat="1" applyFont="1" applyAlignment="1">
      <alignment horizontal="center" vertical="top"/>
    </xf>
    <xf numFmtId="2" fontId="92" fillId="0" borderId="0" xfId="0" applyNumberFormat="1" applyFont="1" applyAlignment="1">
      <alignment horizontal="center" vertical="top"/>
    </xf>
    <xf numFmtId="179" fontId="92" fillId="0" borderId="0" xfId="0" applyNumberFormat="1" applyFont="1" applyAlignment="1">
      <alignment horizontal="center" vertical="top"/>
    </xf>
    <xf numFmtId="0" fontId="92" fillId="0" borderId="0" xfId="206" applyFont="1" applyAlignment="1" applyProtection="1">
      <alignment horizontal="center" vertical="top"/>
      <protection hidden="1"/>
    </xf>
    <xf numFmtId="15" fontId="92" fillId="0" borderId="0" xfId="0" applyNumberFormat="1" applyFont="1" applyAlignment="1">
      <alignment vertical="top"/>
    </xf>
    <xf numFmtId="0" fontId="93" fillId="0" borderId="0" xfId="0" applyFont="1" applyAlignment="1">
      <alignment horizontal="left" vertical="top" wrapText="1"/>
    </xf>
    <xf numFmtId="0" fontId="94" fillId="0" borderId="0" xfId="0" applyFont="1" applyAlignment="1">
      <alignment horizontal="center" vertical="top" wrapText="1"/>
    </xf>
    <xf numFmtId="0" fontId="94" fillId="0" borderId="0" xfId="0" applyFont="1" applyAlignment="1">
      <alignment vertical="top" wrapText="1"/>
    </xf>
    <xf numFmtId="0" fontId="92" fillId="0" borderId="0" xfId="0" applyFont="1" applyAlignment="1">
      <alignment horizontal="justify" vertical="top" wrapText="1"/>
    </xf>
    <xf numFmtId="10" fontId="92" fillId="0" borderId="0" xfId="0" applyNumberFormat="1" applyFont="1" applyAlignment="1">
      <alignment horizontal="justify" vertical="top" wrapText="1"/>
    </xf>
    <xf numFmtId="0" fontId="91" fillId="0" borderId="0" xfId="0" applyFont="1" applyAlignment="1">
      <alignment horizontal="center" vertical="top"/>
    </xf>
    <xf numFmtId="0" fontId="91" fillId="0" borderId="0" xfId="0" applyFont="1" applyAlignment="1" applyProtection="1">
      <alignment horizontal="center" vertical="top" wrapText="1"/>
      <protection hidden="1"/>
    </xf>
    <xf numFmtId="0" fontId="91" fillId="0" borderId="0" xfId="0" applyFont="1" applyAlignment="1" applyProtection="1">
      <alignment horizontal="center" vertical="top"/>
      <protection hidden="1"/>
    </xf>
    <xf numFmtId="1" fontId="94" fillId="0" borderId="0" xfId="0" applyNumberFormat="1" applyFont="1" applyAlignment="1" applyProtection="1">
      <alignment vertical="top"/>
      <protection hidden="1"/>
    </xf>
    <xf numFmtId="0" fontId="94" fillId="0" borderId="0" xfId="0" applyFont="1" applyAlignment="1" applyProtection="1">
      <alignment vertical="top"/>
      <protection hidden="1"/>
    </xf>
    <xf numFmtId="0" fontId="91" fillId="11" borderId="15" xfId="0" applyFont="1" applyFill="1" applyBorder="1" applyAlignment="1">
      <alignment horizontal="center" vertical="top" wrapText="1"/>
    </xf>
    <xf numFmtId="2" fontId="0" fillId="0" borderId="0" xfId="0" applyNumberFormat="1" applyAlignment="1">
      <alignment vertical="top"/>
    </xf>
    <xf numFmtId="0" fontId="0" fillId="0" borderId="4" xfId="0" applyBorder="1" applyAlignment="1">
      <alignment horizontal="left" vertical="top" wrapText="1"/>
    </xf>
    <xf numFmtId="2" fontId="91" fillId="0" borderId="0" xfId="0" applyNumberFormat="1" applyFont="1" applyAlignment="1">
      <alignment vertical="top"/>
    </xf>
    <xf numFmtId="0" fontId="92" fillId="0" borderId="0" xfId="0" applyFont="1" applyAlignment="1">
      <alignment horizontal="right" vertical="top"/>
    </xf>
    <xf numFmtId="0" fontId="91" fillId="0" borderId="0" xfId="0" applyFont="1" applyAlignment="1">
      <alignment horizontal="left" vertical="top"/>
    </xf>
    <xf numFmtId="0" fontId="94" fillId="0" borderId="0" xfId="0" applyFont="1" applyAlignment="1" applyProtection="1">
      <alignment horizontal="center" vertical="top"/>
      <protection hidden="1"/>
    </xf>
    <xf numFmtId="10" fontId="94" fillId="0" borderId="0" xfId="0" applyNumberFormat="1" applyFont="1" applyAlignment="1" applyProtection="1">
      <alignment horizontal="center" vertical="top"/>
      <protection hidden="1"/>
    </xf>
    <xf numFmtId="0" fontId="93" fillId="0" borderId="0" xfId="0" applyFont="1" applyAlignment="1" applyProtection="1">
      <alignment horizontal="right" vertical="top"/>
      <protection hidden="1"/>
    </xf>
    <xf numFmtId="0" fontId="93" fillId="0" borderId="0" xfId="0" applyFont="1" applyAlignment="1" applyProtection="1">
      <alignment horizontal="left" vertical="top"/>
      <protection hidden="1"/>
    </xf>
    <xf numFmtId="10" fontId="93" fillId="0" borderId="0" xfId="0" applyNumberFormat="1" applyFont="1" applyAlignment="1" applyProtection="1">
      <alignment horizontal="left" vertical="top"/>
      <protection hidden="1"/>
    </xf>
    <xf numFmtId="0" fontId="93" fillId="0" borderId="0" xfId="0" applyFont="1" applyAlignment="1" applyProtection="1">
      <alignment horizontal="center" vertical="top"/>
      <protection hidden="1"/>
    </xf>
    <xf numFmtId="0" fontId="93" fillId="0" borderId="0" xfId="0" applyFont="1" applyAlignment="1" applyProtection="1">
      <alignment vertical="top"/>
      <protection hidden="1"/>
    </xf>
    <xf numFmtId="0" fontId="94" fillId="0" borderId="0" xfId="0" applyFont="1" applyAlignment="1" applyProtection="1">
      <alignment horizontal="left" vertical="top"/>
      <protection hidden="1"/>
    </xf>
    <xf numFmtId="10" fontId="94" fillId="0" borderId="0" xfId="0" applyNumberFormat="1" applyFont="1" applyAlignment="1" applyProtection="1">
      <alignment horizontal="left" vertical="top"/>
      <protection hidden="1"/>
    </xf>
    <xf numFmtId="0" fontId="93" fillId="0" borderId="0" xfId="0" applyFont="1" applyAlignment="1" applyProtection="1">
      <alignment horizontal="center" vertical="top" wrapText="1"/>
      <protection hidden="1"/>
    </xf>
    <xf numFmtId="0" fontId="93" fillId="0" borderId="0" xfId="206" applyFont="1" applyAlignment="1" applyProtection="1">
      <alignment vertical="top"/>
      <protection hidden="1"/>
    </xf>
    <xf numFmtId="10" fontId="93" fillId="0" borderId="0" xfId="206" applyNumberFormat="1" applyFont="1" applyAlignment="1" applyProtection="1">
      <alignment vertical="top"/>
      <protection hidden="1"/>
    </xf>
    <xf numFmtId="0" fontId="94" fillId="0" borderId="0" xfId="206" applyFont="1" applyAlignment="1" applyProtection="1">
      <alignment vertical="top"/>
      <protection hidden="1"/>
    </xf>
    <xf numFmtId="0" fontId="93" fillId="0" borderId="0" xfId="206" applyFont="1" applyAlignment="1" applyProtection="1">
      <alignment horizontal="center" vertical="top"/>
      <protection hidden="1"/>
    </xf>
    <xf numFmtId="0" fontId="94" fillId="0" borderId="0" xfId="206" applyFont="1" applyAlignment="1" applyProtection="1">
      <alignment horizontal="left" vertical="top"/>
      <protection hidden="1"/>
    </xf>
    <xf numFmtId="10" fontId="94" fillId="0" borderId="0" xfId="206" applyNumberFormat="1" applyFont="1" applyAlignment="1" applyProtection="1">
      <alignment vertical="top"/>
      <protection hidden="1"/>
    </xf>
    <xf numFmtId="179" fontId="92" fillId="0" borderId="0" xfId="0" applyNumberFormat="1" applyFont="1" applyAlignment="1">
      <alignment vertical="top"/>
    </xf>
    <xf numFmtId="0" fontId="94" fillId="0" borderId="0" xfId="206" applyFont="1" applyAlignment="1" applyProtection="1">
      <alignment horizontal="center" vertical="top"/>
      <protection hidden="1"/>
    </xf>
    <xf numFmtId="10" fontId="93" fillId="0" borderId="0" xfId="0" applyNumberFormat="1" applyFont="1" applyAlignment="1" applyProtection="1">
      <alignment horizontal="center" vertical="top" wrapText="1"/>
      <protection hidden="1"/>
    </xf>
    <xf numFmtId="0" fontId="93" fillId="0" borderId="0" xfId="0" applyFont="1" applyAlignment="1" applyProtection="1">
      <alignment vertical="top" wrapText="1"/>
      <protection hidden="1"/>
    </xf>
    <xf numFmtId="0" fontId="92" fillId="0" borderId="0" xfId="0" applyFont="1" applyAlignment="1" applyProtection="1">
      <alignment horizontal="center" vertical="top" wrapText="1"/>
      <protection hidden="1"/>
    </xf>
    <xf numFmtId="10" fontId="93" fillId="0" borderId="0" xfId="0" applyNumberFormat="1" applyFont="1" applyAlignment="1" applyProtection="1">
      <alignment horizontal="center" vertical="top"/>
      <protection hidden="1"/>
    </xf>
    <xf numFmtId="0" fontId="92" fillId="0" borderId="0" xfId="0" applyFont="1" applyAlignment="1" applyProtection="1">
      <alignment horizontal="center" vertical="top"/>
      <protection hidden="1"/>
    </xf>
    <xf numFmtId="164" fontId="93" fillId="0" borderId="0" xfId="211" applyNumberFormat="1" applyFont="1" applyFill="1" applyBorder="1" applyAlignment="1" applyProtection="1">
      <alignment horizontal="center" vertical="top" wrapText="1"/>
      <protection hidden="1"/>
    </xf>
    <xf numFmtId="10" fontId="93" fillId="0" borderId="0" xfId="211" applyNumberFormat="1" applyFont="1" applyFill="1" applyBorder="1" applyAlignment="1" applyProtection="1">
      <alignment horizontal="center" vertical="top" wrapText="1"/>
      <protection hidden="1"/>
    </xf>
    <xf numFmtId="0" fontId="93" fillId="0" borderId="0" xfId="211" applyFont="1" applyFill="1" applyBorder="1" applyAlignment="1" applyProtection="1">
      <alignment vertical="top"/>
      <protection hidden="1"/>
    </xf>
    <xf numFmtId="0" fontId="94" fillId="0" borderId="0" xfId="211" applyNumberFormat="1" applyFont="1" applyFill="1" applyBorder="1" applyAlignment="1" applyProtection="1">
      <alignment horizontal="center" vertical="top" wrapText="1"/>
      <protection hidden="1"/>
    </xf>
    <xf numFmtId="2" fontId="94" fillId="0" borderId="0" xfId="0" applyNumberFormat="1" applyFont="1" applyAlignment="1" applyProtection="1">
      <alignment horizontal="right" vertical="top" wrapText="1"/>
      <protection hidden="1"/>
    </xf>
    <xf numFmtId="2" fontId="94" fillId="0" borderId="0" xfId="0" applyNumberFormat="1" applyFont="1" applyAlignment="1" applyProtection="1">
      <alignment horizontal="right" vertical="top"/>
      <protection hidden="1"/>
    </xf>
    <xf numFmtId="2" fontId="91" fillId="0" borderId="0" xfId="0" applyNumberFormat="1" applyFont="1" applyAlignment="1" applyProtection="1">
      <alignment horizontal="center" vertical="top"/>
      <protection hidden="1"/>
    </xf>
    <xf numFmtId="164" fontId="94" fillId="0" borderId="0" xfId="211" applyNumberFormat="1" applyFont="1" applyFill="1" applyBorder="1" applyAlignment="1" applyProtection="1">
      <alignment horizontal="center" vertical="top" wrapText="1"/>
      <protection hidden="1"/>
    </xf>
    <xf numFmtId="10" fontId="94" fillId="0" borderId="0" xfId="211" applyNumberFormat="1" applyFont="1" applyFill="1" applyBorder="1" applyAlignment="1" applyProtection="1">
      <alignment horizontal="center" vertical="top" wrapText="1"/>
      <protection hidden="1"/>
    </xf>
    <xf numFmtId="0" fontId="94" fillId="0" borderId="0" xfId="211" applyFont="1" applyFill="1" applyBorder="1" applyAlignment="1" applyProtection="1">
      <alignment vertical="top" wrapText="1"/>
      <protection hidden="1"/>
    </xf>
    <xf numFmtId="167" fontId="94" fillId="0" borderId="0" xfId="0" applyNumberFormat="1" applyFont="1" applyAlignment="1" applyProtection="1">
      <alignment horizontal="right" vertical="top" wrapText="1"/>
      <protection hidden="1"/>
    </xf>
    <xf numFmtId="167" fontId="92" fillId="0" borderId="0" xfId="0" applyNumberFormat="1" applyFont="1" applyAlignment="1" applyProtection="1">
      <alignment horizontal="right" vertical="top" wrapText="1"/>
      <protection hidden="1"/>
    </xf>
    <xf numFmtId="2" fontId="92" fillId="0" borderId="0" xfId="0" applyNumberFormat="1" applyFont="1" applyAlignment="1" applyProtection="1">
      <alignment vertical="top" wrapText="1"/>
      <protection hidden="1"/>
    </xf>
    <xf numFmtId="0" fontId="94" fillId="0" borderId="0" xfId="211" applyNumberFormat="1" applyFont="1" applyFill="1" applyBorder="1" applyAlignment="1" applyProtection="1">
      <alignment vertical="top"/>
      <protection hidden="1"/>
    </xf>
    <xf numFmtId="166" fontId="94" fillId="0" borderId="0" xfId="0" applyNumberFormat="1" applyFont="1" applyAlignment="1" applyProtection="1">
      <alignment horizontal="right" vertical="top" wrapText="1"/>
      <protection hidden="1"/>
    </xf>
    <xf numFmtId="2" fontId="92" fillId="0" borderId="0" xfId="0" applyNumberFormat="1" applyFont="1" applyAlignment="1" applyProtection="1">
      <alignment vertical="top"/>
      <protection hidden="1"/>
    </xf>
    <xf numFmtId="0" fontId="94" fillId="0" borderId="0" xfId="211" applyFont="1" applyFill="1" applyBorder="1" applyAlignment="1" applyProtection="1">
      <alignment horizontal="center" vertical="top" wrapText="1"/>
      <protection hidden="1"/>
    </xf>
    <xf numFmtId="2" fontId="94" fillId="0" borderId="0" xfId="11" applyNumberFormat="1" applyFont="1" applyFill="1" applyBorder="1" applyAlignment="1" applyProtection="1">
      <alignment horizontal="right" vertical="top" wrapText="1"/>
      <protection hidden="1"/>
    </xf>
    <xf numFmtId="167" fontId="92" fillId="0" borderId="0" xfId="11" applyNumberFormat="1" applyFont="1" applyFill="1" applyBorder="1" applyAlignment="1" applyProtection="1">
      <alignment horizontal="center" vertical="top"/>
      <protection hidden="1"/>
    </xf>
    <xf numFmtId="170" fontId="94" fillId="0" borderId="0" xfId="211" quotePrefix="1" applyNumberFormat="1" applyFont="1" applyFill="1" applyBorder="1" applyAlignment="1" applyProtection="1">
      <alignment vertical="top" wrapText="1"/>
      <protection hidden="1"/>
    </xf>
    <xf numFmtId="170" fontId="94" fillId="0" borderId="0" xfId="211" applyNumberFormat="1" applyFont="1" applyFill="1" applyBorder="1" applyAlignment="1" applyProtection="1">
      <alignment vertical="top" wrapText="1"/>
      <protection hidden="1"/>
    </xf>
    <xf numFmtId="0" fontId="93" fillId="0" borderId="0" xfId="211" applyFont="1" applyFill="1" applyBorder="1" applyAlignment="1" applyProtection="1">
      <alignment vertical="top" wrapText="1"/>
      <protection hidden="1"/>
    </xf>
    <xf numFmtId="164" fontId="94" fillId="0" borderId="0" xfId="211" applyNumberFormat="1" applyFont="1" applyFill="1" applyBorder="1" applyAlignment="1" applyProtection="1">
      <alignment vertical="top" wrapText="1"/>
      <protection hidden="1"/>
    </xf>
    <xf numFmtId="2" fontId="92" fillId="0" borderId="0" xfId="11" applyNumberFormat="1" applyFont="1" applyFill="1" applyBorder="1" applyAlignment="1" applyProtection="1">
      <alignment horizontal="center" vertical="top"/>
      <protection hidden="1"/>
    </xf>
    <xf numFmtId="0" fontId="94" fillId="0" borderId="0" xfId="211" applyNumberFormat="1" applyFont="1" applyFill="1" applyBorder="1" applyAlignment="1" applyProtection="1">
      <alignment vertical="top" wrapText="1"/>
      <protection hidden="1"/>
    </xf>
    <xf numFmtId="3" fontId="94" fillId="0" borderId="0" xfId="211" applyNumberFormat="1" applyFont="1" applyFill="1" applyBorder="1" applyAlignment="1" applyProtection="1">
      <alignment vertical="top" wrapText="1"/>
      <protection hidden="1"/>
    </xf>
    <xf numFmtId="0" fontId="93" fillId="0" borderId="0" xfId="211" applyFont="1" applyFill="1" applyBorder="1" applyAlignment="1" applyProtection="1">
      <alignment horizontal="center" vertical="top" wrapText="1"/>
      <protection hidden="1"/>
    </xf>
    <xf numFmtId="0" fontId="94" fillId="0" borderId="0" xfId="211" applyNumberFormat="1" applyFont="1" applyFill="1" applyBorder="1" applyAlignment="1" applyProtection="1">
      <alignment horizontal="center" vertical="top"/>
      <protection hidden="1"/>
    </xf>
    <xf numFmtId="10" fontId="94" fillId="0" borderId="0" xfId="211" applyNumberFormat="1" applyFont="1" applyFill="1" applyBorder="1" applyAlignment="1" applyProtection="1">
      <alignment horizontal="center" vertical="top"/>
      <protection hidden="1"/>
    </xf>
    <xf numFmtId="0" fontId="15" fillId="0" borderId="5" xfId="0" applyFont="1" applyBorder="1" applyAlignment="1">
      <alignment horizontal="left" vertical="top"/>
    </xf>
    <xf numFmtId="0" fontId="15" fillId="0" borderId="5" xfId="0" applyFont="1" applyBorder="1" applyAlignment="1">
      <alignment horizontal="justify" vertical="top"/>
    </xf>
    <xf numFmtId="0" fontId="15" fillId="0" borderId="5" xfId="0" applyFont="1" applyBorder="1" applyAlignment="1">
      <alignment horizontal="center" vertical="top"/>
    </xf>
    <xf numFmtId="0" fontId="15" fillId="0" borderId="5" xfId="0" applyFont="1" applyBorder="1" applyAlignment="1">
      <alignment vertical="top"/>
    </xf>
    <xf numFmtId="0" fontId="15" fillId="0" borderId="5" xfId="0" applyFont="1" applyBorder="1" applyAlignment="1">
      <alignment horizontal="right" vertical="top"/>
    </xf>
    <xf numFmtId="0" fontId="33" fillId="0" borderId="0" xfId="0" applyFont="1" applyAlignment="1">
      <alignment vertical="top"/>
    </xf>
    <xf numFmtId="0" fontId="0" fillId="0" borderId="0" xfId="0" applyAlignment="1">
      <alignment horizontal="center" vertical="top"/>
    </xf>
    <xf numFmtId="0" fontId="0" fillId="0" borderId="0" xfId="0" applyAlignment="1">
      <alignment horizontal="justify" vertical="top"/>
    </xf>
    <xf numFmtId="0" fontId="15" fillId="0" borderId="0" xfId="0" applyFont="1" applyAlignment="1">
      <alignment vertical="top" wrapText="1"/>
    </xf>
    <xf numFmtId="0" fontId="29" fillId="0" borderId="0" xfId="0" applyFont="1" applyAlignment="1">
      <alignment vertical="top"/>
    </xf>
    <xf numFmtId="0" fontId="33" fillId="0" borderId="0" xfId="0" applyFont="1" applyAlignment="1">
      <alignment horizontal="center" vertical="top"/>
    </xf>
    <xf numFmtId="0" fontId="33" fillId="0" borderId="0" xfId="0" applyFont="1" applyAlignment="1">
      <alignment horizontal="left" vertical="top"/>
    </xf>
    <xf numFmtId="0" fontId="27" fillId="0" borderId="0" xfId="0" applyFont="1" applyAlignment="1">
      <alignment vertical="top"/>
    </xf>
    <xf numFmtId="0" fontId="0" fillId="0" borderId="0" xfId="200" applyNumberFormat="1" applyFont="1" applyFill="1" applyBorder="1" applyAlignment="1" applyProtection="1">
      <alignment horizontal="center" vertical="top"/>
    </xf>
    <xf numFmtId="0" fontId="0" fillId="0" borderId="0" xfId="200" applyNumberFormat="1" applyFont="1" applyFill="1" applyBorder="1" applyAlignment="1" applyProtection="1">
      <alignment horizontal="justify" vertical="top" wrapText="1"/>
    </xf>
    <xf numFmtId="0" fontId="0" fillId="0" borderId="0" xfId="200" applyNumberFormat="1" applyFont="1" applyFill="1" applyBorder="1" applyProtection="1">
      <alignment vertical="top"/>
    </xf>
    <xf numFmtId="0" fontId="15" fillId="0" borderId="0" xfId="206" applyFont="1" applyAlignment="1" applyProtection="1">
      <alignment horizontal="center" vertical="top"/>
      <protection hidden="1"/>
    </xf>
    <xf numFmtId="0" fontId="0" fillId="0" borderId="0" xfId="206" applyFont="1" applyAlignment="1" applyProtection="1">
      <alignment horizontal="justify" vertical="top"/>
      <protection hidden="1"/>
    </xf>
    <xf numFmtId="0" fontId="0" fillId="0" borderId="0" xfId="206" applyFont="1" applyAlignment="1" applyProtection="1">
      <alignment horizontal="center" vertical="top"/>
      <protection hidden="1"/>
    </xf>
    <xf numFmtId="0" fontId="0" fillId="0" borderId="0" xfId="0" applyAlignment="1" applyProtection="1">
      <alignment horizontal="left" vertical="top"/>
      <protection hidden="1"/>
    </xf>
    <xf numFmtId="0" fontId="33" fillId="0" borderId="0" xfId="206" applyFont="1" applyAlignment="1" applyProtection="1">
      <alignment vertical="top"/>
      <protection hidden="1"/>
    </xf>
    <xf numFmtId="0" fontId="0" fillId="0" borderId="0" xfId="206" applyFont="1" applyAlignment="1" applyProtection="1">
      <alignment horizontal="left" vertical="top"/>
      <protection hidden="1"/>
    </xf>
    <xf numFmtId="0" fontId="0" fillId="0" borderId="0" xfId="206" applyFont="1" applyAlignment="1">
      <alignment horizontal="left" vertical="top"/>
    </xf>
    <xf numFmtId="0" fontId="15" fillId="0" borderId="0" xfId="206" applyFont="1" applyAlignment="1" applyProtection="1">
      <alignment horizontal="justify" vertical="top"/>
      <protection hidden="1"/>
    </xf>
    <xf numFmtId="0" fontId="15" fillId="15" borderId="4" xfId="200" applyNumberFormat="1" applyFont="1" applyFill="1" applyBorder="1" applyAlignment="1" applyProtection="1">
      <alignment horizontal="center" vertical="top" wrapText="1"/>
    </xf>
    <xf numFmtId="0" fontId="15" fillId="15" borderId="4" xfId="200" applyNumberFormat="1" applyFont="1" applyFill="1" applyBorder="1" applyAlignment="1" applyProtection="1">
      <alignment horizontal="center" vertical="top"/>
    </xf>
    <xf numFmtId="0" fontId="27" fillId="0" borderId="0" xfId="0" applyFont="1" applyAlignment="1">
      <alignment horizontal="center" vertical="top"/>
    </xf>
    <xf numFmtId="0" fontId="15" fillId="0" borderId="15" xfId="0" applyFont="1" applyBorder="1" applyAlignment="1">
      <alignment horizontal="center" vertical="top"/>
    </xf>
    <xf numFmtId="0" fontId="15" fillId="0" borderId="4" xfId="0" applyFont="1" applyBorder="1" applyAlignment="1">
      <alignment horizontal="center" vertical="top"/>
    </xf>
    <xf numFmtId="0" fontId="15" fillId="0" borderId="14" xfId="0" applyFont="1" applyBorder="1" applyAlignment="1">
      <alignment horizontal="center" vertical="top"/>
    </xf>
    <xf numFmtId="0" fontId="91" fillId="11" borderId="3" xfId="0" applyFont="1" applyFill="1" applyBorder="1" applyAlignment="1">
      <alignment horizontal="center" vertical="top" wrapText="1"/>
    </xf>
    <xf numFmtId="0" fontId="59" fillId="0" borderId="0" xfId="0" applyFont="1" applyAlignment="1">
      <alignment horizontal="center" vertical="top"/>
    </xf>
    <xf numFmtId="0" fontId="0" fillId="7" borderId="4" xfId="0" applyFill="1" applyBorder="1" applyAlignment="1">
      <alignment horizontal="center" vertical="top" wrapText="1"/>
    </xf>
    <xf numFmtId="0" fontId="15" fillId="7" borderId="4" xfId="211" applyFont="1" applyFill="1" applyBorder="1" applyAlignment="1" applyProtection="1">
      <alignment horizontal="justify" vertical="top" wrapText="1"/>
    </xf>
    <xf numFmtId="0" fontId="15" fillId="7" borderId="4" xfId="211" applyFont="1" applyFill="1" applyBorder="1" applyAlignment="1" applyProtection="1">
      <alignment horizontal="center" vertical="top" wrapText="1"/>
    </xf>
    <xf numFmtId="2" fontId="0" fillId="7" borderId="4" xfId="0" applyNumberFormat="1" applyFill="1" applyBorder="1" applyAlignment="1">
      <alignment horizontal="right" vertical="top"/>
    </xf>
    <xf numFmtId="0" fontId="0" fillId="2" borderId="0" xfId="0" applyFill="1" applyAlignment="1">
      <alignment horizontal="center" vertical="top" wrapText="1"/>
    </xf>
    <xf numFmtId="0" fontId="15" fillId="2" borderId="0" xfId="211" applyFont="1" applyFill="1" applyBorder="1" applyAlignment="1" applyProtection="1">
      <alignment horizontal="justify" vertical="top" wrapText="1"/>
    </xf>
    <xf numFmtId="0" fontId="15" fillId="2" borderId="0" xfId="211" applyFont="1" applyFill="1" applyBorder="1" applyAlignment="1" applyProtection="1">
      <alignment horizontal="center" vertical="top" wrapText="1"/>
    </xf>
    <xf numFmtId="2" fontId="0" fillId="2" borderId="0" xfId="0" applyNumberFormat="1" applyFill="1" applyAlignment="1">
      <alignment horizontal="right" vertical="top"/>
    </xf>
    <xf numFmtId="43" fontId="0" fillId="2" borderId="0" xfId="11" applyFont="1" applyFill="1" applyBorder="1" applyAlignment="1" applyProtection="1">
      <alignment horizontal="right" vertical="top"/>
    </xf>
    <xf numFmtId="0" fontId="15" fillId="0" borderId="0" xfId="0" applyFont="1" applyAlignment="1">
      <alignment horizontal="center" vertical="top"/>
    </xf>
    <xf numFmtId="177" fontId="15" fillId="0" borderId="0" xfId="0" applyNumberFormat="1" applyFont="1" applyAlignment="1">
      <alignment horizontal="justify" vertical="top"/>
    </xf>
    <xf numFmtId="14" fontId="0" fillId="0" borderId="0" xfId="0" applyNumberFormat="1" applyAlignment="1">
      <alignment horizontal="center" vertical="top"/>
    </xf>
    <xf numFmtId="0" fontId="15" fillId="0" borderId="0" xfId="0" applyFont="1" applyAlignment="1">
      <alignment vertical="top"/>
    </xf>
    <xf numFmtId="0" fontId="33" fillId="0" borderId="0" xfId="0" applyFont="1" applyAlignment="1">
      <alignment horizontal="justify" vertical="top"/>
    </xf>
    <xf numFmtId="0" fontId="0" fillId="0" borderId="0" xfId="200" applyNumberFormat="1" applyFont="1" applyFill="1" applyBorder="1" applyAlignment="1" applyProtection="1">
      <alignment horizontal="center" vertical="top"/>
      <protection hidden="1"/>
    </xf>
    <xf numFmtId="0" fontId="0" fillId="0" borderId="0" xfId="200" applyNumberFormat="1" applyFont="1" applyFill="1" applyBorder="1" applyAlignment="1" applyProtection="1">
      <alignment horizontal="justify" vertical="top"/>
      <protection hidden="1"/>
    </xf>
    <xf numFmtId="0" fontId="0" fillId="0" borderId="0" xfId="200" applyNumberFormat="1" applyFont="1" applyFill="1" applyBorder="1" applyAlignment="1" applyProtection="1">
      <alignment horizontal="justify" vertical="top" wrapText="1"/>
      <protection hidden="1"/>
    </xf>
    <xf numFmtId="0" fontId="0" fillId="0" borderId="0" xfId="200" applyNumberFormat="1" applyFont="1" applyFill="1" applyBorder="1" applyProtection="1">
      <alignment vertical="top"/>
      <protection hidden="1"/>
    </xf>
    <xf numFmtId="1" fontId="15" fillId="15" borderId="4" xfId="200" applyNumberFormat="1" applyFont="1" applyFill="1" applyBorder="1" applyAlignment="1" applyProtection="1">
      <alignment horizontal="center" vertical="top" wrapText="1"/>
    </xf>
    <xf numFmtId="164" fontId="15" fillId="15" borderId="4" xfId="200" applyNumberFormat="1" applyFont="1" applyFill="1" applyBorder="1" applyAlignment="1" applyProtection="1">
      <alignment horizontal="center" vertical="top" wrapText="1"/>
    </xf>
    <xf numFmtId="1" fontId="15" fillId="15" borderId="4" xfId="0" applyNumberFormat="1" applyFont="1" applyFill="1" applyBorder="1" applyAlignment="1">
      <alignment horizontal="center" vertical="center"/>
    </xf>
    <xf numFmtId="1" fontId="97" fillId="15" borderId="4" xfId="0" applyNumberFormat="1" applyFont="1" applyFill="1" applyBorder="1" applyAlignment="1">
      <alignment horizontal="center" vertical="center"/>
    </xf>
    <xf numFmtId="1" fontId="97" fillId="15" borderId="4" xfId="0" applyNumberFormat="1" applyFont="1" applyFill="1" applyBorder="1" applyAlignment="1">
      <alignment horizontal="center" vertical="center" wrapText="1"/>
    </xf>
    <xf numFmtId="0" fontId="15" fillId="15" borderId="4" xfId="0" applyFont="1" applyFill="1" applyBorder="1" applyAlignment="1">
      <alignment horizontal="center" vertical="center"/>
    </xf>
    <xf numFmtId="0" fontId="23" fillId="15" borderId="4" xfId="200" applyNumberFormat="1" applyFont="1" applyFill="1" applyBorder="1" applyAlignment="1" applyProtection="1">
      <alignment horizontal="center" vertical="top" wrapText="1"/>
    </xf>
    <xf numFmtId="0" fontId="23" fillId="15" borderId="4" xfId="200" applyNumberFormat="1" applyFont="1" applyFill="1" applyBorder="1" applyAlignment="1" applyProtection="1">
      <alignment horizontal="justify" vertical="top" wrapText="1"/>
    </xf>
    <xf numFmtId="0" fontId="23" fillId="15" borderId="4" xfId="200" applyNumberFormat="1" applyFont="1" applyFill="1" applyBorder="1" applyAlignment="1" applyProtection="1">
      <alignment horizontal="center" vertical="top"/>
    </xf>
    <xf numFmtId="0" fontId="23" fillId="15" borderId="4" xfId="0" applyFont="1" applyFill="1" applyBorder="1" applyAlignment="1">
      <alignment horizontal="center" vertical="top"/>
    </xf>
    <xf numFmtId="1" fontId="23" fillId="15" borderId="4" xfId="200" applyNumberFormat="1" applyFont="1" applyFill="1" applyBorder="1" applyAlignment="1" applyProtection="1">
      <alignment horizontal="center" vertical="top" wrapText="1"/>
    </xf>
    <xf numFmtId="164" fontId="23" fillId="15" borderId="4" xfId="200" applyNumberFormat="1" applyFont="1" applyFill="1" applyBorder="1" applyAlignment="1" applyProtection="1">
      <alignment horizontal="center" vertical="top" wrapText="1"/>
    </xf>
    <xf numFmtId="1" fontId="23" fillId="15" borderId="4" xfId="0" applyNumberFormat="1" applyFont="1" applyFill="1" applyBorder="1" applyAlignment="1">
      <alignment horizontal="center" vertical="top" wrapText="1"/>
    </xf>
    <xf numFmtId="0" fontId="23" fillId="15" borderId="4" xfId="0" applyFont="1" applyFill="1" applyBorder="1" applyAlignment="1">
      <alignment horizontal="center" vertical="top" wrapText="1"/>
    </xf>
    <xf numFmtId="0" fontId="23" fillId="15" borderId="4" xfId="0" applyFont="1" applyFill="1" applyBorder="1" applyAlignment="1">
      <alignment vertical="top" wrapText="1"/>
    </xf>
    <xf numFmtId="1" fontId="23" fillId="15" borderId="4" xfId="0" applyNumberFormat="1" applyFont="1" applyFill="1" applyBorder="1" applyAlignment="1">
      <alignment horizontal="center" vertical="center"/>
    </xf>
    <xf numFmtId="1" fontId="98" fillId="15" borderId="4" xfId="0" applyNumberFormat="1" applyFont="1" applyFill="1" applyBorder="1" applyAlignment="1">
      <alignment horizontal="center" vertical="center"/>
    </xf>
    <xf numFmtId="1" fontId="98" fillId="15" borderId="4" xfId="0" applyNumberFormat="1" applyFont="1" applyFill="1" applyBorder="1" applyAlignment="1">
      <alignment horizontal="center" vertical="center" wrapText="1"/>
    </xf>
    <xf numFmtId="1" fontId="23" fillId="15" borderId="4" xfId="0" applyNumberFormat="1"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3" fillId="15" borderId="4" xfId="0" applyFont="1" applyFill="1" applyBorder="1" applyAlignment="1">
      <alignment horizontal="center" vertical="center"/>
    </xf>
    <xf numFmtId="0" fontId="18" fillId="0" borderId="0" xfId="197" applyFont="1" applyAlignment="1" applyProtection="1">
      <alignment horizontal="center"/>
      <protection hidden="1"/>
    </xf>
    <xf numFmtId="0" fontId="104" fillId="0" borderId="0" xfId="197" applyFont="1" applyAlignment="1" applyProtection="1">
      <alignment horizontal="center" vertical="center"/>
      <protection hidden="1"/>
    </xf>
    <xf numFmtId="1" fontId="0" fillId="0" borderId="4" xfId="200" applyNumberFormat="1" applyFont="1" applyFill="1" applyBorder="1" applyAlignment="1" applyProtection="1">
      <alignment horizontal="left" vertical="top" wrapText="1"/>
      <protection locked="0" hidden="1"/>
    </xf>
    <xf numFmtId="10" fontId="0" fillId="0" borderId="4" xfId="200" applyNumberFormat="1" applyFont="1" applyFill="1" applyBorder="1" applyAlignment="1" applyProtection="1">
      <alignment horizontal="left" vertical="top" wrapText="1"/>
      <protection locked="0" hidden="1"/>
    </xf>
    <xf numFmtId="2" fontId="0" fillId="0" borderId="4" xfId="200" applyNumberFormat="1" applyFont="1" applyFill="1" applyBorder="1" applyAlignment="1" applyProtection="1">
      <alignment horizontal="left" vertical="top" wrapText="1"/>
      <protection locked="0" hidden="1"/>
    </xf>
    <xf numFmtId="1" fontId="4" fillId="0" borderId="4" xfId="200" applyNumberFormat="1" applyFont="1" applyFill="1" applyBorder="1" applyAlignment="1" applyProtection="1">
      <alignment horizontal="left" vertical="top" wrapText="1"/>
      <protection locked="0"/>
    </xf>
    <xf numFmtId="10" fontId="4" fillId="0" borderId="4" xfId="200" applyNumberFormat="1" applyFont="1" applyFill="1" applyBorder="1" applyAlignment="1" applyProtection="1">
      <alignment horizontal="left" vertical="top" wrapText="1"/>
      <protection locked="0" hidden="1"/>
    </xf>
    <xf numFmtId="0" fontId="105" fillId="0" borderId="0" xfId="0" applyFont="1"/>
    <xf numFmtId="0" fontId="50" fillId="0" borderId="0" xfId="194" applyFont="1" applyAlignment="1">
      <alignment vertical="top" wrapText="1"/>
    </xf>
    <xf numFmtId="0" fontId="15" fillId="11" borderId="4" xfId="0" applyFont="1" applyFill="1" applyBorder="1" applyAlignment="1">
      <alignment horizontal="center" vertical="center"/>
    </xf>
    <xf numFmtId="0" fontId="5" fillId="11" borderId="4" xfId="0" applyFont="1" applyFill="1" applyBorder="1" applyAlignment="1">
      <alignment horizontal="center" vertical="top" wrapText="1"/>
    </xf>
    <xf numFmtId="0" fontId="5" fillId="11" borderId="4" xfId="0" applyFont="1" applyFill="1" applyBorder="1" applyAlignment="1">
      <alignment horizontal="left" vertical="top" wrapText="1"/>
    </xf>
    <xf numFmtId="1" fontId="39" fillId="0" borderId="0" xfId="0" applyNumberFormat="1" applyFont="1" applyAlignment="1" applyProtection="1">
      <alignment vertical="top"/>
      <protection hidden="1"/>
    </xf>
    <xf numFmtId="0" fontId="5" fillId="11" borderId="14" xfId="214" applyFont="1" applyFill="1" applyBorder="1" applyAlignment="1">
      <alignment vertical="top"/>
    </xf>
    <xf numFmtId="0" fontId="5" fillId="11" borderId="3" xfId="214" applyFont="1" applyFill="1" applyBorder="1" applyAlignment="1">
      <alignment vertical="top"/>
    </xf>
    <xf numFmtId="0" fontId="5" fillId="11" borderId="15" xfId="214" applyFont="1" applyFill="1" applyBorder="1" applyAlignment="1">
      <alignment vertical="top"/>
    </xf>
    <xf numFmtId="0" fontId="15" fillId="11" borderId="14" xfId="0" applyFont="1" applyFill="1" applyBorder="1" applyAlignment="1">
      <alignment vertical="center"/>
    </xf>
    <xf numFmtId="0" fontId="15" fillId="11" borderId="3" xfId="0" applyFont="1" applyFill="1" applyBorder="1" applyAlignment="1">
      <alignment vertical="center" wrapText="1"/>
    </xf>
    <xf numFmtId="0" fontId="15" fillId="11" borderId="15" xfId="0" applyFont="1" applyFill="1" applyBorder="1" applyAlignment="1">
      <alignment vertical="center" wrapText="1"/>
    </xf>
    <xf numFmtId="0" fontId="5" fillId="11" borderId="3" xfId="0" applyFont="1" applyFill="1" applyBorder="1" applyAlignment="1">
      <alignment vertical="top" wrapText="1"/>
    </xf>
    <xf numFmtId="0" fontId="5" fillId="11" borderId="15" xfId="0" applyFont="1" applyFill="1" applyBorder="1" applyAlignment="1">
      <alignment vertical="top" wrapText="1"/>
    </xf>
    <xf numFmtId="0" fontId="5" fillId="11" borderId="14" xfId="0" applyFont="1" applyFill="1" applyBorder="1" applyAlignment="1">
      <alignment vertical="top"/>
    </xf>
    <xf numFmtId="0" fontId="106" fillId="0" borderId="0" xfId="205" applyFont="1" applyAlignment="1" applyProtection="1">
      <alignment vertical="center"/>
      <protection hidden="1"/>
    </xf>
    <xf numFmtId="0" fontId="15" fillId="17" borderId="15" xfId="0" applyFont="1" applyFill="1" applyBorder="1" applyAlignment="1">
      <alignment horizontal="center" vertical="top"/>
    </xf>
    <xf numFmtId="0" fontId="15" fillId="17" borderId="3" xfId="0" applyFont="1" applyFill="1" applyBorder="1" applyAlignment="1">
      <alignment horizontal="center" vertical="top"/>
    </xf>
    <xf numFmtId="1" fontId="15" fillId="17" borderId="13" xfId="0" applyNumberFormat="1" applyFont="1" applyFill="1" applyBorder="1" applyAlignment="1">
      <alignment horizontal="center" vertical="center"/>
    </xf>
    <xf numFmtId="0" fontId="15" fillId="17" borderId="13" xfId="0" applyFont="1" applyFill="1" applyBorder="1" applyAlignment="1">
      <alignment horizontal="center" vertical="center"/>
    </xf>
    <xf numFmtId="0" fontId="0" fillId="0" borderId="4" xfId="0" applyBorder="1" applyAlignment="1">
      <alignment horizontal="justify" vertical="top" wrapText="1"/>
    </xf>
    <xf numFmtId="0" fontId="18" fillId="0" borderId="0" xfId="0" applyFont="1" applyAlignment="1">
      <alignment horizontal="justify" vertical="top" wrapText="1"/>
    </xf>
    <xf numFmtId="0" fontId="0" fillId="0" borderId="4" xfId="0" applyBorder="1" applyAlignment="1">
      <alignment horizontal="center" vertical="top" wrapText="1"/>
    </xf>
    <xf numFmtId="0" fontId="5" fillId="11" borderId="3" xfId="0" applyFont="1" applyFill="1" applyBorder="1" applyAlignment="1">
      <alignment horizontal="center" vertical="top" wrapText="1"/>
    </xf>
    <xf numFmtId="0" fontId="92" fillId="0" borderId="0" xfId="0" applyFont="1" applyAlignment="1">
      <alignment horizontal="center" vertical="top" wrapText="1"/>
    </xf>
    <xf numFmtId="0" fontId="4" fillId="17" borderId="4" xfId="0" applyFont="1" applyFill="1" applyBorder="1" applyAlignment="1">
      <alignment horizontal="center" vertical="top" wrapText="1"/>
    </xf>
    <xf numFmtId="0" fontId="4" fillId="11" borderId="4" xfId="0" applyFont="1" applyFill="1" applyBorder="1" applyAlignment="1">
      <alignment horizontal="center" vertical="top" wrapText="1"/>
    </xf>
    <xf numFmtId="2" fontId="92" fillId="0" borderId="4" xfId="0" applyNumberFormat="1" applyFont="1" applyBorder="1" applyAlignment="1">
      <alignment horizontal="center" vertical="top" wrapText="1"/>
    </xf>
    <xf numFmtId="2" fontId="59" fillId="0" borderId="4" xfId="0" applyNumberFormat="1" applyFont="1" applyBorder="1" applyAlignment="1">
      <alignment horizontal="center" vertical="top" wrapText="1"/>
    </xf>
    <xf numFmtId="2" fontId="94" fillId="0" borderId="0" xfId="0" applyNumberFormat="1" applyFont="1" applyAlignment="1" applyProtection="1">
      <alignment horizontal="center" vertical="top"/>
      <protection hidden="1"/>
    </xf>
    <xf numFmtId="2" fontId="94" fillId="0" borderId="0" xfId="0" applyNumberFormat="1" applyFont="1" applyAlignment="1" applyProtection="1">
      <alignment horizontal="center" vertical="top" wrapText="1"/>
      <protection hidden="1"/>
    </xf>
    <xf numFmtId="0" fontId="0" fillId="0" borderId="0" xfId="0" applyAlignment="1">
      <alignment horizontal="center" vertical="center"/>
    </xf>
    <xf numFmtId="0" fontId="0" fillId="0" borderId="0" xfId="200" applyNumberFormat="1" applyFont="1" applyFill="1" applyBorder="1" applyAlignment="1" applyProtection="1">
      <alignment horizontal="center" vertical="center"/>
    </xf>
    <xf numFmtId="0" fontId="0" fillId="0" borderId="0" xfId="206" applyFont="1" applyAlignment="1" applyProtection="1">
      <alignment horizontal="center" vertical="center"/>
      <protection hidden="1"/>
    </xf>
    <xf numFmtId="0" fontId="15" fillId="17" borderId="15" xfId="0" applyFont="1" applyFill="1" applyBorder="1" applyAlignment="1">
      <alignment horizontal="center" vertical="center"/>
    </xf>
    <xf numFmtId="0" fontId="91" fillId="11" borderId="15" xfId="0" applyFont="1" applyFill="1" applyBorder="1" applyAlignment="1">
      <alignment horizontal="center" vertical="center" wrapText="1"/>
    </xf>
    <xf numFmtId="0" fontId="15" fillId="7" borderId="4" xfId="211" applyFont="1" applyFill="1" applyBorder="1" applyAlignment="1" applyProtection="1">
      <alignment horizontal="center" vertical="center" wrapText="1"/>
    </xf>
    <xf numFmtId="0" fontId="15" fillId="2" borderId="0" xfId="211" applyFont="1" applyFill="1" applyBorder="1" applyAlignment="1" applyProtection="1">
      <alignment horizontal="center" vertical="center" wrapText="1"/>
    </xf>
    <xf numFmtId="0" fontId="0" fillId="0" borderId="0" xfId="200" applyNumberFormat="1" applyFont="1" applyFill="1" applyBorder="1" applyAlignment="1" applyProtection="1">
      <alignment horizontal="center" vertical="center"/>
      <protection hidden="1"/>
    </xf>
    <xf numFmtId="0" fontId="0" fillId="0" borderId="0" xfId="206" applyFont="1" applyAlignment="1">
      <alignment horizontal="center" vertical="center"/>
    </xf>
    <xf numFmtId="164" fontId="32" fillId="14" borderId="0" xfId="206" applyNumberFormat="1" applyFont="1" applyFill="1" applyAlignment="1" applyProtection="1">
      <alignment vertical="center"/>
      <protection hidden="1"/>
    </xf>
    <xf numFmtId="164" fontId="32" fillId="14" borderId="0" xfId="206" applyNumberFormat="1" applyFont="1" applyFill="1" applyAlignment="1" applyProtection="1">
      <alignment horizontal="center" vertical="center"/>
      <protection hidden="1"/>
    </xf>
    <xf numFmtId="0" fontId="4" fillId="0" borderId="0" xfId="0" applyFont="1" applyAlignment="1">
      <alignment horizontal="center" vertical="top" wrapText="1"/>
    </xf>
    <xf numFmtId="0" fontId="39" fillId="14" borderId="0" xfId="0" applyFont="1" applyFill="1" applyAlignment="1">
      <alignment horizontal="center" vertical="center"/>
    </xf>
    <xf numFmtId="0" fontId="15" fillId="15" borderId="4" xfId="0" applyFont="1" applyFill="1" applyBorder="1" applyAlignment="1">
      <alignment horizontal="center" vertical="top" wrapText="1"/>
    </xf>
    <xf numFmtId="2" fontId="4" fillId="0" borderId="4" xfId="200" applyNumberFormat="1" applyFont="1" applyFill="1" applyBorder="1" applyAlignment="1" applyProtection="1">
      <alignment horizontal="center" vertical="top" wrapText="1"/>
    </xf>
    <xf numFmtId="2" fontId="5" fillId="13" borderId="4" xfId="200" applyNumberFormat="1" applyFont="1" applyFill="1" applyBorder="1" applyAlignment="1" applyProtection="1">
      <alignment horizontal="center" vertical="top"/>
    </xf>
    <xf numFmtId="0" fontId="39" fillId="13" borderId="4" xfId="0" applyFont="1" applyFill="1" applyBorder="1" applyAlignment="1">
      <alignment horizontal="center" vertical="top"/>
    </xf>
    <xf numFmtId="2" fontId="5" fillId="0" borderId="0" xfId="200" applyNumberFormat="1" applyFont="1" applyFill="1" applyBorder="1" applyAlignment="1" applyProtection="1">
      <alignment horizontal="center" vertical="top"/>
    </xf>
    <xf numFmtId="2" fontId="4" fillId="0" borderId="0" xfId="200" applyNumberFormat="1" applyFont="1" applyFill="1" applyBorder="1" applyAlignment="1" applyProtection="1">
      <alignment horizontal="center" vertical="top"/>
    </xf>
    <xf numFmtId="2" fontId="4" fillId="0" borderId="0" xfId="200" applyNumberFormat="1" applyFont="1" applyFill="1" applyBorder="1" applyAlignment="1" applyProtection="1">
      <alignment horizontal="center" vertical="top"/>
      <protection hidden="1"/>
    </xf>
    <xf numFmtId="0" fontId="39" fillId="0" borderId="0" xfId="0" applyFont="1" applyAlignment="1" applyProtection="1">
      <alignment horizontal="center" vertical="top"/>
      <protection hidden="1"/>
    </xf>
    <xf numFmtId="4" fontId="39" fillId="0" borderId="0" xfId="200" applyNumberFormat="1" applyFont="1" applyFill="1" applyBorder="1" applyAlignment="1" applyProtection="1">
      <alignment horizontal="center" vertical="top"/>
      <protection hidden="1"/>
    </xf>
    <xf numFmtId="164" fontId="42" fillId="14" borderId="0" xfId="206" applyNumberFormat="1" applyFont="1" applyFill="1" applyAlignment="1" applyProtection="1">
      <alignment horizontal="center" vertical="center"/>
      <protection hidden="1"/>
    </xf>
    <xf numFmtId="164" fontId="5" fillId="0" borderId="5" xfId="0" applyNumberFormat="1" applyFont="1" applyBorder="1" applyAlignment="1">
      <alignment horizontal="center" vertical="top"/>
    </xf>
    <xf numFmtId="164" fontId="5" fillId="0" borderId="0" xfId="206" applyNumberFormat="1" applyFont="1" applyAlignment="1" applyProtection="1">
      <alignment horizontal="center" vertical="top"/>
      <protection hidden="1"/>
    </xf>
    <xf numFmtId="0" fontId="5" fillId="0" borderId="0" xfId="200" applyNumberFormat="1" applyFont="1" applyFill="1" applyBorder="1" applyAlignment="1" applyProtection="1">
      <alignment horizontal="center" vertical="top" wrapText="1"/>
    </xf>
    <xf numFmtId="0" fontId="55" fillId="0" borderId="0" xfId="0" applyFont="1" applyAlignment="1">
      <alignment horizontal="center" vertical="top"/>
    </xf>
    <xf numFmtId="43" fontId="15" fillId="7" borderId="4" xfId="11" applyFont="1" applyFill="1" applyBorder="1" applyAlignment="1" applyProtection="1">
      <alignment horizontal="right" vertical="top"/>
    </xf>
    <xf numFmtId="1" fontId="108" fillId="0" borderId="4" xfId="200" applyNumberFormat="1" applyFont="1" applyFill="1" applyBorder="1" applyAlignment="1" applyProtection="1">
      <alignment horizontal="center" vertical="top"/>
      <protection locked="0"/>
    </xf>
    <xf numFmtId="9" fontId="107" fillId="0" borderId="4" xfId="0" applyNumberFormat="1" applyFont="1" applyBorder="1" applyAlignment="1">
      <alignment horizontal="center" vertical="top"/>
    </xf>
    <xf numFmtId="10" fontId="108" fillId="0" borderId="4" xfId="200" applyNumberFormat="1" applyFont="1" applyFill="1" applyBorder="1" applyAlignment="1" applyProtection="1">
      <alignment horizontal="center" vertical="top"/>
      <protection locked="0" hidden="1"/>
    </xf>
    <xf numFmtId="0" fontId="108" fillId="0" borderId="4" xfId="201" applyNumberFormat="1" applyFont="1" applyFill="1" applyBorder="1" applyAlignment="1" applyProtection="1">
      <alignment horizontal="justify" vertical="top" wrapText="1"/>
    </xf>
    <xf numFmtId="178" fontId="108" fillId="0" borderId="4" xfId="70" applyNumberFormat="1" applyFont="1" applyBorder="1" applyAlignment="1">
      <alignment horizontal="center" vertical="top" wrapText="1"/>
    </xf>
    <xf numFmtId="0" fontId="108" fillId="0" borderId="4" xfId="201" applyNumberFormat="1" applyFont="1" applyFill="1" applyBorder="1" applyAlignment="1" applyProtection="1">
      <alignment horizontal="center" vertical="top"/>
    </xf>
    <xf numFmtId="1" fontId="108" fillId="0" borderId="4" xfId="200" applyNumberFormat="1" applyFont="1" applyFill="1" applyBorder="1" applyAlignment="1" applyProtection="1">
      <alignment horizontal="right" vertical="top"/>
      <protection locked="0"/>
    </xf>
    <xf numFmtId="2" fontId="108" fillId="0" borderId="4" xfId="200" applyNumberFormat="1" applyFont="1" applyFill="1" applyBorder="1" applyAlignment="1" applyProtection="1">
      <alignment horizontal="right" vertical="top"/>
    </xf>
    <xf numFmtId="2" fontId="108" fillId="0" borderId="4" xfId="200" applyNumberFormat="1" applyFont="1" applyFill="1" applyBorder="1" applyProtection="1">
      <alignment vertical="top"/>
    </xf>
    <xf numFmtId="10" fontId="15" fillId="0" borderId="5" xfId="0" applyNumberFormat="1" applyFont="1" applyBorder="1" applyAlignment="1">
      <alignment horizontal="left" vertical="top"/>
    </xf>
    <xf numFmtId="0" fontId="0" fillId="0" borderId="5" xfId="0" applyBorder="1" applyAlignment="1">
      <alignment vertical="top"/>
    </xf>
    <xf numFmtId="0" fontId="27" fillId="0" borderId="0" xfId="0" applyFont="1" applyAlignment="1">
      <alignment horizontal="left" vertical="top"/>
    </xf>
    <xf numFmtId="0" fontId="0" fillId="5" borderId="0" xfId="0" applyFill="1" applyAlignment="1">
      <alignment horizontal="left" vertical="top"/>
    </xf>
    <xf numFmtId="0" fontId="0" fillId="5" borderId="0" xfId="0" applyFill="1" applyAlignment="1">
      <alignment vertical="top"/>
    </xf>
    <xf numFmtId="10" fontId="23" fillId="15" borderId="4" xfId="0" applyNumberFormat="1" applyFont="1" applyFill="1" applyBorder="1" applyAlignment="1">
      <alignment horizontal="center" vertical="top" wrapText="1"/>
    </xf>
    <xf numFmtId="0" fontId="15" fillId="0" borderId="0" xfId="0" applyFont="1" applyAlignment="1" applyProtection="1">
      <alignment horizontal="center" vertical="top" wrapText="1"/>
      <protection hidden="1"/>
    </xf>
    <xf numFmtId="10" fontId="0" fillId="0" borderId="0" xfId="0" applyNumberFormat="1" applyAlignment="1">
      <alignment horizontal="center" vertical="top"/>
    </xf>
    <xf numFmtId="0" fontId="0" fillId="0" borderId="0" xfId="0" applyAlignment="1">
      <alignment horizontal="left" vertical="top"/>
    </xf>
    <xf numFmtId="10" fontId="15" fillId="0" borderId="0" xfId="206" applyNumberFormat="1" applyFont="1" applyAlignment="1" applyProtection="1">
      <alignment vertical="top"/>
      <protection hidden="1"/>
    </xf>
    <xf numFmtId="0" fontId="0" fillId="0" borderId="0" xfId="206" applyFont="1" applyAlignment="1" applyProtection="1">
      <alignment vertical="top"/>
      <protection hidden="1"/>
    </xf>
    <xf numFmtId="1" fontId="0" fillId="0" borderId="0" xfId="0" applyNumberFormat="1" applyAlignment="1">
      <alignment vertical="top"/>
    </xf>
    <xf numFmtId="10" fontId="15" fillId="0" borderId="0" xfId="0" applyNumberFormat="1" applyFont="1" applyAlignment="1">
      <alignment horizontal="center" vertical="top"/>
    </xf>
    <xf numFmtId="2" fontId="0" fillId="0" borderId="0" xfId="0" applyNumberFormat="1" applyAlignment="1">
      <alignment horizontal="center" vertical="top"/>
    </xf>
    <xf numFmtId="10" fontId="0" fillId="0" borderId="0" xfId="206" applyNumberFormat="1" applyFont="1" applyAlignment="1" applyProtection="1">
      <alignment vertical="top"/>
      <protection hidden="1"/>
    </xf>
    <xf numFmtId="2" fontId="15" fillId="0" borderId="0" xfId="0" applyNumberFormat="1" applyFont="1" applyAlignment="1">
      <alignment horizontal="center" vertical="top"/>
    </xf>
    <xf numFmtId="179" fontId="0" fillId="0" borderId="0" xfId="0" applyNumberFormat="1" applyAlignment="1">
      <alignment horizontal="center" vertical="top"/>
    </xf>
    <xf numFmtId="0" fontId="0" fillId="0" borderId="0" xfId="0" applyAlignment="1" applyProtection="1">
      <alignment horizontal="center" vertical="top"/>
      <protection hidden="1"/>
    </xf>
    <xf numFmtId="15" fontId="0" fillId="0" borderId="0" xfId="0" applyNumberFormat="1" applyAlignment="1">
      <alignment vertical="top"/>
    </xf>
    <xf numFmtId="0" fontId="23" fillId="15" borderId="23" xfId="0" applyFont="1" applyFill="1" applyBorder="1" applyAlignment="1">
      <alignment horizontal="center" vertical="top"/>
    </xf>
    <xf numFmtId="0" fontId="23" fillId="15" borderId="15" xfId="0" applyFont="1" applyFill="1" applyBorder="1" applyAlignment="1">
      <alignment horizontal="center" vertical="top"/>
    </xf>
    <xf numFmtId="0" fontId="18" fillId="15" borderId="36" xfId="0" applyFont="1" applyFill="1" applyBorder="1" applyAlignment="1">
      <alignment horizontal="center" vertical="top"/>
    </xf>
    <xf numFmtId="10" fontId="15" fillId="0" borderId="4" xfId="0" applyNumberFormat="1" applyFont="1" applyBorder="1" applyAlignment="1">
      <alignment horizontal="left" vertical="top" wrapText="1"/>
    </xf>
    <xf numFmtId="0" fontId="15" fillId="0" borderId="4" xfId="0" applyFont="1" applyBorder="1" applyAlignment="1">
      <alignment horizontal="center" vertical="top" wrapText="1"/>
    </xf>
    <xf numFmtId="43" fontId="0" fillId="0" borderId="4" xfId="0" applyNumberFormat="1" applyBorder="1" applyAlignment="1">
      <alignment horizontal="left" vertical="top" wrapText="1"/>
    </xf>
    <xf numFmtId="43" fontId="0" fillId="0" borderId="4" xfId="0" applyNumberFormat="1" applyBorder="1" applyAlignment="1">
      <alignment horizontal="center" vertical="top" wrapText="1"/>
    </xf>
    <xf numFmtId="1" fontId="33" fillId="0" borderId="0" xfId="0" applyNumberFormat="1" applyFont="1" applyAlignment="1" applyProtection="1">
      <alignment vertical="top"/>
      <protection hidden="1"/>
    </xf>
    <xf numFmtId="0" fontId="15" fillId="0" borderId="4" xfId="214" applyFont="1" applyFill="1" applyBorder="1" applyAlignment="1">
      <alignment horizontal="left" vertical="top" wrapText="1"/>
    </xf>
    <xf numFmtId="0" fontId="15" fillId="17" borderId="4" xfId="0" applyFont="1" applyFill="1" applyBorder="1" applyAlignment="1">
      <alignment horizontal="left" vertical="top" wrapText="1"/>
    </xf>
    <xf numFmtId="0" fontId="15" fillId="17" borderId="4" xfId="0" applyFont="1" applyFill="1" applyBorder="1" applyAlignment="1">
      <alignment horizontal="center" vertical="top" wrapText="1"/>
    </xf>
    <xf numFmtId="43" fontId="0" fillId="17" borderId="4" xfId="0" applyNumberFormat="1" applyFill="1" applyBorder="1" applyAlignment="1">
      <alignment horizontal="left" vertical="top" wrapText="1"/>
    </xf>
    <xf numFmtId="43" fontId="0" fillId="17" borderId="4" xfId="0" applyNumberFormat="1" applyFill="1" applyBorder="1" applyAlignment="1">
      <alignment horizontal="center" vertical="top" wrapText="1"/>
    </xf>
    <xf numFmtId="2" fontId="0" fillId="0" borderId="4" xfId="0" applyNumberFormat="1" applyBorder="1" applyAlignment="1">
      <alignment horizontal="center" vertical="top" wrapText="1"/>
    </xf>
    <xf numFmtId="0" fontId="91" fillId="0" borderId="0" xfId="0" applyFont="1" applyAlignment="1">
      <alignment horizontal="justify" vertical="center"/>
    </xf>
    <xf numFmtId="177" fontId="91" fillId="0" borderId="0" xfId="0" applyNumberFormat="1" applyFont="1" applyAlignment="1">
      <alignment vertical="center"/>
    </xf>
    <xf numFmtId="0" fontId="92" fillId="0" borderId="0" xfId="0" applyFont="1" applyAlignment="1">
      <alignment vertical="center"/>
    </xf>
    <xf numFmtId="10" fontId="91" fillId="0" borderId="0" xfId="0" applyNumberFormat="1" applyFont="1" applyAlignment="1">
      <alignment horizontal="justify" vertical="center"/>
    </xf>
    <xf numFmtId="14" fontId="92" fillId="0" borderId="0" xfId="0" applyNumberFormat="1" applyFont="1" applyAlignment="1">
      <alignment horizontal="center" vertical="center"/>
    </xf>
    <xf numFmtId="0" fontId="91" fillId="0" borderId="0" xfId="0" applyFont="1" applyAlignment="1">
      <alignment horizontal="center" vertical="center"/>
    </xf>
    <xf numFmtId="0" fontId="92" fillId="0" borderId="0" xfId="0" applyFont="1" applyAlignment="1">
      <alignment horizontal="center" vertical="center"/>
    </xf>
    <xf numFmtId="0" fontId="93" fillId="0" borderId="0" xfId="0" applyFont="1" applyAlignment="1">
      <alignment horizontal="left" vertical="center"/>
    </xf>
    <xf numFmtId="0" fontId="94" fillId="0" borderId="0" xfId="0" applyFont="1" applyAlignment="1">
      <alignment horizontal="center" vertical="center"/>
    </xf>
    <xf numFmtId="0" fontId="94" fillId="0" borderId="0" xfId="0" applyFont="1" applyAlignment="1">
      <alignment vertical="center"/>
    </xf>
    <xf numFmtId="10" fontId="94" fillId="0" borderId="0" xfId="0" applyNumberFormat="1" applyFont="1" applyAlignment="1">
      <alignment horizontal="center" vertical="center"/>
    </xf>
    <xf numFmtId="0" fontId="0" fillId="6" borderId="35" xfId="0" applyFill="1" applyBorder="1" applyAlignment="1">
      <alignment horizontal="center" vertical="top" wrapText="1"/>
    </xf>
    <xf numFmtId="0" fontId="0" fillId="6" borderId="5" xfId="0" applyFill="1" applyBorder="1" applyAlignment="1">
      <alignment horizontal="center" vertical="top" wrapText="1"/>
    </xf>
    <xf numFmtId="43" fontId="15" fillId="6" borderId="13" xfId="11" applyFont="1" applyFill="1" applyBorder="1" applyAlignment="1" applyProtection="1">
      <alignment horizontal="center" vertical="top"/>
    </xf>
    <xf numFmtId="43" fontId="0" fillId="6" borderId="13" xfId="11" applyFont="1" applyFill="1" applyBorder="1" applyAlignment="1" applyProtection="1">
      <alignment horizontal="center" vertical="top"/>
    </xf>
    <xf numFmtId="0" fontId="0" fillId="0" borderId="23" xfId="211" applyNumberFormat="1" applyFont="1" applyFill="1" applyBorder="1" applyAlignment="1" applyProtection="1">
      <alignment horizontal="center" vertical="top"/>
    </xf>
    <xf numFmtId="0" fontId="0" fillId="0" borderId="3" xfId="211" applyNumberFormat="1" applyFont="1" applyFill="1" applyBorder="1" applyAlignment="1" applyProtection="1">
      <alignment horizontal="center" vertical="top"/>
    </xf>
    <xf numFmtId="43" fontId="0" fillId="0" borderId="4" xfId="11" applyFont="1" applyFill="1" applyBorder="1" applyAlignment="1" applyProtection="1">
      <alignment horizontal="center" vertical="top"/>
    </xf>
    <xf numFmtId="0" fontId="0" fillId="0" borderId="36" xfId="0" applyBorder="1" applyAlignment="1">
      <alignment horizontal="center" vertical="top"/>
    </xf>
    <xf numFmtId="0" fontId="0" fillId="7" borderId="37" xfId="211" applyNumberFormat="1" applyFont="1" applyFill="1" applyBorder="1" applyAlignment="1" applyProtection="1">
      <alignment horizontal="center" vertical="top"/>
    </xf>
    <xf numFmtId="0" fontId="0" fillId="7" borderId="38" xfId="211" applyNumberFormat="1" applyFont="1" applyFill="1" applyBorder="1" applyAlignment="1" applyProtection="1">
      <alignment horizontal="center" vertical="top"/>
    </xf>
    <xf numFmtId="43" fontId="15" fillId="7" borderId="4" xfId="11" applyFont="1" applyFill="1" applyBorder="1" applyAlignment="1" applyProtection="1">
      <alignment horizontal="center" vertical="top"/>
    </xf>
    <xf numFmtId="0" fontId="0" fillId="7" borderId="4" xfId="0" applyFill="1" applyBorder="1" applyAlignment="1">
      <alignment horizontal="center" vertical="top"/>
    </xf>
    <xf numFmtId="2" fontId="15" fillId="0" borderId="0" xfId="0" applyNumberFormat="1" applyFont="1" applyAlignment="1">
      <alignment vertical="top"/>
    </xf>
    <xf numFmtId="0" fontId="0" fillId="0" borderId="0" xfId="0" applyAlignment="1">
      <alignment horizontal="right" vertical="top"/>
    </xf>
    <xf numFmtId="0" fontId="0" fillId="7" borderId="0" xfId="211" applyNumberFormat="1" applyFont="1" applyFill="1" applyBorder="1" applyAlignment="1" applyProtection="1">
      <alignment horizontal="center" vertical="top"/>
    </xf>
    <xf numFmtId="43" fontId="0" fillId="7" borderId="4" xfId="11" applyFont="1" applyFill="1" applyBorder="1" applyAlignment="1" applyProtection="1">
      <alignment horizontal="center" vertical="top"/>
    </xf>
    <xf numFmtId="1" fontId="15" fillId="15" borderId="4" xfId="0" applyNumberFormat="1" applyFont="1" applyFill="1" applyBorder="1" applyAlignment="1">
      <alignment horizontal="center" vertical="top" wrapText="1"/>
    </xf>
    <xf numFmtId="1" fontId="15" fillId="15" borderId="4" xfId="0" applyNumberFormat="1" applyFont="1" applyFill="1" applyBorder="1" applyAlignment="1">
      <alignment horizontal="center" vertical="center" wrapText="1"/>
    </xf>
    <xf numFmtId="0" fontId="15" fillId="15" borderId="4" xfId="0" applyFont="1" applyFill="1" applyBorder="1" applyAlignment="1">
      <alignment horizontal="center" vertical="center" wrapText="1"/>
    </xf>
    <xf numFmtId="0" fontId="16" fillId="0" borderId="4" xfId="0" applyFont="1" applyBorder="1" applyAlignment="1">
      <alignment horizontal="justify" vertical="top" wrapText="1"/>
    </xf>
    <xf numFmtId="0" fontId="16" fillId="0" borderId="4" xfId="0" applyFont="1" applyBorder="1" applyAlignment="1">
      <alignment horizontal="center" vertical="top" wrapText="1"/>
    </xf>
    <xf numFmtId="0" fontId="18" fillId="0" borderId="0" xfId="203"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200" applyNumberFormat="1" applyFont="1" applyFill="1" applyBorder="1" applyAlignment="1" applyProtection="1">
      <alignment vertical="center"/>
      <protection hidden="1"/>
    </xf>
    <xf numFmtId="0" fontId="0" fillId="0" borderId="0" xfId="200" applyNumberFormat="1" applyFont="1" applyFill="1" applyBorder="1" applyAlignment="1" applyProtection="1">
      <alignment vertical="center" wrapText="1"/>
      <protection hidden="1"/>
    </xf>
    <xf numFmtId="0" fontId="0" fillId="0" borderId="0" xfId="206"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06" applyFont="1" applyAlignment="1" applyProtection="1">
      <alignment horizontal="left" vertical="center" indent="1"/>
      <protection hidden="1"/>
    </xf>
    <xf numFmtId="0" fontId="5" fillId="11" borderId="15" xfId="0" applyFont="1" applyFill="1" applyBorder="1" applyAlignment="1">
      <alignment horizontal="center" vertical="top" wrapText="1"/>
    </xf>
    <xf numFmtId="14" fontId="0" fillId="0" borderId="0" xfId="0" applyNumberFormat="1" applyAlignment="1" applyProtection="1">
      <alignment horizontal="left" vertical="center"/>
      <protection hidden="1"/>
    </xf>
    <xf numFmtId="0" fontId="0" fillId="0" borderId="0" xfId="0" applyAlignment="1" applyProtection="1">
      <alignment horizontal="right" vertical="center"/>
      <protection hidden="1"/>
    </xf>
    <xf numFmtId="0" fontId="5" fillId="15" borderId="4" xfId="0" applyFont="1" applyFill="1" applyBorder="1" applyAlignment="1">
      <alignment horizontal="center" vertical="top" wrapText="1"/>
    </xf>
    <xf numFmtId="0" fontId="5" fillId="15" borderId="15" xfId="0" applyFont="1" applyFill="1" applyBorder="1" applyAlignment="1">
      <alignment horizontal="center" vertical="top" wrapText="1"/>
    </xf>
    <xf numFmtId="0" fontId="16" fillId="0" borderId="0" xfId="0" applyFont="1" applyAlignment="1" applyProtection="1">
      <alignment horizontal="center"/>
      <protection hidden="1"/>
    </xf>
    <xf numFmtId="0" fontId="4" fillId="2" borderId="4" xfId="199" applyNumberFormat="1" applyFont="1" applyFill="1" applyBorder="1" applyAlignment="1" applyProtection="1">
      <alignment horizontal="center" vertical="top" wrapText="1"/>
    </xf>
    <xf numFmtId="0" fontId="16" fillId="0" borderId="4" xfId="0" applyFont="1" applyBorder="1" applyAlignment="1">
      <alignment horizontal="center" vertical="center"/>
    </xf>
    <xf numFmtId="0" fontId="4" fillId="2" borderId="4" xfId="199" applyNumberFormat="1" applyFont="1" applyFill="1" applyBorder="1" applyAlignment="1" applyProtection="1">
      <alignment vertical="top" wrapText="1"/>
    </xf>
    <xf numFmtId="2" fontId="4" fillId="0" borderId="4" xfId="0" applyNumberFormat="1" applyFont="1" applyBorder="1" applyAlignment="1">
      <alignment vertical="top"/>
    </xf>
    <xf numFmtId="2" fontId="0" fillId="0" borderId="4" xfId="0" applyNumberFormat="1" applyBorder="1" applyAlignment="1">
      <alignment horizontal="right" vertical="top" wrapText="1"/>
    </xf>
    <xf numFmtId="2" fontId="0" fillId="0" borderId="4" xfId="200" applyNumberFormat="1" applyFont="1" applyFill="1" applyBorder="1" applyAlignment="1" applyProtection="1">
      <alignment horizontal="right" vertical="top" wrapText="1"/>
      <protection locked="0" hidden="1"/>
    </xf>
    <xf numFmtId="0" fontId="86" fillId="0" borderId="0" xfId="0" quotePrefix="1" applyFont="1" applyAlignment="1" applyProtection="1">
      <alignment horizontal="left" vertical="center"/>
      <protection hidden="1"/>
    </xf>
    <xf numFmtId="0" fontId="86" fillId="0" borderId="0" xfId="0" applyFont="1" applyAlignment="1" applyProtection="1">
      <alignment vertical="center"/>
      <protection hidden="1"/>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00" fillId="15" borderId="16" xfId="205" applyFont="1" applyFill="1" applyBorder="1" applyAlignment="1" applyProtection="1">
      <alignment horizontal="justify" vertical="center" wrapText="1"/>
      <protection hidden="1"/>
    </xf>
    <xf numFmtId="0" fontId="100" fillId="15" borderId="39" xfId="205" applyFont="1" applyFill="1" applyBorder="1" applyAlignment="1" applyProtection="1">
      <alignment horizontal="justify" vertical="center" wrapText="1"/>
      <protection hidden="1"/>
    </xf>
    <xf numFmtId="0" fontId="100" fillId="15" borderId="17" xfId="205" applyFont="1" applyFill="1" applyBorder="1" applyAlignment="1" applyProtection="1">
      <alignment horizontal="justify" vertical="center" wrapText="1"/>
      <protection hidden="1"/>
    </xf>
    <xf numFmtId="0" fontId="21" fillId="0" borderId="18" xfId="205" applyFont="1" applyBorder="1" applyAlignment="1" applyProtection="1">
      <alignment horizontal="center" vertical="center"/>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4" fillId="0" borderId="6" xfId="205" applyFont="1" applyBorder="1" applyAlignment="1" applyProtection="1">
      <alignment horizontal="right" vertical="center"/>
      <protection hidden="1"/>
    </xf>
    <xf numFmtId="0" fontId="24" fillId="0" borderId="0" xfId="205" applyFont="1" applyAlignment="1" applyProtection="1">
      <alignment horizontal="right" vertical="center"/>
      <protection hidden="1"/>
    </xf>
    <xf numFmtId="0" fontId="22" fillId="0" borderId="6" xfId="205" applyFont="1" applyBorder="1" applyAlignment="1" applyProtection="1">
      <alignment horizontal="right" vertical="center"/>
      <protection hidden="1"/>
    </xf>
    <xf numFmtId="0" fontId="22" fillId="0" borderId="0" xfId="205" applyFont="1" applyAlignment="1" applyProtection="1">
      <alignment horizontal="right" vertical="center"/>
      <protection hidden="1"/>
    </xf>
    <xf numFmtId="0" fontId="25" fillId="0" borderId="4" xfId="205" applyFont="1" applyBorder="1" applyAlignment="1" applyProtection="1">
      <alignment horizontal="center" vertical="center"/>
      <protection hidden="1"/>
    </xf>
    <xf numFmtId="0" fontId="18" fillId="0" borderId="4" xfId="205" applyFont="1" applyBorder="1" applyAlignment="1" applyProtection="1">
      <alignment horizontal="center" vertical="center"/>
      <protection hidden="1"/>
    </xf>
    <xf numFmtId="0" fontId="109" fillId="0" borderId="11" xfId="205" applyFont="1" applyBorder="1" applyAlignment="1" applyProtection="1">
      <alignment horizontal="center" vertical="center" textRotation="90"/>
      <protection hidden="1"/>
    </xf>
    <xf numFmtId="0" fontId="109" fillId="0" borderId="12" xfId="205" applyFont="1" applyBorder="1" applyAlignment="1" applyProtection="1">
      <alignment horizontal="center" vertical="center" textRotation="90"/>
      <protection hidden="1"/>
    </xf>
    <xf numFmtId="0" fontId="109" fillId="0" borderId="13" xfId="205" applyFont="1" applyBorder="1" applyAlignment="1" applyProtection="1">
      <alignment horizontal="center" vertical="center" textRotation="90"/>
      <protection hidden="1"/>
    </xf>
    <xf numFmtId="0" fontId="110" fillId="0" borderId="11" xfId="205" applyFont="1" applyBorder="1" applyAlignment="1" applyProtection="1">
      <alignment horizontal="center" vertical="center" textRotation="90"/>
      <protection hidden="1"/>
    </xf>
    <xf numFmtId="0" fontId="110" fillId="0" borderId="12" xfId="205" applyFont="1" applyBorder="1" applyAlignment="1" applyProtection="1">
      <alignment horizontal="center" vertical="center" textRotation="90"/>
      <protection hidden="1"/>
    </xf>
    <xf numFmtId="0" fontId="110" fillId="0" borderId="13" xfId="205" applyFont="1" applyBorder="1" applyAlignment="1" applyProtection="1">
      <alignment horizontal="center" vertical="center" textRotation="90"/>
      <protection hidden="1"/>
    </xf>
    <xf numFmtId="0" fontId="24" fillId="0" borderId="8" xfId="205" applyFont="1" applyBorder="1" applyAlignment="1" applyProtection="1">
      <alignment horizontal="right" vertical="center"/>
      <protection hidden="1"/>
    </xf>
    <xf numFmtId="0" fontId="24" fillId="0" borderId="5" xfId="205" applyFont="1" applyBorder="1" applyAlignment="1" applyProtection="1">
      <alignment horizontal="right" vertical="center"/>
      <protection hidden="1"/>
    </xf>
    <xf numFmtId="0" fontId="22" fillId="0" borderId="29" xfId="205" applyFont="1" applyBorder="1" applyAlignment="1" applyProtection="1">
      <alignment horizontal="right" vertical="center"/>
      <protection hidden="1"/>
    </xf>
    <xf numFmtId="0" fontId="22" fillId="0" borderId="10" xfId="205" applyFont="1" applyBorder="1" applyAlignment="1" applyProtection="1">
      <alignment horizontal="right" vertical="center"/>
      <protection hidden="1"/>
    </xf>
    <xf numFmtId="0" fontId="1" fillId="0" borderId="6" xfId="205" applyBorder="1"/>
    <xf numFmtId="0" fontId="1" fillId="0" borderId="0" xfId="205"/>
    <xf numFmtId="0" fontId="1" fillId="0" borderId="7" xfId="205" applyBorder="1"/>
    <xf numFmtId="0" fontId="31" fillId="9"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42" fillId="0" borderId="40" xfId="0" applyFont="1" applyBorder="1" applyAlignment="1" applyProtection="1">
      <alignment horizontal="center" vertical="top"/>
      <protection hidden="1"/>
    </xf>
    <xf numFmtId="0" fontId="42" fillId="0" borderId="0" xfId="0" applyFont="1" applyAlignment="1" applyProtection="1">
      <alignment horizontal="center" vertical="top"/>
      <protection hidden="1"/>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60" fillId="4" borderId="16" xfId="197" applyFont="1" applyFill="1" applyBorder="1" applyAlignment="1" applyProtection="1">
      <alignment horizontal="left" vertical="center"/>
      <protection locked="0"/>
    </xf>
    <xf numFmtId="0" fontId="60" fillId="4" borderId="39" xfId="197" applyFont="1" applyFill="1" applyBorder="1" applyAlignment="1" applyProtection="1">
      <alignment horizontal="left" vertical="center"/>
      <protection locked="0"/>
    </xf>
    <xf numFmtId="0" fontId="60"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40" fillId="15"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7" fillId="9"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93" fillId="0" borderId="0" xfId="0" applyFont="1" applyAlignment="1">
      <alignment horizontal="center" vertical="top"/>
    </xf>
    <xf numFmtId="0" fontId="91" fillId="0" borderId="0" xfId="0" applyFont="1" applyAlignment="1">
      <alignment horizontal="center" vertical="top"/>
    </xf>
    <xf numFmtId="0" fontId="92" fillId="0" borderId="0" xfId="0" applyFont="1" applyAlignment="1">
      <alignment horizontal="center" vertical="top"/>
    </xf>
    <xf numFmtId="0" fontId="101" fillId="17" borderId="14" xfId="0" applyFont="1" applyFill="1" applyBorder="1" applyAlignment="1">
      <alignment horizontal="left" vertical="top" wrapText="1"/>
    </xf>
    <xf numFmtId="0" fontId="101" fillId="17" borderId="3" xfId="0" applyFont="1" applyFill="1" applyBorder="1" applyAlignment="1">
      <alignment horizontal="left" vertical="top" wrapText="1"/>
    </xf>
    <xf numFmtId="0" fontId="101" fillId="17" borderId="15" xfId="0" applyFont="1" applyFill="1" applyBorder="1" applyAlignment="1">
      <alignment horizontal="left" vertical="top" wrapText="1"/>
    </xf>
    <xf numFmtId="0" fontId="15" fillId="0" borderId="3" xfId="211" applyNumberFormat="1" applyFont="1" applyFill="1" applyBorder="1" applyAlignment="1" applyProtection="1">
      <alignment horizontal="left" vertical="top"/>
    </xf>
    <xf numFmtId="0" fontId="15" fillId="0" borderId="15" xfId="211" applyNumberFormat="1" applyFont="1" applyFill="1" applyBorder="1" applyAlignment="1" applyProtection="1">
      <alignment horizontal="left" vertical="top"/>
    </xf>
    <xf numFmtId="0" fontId="15" fillId="7" borderId="4" xfId="211" applyNumberFormat="1" applyFont="1" applyFill="1" applyBorder="1" applyAlignment="1" applyProtection="1">
      <alignment horizontal="left" vertical="top" wrapText="1"/>
    </xf>
    <xf numFmtId="0" fontId="93" fillId="0" borderId="0" xfId="0" applyFont="1" applyAlignment="1" applyProtection="1">
      <alignment horizontal="justify" vertical="top" wrapText="1"/>
      <protection hidden="1"/>
    </xf>
    <xf numFmtId="0" fontId="93" fillId="0" borderId="0" xfId="0" applyFont="1" applyAlignment="1" applyProtection="1">
      <alignment horizontal="center" vertical="top" wrapText="1"/>
      <protection hidden="1"/>
    </xf>
    <xf numFmtId="10" fontId="15" fillId="6" borderId="5" xfId="0" applyNumberFormat="1" applyFont="1" applyFill="1" applyBorder="1" applyAlignment="1">
      <alignment horizontal="center" vertical="top" wrapText="1"/>
    </xf>
    <xf numFmtId="10" fontId="15" fillId="6" borderId="9" xfId="0" applyNumberFormat="1" applyFont="1" applyFill="1" applyBorder="1" applyAlignment="1">
      <alignment horizontal="center" vertical="top" wrapText="1"/>
    </xf>
    <xf numFmtId="0" fontId="95" fillId="0" borderId="41" xfId="211" applyNumberFormat="1" applyFont="1" applyFill="1" applyBorder="1" applyAlignment="1" applyProtection="1">
      <alignment horizontal="justify" vertical="top"/>
    </xf>
    <xf numFmtId="0" fontId="95" fillId="0" borderId="0" xfId="211" applyNumberFormat="1" applyFont="1" applyFill="1" applyBorder="1" applyAlignment="1" applyProtection="1">
      <alignment horizontal="justify" vertical="top"/>
    </xf>
    <xf numFmtId="0" fontId="15" fillId="7" borderId="14" xfId="211" applyNumberFormat="1" applyFont="1" applyFill="1" applyBorder="1" applyAlignment="1" applyProtection="1">
      <alignment horizontal="left" vertical="top" wrapText="1"/>
    </xf>
    <xf numFmtId="0" fontId="15" fillId="7" borderId="3" xfId="211" applyNumberFormat="1" applyFont="1" applyFill="1" applyBorder="1" applyAlignment="1" applyProtection="1">
      <alignment horizontal="left" vertical="top" wrapText="1"/>
    </xf>
    <xf numFmtId="0" fontId="15" fillId="7" borderId="15" xfId="211" applyNumberFormat="1" applyFont="1" applyFill="1" applyBorder="1" applyAlignment="1" applyProtection="1">
      <alignment horizontal="left" vertical="top" wrapText="1"/>
    </xf>
    <xf numFmtId="0" fontId="92" fillId="0" borderId="0" xfId="0" applyFont="1" applyAlignment="1">
      <alignment horizontal="left" vertical="top" wrapText="1"/>
    </xf>
    <xf numFmtId="0" fontId="93" fillId="0" borderId="0" xfId="211" applyNumberFormat="1" applyFont="1" applyFill="1" applyBorder="1" applyAlignment="1" applyProtection="1">
      <alignment horizontal="left" vertical="top"/>
      <protection hidden="1"/>
    </xf>
    <xf numFmtId="0" fontId="93" fillId="0" borderId="0" xfId="0" applyFont="1" applyAlignment="1" applyProtection="1">
      <alignment horizontal="center" vertical="top"/>
      <protection hidden="1"/>
    </xf>
    <xf numFmtId="0" fontId="93" fillId="0" borderId="0" xfId="211" applyNumberFormat="1" applyFont="1" applyFill="1" applyBorder="1" applyAlignment="1" applyProtection="1">
      <alignment horizontal="left" vertical="top" wrapText="1"/>
      <protection hidden="1"/>
    </xf>
    <xf numFmtId="0" fontId="94" fillId="0" borderId="0" xfId="206" applyFont="1" applyAlignment="1" applyProtection="1">
      <alignment horizontal="left" vertical="top"/>
      <protection hidden="1"/>
    </xf>
    <xf numFmtId="0" fontId="93" fillId="0" borderId="0" xfId="211" applyFont="1" applyFill="1" applyBorder="1" applyAlignment="1" applyProtection="1">
      <alignment horizontal="left" vertical="top" wrapText="1"/>
      <protection hidden="1"/>
    </xf>
    <xf numFmtId="0" fontId="94" fillId="0" borderId="0" xfId="0" applyFont="1" applyAlignment="1" applyProtection="1">
      <alignment horizontal="justify" vertical="top" wrapText="1"/>
      <protection hidden="1"/>
    </xf>
    <xf numFmtId="0" fontId="91" fillId="0" borderId="0" xfId="0" applyFont="1" applyAlignment="1">
      <alignment horizontal="right" vertical="center"/>
    </xf>
    <xf numFmtId="0" fontId="91" fillId="0" borderId="0" xfId="0" applyFont="1" applyAlignment="1">
      <alignment horizontal="left" vertical="center"/>
    </xf>
    <xf numFmtId="0" fontId="0" fillId="0" borderId="0" xfId="0" applyAlignment="1">
      <alignment horizontal="center" vertical="top"/>
    </xf>
    <xf numFmtId="0" fontId="0" fillId="0" borderId="0" xfId="206" applyFont="1" applyAlignment="1" applyProtection="1">
      <alignment horizontal="left" vertical="top"/>
      <protection hidden="1"/>
    </xf>
    <xf numFmtId="0" fontId="15" fillId="14" borderId="0" xfId="0" applyFont="1" applyFill="1" applyAlignment="1">
      <alignment horizontal="left" vertical="top" wrapText="1"/>
    </xf>
    <xf numFmtId="0" fontId="42" fillId="15" borderId="0" xfId="0" applyFont="1" applyFill="1" applyAlignment="1">
      <alignment horizontal="justify" vertical="top" wrapText="1"/>
    </xf>
    <xf numFmtId="0" fontId="93" fillId="9" borderId="0" xfId="0" applyFont="1" applyFill="1" applyAlignment="1">
      <alignment horizontal="center" vertical="top"/>
    </xf>
    <xf numFmtId="0" fontId="15" fillId="0" borderId="0" xfId="0" applyFont="1" applyAlignment="1">
      <alignment horizontal="justify" vertical="top" wrapText="1"/>
    </xf>
    <xf numFmtId="0" fontId="27" fillId="0" borderId="0" xfId="211" applyNumberFormat="1" applyFont="1" applyFill="1" applyBorder="1" applyAlignment="1" applyProtection="1">
      <alignment horizontal="left" vertical="center" wrapText="1"/>
      <protection hidden="1"/>
    </xf>
    <xf numFmtId="0" fontId="33" fillId="0" borderId="0" xfId="206" applyFont="1" applyAlignment="1" applyProtection="1">
      <alignment horizontal="left" vertical="center"/>
      <protection hidden="1"/>
    </xf>
    <xf numFmtId="0" fontId="16" fillId="0" borderId="0" xfId="0" applyFont="1" applyAlignment="1">
      <alignment horizontal="center" vertical="center"/>
    </xf>
    <xf numFmtId="0" fontId="33" fillId="0" borderId="0" xfId="0" applyFont="1" applyAlignment="1" applyProtection="1">
      <alignment horizontal="justify" vertical="center" wrapText="1"/>
      <protection hidden="1"/>
    </xf>
    <xf numFmtId="0" fontId="27" fillId="0" borderId="0" xfId="0" applyFont="1" applyAlignment="1">
      <alignment horizontal="center" vertical="center"/>
    </xf>
    <xf numFmtId="0" fontId="27" fillId="0" borderId="0" xfId="211" applyFont="1" applyFill="1" applyBorder="1" applyAlignment="1" applyProtection="1">
      <alignment horizontal="left" vertical="center" wrapText="1"/>
      <protection hidden="1"/>
    </xf>
    <xf numFmtId="0" fontId="27" fillId="0" borderId="0" xfId="211" applyNumberFormat="1" applyFont="1" applyFill="1" applyBorder="1" applyAlignment="1" applyProtection="1">
      <alignment horizontal="left" vertical="center"/>
      <protection hidden="1"/>
    </xf>
    <xf numFmtId="0" fontId="15" fillId="0" borderId="0" xfId="0" applyFont="1" applyAlignment="1">
      <alignment horizontal="center" vertical="center"/>
    </xf>
    <xf numFmtId="0" fontId="27" fillId="0" borderId="0" xfId="0" applyFont="1" applyAlignment="1" applyProtection="1">
      <alignment horizontal="center" vertical="center"/>
      <protection hidden="1"/>
    </xf>
    <xf numFmtId="0" fontId="27" fillId="0" borderId="0" xfId="0" applyFont="1" applyAlignment="1" applyProtection="1">
      <alignment horizontal="justify" vertical="center" wrapText="1"/>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9" fillId="0" borderId="10" xfId="211" applyNumberFormat="1" applyFont="1" applyFill="1" applyBorder="1" applyAlignment="1" applyProtection="1">
      <alignment horizontal="center" vertical="center"/>
    </xf>
    <xf numFmtId="0" fontId="29" fillId="0" borderId="0" xfId="0" applyFont="1" applyAlignment="1">
      <alignment horizontal="justify" vertical="center" wrapText="1"/>
    </xf>
    <xf numFmtId="0" fontId="16" fillId="0" borderId="0" xfId="0" applyFont="1" applyAlignment="1">
      <alignment horizontal="justify" vertical="top" wrapText="1"/>
    </xf>
    <xf numFmtId="0" fontId="27" fillId="0" borderId="0" xfId="0" applyFont="1" applyAlignment="1" applyProtection="1">
      <alignment horizontal="center" vertical="center" wrapText="1"/>
      <protection hidden="1"/>
    </xf>
    <xf numFmtId="0" fontId="15" fillId="0" borderId="0" xfId="0" applyFont="1" applyAlignment="1">
      <alignment horizontal="center" vertical="center" wrapText="1"/>
    </xf>
    <xf numFmtId="0" fontId="27" fillId="9"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50" fillId="0" borderId="0" xfId="206" applyFont="1" applyAlignment="1" applyProtection="1">
      <alignment horizontal="left" vertical="center"/>
      <protection hidden="1"/>
    </xf>
    <xf numFmtId="0" fontId="50" fillId="0" borderId="0" xfId="0" applyFont="1" applyAlignment="1">
      <alignment horizontal="justify" vertical="center" wrapText="1"/>
    </xf>
    <xf numFmtId="0" fontId="15" fillId="0" borderId="0" xfId="206" applyFont="1" applyAlignment="1" applyProtection="1">
      <alignment horizontal="left" vertical="top"/>
      <protection hidden="1"/>
    </xf>
    <xf numFmtId="0" fontId="96" fillId="0" borderId="0" xfId="0" applyFont="1" applyAlignment="1">
      <alignment horizontal="left" vertical="top" wrapText="1"/>
    </xf>
    <xf numFmtId="0" fontId="15" fillId="0" borderId="0" xfId="0" applyFont="1" applyAlignment="1">
      <alignment horizontal="center" vertical="top"/>
    </xf>
    <xf numFmtId="0" fontId="42" fillId="15" borderId="0" xfId="0" applyFont="1" applyFill="1" applyAlignment="1">
      <alignment horizontal="left" vertical="top" wrapText="1"/>
    </xf>
    <xf numFmtId="0" fontId="33" fillId="0" borderId="0" xfId="0" applyFont="1" applyAlignment="1">
      <alignment horizontal="center" vertical="top"/>
    </xf>
    <xf numFmtId="0" fontId="27" fillId="9" borderId="0" xfId="0" applyFont="1" applyFill="1" applyAlignment="1">
      <alignment horizontal="center" vertical="top"/>
    </xf>
    <xf numFmtId="0" fontId="15" fillId="0" borderId="0" xfId="200" applyNumberFormat="1" applyFont="1" applyFill="1" applyBorder="1" applyAlignment="1" applyProtection="1">
      <alignment horizontal="justify" vertical="top" wrapText="1"/>
    </xf>
    <xf numFmtId="0" fontId="0" fillId="0" borderId="0" xfId="206" applyFont="1" applyAlignment="1">
      <alignment horizontal="left" vertical="top"/>
    </xf>
    <xf numFmtId="0" fontId="0" fillId="0" borderId="10" xfId="0" applyBorder="1" applyAlignment="1">
      <alignment horizontal="center" vertical="top" wrapText="1"/>
    </xf>
    <xf numFmtId="0" fontId="15" fillId="0" borderId="0" xfId="0" applyFont="1" applyAlignment="1">
      <alignment horizontal="right" vertical="top"/>
    </xf>
    <xf numFmtId="0" fontId="101" fillId="17" borderId="14" xfId="0" applyFont="1" applyFill="1" applyBorder="1" applyAlignment="1">
      <alignment horizontal="left" vertical="top"/>
    </xf>
    <xf numFmtId="0" fontId="101" fillId="17" borderId="3" xfId="0" applyFont="1" applyFill="1" applyBorder="1" applyAlignment="1">
      <alignment horizontal="left" vertical="top"/>
    </xf>
    <xf numFmtId="0" fontId="101" fillId="17" borderId="15" xfId="0" applyFont="1" applyFill="1" applyBorder="1" applyAlignment="1">
      <alignment horizontal="left" vertical="top"/>
    </xf>
    <xf numFmtId="0" fontId="15" fillId="14" borderId="0" xfId="206" applyFont="1" applyFill="1" applyAlignment="1" applyProtection="1">
      <alignment horizontal="left" vertical="center"/>
      <protection hidden="1"/>
    </xf>
    <xf numFmtId="0" fontId="33"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50" fillId="0" borderId="0" xfId="206" applyFont="1" applyAlignment="1">
      <alignment horizontal="left" vertical="center"/>
    </xf>
    <xf numFmtId="0" fontId="89" fillId="0" borderId="0" xfId="0" applyFont="1" applyAlignment="1">
      <alignment horizontal="left" vertical="top" wrapText="1"/>
    </xf>
    <xf numFmtId="0" fontId="44" fillId="9" borderId="0" xfId="0" applyFont="1" applyFill="1" applyAlignment="1">
      <alignment horizontal="center" vertical="top"/>
    </xf>
    <xf numFmtId="0" fontId="4" fillId="0" borderId="0" xfId="206" applyFont="1" applyAlignment="1" applyProtection="1">
      <alignment horizontal="left" vertical="top"/>
      <protection hidden="1"/>
    </xf>
    <xf numFmtId="170" fontId="88" fillId="13" borderId="14" xfId="0" applyNumberFormat="1" applyFont="1" applyFill="1" applyBorder="1" applyAlignment="1">
      <alignment horizontal="left" vertical="top" wrapText="1"/>
    </xf>
    <xf numFmtId="170" fontId="88" fillId="13" borderId="3" xfId="0" applyNumberFormat="1" applyFont="1" applyFill="1" applyBorder="1" applyAlignment="1">
      <alignment horizontal="left" vertical="top" wrapText="1"/>
    </xf>
    <xf numFmtId="170" fontId="88" fillId="13" borderId="15" xfId="0" applyNumberFormat="1" applyFont="1" applyFill="1" applyBorder="1" applyAlignment="1">
      <alignment horizontal="left" vertical="top" wrapText="1"/>
    </xf>
    <xf numFmtId="0" fontId="44" fillId="0" borderId="0" xfId="0" applyFont="1" applyAlignment="1">
      <alignment horizontal="center" vertical="center"/>
    </xf>
    <xf numFmtId="0" fontId="55" fillId="0" borderId="0" xfId="0" applyFont="1" applyAlignment="1">
      <alignment horizontal="left" vertical="top" wrapText="1"/>
    </xf>
    <xf numFmtId="1" fontId="5" fillId="0" borderId="0" xfId="0" applyNumberFormat="1" applyFont="1" applyAlignment="1">
      <alignment horizontal="center" vertical="center" wrapText="1"/>
    </xf>
    <xf numFmtId="1" fontId="62" fillId="0" borderId="0" xfId="0" applyNumberFormat="1" applyFont="1" applyAlignment="1">
      <alignment horizontal="center" vertical="center" wrapText="1"/>
    </xf>
    <xf numFmtId="1" fontId="101" fillId="17" borderId="14" xfId="0" applyNumberFormat="1" applyFont="1" applyFill="1" applyBorder="1" applyAlignment="1">
      <alignment horizontal="left" vertical="center"/>
    </xf>
    <xf numFmtId="1" fontId="101" fillId="17" borderId="3" xfId="0" applyNumberFormat="1" applyFont="1" applyFill="1" applyBorder="1" applyAlignment="1">
      <alignment horizontal="left" vertical="center"/>
    </xf>
    <xf numFmtId="1" fontId="101" fillId="17" borderId="15" xfId="0" applyNumberFormat="1" applyFont="1" applyFill="1" applyBorder="1" applyAlignment="1">
      <alignment horizontal="left" vertical="center"/>
    </xf>
    <xf numFmtId="0" fontId="4" fillId="0" borderId="0" xfId="0" applyFont="1" applyAlignment="1">
      <alignment horizontal="center" vertical="top"/>
    </xf>
    <xf numFmtId="0" fontId="5" fillId="0" borderId="0" xfId="0" applyFont="1" applyAlignment="1">
      <alignment horizontal="right" vertical="top"/>
    </xf>
    <xf numFmtId="1" fontId="4" fillId="13" borderId="14" xfId="0" applyNumberFormat="1" applyFont="1" applyFill="1" applyBorder="1" applyAlignment="1">
      <alignment horizontal="center" vertical="top" wrapText="1"/>
    </xf>
    <xf numFmtId="1" fontId="4" fillId="13" borderId="3" xfId="0" applyNumberFormat="1" applyFont="1" applyFill="1" applyBorder="1" applyAlignment="1">
      <alignment horizontal="center" vertical="top" wrapText="1"/>
    </xf>
    <xf numFmtId="1" fontId="4" fillId="13" borderId="15" xfId="0" applyNumberFormat="1" applyFont="1" applyFill="1" applyBorder="1" applyAlignment="1">
      <alignment horizontal="center" vertical="top" wrapText="1"/>
    </xf>
    <xf numFmtId="1" fontId="4" fillId="0" borderId="42" xfId="0" applyNumberFormat="1" applyFont="1" applyBorder="1" applyAlignment="1">
      <alignment horizontal="center" vertical="top" wrapText="1"/>
    </xf>
    <xf numFmtId="1" fontId="4" fillId="0" borderId="3" xfId="0" applyNumberFormat="1" applyFont="1" applyBorder="1" applyAlignment="1">
      <alignment horizontal="center" vertical="top" wrapText="1"/>
    </xf>
    <xf numFmtId="1" fontId="4" fillId="0" borderId="15" xfId="0" applyNumberFormat="1" applyFont="1" applyBorder="1" applyAlignment="1">
      <alignment horizontal="center" vertical="top" wrapText="1"/>
    </xf>
    <xf numFmtId="1" fontId="5" fillId="0" borderId="0" xfId="0" applyNumberFormat="1" applyFont="1" applyAlignment="1">
      <alignment horizontal="right" vertical="top"/>
    </xf>
    <xf numFmtId="0" fontId="5" fillId="0" borderId="0" xfId="0" applyFont="1" applyAlignment="1">
      <alignment horizontal="left" vertical="top"/>
    </xf>
    <xf numFmtId="0" fontId="15" fillId="0" borderId="0" xfId="0" applyFont="1" applyAlignment="1" applyProtection="1">
      <alignment horizontal="left" vertical="center" wrapText="1"/>
      <protection hidden="1"/>
    </xf>
    <xf numFmtId="0" fontId="5" fillId="11" borderId="14" xfId="214" applyFont="1" applyFill="1" applyBorder="1" applyAlignment="1">
      <alignment horizontal="left" vertical="top" wrapText="1"/>
    </xf>
    <xf numFmtId="0" fontId="5" fillId="11" borderId="3" xfId="214" applyFont="1" applyFill="1" applyBorder="1" applyAlignment="1">
      <alignment horizontal="left" vertical="top" wrapText="1"/>
    </xf>
    <xf numFmtId="0" fontId="5" fillId="11" borderId="15" xfId="214" applyFont="1" applyFill="1" applyBorder="1" applyAlignment="1">
      <alignment horizontal="left" vertical="top" wrapText="1"/>
    </xf>
    <xf numFmtId="170" fontId="88" fillId="13" borderId="10" xfId="0" applyNumberFormat="1" applyFont="1" applyFill="1" applyBorder="1" applyAlignment="1">
      <alignment horizontal="center" vertical="top" wrapText="1"/>
    </xf>
    <xf numFmtId="170" fontId="88" fillId="13" borderId="30" xfId="0" applyNumberFormat="1" applyFont="1" applyFill="1" applyBorder="1" applyAlignment="1">
      <alignment horizontal="center" vertical="top" wrapText="1"/>
    </xf>
    <xf numFmtId="0" fontId="42" fillId="15" borderId="0" xfId="0" applyFont="1" applyFill="1" applyAlignment="1" applyProtection="1">
      <alignment horizontal="left" vertical="top" wrapText="1"/>
      <protection hidden="1"/>
    </xf>
    <xf numFmtId="0" fontId="27" fillId="9" borderId="0" xfId="0" applyFont="1" applyFill="1" applyAlignment="1" applyProtection="1">
      <alignment horizontal="center" vertical="center"/>
      <protection hidden="1"/>
    </xf>
    <xf numFmtId="0" fontId="0" fillId="0" borderId="0" xfId="206" applyFont="1" applyAlignment="1">
      <alignment horizontal="left" vertical="center"/>
    </xf>
    <xf numFmtId="0" fontId="14" fillId="0" borderId="14" xfId="205" applyFont="1" applyBorder="1" applyAlignment="1" applyProtection="1">
      <alignment horizontal="center" vertical="top"/>
      <protection hidden="1"/>
    </xf>
    <xf numFmtId="0" fontId="14" fillId="0" borderId="3" xfId="205" applyFont="1" applyBorder="1" applyAlignment="1" applyProtection="1">
      <alignment horizontal="center" vertical="top"/>
      <protection hidden="1"/>
    </xf>
    <xf numFmtId="0" fontId="14" fillId="0" borderId="15" xfId="205" applyFont="1" applyBorder="1" applyAlignment="1" applyProtection="1">
      <alignment horizontal="center" vertical="top"/>
      <protection hidden="1"/>
    </xf>
    <xf numFmtId="170" fontId="88" fillId="13" borderId="14" xfId="0" applyNumberFormat="1" applyFont="1" applyFill="1" applyBorder="1" applyAlignment="1">
      <alignment horizontal="center" vertical="top" wrapText="1"/>
    </xf>
    <xf numFmtId="170" fontId="88" fillId="13" borderId="3" xfId="0" applyNumberFormat="1" applyFont="1" applyFill="1" applyBorder="1" applyAlignment="1">
      <alignment horizontal="center" vertical="top" wrapText="1"/>
    </xf>
    <xf numFmtId="170" fontId="88" fillId="13" borderId="15" xfId="0" applyNumberFormat="1" applyFont="1" applyFill="1" applyBorder="1" applyAlignment="1">
      <alignment horizontal="center" vertical="top" wrapText="1"/>
    </xf>
    <xf numFmtId="0" fontId="15" fillId="15" borderId="0" xfId="0" applyFont="1" applyFill="1" applyAlignment="1" applyProtection="1">
      <alignment horizontal="left" vertical="top" wrapText="1"/>
      <protection hidden="1"/>
    </xf>
    <xf numFmtId="0" fontId="84" fillId="11" borderId="14" xfId="214" applyFont="1" applyFill="1" applyBorder="1" applyAlignment="1">
      <alignment horizontal="left" vertical="top" wrapText="1"/>
    </xf>
    <xf numFmtId="0" fontId="84" fillId="11" borderId="3" xfId="214" applyFont="1" applyFill="1" applyBorder="1" applyAlignment="1">
      <alignment horizontal="left" vertical="top" wrapText="1"/>
    </xf>
    <xf numFmtId="0" fontId="84" fillId="11" borderId="15" xfId="214" applyFont="1" applyFill="1" applyBorder="1" applyAlignment="1">
      <alignment horizontal="left" vertical="top" wrapText="1"/>
    </xf>
    <xf numFmtId="0" fontId="84" fillId="17" borderId="14" xfId="214" applyFont="1" applyFill="1" applyBorder="1" applyAlignment="1">
      <alignment horizontal="left" vertical="top" wrapText="1"/>
    </xf>
    <xf numFmtId="0" fontId="84" fillId="17" borderId="3" xfId="214" applyFont="1" applyFill="1" applyBorder="1" applyAlignment="1">
      <alignment horizontal="left" vertical="top" wrapText="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3" fillId="6" borderId="8" xfId="205" applyFont="1" applyFill="1" applyBorder="1" applyAlignment="1" applyProtection="1">
      <alignment horizontal="justify" vertical="center" wrapText="1"/>
      <protection hidden="1"/>
    </xf>
    <xf numFmtId="0" fontId="43"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43" fontId="15" fillId="6" borderId="29" xfId="11" applyFont="1" applyFill="1" applyBorder="1" applyAlignment="1" applyProtection="1">
      <alignment horizontal="center" vertical="top"/>
      <protection hidden="1"/>
    </xf>
    <xf numFmtId="43" fontId="15" fillId="6" borderId="30" xfId="11" applyFont="1" applyFill="1" applyBorder="1" applyAlignment="1" applyProtection="1">
      <alignment horizontal="center" vertical="top"/>
      <protection hidden="1"/>
    </xf>
    <xf numFmtId="0" fontId="44" fillId="0" borderId="0" xfId="205" applyFont="1" applyAlignment="1" applyProtection="1">
      <alignment horizontal="center" vertical="top"/>
      <protection hidden="1"/>
    </xf>
    <xf numFmtId="0" fontId="15" fillId="15"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7" fillId="9"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5" fillId="15" borderId="0" xfId="205" applyFont="1" applyFill="1" applyAlignment="1" applyProtection="1">
      <alignment horizontal="center" vertical="center" wrapText="1"/>
      <protection hidden="1"/>
    </xf>
    <xf numFmtId="0" fontId="16"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15" fillId="6" borderId="24" xfId="205" applyFont="1" applyFill="1" applyBorder="1" applyAlignment="1" applyProtection="1">
      <alignment horizontal="left" vertical="center" wrapText="1"/>
      <protection hidden="1"/>
    </xf>
    <xf numFmtId="0" fontId="0" fillId="0" borderId="26" xfId="205" applyFont="1" applyBorder="1" applyAlignment="1" applyProtection="1">
      <alignment horizontal="justify" vertical="center" wrapText="1"/>
      <protection hidden="1"/>
    </xf>
    <xf numFmtId="0" fontId="15" fillId="0" borderId="0" xfId="200" applyNumberFormat="1" applyFont="1" applyFill="1" applyBorder="1" applyAlignment="1" applyProtection="1">
      <alignment horizontal="justify" vertical="center" wrapText="1"/>
      <protection hidden="1"/>
    </xf>
    <xf numFmtId="0" fontId="15" fillId="15" borderId="0" xfId="205" applyFont="1" applyFill="1" applyAlignment="1" applyProtection="1">
      <alignment horizontal="justify" vertical="center" wrapText="1"/>
      <protection hidden="1"/>
    </xf>
    <xf numFmtId="0" fontId="99" fillId="15" borderId="0" xfId="205" applyFont="1" applyFill="1" applyAlignment="1" applyProtection="1">
      <alignment horizontal="justify" vertical="top" wrapText="1"/>
      <protection hidden="1"/>
    </xf>
    <xf numFmtId="2" fontId="16" fillId="0" borderId="0" xfId="206" applyNumberFormat="1" applyAlignment="1" applyProtection="1">
      <alignment horizontal="right" vertical="center"/>
      <protection hidden="1"/>
    </xf>
    <xf numFmtId="167"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7" fontId="27" fillId="0" borderId="0" xfId="0" applyNumberFormat="1"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16" fillId="0" borderId="0" xfId="206" applyAlignment="1" applyProtection="1">
      <alignment horizontal="left" vertical="top" wrapText="1"/>
      <protection hidden="1"/>
    </xf>
    <xf numFmtId="0" fontId="4" fillId="13" borderId="14" xfId="206" applyFont="1" applyFill="1" applyBorder="1" applyAlignment="1">
      <alignment horizontal="center" vertical="top" wrapText="1"/>
    </xf>
    <xf numFmtId="0" fontId="4" fillId="13" borderId="3" xfId="206" applyFont="1" applyFill="1" applyBorder="1" applyAlignment="1">
      <alignment horizontal="center" vertical="top" wrapText="1"/>
    </xf>
    <xf numFmtId="0" fontId="4" fillId="13" borderId="15" xfId="206" applyFont="1" applyFill="1" applyBorder="1" applyAlignment="1">
      <alignment horizontal="center" vertical="top" wrapText="1"/>
    </xf>
    <xf numFmtId="0" fontId="16" fillId="13" borderId="14" xfId="206" applyFill="1" applyBorder="1" applyAlignment="1" applyProtection="1">
      <alignment horizontal="center" vertical="center" wrapText="1"/>
      <protection hidden="1"/>
    </xf>
    <xf numFmtId="0" fontId="16" fillId="13" borderId="3" xfId="206" applyFill="1" applyBorder="1" applyAlignment="1" applyProtection="1">
      <alignment horizontal="center" vertical="center" wrapText="1"/>
      <protection hidden="1"/>
    </xf>
    <xf numFmtId="0" fontId="16" fillId="13" borderId="15" xfId="206" applyFill="1" applyBorder="1" applyAlignment="1" applyProtection="1">
      <alignment horizontal="center" vertical="center" wrapText="1"/>
      <protection hidden="1"/>
    </xf>
    <xf numFmtId="0" fontId="15" fillId="11" borderId="14" xfId="0" applyFont="1" applyFill="1" applyBorder="1" applyAlignment="1" applyProtection="1">
      <alignment horizontal="left" vertical="center"/>
      <protection hidden="1"/>
    </xf>
    <xf numFmtId="0" fontId="15" fillId="11" borderId="3" xfId="0" applyFont="1" applyFill="1" applyBorder="1" applyAlignment="1" applyProtection="1">
      <alignment horizontal="left" vertical="center"/>
      <protection hidden="1"/>
    </xf>
    <xf numFmtId="0" fontId="15" fillId="11" borderId="15" xfId="0" applyFont="1" applyFill="1" applyBorder="1" applyAlignment="1" applyProtection="1">
      <alignment horizontal="left" vertical="center"/>
      <protection hidden="1"/>
    </xf>
    <xf numFmtId="0" fontId="101" fillId="15" borderId="0" xfId="206" applyFont="1" applyFill="1" applyAlignment="1" applyProtection="1">
      <alignment horizontal="justify" vertical="top" wrapText="1"/>
      <protection hidden="1"/>
    </xf>
    <xf numFmtId="0" fontId="15" fillId="0" borderId="0" xfId="206"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50"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0" fontId="29"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15" fillId="0" borderId="0" xfId="195" applyFont="1" applyAlignment="1" applyProtection="1">
      <alignment horizontal="left" vertical="center" indent="2"/>
      <protection hidden="1"/>
    </xf>
    <xf numFmtId="0" fontId="15" fillId="0" borderId="14" xfId="204" applyFont="1" applyBorder="1" applyAlignment="1" applyProtection="1">
      <alignment horizontal="justify" vertical="top"/>
      <protection hidden="1"/>
    </xf>
    <xf numFmtId="0" fontId="16" fillId="0" borderId="3" xfId="204" applyFont="1" applyBorder="1" applyAlignment="1" applyProtection="1">
      <alignment horizontal="justify" vertical="top"/>
      <protection hidden="1"/>
    </xf>
    <xf numFmtId="0" fontId="16" fillId="0" borderId="15" xfId="204" applyFont="1" applyBorder="1" applyAlignment="1" applyProtection="1">
      <alignment horizontal="justify" vertical="top"/>
      <protection hidden="1"/>
    </xf>
    <xf numFmtId="0" fontId="15" fillId="0" borderId="16" xfId="204" applyFont="1" applyBorder="1" applyAlignment="1" applyProtection="1">
      <alignment horizontal="justify" vertical="top"/>
      <protection hidden="1"/>
    </xf>
    <xf numFmtId="0" fontId="16" fillId="0" borderId="39" xfId="204" applyFont="1" applyBorder="1" applyAlignment="1" applyProtection="1">
      <alignment horizontal="justify" vertical="top"/>
      <protection hidden="1"/>
    </xf>
    <xf numFmtId="0" fontId="16" fillId="0" borderId="17" xfId="204" applyFont="1" applyBorder="1" applyAlignment="1" applyProtection="1">
      <alignment horizontal="justify" vertical="top"/>
      <protection hidden="1"/>
    </xf>
    <xf numFmtId="0" fontId="15" fillId="0" borderId="16" xfId="204" applyFont="1" applyBorder="1" applyAlignment="1" applyProtection="1">
      <alignment horizontal="justify" vertical="center"/>
      <protection hidden="1"/>
    </xf>
    <xf numFmtId="0" fontId="16" fillId="0" borderId="39" xfId="204" applyFont="1" applyBorder="1" applyAlignment="1" applyProtection="1">
      <alignment horizontal="justify" vertical="center"/>
      <protection hidden="1"/>
    </xf>
    <xf numFmtId="0" fontId="16" fillId="0" borderId="17" xfId="204" applyFont="1" applyBorder="1" applyAlignment="1" applyProtection="1">
      <alignment horizontal="justify" vertical="center"/>
      <protection hidden="1"/>
    </xf>
    <xf numFmtId="0" fontId="0" fillId="0" borderId="10" xfId="204" applyFont="1" applyBorder="1" applyAlignment="1" applyProtection="1">
      <alignment horizontal="justify" vertical="center"/>
      <protection hidden="1"/>
    </xf>
    <xf numFmtId="0" fontId="16" fillId="0" borderId="10" xfId="204" applyFont="1" applyBorder="1" applyAlignment="1" applyProtection="1">
      <alignment horizontal="justify" vertical="center"/>
      <protection hidden="1"/>
    </xf>
    <xf numFmtId="0" fontId="0" fillId="0" borderId="0" xfId="204" applyFont="1" applyBorder="1" applyAlignment="1" applyProtection="1">
      <alignment horizontal="justify" vertical="center"/>
      <protection hidden="1"/>
    </xf>
    <xf numFmtId="0" fontId="16" fillId="4" borderId="0" xfId="204" applyFont="1" applyFill="1" applyBorder="1" applyAlignment="1" applyProtection="1">
      <alignment horizontal="justify" vertical="top" wrapText="1"/>
      <protection locked="0" hidden="1"/>
    </xf>
    <xf numFmtId="0" fontId="16" fillId="0" borderId="0" xfId="204" applyFont="1" applyBorder="1" applyAlignment="1" applyProtection="1">
      <alignment horizontal="justify" vertical="center"/>
      <protection hidden="1"/>
    </xf>
    <xf numFmtId="0" fontId="15" fillId="10" borderId="0" xfId="204" applyNumberFormat="1" applyFont="1" applyFill="1" applyBorder="1" applyAlignment="1" applyProtection="1">
      <alignment horizontal="center" vertical="center" wrapText="1"/>
      <protection hidden="1"/>
    </xf>
    <xf numFmtId="0" fontId="42" fillId="15" borderId="0" xfId="0" applyFont="1" applyFill="1" applyAlignment="1" applyProtection="1">
      <alignment horizontal="justify" vertical="top" wrapText="1"/>
      <protection hidden="1"/>
    </xf>
    <xf numFmtId="0" fontId="16" fillId="0" borderId="0" xfId="204" applyFont="1" applyAlignment="1" applyProtection="1">
      <alignment horizontal="justify" vertical="center"/>
      <protection hidden="1"/>
    </xf>
    <xf numFmtId="0" fontId="31" fillId="9" borderId="0" xfId="0" applyFont="1" applyFill="1" applyAlignment="1" applyProtection="1">
      <alignment horizontal="center" vertical="center" wrapText="1"/>
      <protection hidden="1"/>
    </xf>
    <xf numFmtId="0" fontId="31" fillId="9" borderId="7" xfId="0" applyFont="1" applyFill="1" applyBorder="1" applyAlignment="1" applyProtection="1">
      <alignment horizontal="center" vertical="center" wrapText="1"/>
      <protection hidden="1"/>
    </xf>
    <xf numFmtId="0" fontId="50" fillId="0" borderId="0" xfId="194" applyFont="1" applyAlignment="1">
      <alignment horizontal="center" vertical="top"/>
    </xf>
    <xf numFmtId="0" fontId="0" fillId="0" borderId="0" xfId="194" applyFont="1" applyAlignment="1">
      <alignment horizontal="center" vertical="top"/>
    </xf>
    <xf numFmtId="0" fontId="0" fillId="0" borderId="0" xfId="194" applyFont="1" applyAlignment="1">
      <alignment horizontal="justify" vertical="top"/>
    </xf>
    <xf numFmtId="0" fontId="50" fillId="0" borderId="0" xfId="194" applyFont="1" applyAlignment="1">
      <alignment horizontal="justify" vertical="top"/>
    </xf>
    <xf numFmtId="0" fontId="0" fillId="0" borderId="0" xfId="0" applyAlignment="1">
      <alignment horizontal="left" vertical="top" wrapText="1"/>
    </xf>
    <xf numFmtId="0" fontId="0" fillId="4" borderId="22" xfId="0" applyFill="1" applyBorder="1" applyAlignment="1" applyProtection="1">
      <alignment horizontal="left" vertical="center"/>
      <protection locked="0"/>
    </xf>
    <xf numFmtId="0" fontId="50" fillId="4" borderId="22" xfId="0" applyFont="1" applyFill="1" applyBorder="1" applyAlignment="1" applyProtection="1">
      <alignment horizontal="left" vertical="center"/>
      <protection locked="0"/>
    </xf>
    <xf numFmtId="0" fontId="16" fillId="0" borderId="0" xfId="194" applyFont="1" applyAlignment="1">
      <alignment horizontal="center" vertical="top" wrapText="1"/>
    </xf>
    <xf numFmtId="0" fontId="50" fillId="0" borderId="43" xfId="0" applyFont="1" applyBorder="1" applyAlignment="1">
      <alignment horizontal="left" vertical="center" indent="2"/>
    </xf>
    <xf numFmtId="0" fontId="16" fillId="0" borderId="0" xfId="194" applyFont="1" applyAlignment="1">
      <alignment horizontal="justify" vertical="top"/>
    </xf>
    <xf numFmtId="177" fontId="15" fillId="0" borderId="0" xfId="194" applyNumberFormat="1" applyFont="1" applyAlignment="1">
      <alignment horizontal="left" vertical="center" indent="1"/>
    </xf>
    <xf numFmtId="0" fontId="42" fillId="0" borderId="0" xfId="194" quotePrefix="1" applyFont="1" applyAlignment="1">
      <alignment horizontal="center" vertical="center"/>
    </xf>
    <xf numFmtId="0" fontId="50" fillId="0" borderId="43" xfId="0" applyFont="1" applyBorder="1" applyAlignment="1">
      <alignment horizontal="justify" vertical="center" wrapText="1"/>
    </xf>
    <xf numFmtId="0" fontId="50" fillId="0" borderId="22" xfId="0" applyFont="1" applyBorder="1" applyAlignment="1">
      <alignment horizontal="left" vertical="center" indent="2"/>
    </xf>
    <xf numFmtId="0" fontId="50" fillId="0" borderId="40" xfId="0" applyFont="1" applyBorder="1" applyAlignment="1">
      <alignment horizontal="left" vertical="center" indent="2"/>
    </xf>
    <xf numFmtId="0" fontId="50" fillId="0" borderId="0" xfId="0" applyFont="1" applyAlignment="1">
      <alignment horizontal="left" vertical="center" indent="2"/>
    </xf>
    <xf numFmtId="0" fontId="5" fillId="15" borderId="0" xfId="194" applyFont="1" applyFill="1" applyAlignment="1">
      <alignment horizontal="left" vertical="top" wrapText="1"/>
    </xf>
    <xf numFmtId="0" fontId="15" fillId="0" borderId="0" xfId="194" applyFont="1" applyAlignment="1">
      <alignment horizontal="justify" vertical="center"/>
    </xf>
    <xf numFmtId="0" fontId="15" fillId="0" borderId="0" xfId="194" applyFont="1" applyAlignment="1">
      <alignment horizontal="center" vertical="center"/>
    </xf>
    <xf numFmtId="0" fontId="50" fillId="4" borderId="0" xfId="194" applyFont="1" applyFill="1" applyAlignment="1" applyProtection="1">
      <alignment horizontal="left" vertical="center"/>
      <protection locked="0"/>
    </xf>
    <xf numFmtId="177" fontId="50" fillId="0" borderId="0" xfId="194" applyNumberFormat="1" applyFont="1" applyAlignment="1">
      <alignment horizontal="left" vertical="center"/>
    </xf>
    <xf numFmtId="0" fontId="50" fillId="0" borderId="0" xfId="194" applyFont="1" applyAlignment="1">
      <alignment horizontal="justify" vertical="center"/>
    </xf>
    <xf numFmtId="0" fontId="16" fillId="0" borderId="0" xfId="210" applyFont="1" applyAlignment="1" applyProtection="1">
      <alignment horizontal="justify" vertical="center" wrapText="1"/>
      <protection hidden="1"/>
    </xf>
    <xf numFmtId="1" fontId="23" fillId="0" borderId="29" xfId="210" applyNumberFormat="1" applyFont="1" applyBorder="1" applyAlignment="1" applyProtection="1">
      <alignment horizontal="justify" vertical="center" wrapText="1"/>
      <protection hidden="1"/>
    </xf>
    <xf numFmtId="1" fontId="23" fillId="0" borderId="10" xfId="210" applyNumberFormat="1" applyFont="1" applyBorder="1" applyAlignment="1" applyProtection="1">
      <alignment horizontal="justify" vertical="center" wrapText="1"/>
      <protection hidden="1"/>
    </xf>
    <xf numFmtId="1" fontId="23"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1" fontId="23"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2" fontId="36" fillId="0" borderId="0" xfId="198" applyNumberFormat="1" applyFont="1" applyAlignment="1" applyProtection="1">
      <alignment horizontal="left" vertical="center"/>
      <protection hidden="1"/>
    </xf>
  </cellXfs>
  <cellStyles count="22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363">
    <dxf>
      <font>
        <strike/>
      </font>
    </dxf>
    <dxf>
      <fill>
        <patternFill patternType="none">
          <bgColor indexed="65"/>
        </patternFill>
      </fill>
    </dxf>
    <dxf>
      <font>
        <condense val="0"/>
        <extend val="0"/>
        <color indexed="9"/>
      </font>
      <fill>
        <patternFill patternType="none">
          <bgColor indexed="65"/>
        </patternFill>
      </fill>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9"/>
      </font>
    </dxf>
    <dxf>
      <fill>
        <patternFill>
          <bgColor rgb="FFCCFFCC"/>
        </patternFill>
      </fill>
    </dxf>
    <dxf>
      <font>
        <condense val="0"/>
        <extend val="0"/>
        <color indexed="9"/>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ont>
        <condense val="0"/>
        <extend val="0"/>
        <color indexed="9"/>
      </font>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ont>
        <condense val="0"/>
        <extend val="0"/>
        <color indexed="10"/>
      </font>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ont>
        <condense val="0"/>
        <extend val="0"/>
        <color indexed="9"/>
      </font>
      <fill>
        <patternFill patternType="none">
          <bgColor indexed="65"/>
        </patternFill>
      </fill>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6417945"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6736080" y="47625"/>
          <a:ext cx="0" cy="830580"/>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5435943" y="28575"/>
          <a:ext cx="0" cy="597354"/>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7433310" y="28575"/>
          <a:ext cx="1106805" cy="64198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4145986" y="19050"/>
          <a:ext cx="974271" cy="608239"/>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6896100" y="19050"/>
          <a:ext cx="971550" cy="657225"/>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676275</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6955861" y="19050"/>
          <a:ext cx="657225" cy="630011"/>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6924675" y="19050"/>
          <a:ext cx="977265" cy="600075"/>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4891657"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5887700"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7692390" y="47625"/>
          <a:ext cx="1028700" cy="60388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7692390" y="47625"/>
          <a:ext cx="1028700" cy="60388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6684645" y="19050"/>
          <a:ext cx="10287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6684645" y="19050"/>
          <a:ext cx="10287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3797643" y="66675"/>
          <a:ext cx="1404257" cy="472168"/>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7620000" y="76200"/>
          <a:ext cx="1219200" cy="666750"/>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3733800" y="10077450"/>
          <a:ext cx="180975"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257675" y="1007745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3733800" y="10077450"/>
          <a:ext cx="180975"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257675" y="1007745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3733800" y="10077450"/>
          <a:ext cx="180975"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257675" y="1007745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3733800" y="10077450"/>
          <a:ext cx="180975"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3733800" y="10077450"/>
          <a:ext cx="180975"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3733800" y="10077450"/>
          <a:ext cx="180975"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3733800" y="10077450"/>
          <a:ext cx="180975"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4619625" y="1007745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4619625" y="1007745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4619625" y="1007745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4619625" y="1007745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3667125" y="10077450"/>
          <a:ext cx="25146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3648075" y="1007745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3676650" y="10077450"/>
          <a:ext cx="23622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191000" y="1007745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219575" y="1007745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210050" y="1007745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3657600" y="10077450"/>
          <a:ext cx="25908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3705225" y="10077450"/>
          <a:ext cx="209550"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3686175" y="10077450"/>
          <a:ext cx="2286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3676650" y="10077450"/>
          <a:ext cx="23622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3733800" y="10077450"/>
          <a:ext cx="180975"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3733800" y="10077450"/>
          <a:ext cx="180975"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3733800" y="10077450"/>
          <a:ext cx="180975"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3733800" y="10077450"/>
          <a:ext cx="180975"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3733800" y="10077450"/>
          <a:ext cx="180975"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3733800" y="10077450"/>
          <a:ext cx="180975"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609975" y="1007745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3733800" y="10077450"/>
          <a:ext cx="18288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3733800" y="10077450"/>
          <a:ext cx="18288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3733800" y="10077450"/>
          <a:ext cx="180975"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3733800" y="10077450"/>
          <a:ext cx="18288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3733800" y="10077450"/>
          <a:ext cx="18288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3733800" y="10077450"/>
          <a:ext cx="180975"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257675" y="1007745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257675" y="1007745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257675" y="1007745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4962525" y="1007745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4962525" y="1007745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4962525" y="1007745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4962525" y="1007745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4962525" y="1007745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3733800" y="10077450"/>
          <a:ext cx="18288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257675" y="1007745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3733800" y="10077450"/>
          <a:ext cx="18288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257675" y="1007745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3733800" y="10077450"/>
          <a:ext cx="18288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257675" y="1007745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3733800" y="10077450"/>
          <a:ext cx="18288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257675" y="1007745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3733800" y="10077450"/>
          <a:ext cx="18288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3733800" y="10077450"/>
          <a:ext cx="18288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3733800" y="10077450"/>
          <a:ext cx="18288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3733800" y="10077450"/>
          <a:ext cx="18288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3733800" y="10077450"/>
          <a:ext cx="18288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257675" y="1007745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257675" y="1007745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257675" y="1007745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257675" y="1007745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257675" y="1007745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3733800" y="10077450"/>
          <a:ext cx="18288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3733800" y="10077450"/>
          <a:ext cx="18288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257675" y="1007745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257675" y="1007745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3733800" y="10077450"/>
          <a:ext cx="180975"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4962525" y="1007745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257675" y="1007745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257675" y="1007745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257675" y="1007745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257675" y="1007745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257675" y="1007745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133850" y="1007745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3733800" y="10077450"/>
          <a:ext cx="180975"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3733800" y="10077450"/>
          <a:ext cx="180975"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3733800" y="10077450"/>
          <a:ext cx="180975"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3733800" y="10077450"/>
          <a:ext cx="180975"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3733800" y="10077450"/>
          <a:ext cx="180975"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3733800" y="10077450"/>
          <a:ext cx="180975"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609975" y="1007745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3733800" y="10077450"/>
          <a:ext cx="18288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3733800" y="10077450"/>
          <a:ext cx="18288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3733800" y="10077450"/>
          <a:ext cx="180975"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3733800" y="10077450"/>
          <a:ext cx="18288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3733800" y="10077450"/>
          <a:ext cx="18288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3733800" y="10077450"/>
          <a:ext cx="180975"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257675" y="1007745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257675" y="1007745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257675" y="1007745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4962525" y="1007745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4962525" y="1007745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4962525" y="1007745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4962525" y="1007745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4962525" y="1007745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3733800" y="10077450"/>
          <a:ext cx="18288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257675" y="1007745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3733800" y="10077450"/>
          <a:ext cx="18288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257675" y="1007745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3733800" y="10077450"/>
          <a:ext cx="18288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257675" y="1007745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3733800" y="10077450"/>
          <a:ext cx="18288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257675" y="1007745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3733800" y="10077450"/>
          <a:ext cx="18288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3733800" y="10077450"/>
          <a:ext cx="18288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3733800" y="10077450"/>
          <a:ext cx="18288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3733800" y="10077450"/>
          <a:ext cx="18288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3733800" y="10077450"/>
          <a:ext cx="18288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257675" y="1007745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257675" y="1007745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257675" y="1007745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257675" y="1007745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257675" y="1007745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3733800" y="10077450"/>
          <a:ext cx="18288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3733800" y="10077450"/>
          <a:ext cx="18288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257675" y="1007745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257675" y="1007745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3733800" y="10077450"/>
          <a:ext cx="180975"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4962525" y="1007745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257675" y="1007745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257675" y="1007745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257675" y="1007745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257675" y="1007745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133850" y="1007745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3733800" y="10077450"/>
          <a:ext cx="180975"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257675" y="1007745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3733800" y="10077450"/>
          <a:ext cx="180975"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257675" y="1007745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3733800" y="10077450"/>
          <a:ext cx="180975"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257675" y="1007745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3733800" y="10077450"/>
          <a:ext cx="180975"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3733800" y="10077450"/>
          <a:ext cx="180975"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3733800" y="10077450"/>
          <a:ext cx="180975"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3733800" y="10077450"/>
          <a:ext cx="180975"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4619625" y="1007745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4619625" y="1007745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4619625" y="1007745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4619625" y="1007745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3667125" y="10077450"/>
          <a:ext cx="25146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3648075" y="1007745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3676650" y="10077450"/>
          <a:ext cx="23622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191000" y="1007745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219575" y="1007745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210050" y="1007745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3657600" y="10077450"/>
          <a:ext cx="25908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3705225" y="10077450"/>
          <a:ext cx="209550"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3686175" y="10077450"/>
          <a:ext cx="2286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3676650" y="10077450"/>
          <a:ext cx="23622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3733800" y="10077450"/>
          <a:ext cx="180975"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3733800" y="10077450"/>
          <a:ext cx="180975"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3733800" y="10077450"/>
          <a:ext cx="180975"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3733800" y="10077450"/>
          <a:ext cx="180975"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3733800" y="10077450"/>
          <a:ext cx="180975"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3733800" y="10077450"/>
          <a:ext cx="180975"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609975" y="1007745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3733800" y="10077450"/>
          <a:ext cx="18288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3733800" y="10077450"/>
          <a:ext cx="18288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3733800" y="10077450"/>
          <a:ext cx="180975"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3733800" y="10077450"/>
          <a:ext cx="18288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3733800" y="10077450"/>
          <a:ext cx="18288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3733800" y="10077450"/>
          <a:ext cx="180975"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257675" y="1007745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257675" y="1007745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257675" y="1007745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4962525" y="1007745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4962525" y="1007745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4962525" y="1007745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4962525" y="1007745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4962525" y="1007745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3733800" y="10077450"/>
          <a:ext cx="18288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257675" y="1007745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3733800" y="10077450"/>
          <a:ext cx="18288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257675" y="1007745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3733800" y="10077450"/>
          <a:ext cx="18288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257675" y="1007745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3733800" y="10077450"/>
          <a:ext cx="18288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257675" y="1007745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3733800" y="10077450"/>
          <a:ext cx="18288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3733800" y="10077450"/>
          <a:ext cx="18288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3733800" y="10077450"/>
          <a:ext cx="18288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3733800" y="10077450"/>
          <a:ext cx="18288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3733800" y="10077450"/>
          <a:ext cx="18288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257675" y="1007745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257675" y="1007745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257675" y="1007745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257675" y="1007745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257675" y="1007745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3733800" y="10077450"/>
          <a:ext cx="18288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3733800" y="10077450"/>
          <a:ext cx="18288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257675" y="1007745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257675" y="1007745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3733800" y="10077450"/>
          <a:ext cx="180975"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4962525" y="1007745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257675" y="1007745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257675" y="1007745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257675" y="1007745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257675" y="1007745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257675" y="1007745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133850" y="1007745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3733800" y="10077450"/>
          <a:ext cx="180975"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3733800" y="10077450"/>
          <a:ext cx="180975"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3733800" y="10077450"/>
          <a:ext cx="180975"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3733800" y="10077450"/>
          <a:ext cx="180975"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3733800" y="10077450"/>
          <a:ext cx="180975"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3733800" y="10077450"/>
          <a:ext cx="180975"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609975" y="1007745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3733800" y="10077450"/>
          <a:ext cx="18288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3733800" y="10077450"/>
          <a:ext cx="18288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3733800" y="10077450"/>
          <a:ext cx="180975"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3733800" y="10077450"/>
          <a:ext cx="18288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3733800" y="10077450"/>
          <a:ext cx="18288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3733800" y="10077450"/>
          <a:ext cx="180975"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257675" y="1007745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257675" y="1007745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257675" y="1007745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4962525" y="1007745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4962525" y="1007745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4962525" y="1007745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4962525" y="1007745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4962525" y="1007745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3733800" y="10077450"/>
          <a:ext cx="18288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257675" y="1007745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3733800" y="10077450"/>
          <a:ext cx="18288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257675" y="1007745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3733800" y="10077450"/>
          <a:ext cx="18288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257675" y="1007745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3733800" y="10077450"/>
          <a:ext cx="18288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257675" y="1007745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3733800" y="10077450"/>
          <a:ext cx="18288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3733800" y="10077450"/>
          <a:ext cx="18288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3733800" y="10077450"/>
          <a:ext cx="18288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3733800" y="10077450"/>
          <a:ext cx="18288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3733800" y="10077450"/>
          <a:ext cx="18288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257675" y="1007745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257675" y="1007745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257675" y="1007745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257675" y="1007745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257675" y="1007745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3733800" y="10077450"/>
          <a:ext cx="18288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3733800" y="10077450"/>
          <a:ext cx="18288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257675" y="1007745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257675" y="1007745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4962525" y="1007745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257675" y="1007745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257675" y="1007745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257675" y="1007745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257675" y="1007745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133850" y="1007745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3733800" y="10077450"/>
          <a:ext cx="180975"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257675" y="1007745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3733800" y="10077450"/>
          <a:ext cx="180975"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257675" y="1007745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3733800" y="10077450"/>
          <a:ext cx="180975"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257675" y="1007745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3733800" y="10077450"/>
          <a:ext cx="180975"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3733800" y="10077450"/>
          <a:ext cx="180975"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3733800" y="10077450"/>
          <a:ext cx="180975"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3733800" y="10077450"/>
          <a:ext cx="180975"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4619625" y="1007745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4619625" y="1007745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4619625" y="1007745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4619625" y="1007745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3667125" y="10077450"/>
          <a:ext cx="25146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3648075" y="1007745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3676650" y="10077450"/>
          <a:ext cx="23622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191000" y="1007745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219575" y="1007745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210050" y="1007745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3657600" y="10077450"/>
          <a:ext cx="25908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3705225" y="10077450"/>
          <a:ext cx="209550"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3686175" y="10077450"/>
          <a:ext cx="2286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3676650" y="10077450"/>
          <a:ext cx="23622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3733800" y="10077450"/>
          <a:ext cx="180975"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3733800" y="10077450"/>
          <a:ext cx="180975"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3733800" y="10077450"/>
          <a:ext cx="180975"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3733800" y="10077450"/>
          <a:ext cx="180975"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3733800" y="10077450"/>
          <a:ext cx="180975"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3733800" y="10077450"/>
          <a:ext cx="180975"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609975" y="1007745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3733800" y="10077450"/>
          <a:ext cx="18288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3733800" y="10077450"/>
          <a:ext cx="18288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3733800" y="10077450"/>
          <a:ext cx="180975"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3733800" y="10077450"/>
          <a:ext cx="18288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3733800" y="10077450"/>
          <a:ext cx="18288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3733800" y="10077450"/>
          <a:ext cx="180975"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257675" y="1007745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257675" y="1007745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257675" y="1007745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4962525" y="1007745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4962525" y="1007745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4962525" y="1007745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4962525" y="1007745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4962525" y="1007745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3733800" y="10077450"/>
          <a:ext cx="18288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257675" y="1007745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3733800" y="10077450"/>
          <a:ext cx="18288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257675" y="1007745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3733800" y="10077450"/>
          <a:ext cx="18288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257675" y="1007745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3733800" y="10077450"/>
          <a:ext cx="18288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257675" y="1007745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3733800" y="10077450"/>
          <a:ext cx="18288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3733800" y="10077450"/>
          <a:ext cx="18288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3733800" y="10077450"/>
          <a:ext cx="18288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3733800" y="10077450"/>
          <a:ext cx="18288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3733800" y="10077450"/>
          <a:ext cx="18288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257675" y="1007745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257675" y="1007745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257675" y="1007745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257675" y="1007745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257675" y="1007745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3733800" y="10077450"/>
          <a:ext cx="18288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3733800" y="10077450"/>
          <a:ext cx="18288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257675" y="1007745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257675" y="1007745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3733800" y="10077450"/>
          <a:ext cx="180975"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4962525" y="1007745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257675" y="1007745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257675" y="1007745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257675" y="1007745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257675" y="1007745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257675" y="1007745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133850" y="1007745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3733800" y="10077450"/>
          <a:ext cx="180975"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3733800" y="10077450"/>
          <a:ext cx="180975"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3733800" y="10077450"/>
          <a:ext cx="180975"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3733800" y="10077450"/>
          <a:ext cx="180975"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3733800" y="10077450"/>
          <a:ext cx="180975"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3733800" y="10077450"/>
          <a:ext cx="180975"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609975" y="1007745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3733800" y="10077450"/>
          <a:ext cx="18288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3733800" y="10077450"/>
          <a:ext cx="18288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3733800" y="10077450"/>
          <a:ext cx="180975"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3733800" y="10077450"/>
          <a:ext cx="18288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3733800" y="10077450"/>
          <a:ext cx="18288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3733800" y="10077450"/>
          <a:ext cx="180975"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257675" y="1007745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257675" y="1007745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257675" y="1007745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4962525" y="1007745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4962525" y="1007745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4962525" y="1007745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4962525" y="1007745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4962525" y="1007745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3733800" y="10077450"/>
          <a:ext cx="18288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257675" y="1007745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3733800" y="10077450"/>
          <a:ext cx="18288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257675" y="1007745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3733800" y="10077450"/>
          <a:ext cx="18288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257675" y="1007745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3733800" y="10077450"/>
          <a:ext cx="18288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257675" y="1007745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3733800" y="10077450"/>
          <a:ext cx="18288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3733800" y="10077450"/>
          <a:ext cx="18288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3733800" y="10077450"/>
          <a:ext cx="18288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3733800" y="10077450"/>
          <a:ext cx="18288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3733800" y="10077450"/>
          <a:ext cx="18288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257675" y="1007745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257675" y="1007745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257675" y="1007745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257675" y="1007745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257675" y="1007745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3733800" y="10077450"/>
          <a:ext cx="18288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3733800" y="10077450"/>
          <a:ext cx="18288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257675" y="1007745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257675" y="1007745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3733800" y="10077450"/>
          <a:ext cx="180975"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4962525" y="1007745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257675" y="1007745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257675" y="1007745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257675" y="1007745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257675" y="1007745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133850" y="1007745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3733800" y="10077450"/>
          <a:ext cx="180975"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257675" y="1007745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3733800" y="10077450"/>
          <a:ext cx="180975"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257675" y="1007745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3733800" y="10077450"/>
          <a:ext cx="180975"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257675" y="1007745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3733800" y="10077450"/>
          <a:ext cx="180975"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3733800" y="10077450"/>
          <a:ext cx="180975"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3733800" y="10077450"/>
          <a:ext cx="180975"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3733800" y="10077450"/>
          <a:ext cx="180975"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4619625" y="1007745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4619625" y="1007745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4619625" y="1007745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4619625" y="1007745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3667125" y="10077450"/>
          <a:ext cx="25146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3648075" y="1007745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3676650" y="10077450"/>
          <a:ext cx="23622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191000" y="1007745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219575" y="1007745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210050" y="1007745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3657600" y="10077450"/>
          <a:ext cx="25908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3705225" y="10077450"/>
          <a:ext cx="209550"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3686175" y="10077450"/>
          <a:ext cx="2286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3676650" y="10077450"/>
          <a:ext cx="23622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3733800" y="10077450"/>
          <a:ext cx="180975"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3733800" y="10077450"/>
          <a:ext cx="180975"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3733800" y="10077450"/>
          <a:ext cx="180975"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3733800" y="10077450"/>
          <a:ext cx="180975"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3733800" y="10077450"/>
          <a:ext cx="180975"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3733800" y="10077450"/>
          <a:ext cx="180975"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609975" y="1007745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3733800" y="10077450"/>
          <a:ext cx="18288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3733800" y="10077450"/>
          <a:ext cx="18288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3733800" y="10077450"/>
          <a:ext cx="180975"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3733800" y="10077450"/>
          <a:ext cx="18288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3733800" y="10077450"/>
          <a:ext cx="18288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3733800" y="10077450"/>
          <a:ext cx="180975"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257675" y="1007745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257675" y="1007745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257675" y="1007745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4962525" y="1007745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4962525" y="1007745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4962525" y="1007745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4962525" y="1007745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4962525" y="1007745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3733800" y="10077450"/>
          <a:ext cx="18288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257675" y="1007745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3733800" y="10077450"/>
          <a:ext cx="18288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257675" y="1007745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3733800" y="10077450"/>
          <a:ext cx="18288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257675" y="1007745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3733800" y="10077450"/>
          <a:ext cx="18288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257675" y="1007745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3733800" y="10077450"/>
          <a:ext cx="18288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3733800" y="10077450"/>
          <a:ext cx="18288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3733800" y="10077450"/>
          <a:ext cx="18288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3733800" y="10077450"/>
          <a:ext cx="18288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3733800" y="10077450"/>
          <a:ext cx="18288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257675" y="1007745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257675" y="1007745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257675" y="1007745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257675" y="1007745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257675" y="1007745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3733800" y="10077450"/>
          <a:ext cx="18288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3733800" y="10077450"/>
          <a:ext cx="18288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257675" y="1007745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257675" y="1007745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3733800" y="10077450"/>
          <a:ext cx="180975"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4962525" y="1007745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257675" y="1007745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257675" y="1007745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257675" y="1007745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257675" y="1007745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257675" y="1007745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133850" y="1007745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3733800" y="10077450"/>
          <a:ext cx="180975"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3733800" y="10077450"/>
          <a:ext cx="180975"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3733800" y="10077450"/>
          <a:ext cx="180975"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3733800" y="10077450"/>
          <a:ext cx="180975"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3733800" y="10077450"/>
          <a:ext cx="180975"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3733800" y="10077450"/>
          <a:ext cx="180975"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609975" y="1007745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3733800" y="10077450"/>
          <a:ext cx="18288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3733800" y="10077450"/>
          <a:ext cx="18288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3733800" y="10077450"/>
          <a:ext cx="180975"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3733800" y="10077450"/>
          <a:ext cx="18288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3733800" y="10077450"/>
          <a:ext cx="18288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3733800" y="10077450"/>
          <a:ext cx="180975"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257675" y="1007745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257675" y="1007745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257675" y="1007745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4962525" y="1007745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4962525" y="1007745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4962525" y="1007745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4962525" y="1007745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4962525" y="1007745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3733800" y="10077450"/>
          <a:ext cx="18288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257675" y="1007745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3733800" y="10077450"/>
          <a:ext cx="18288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257675" y="1007745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3733800" y="10077450"/>
          <a:ext cx="18288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257675" y="1007745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3733800" y="10077450"/>
          <a:ext cx="18288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257675" y="1007745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3733800" y="10077450"/>
          <a:ext cx="18288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3733800" y="10077450"/>
          <a:ext cx="18288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3733800" y="10077450"/>
          <a:ext cx="18288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3733800" y="10077450"/>
          <a:ext cx="18288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3733800" y="10077450"/>
          <a:ext cx="18288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257675" y="1007745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257675" y="1007745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257675" y="1007745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257675" y="1007745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257675" y="1007745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3733800" y="10077450"/>
          <a:ext cx="18288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257675" y="1007745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257675" y="1007745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4962525" y="1007745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257675" y="1007745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257675" y="1007745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257675" y="1007745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257675" y="1007745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133850" y="1007745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6734175" y="19050"/>
          <a:ext cx="0" cy="9525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6804660" y="104775"/>
          <a:ext cx="0" cy="664845"/>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B6" sqref="B6"/>
    </sheetView>
  </sheetViews>
  <sheetFormatPr defaultRowHeight="14.4"/>
  <cols>
    <col min="1" max="1" width="18" customWidth="1"/>
    <col min="2" max="2" width="71.88671875" customWidth="1"/>
  </cols>
  <sheetData>
    <row r="1" spans="1:8" ht="162" customHeight="1">
      <c r="A1" s="285" t="s">
        <v>475</v>
      </c>
      <c r="B1" s="1049" t="s">
        <v>782</v>
      </c>
      <c r="C1" s="679"/>
      <c r="D1" s="679"/>
      <c r="E1" s="679"/>
      <c r="F1" s="679"/>
      <c r="G1" s="679"/>
      <c r="H1" s="679"/>
    </row>
    <row r="2" spans="1:8">
      <c r="B2" s="469"/>
    </row>
    <row r="3" spans="1:8">
      <c r="A3" t="s">
        <v>307</v>
      </c>
      <c r="B3" s="669" t="s">
        <v>783</v>
      </c>
    </row>
    <row r="5" spans="1:8" ht="15.6">
      <c r="A5" t="s">
        <v>308</v>
      </c>
      <c r="B5" s="1181" t="s">
        <v>784</v>
      </c>
      <c r="C5" s="1182"/>
      <c r="D5" s="1182"/>
      <c r="E5" s="1182"/>
      <c r="F5" s="1182"/>
      <c r="G5" s="1182"/>
      <c r="H5" s="1182"/>
    </row>
    <row r="7" spans="1:8">
      <c r="B7" s="1028" t="s">
        <v>565</v>
      </c>
    </row>
  </sheetData>
  <sheetProtection algorithmName="SHA-512" hashValue="VLfreGJd/YPW9XqOyB2XuSDilA9amq8v149zccy6NGh0GGXMSBC2tDAOrtc9k8jSKqSf9h96UcqKCdDbQv05iw==" saltValue="b1gBIWwZT41Y8M7PA1GLlA==" spinCount="100000" sheet="1" formatColumns="0" formatRows="0" selectLockedCells="1" selectUnlockedCells="1"/>
  <customSheetViews>
    <customSheetView guid="{9AC181BA-F443-4EA7-A647-328174FE3004}" state="hidden">
      <selection activeCell="B2" sqref="B2"/>
      <pageMargins left="0.75" right="0.75" top="1" bottom="1" header="0.5" footer="0.5"/>
      <pageSetup orientation="portrait" r:id="rId1"/>
      <headerFooter alignWithMargins="0"/>
    </customSheetView>
    <customSheetView guid="{CB55CDDD-15EC-4265-9148-3411BBB26D54}" state="hidden">
      <selection activeCell="B10" sqref="B10"/>
      <pageMargins left="0.75" right="0.75" top="1" bottom="1" header="0.5" footer="0.5"/>
      <pageSetup orientation="portrait" r:id="rId2"/>
      <headerFooter alignWithMargins="0"/>
    </customSheetView>
    <customSheetView guid="{023E95C7-CD0A-46A1-945E-64751E02EBFE}" state="hidden">
      <selection activeCell="B12" sqref="B12"/>
      <pageMargins left="0.75" right="0.75" top="1" bottom="1" header="0.5" footer="0.5"/>
      <pageSetup orientation="portrait" r:id="rId3"/>
      <headerFooter alignWithMargins="0"/>
    </customSheetView>
    <customSheetView guid="{BB6473B7-092C-417E-97E7-ED0705AE17A0}" state="hidden">
      <selection activeCell="B7" sqref="B7"/>
      <pageMargins left="0.75" right="0.75" top="1" bottom="1" header="0.5" footer="0.5"/>
      <pageSetup orientation="portrait" r:id="rId4"/>
      <headerFooter alignWithMargins="0"/>
    </customSheetView>
    <customSheetView guid="{A41EE4DE-0D82-4A56-8210-F78316511D11}" state="hidden">
      <selection activeCell="B8" sqref="B8"/>
      <pageMargins left="0.75" right="0.75" top="1" bottom="1" header="0.5" footer="0.5"/>
      <pageSetup orientation="portrait" r:id="rId5"/>
      <headerFooter alignWithMargins="0"/>
    </customSheetView>
    <customSheetView guid="{1E0C44A1-9358-4FBD-8C2C-4DB661DA1476}" state="hidden">
      <selection activeCell="B14" sqref="B14"/>
      <pageMargins left="0.75" right="0.75" top="1" bottom="1" header="0.5" footer="0.5"/>
      <pageSetup orientation="portrait" r:id="rId6"/>
      <headerFooter alignWithMargins="0"/>
    </customSheetView>
    <customSheetView guid="{498493C3-769C-4143-9114-C68CD1D40B11}" state="hidden">
      <selection activeCell="B13" sqref="B13"/>
      <pageMargins left="0.75" right="0.75" top="1" bottom="1" header="0.5" footer="0.5"/>
      <pageSetup orientation="portrait" r:id="rId7"/>
      <headerFooter alignWithMargins="0"/>
    </customSheetView>
    <customSheetView guid="{C431BC99-7569-44AB-83F6-AB73BDED3783}" state="hidden">
      <selection activeCell="B11" sqref="B11"/>
      <pageMargins left="0.75" right="0.75" top="1" bottom="1" header="0.5" footer="0.5"/>
      <pageSetup orientation="portrait" r:id="rId8"/>
      <headerFooter alignWithMargins="0"/>
    </customSheetView>
    <customSheetView guid="{E97134B6-5E8D-4951-8DA0-73D065532361}" state="hidden">
      <selection activeCell="B1" sqref="B1:H1"/>
      <pageMargins left="0.75" right="0.75" top="1" bottom="1" header="0.5" footer="0.5"/>
      <pageSetup orientation="portrait" r:id="rId9"/>
      <headerFooter alignWithMargins="0"/>
    </customSheetView>
    <customSheetView guid="{D0757F9E-DF41-4B40-A5E5-F4F8FDD8D61D}" state="hidden">
      <selection activeCell="B6" sqref="B6"/>
      <pageMargins left="0.75" right="0.75" top="1" bottom="1" header="0.5" footer="0.5"/>
      <pageSetup orientation="portrait" r:id="rId10"/>
      <headerFooter alignWithMargins="0"/>
    </customSheetView>
    <customSheetView guid="{EE46BCD1-F715-4FA9-A5FC-1B125AD601E0}" state="hidden">
      <selection activeCell="B5" sqref="B5:H5"/>
      <pageMargins left="0.75" right="0.75" top="1" bottom="1" header="0.5" footer="0.5"/>
      <pageSetup orientation="portrait" r:id="rId11"/>
      <headerFooter alignWithMargins="0"/>
    </customSheetView>
    <customSheetView guid="{4AA1107B-A795-4744-B566-827168772C7A}" state="hidden">
      <selection activeCell="B2" sqref="B2"/>
      <pageMargins left="0.75" right="0.75" top="1" bottom="1" header="0.5" footer="0.5"/>
      <pageSetup orientation="portrait" r:id="rId12"/>
      <headerFooter alignWithMargins="0"/>
    </customSheetView>
    <customSheetView guid="{B23AD343-29DA-4CE0-BD10-47BF44F3782F}" state="hidden">
      <selection activeCell="B10" sqref="B10"/>
      <pageMargins left="0.75" right="0.75" top="1" bottom="1" header="0.5" footer="0.5"/>
      <pageSetup orientation="portrait" r:id="rId13"/>
      <headerFooter alignWithMargins="0"/>
    </customSheetView>
    <customSheetView guid="{ECE9294F-C910-4036-88BC-B1F2176FB06B}" state="hidden">
      <selection activeCell="B8" sqref="B8"/>
      <pageMargins left="0.75" right="0.75" top="1" bottom="1" header="0.5" footer="0.5"/>
      <pageSetup orientation="portrait" r:id="rId14"/>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1" sqref="B1"/>
      <pageMargins left="0.75" right="0.75" top="1" bottom="1" header="0.5" footer="0.5"/>
      <headerFooter alignWithMargins="0"/>
    </customSheetView>
    <customSheetView guid="{E9F4E142-7D26-464D-BECA-4F3806DB1FE1}" state="hidden">
      <selection activeCell="B10" sqref="B10"/>
      <pageMargins left="0.75" right="0.75" top="1" bottom="1" header="0.5" footer="0.5"/>
      <pageSetup orientation="portrait" r:id="rId15"/>
      <headerFooter alignWithMargins="0"/>
    </customSheetView>
    <customSheetView guid="{A7DBDDEF-9245-44C6-9EBF-032DB6E1C0A2}" state="hidden">
      <selection activeCell="B8" sqref="B8"/>
      <pageMargins left="0.75" right="0.75" top="1" bottom="1" header="0.5" footer="0.5"/>
      <pageSetup orientation="portrait" r:id="rId16"/>
      <headerFooter alignWithMargins="0"/>
    </customSheetView>
    <customSheetView guid="{7487ED9F-BBED-4B2A-9631-22F1A430946B}" state="hidden">
      <selection activeCell="B2" sqref="B2"/>
      <pageMargins left="0.75" right="0.75" top="1" bottom="1" header="0.5" footer="0.5"/>
      <pageSetup orientation="portrait" r:id="rId17"/>
      <headerFooter alignWithMargins="0"/>
    </customSheetView>
    <customSheetView guid="{B3CE7B10-A914-4559-A6DA-AED8C22AFD6D}" state="hidden">
      <selection activeCell="B7" sqref="B7"/>
      <pageMargins left="0.75" right="0.75" top="1" bottom="1" header="0.5" footer="0.5"/>
      <pageSetup orientation="portrait" r:id="rId18"/>
      <headerFooter alignWithMargins="0"/>
    </customSheetView>
    <customSheetView guid="{D53177B2-31EC-4222-B97A-A37DCFD9E45B}" state="hidden">
      <selection activeCell="B1" sqref="B1:H1"/>
      <pageMargins left="0.75" right="0.75" top="1" bottom="1" header="0.5" footer="0.5"/>
      <pageSetup orientation="portrait" r:id="rId19"/>
      <headerFooter alignWithMargins="0"/>
    </customSheetView>
    <customSheetView guid="{223BC0FC-814D-40F0-9795-CE82A16FF3A5}" state="hidden">
      <selection activeCell="B10" sqref="B10"/>
      <pageMargins left="0.75" right="0.75" top="1" bottom="1" header="0.5" footer="0.5"/>
      <pageSetup orientation="portrait" r:id="rId20"/>
      <headerFooter alignWithMargins="0"/>
    </customSheetView>
    <customSheetView guid="{B835C05C-B615-4DCB-982D-4519616B3CD8}" state="hidden">
      <selection activeCell="B11" sqref="B11"/>
      <pageMargins left="0.75" right="0.75" top="1" bottom="1" header="0.5" footer="0.5"/>
      <pageSetup orientation="portrait" r:id="rId21"/>
      <headerFooter alignWithMargins="0"/>
    </customSheetView>
    <customSheetView guid="{A34CC49F-E309-4C23-B4F6-1E3B307C10D1}" state="hidden">
      <selection activeCell="B12" sqref="B12"/>
      <pageMargins left="0.75" right="0.75" top="1" bottom="1" header="0.5" footer="0.5"/>
      <pageSetup orientation="portrait" r:id="rId22"/>
      <headerFooter alignWithMargins="0"/>
    </customSheetView>
    <customSheetView guid="{8909CFDD-4F29-4C72-886E-908773EE94A2}" state="hidden">
      <selection activeCell="B11" sqref="B11"/>
      <pageMargins left="0.75" right="0.75" top="1" bottom="1" header="0.5" footer="0.5"/>
      <pageSetup orientation="portrait" r:id="rId23"/>
      <headerFooter alignWithMargins="0"/>
    </customSheetView>
    <customSheetView guid="{D5F8AD2D-F014-4A7B-9CE7-589273BD9F11}" state="hidden">
      <selection activeCell="B4" sqref="B4"/>
      <pageMargins left="0.75" right="0.75" top="1" bottom="1" header="0.5" footer="0.5"/>
      <pageSetup orientation="portrait" r:id="rId24"/>
      <headerFooter alignWithMargins="0"/>
    </customSheetView>
  </customSheetViews>
  <mergeCells count="1">
    <mergeCell ref="B5:H5"/>
  </mergeCells>
  <phoneticPr fontId="30"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7"/>
  <sheetViews>
    <sheetView showGridLines="0" tabSelected="1" view="pageBreakPreview" zoomScaleNormal="100" zoomScaleSheetLayoutView="100" workbookViewId="0">
      <selection activeCell="I11" sqref="I11"/>
    </sheetView>
  </sheetViews>
  <sheetFormatPr defaultColWidth="8" defaultRowHeight="13.8"/>
  <cols>
    <col min="1" max="1" width="8.6640625" style="30" customWidth="1"/>
    <col min="2" max="2" width="11.109375" style="30" customWidth="1"/>
    <col min="3" max="4" width="38.6640625" style="30" customWidth="1"/>
    <col min="5" max="5" width="11.21875" style="30" customWidth="1"/>
    <col min="6" max="6" width="8.6640625" style="25" customWidth="1"/>
    <col min="7" max="7" width="8" style="25" customWidth="1"/>
    <col min="8" max="16384" width="8" style="17"/>
  </cols>
  <sheetData>
    <row r="1" spans="1:8" ht="30.75" customHeight="1">
      <c r="A1" s="668"/>
      <c r="B1" s="1183"/>
      <c r="C1" s="1184"/>
      <c r="D1" s="1184"/>
      <c r="E1" s="1185"/>
      <c r="F1" s="286"/>
      <c r="G1" s="1043"/>
      <c r="H1" s="16"/>
    </row>
    <row r="2" spans="1:8" ht="76.8" customHeight="1">
      <c r="A2" s="1200" t="s">
        <v>309</v>
      </c>
      <c r="B2" s="1188" t="str">
        <f>Basic!B1</f>
        <v>400kV AIS Substation Extension Package SS-111 for Extension of 400/220 kV Jabalpur Substation associated with Western Region Expansion Scheme-XXXIII (WRES-XXXIII): Part A.</v>
      </c>
      <c r="C2" s="1189"/>
      <c r="D2" s="1189"/>
      <c r="E2" s="1190"/>
      <c r="F2" s="1203" t="str">
        <f>Basic!B3</f>
        <v>400kV AIS Substation Extension Package SS-111</v>
      </c>
      <c r="G2" s="15"/>
      <c r="H2" s="16"/>
    </row>
    <row r="3" spans="1:8" ht="23.25" customHeight="1">
      <c r="A3" s="1201"/>
      <c r="B3" s="1191" t="str">
        <f>Basic!B5</f>
        <v>Specification No.: CC/NT/W-AIS/DOM/A00/23/02698</v>
      </c>
      <c r="C3" s="1192"/>
      <c r="D3" s="1192"/>
      <c r="E3" s="1193"/>
      <c r="F3" s="1204"/>
      <c r="G3" s="15"/>
      <c r="H3" s="16"/>
    </row>
    <row r="4" spans="1:8" ht="40.200000000000003" customHeight="1">
      <c r="A4" s="1201"/>
      <c r="B4" s="284">
        <v>1</v>
      </c>
      <c r="C4" s="1186" t="s">
        <v>570</v>
      </c>
      <c r="D4" s="1186"/>
      <c r="E4" s="1187"/>
      <c r="F4" s="1204"/>
      <c r="G4" s="15"/>
      <c r="H4" s="16"/>
    </row>
    <row r="5" spans="1:8" ht="35.4" customHeight="1">
      <c r="A5" s="1201"/>
      <c r="B5" s="284">
        <v>2</v>
      </c>
      <c r="C5" s="1186" t="s">
        <v>571</v>
      </c>
      <c r="D5" s="1186"/>
      <c r="E5" s="1187"/>
      <c r="F5" s="1204"/>
      <c r="G5" s="15"/>
      <c r="H5" s="16"/>
    </row>
    <row r="6" spans="1:8" s="25" customFormat="1" ht="36.6" customHeight="1">
      <c r="A6" s="1201"/>
      <c r="B6" s="284">
        <v>3</v>
      </c>
      <c r="C6" s="1186" t="s">
        <v>267</v>
      </c>
      <c r="D6" s="1186"/>
      <c r="E6" s="1187"/>
      <c r="F6" s="1204"/>
      <c r="G6" s="15"/>
      <c r="H6" s="15"/>
    </row>
    <row r="7" spans="1:8" ht="52.5" hidden="1" customHeight="1">
      <c r="A7" s="1201"/>
      <c r="B7" s="284">
        <v>4</v>
      </c>
      <c r="C7" s="1186" t="s">
        <v>458</v>
      </c>
      <c r="D7" s="1186"/>
      <c r="E7" s="1187"/>
      <c r="F7" s="1204"/>
      <c r="G7" s="15"/>
      <c r="H7" s="16"/>
    </row>
    <row r="8" spans="1:8" ht="9.75" customHeight="1">
      <c r="A8" s="1201"/>
      <c r="B8" s="19"/>
      <c r="C8" s="18"/>
      <c r="D8" s="18"/>
      <c r="E8" s="20"/>
      <c r="F8" s="1204"/>
      <c r="G8" s="15"/>
      <c r="H8" s="16"/>
    </row>
    <row r="9" spans="1:8" ht="23.25" customHeight="1">
      <c r="A9" s="1201"/>
      <c r="B9" s="1210"/>
      <c r="C9" s="1211"/>
      <c r="D9" s="1211"/>
      <c r="E9" s="1212"/>
      <c r="F9" s="1204"/>
      <c r="G9" s="15"/>
      <c r="H9" s="16"/>
    </row>
    <row r="10" spans="1:8" ht="10.5" customHeight="1">
      <c r="A10" s="1201"/>
      <c r="B10" s="21"/>
      <c r="C10" s="22"/>
      <c r="D10" s="22"/>
      <c r="E10" s="23"/>
      <c r="F10" s="1204"/>
      <c r="G10" s="15"/>
      <c r="H10" s="16"/>
    </row>
    <row r="11" spans="1:8" ht="24" customHeight="1">
      <c r="A11" s="1201"/>
      <c r="B11" s="1208" t="s">
        <v>392</v>
      </c>
      <c r="C11" s="1209"/>
      <c r="D11" s="1209"/>
      <c r="E11" s="24"/>
      <c r="F11" s="1204"/>
    </row>
    <row r="12" spans="1:8" ht="28.5" customHeight="1">
      <c r="A12" s="1202"/>
      <c r="B12" s="1194" t="s">
        <v>393</v>
      </c>
      <c r="C12" s="1195"/>
      <c r="D12" s="1195"/>
      <c r="E12" s="26"/>
      <c r="F12" s="1205"/>
      <c r="G12" s="15"/>
      <c r="H12" s="16"/>
    </row>
    <row r="13" spans="1:8" ht="24" customHeight="1">
      <c r="A13" s="1199"/>
      <c r="B13" s="1196" t="s">
        <v>394</v>
      </c>
      <c r="C13" s="1197"/>
      <c r="D13" s="1197"/>
      <c r="E13" s="24"/>
      <c r="F13" s="1198"/>
      <c r="G13" s="27"/>
      <c r="H13" s="27"/>
    </row>
    <row r="14" spans="1:8" ht="16.2" customHeight="1">
      <c r="A14" s="1199"/>
      <c r="B14" s="1206" t="s">
        <v>395</v>
      </c>
      <c r="C14" s="1207"/>
      <c r="D14" s="1207"/>
      <c r="E14" s="28"/>
      <c r="F14" s="1198"/>
      <c r="G14" s="27"/>
      <c r="H14" s="27"/>
    </row>
    <row r="15" spans="1:8" ht="15.6">
      <c r="A15" s="18"/>
      <c r="B15" s="29"/>
      <c r="C15" s="29"/>
      <c r="D15" s="29"/>
      <c r="E15" s="29"/>
      <c r="F15" s="15"/>
      <c r="G15" s="15"/>
      <c r="H15" s="16"/>
    </row>
    <row r="16" spans="1:8" ht="15.6">
      <c r="A16" s="18"/>
      <c r="B16" s="18"/>
      <c r="C16" s="18"/>
      <c r="D16" s="18"/>
      <c r="E16" s="18"/>
      <c r="F16" s="15"/>
      <c r="G16" s="15"/>
      <c r="H16" s="16"/>
    </row>
    <row r="17" spans="1:8" ht="15.6">
      <c r="A17" s="18"/>
      <c r="B17" s="18"/>
      <c r="C17" s="18"/>
      <c r="D17" s="18"/>
      <c r="E17" s="18"/>
      <c r="F17" s="15"/>
      <c r="G17" s="15"/>
      <c r="H17" s="16"/>
    </row>
  </sheetData>
  <sheetProtection algorithmName="SHA-512" hashValue="ghod1rM5eykuKbcpPwTFQUIJHFiMQPQ+iFjuuXt5+bcjbf5gPoEphDKh/FOXgqmeguf+XqKsKgVKYNQlx/lvsg==" saltValue="5F9Mcc3a/WbUwdLFeexVuQ==" spinCount="100000" sheet="1" formatColumns="0" formatRows="0" selectLockedCells="1"/>
  <customSheetViews>
    <customSheetView guid="{9AC181BA-F443-4EA7-A647-328174FE300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5"/>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6"/>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7"/>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5.6"/>
  <cols>
    <col min="1" max="1" width="9" style="290"/>
    <col min="2" max="2" width="9" style="291"/>
    <col min="3" max="3" width="72.6640625" style="291" customWidth="1"/>
    <col min="4" max="4" width="66.109375" style="303" customWidth="1"/>
    <col min="5" max="16384" width="9" style="289"/>
  </cols>
  <sheetData>
    <row r="1" spans="1:11" ht="45" customHeight="1">
      <c r="A1" s="1213" t="s">
        <v>566</v>
      </c>
      <c r="B1" s="1213"/>
      <c r="C1" s="1213"/>
      <c r="D1" s="287"/>
      <c r="E1" s="288"/>
      <c r="F1" s="288"/>
      <c r="G1" s="288"/>
      <c r="H1" s="288"/>
      <c r="I1" s="288"/>
      <c r="J1" s="288"/>
      <c r="K1" s="288"/>
    </row>
    <row r="2" spans="1:11" ht="18" customHeight="1">
      <c r="D2" s="292"/>
      <c r="E2" s="293"/>
      <c r="F2" s="293"/>
      <c r="G2" s="293"/>
      <c r="H2" s="293"/>
      <c r="I2" s="293"/>
      <c r="J2" s="293"/>
      <c r="K2" s="293"/>
    </row>
    <row r="3" spans="1:11" ht="18" customHeight="1">
      <c r="A3" s="294" t="s">
        <v>340</v>
      </c>
      <c r="B3" s="291" t="s">
        <v>311</v>
      </c>
      <c r="D3" s="295"/>
      <c r="E3" s="296"/>
      <c r="F3" s="296"/>
      <c r="G3" s="296"/>
      <c r="H3" s="296"/>
      <c r="I3" s="296"/>
      <c r="J3" s="296"/>
      <c r="K3" s="296"/>
    </row>
    <row r="4" spans="1:11" ht="18" customHeight="1">
      <c r="B4" s="297" t="s">
        <v>371</v>
      </c>
      <c r="C4" s="298" t="s">
        <v>328</v>
      </c>
      <c r="D4" s="295"/>
      <c r="E4" s="296"/>
      <c r="F4" s="296"/>
      <c r="G4" s="296"/>
      <c r="H4" s="296"/>
      <c r="I4" s="296"/>
      <c r="J4" s="296"/>
      <c r="K4" s="296"/>
    </row>
    <row r="5" spans="1:11" ht="38.1" customHeight="1">
      <c r="B5" s="297" t="s">
        <v>374</v>
      </c>
      <c r="C5" s="298" t="s">
        <v>446</v>
      </c>
      <c r="D5" s="295"/>
      <c r="E5" s="296"/>
      <c r="F5" s="296"/>
      <c r="G5" s="296"/>
      <c r="H5" s="296"/>
      <c r="I5" s="296"/>
      <c r="J5" s="296"/>
      <c r="K5" s="296"/>
    </row>
    <row r="6" spans="1:11" ht="18" customHeight="1">
      <c r="B6" s="297" t="s">
        <v>430</v>
      </c>
      <c r="C6" s="298" t="s">
        <v>135</v>
      </c>
      <c r="D6" s="295"/>
      <c r="E6" s="296"/>
      <c r="F6" s="296"/>
      <c r="G6" s="296"/>
      <c r="H6" s="296"/>
      <c r="I6" s="296"/>
      <c r="J6" s="296"/>
      <c r="K6" s="296"/>
    </row>
    <row r="7" spans="1:11" ht="18" customHeight="1">
      <c r="B7" s="297" t="s">
        <v>431</v>
      </c>
      <c r="C7" s="298" t="s">
        <v>447</v>
      </c>
      <c r="D7" s="295"/>
      <c r="E7" s="296"/>
      <c r="F7" s="296"/>
      <c r="G7" s="296"/>
      <c r="H7" s="296"/>
      <c r="I7" s="296"/>
      <c r="J7" s="296"/>
      <c r="K7" s="296"/>
    </row>
    <row r="8" spans="1:11" ht="18" customHeight="1">
      <c r="B8" s="297" t="s">
        <v>448</v>
      </c>
      <c r="C8" s="298" t="s">
        <v>449</v>
      </c>
      <c r="D8" s="295"/>
      <c r="E8" s="296"/>
      <c r="F8" s="296"/>
      <c r="G8" s="296"/>
      <c r="H8" s="296"/>
      <c r="I8" s="296"/>
      <c r="J8" s="296"/>
      <c r="K8" s="296"/>
    </row>
    <row r="9" spans="1:11" ht="18" customHeight="1">
      <c r="B9" s="297" t="s">
        <v>450</v>
      </c>
      <c r="C9" s="298" t="s">
        <v>451</v>
      </c>
      <c r="D9" s="295"/>
      <c r="E9" s="296"/>
      <c r="F9" s="296"/>
      <c r="G9" s="296"/>
      <c r="H9" s="296"/>
      <c r="I9" s="296"/>
      <c r="J9" s="296"/>
      <c r="K9" s="296"/>
    </row>
    <row r="10" spans="1:11" ht="18" customHeight="1">
      <c r="B10" s="297"/>
      <c r="C10" s="298"/>
      <c r="D10" s="295"/>
      <c r="E10" s="296"/>
      <c r="F10" s="296"/>
      <c r="G10" s="296"/>
      <c r="H10" s="296"/>
      <c r="I10" s="296"/>
      <c r="J10" s="296"/>
      <c r="K10" s="296"/>
    </row>
    <row r="11" spans="1:11" ht="18" customHeight="1">
      <c r="A11" s="294" t="s">
        <v>341</v>
      </c>
      <c r="B11" s="291" t="s">
        <v>312</v>
      </c>
      <c r="D11" s="295"/>
      <c r="E11" s="296"/>
      <c r="F11" s="296"/>
      <c r="G11" s="296"/>
      <c r="H11" s="296"/>
      <c r="I11" s="296"/>
      <c r="J11" s="296"/>
      <c r="K11" s="296"/>
    </row>
    <row r="12" spans="1:11" ht="18" customHeight="1">
      <c r="B12" s="1214" t="s">
        <v>313</v>
      </c>
      <c r="C12" s="1214"/>
      <c r="D12" s="300"/>
      <c r="E12" s="296"/>
      <c r="F12" s="296"/>
      <c r="G12" s="296"/>
      <c r="H12" s="296"/>
      <c r="I12" s="296"/>
      <c r="J12" s="296"/>
      <c r="K12" s="296"/>
    </row>
    <row r="13" spans="1:11" ht="18" customHeight="1">
      <c r="B13" s="301"/>
      <c r="C13" s="298" t="s">
        <v>314</v>
      </c>
      <c r="D13" s="295"/>
      <c r="E13" s="296"/>
      <c r="F13" s="296"/>
      <c r="G13" s="296"/>
      <c r="H13" s="296"/>
      <c r="I13" s="296"/>
      <c r="J13" s="296"/>
      <c r="K13" s="296"/>
    </row>
    <row r="14" spans="1:11" ht="18" customHeight="1">
      <c r="B14" s="1214" t="s">
        <v>315</v>
      </c>
      <c r="C14" s="1214"/>
      <c r="D14" s="300"/>
      <c r="E14" s="296"/>
      <c r="F14" s="296"/>
      <c r="G14" s="296"/>
      <c r="H14" s="296"/>
      <c r="I14" s="296"/>
      <c r="J14" s="296"/>
      <c r="K14" s="296"/>
    </row>
    <row r="15" spans="1:11" ht="38.1" customHeight="1">
      <c r="B15" s="302" t="s">
        <v>329</v>
      </c>
      <c r="C15" s="298" t="s">
        <v>136</v>
      </c>
      <c r="D15" s="295"/>
      <c r="E15" s="296"/>
      <c r="F15" s="296"/>
      <c r="G15" s="296"/>
      <c r="H15" s="296"/>
      <c r="I15" s="296"/>
      <c r="J15" s="296"/>
      <c r="K15" s="296"/>
    </row>
    <row r="16" spans="1:11" ht="24.75" customHeight="1">
      <c r="B16" s="302" t="s">
        <v>329</v>
      </c>
      <c r="C16" s="298" t="s">
        <v>455</v>
      </c>
      <c r="D16" s="295"/>
      <c r="E16" s="296"/>
      <c r="F16" s="296"/>
      <c r="G16" s="296"/>
      <c r="H16" s="296"/>
      <c r="I16" s="296"/>
      <c r="J16" s="296"/>
      <c r="K16" s="296"/>
    </row>
    <row r="17" spans="2:11" ht="42" customHeight="1">
      <c r="B17" s="302" t="s">
        <v>329</v>
      </c>
      <c r="C17" s="298" t="s">
        <v>456</v>
      </c>
      <c r="D17" s="295"/>
      <c r="E17" s="296"/>
      <c r="F17" s="296"/>
      <c r="G17" s="296"/>
      <c r="H17" s="296"/>
      <c r="I17" s="296"/>
      <c r="J17" s="296"/>
      <c r="K17" s="296"/>
    </row>
    <row r="18" spans="2:11" ht="18" customHeight="1">
      <c r="B18" s="302" t="s">
        <v>329</v>
      </c>
      <c r="C18" s="298" t="s">
        <v>316</v>
      </c>
      <c r="D18" s="295"/>
      <c r="E18" s="296"/>
      <c r="F18" s="296"/>
      <c r="G18" s="296"/>
      <c r="H18" s="296"/>
      <c r="I18" s="296"/>
      <c r="J18" s="296"/>
      <c r="K18" s="296"/>
    </row>
    <row r="19" spans="2:11" ht="18" customHeight="1">
      <c r="B19" s="302" t="s">
        <v>329</v>
      </c>
      <c r="C19" s="298" t="s">
        <v>445</v>
      </c>
      <c r="D19" s="295"/>
      <c r="E19" s="296"/>
      <c r="F19" s="296"/>
      <c r="G19" s="296"/>
      <c r="H19" s="296"/>
      <c r="I19" s="296"/>
      <c r="J19" s="296"/>
      <c r="K19" s="296"/>
    </row>
    <row r="20" spans="2:11" ht="18" customHeight="1">
      <c r="B20" s="302" t="s">
        <v>329</v>
      </c>
      <c r="C20" s="298" t="s">
        <v>317</v>
      </c>
      <c r="D20" s="295"/>
      <c r="E20" s="296"/>
      <c r="F20" s="296"/>
      <c r="G20" s="296"/>
      <c r="H20" s="296"/>
      <c r="I20" s="296"/>
      <c r="J20" s="296"/>
      <c r="K20" s="296"/>
    </row>
    <row r="21" spans="2:11" ht="18" customHeight="1">
      <c r="B21" s="1214" t="s">
        <v>318</v>
      </c>
      <c r="C21" s="1214"/>
      <c r="D21" s="300"/>
      <c r="E21" s="296"/>
      <c r="F21" s="296"/>
      <c r="G21" s="296"/>
      <c r="H21" s="296"/>
      <c r="I21" s="296"/>
      <c r="J21" s="296"/>
      <c r="K21" s="296"/>
    </row>
    <row r="22" spans="2:11" ht="54" customHeight="1">
      <c r="B22" s="302" t="s">
        <v>329</v>
      </c>
      <c r="C22" s="298" t="s">
        <v>319</v>
      </c>
      <c r="D22" s="295"/>
      <c r="E22" s="296"/>
      <c r="F22" s="296"/>
      <c r="G22" s="296"/>
      <c r="H22" s="296"/>
      <c r="I22" s="296"/>
      <c r="J22" s="296"/>
      <c r="K22" s="296"/>
    </row>
    <row r="23" spans="2:11" ht="54" customHeight="1">
      <c r="B23" s="302" t="s">
        <v>329</v>
      </c>
      <c r="C23" s="298" t="s">
        <v>320</v>
      </c>
      <c r="D23" s="295"/>
      <c r="E23" s="296"/>
      <c r="F23" s="296"/>
      <c r="G23" s="296"/>
      <c r="H23" s="296"/>
      <c r="I23" s="296"/>
      <c r="J23" s="296"/>
      <c r="K23" s="296"/>
    </row>
    <row r="24" spans="2:11" ht="38.1" customHeight="1">
      <c r="B24" s="302" t="s">
        <v>329</v>
      </c>
      <c r="C24" s="298" t="s">
        <v>321</v>
      </c>
      <c r="D24" s="295"/>
      <c r="E24" s="296"/>
      <c r="F24" s="296"/>
      <c r="G24" s="296"/>
      <c r="H24" s="296"/>
      <c r="I24" s="296"/>
      <c r="J24" s="296"/>
      <c r="K24" s="296"/>
    </row>
    <row r="25" spans="2:11" ht="18" customHeight="1">
      <c r="B25" s="302" t="s">
        <v>329</v>
      </c>
      <c r="C25" s="298" t="s">
        <v>322</v>
      </c>
      <c r="D25" s="295"/>
      <c r="E25" s="296"/>
      <c r="F25" s="296"/>
      <c r="G25" s="296"/>
      <c r="H25" s="296"/>
      <c r="I25" s="296"/>
      <c r="J25" s="296"/>
      <c r="K25" s="296"/>
    </row>
    <row r="26" spans="2:11" ht="38.1" customHeight="1">
      <c r="B26" s="302" t="s">
        <v>329</v>
      </c>
      <c r="C26" s="298" t="s">
        <v>323</v>
      </c>
      <c r="D26" s="295"/>
      <c r="E26" s="296"/>
      <c r="F26" s="296"/>
      <c r="G26" s="296"/>
      <c r="H26" s="296"/>
      <c r="I26" s="296"/>
      <c r="J26" s="296"/>
      <c r="K26" s="296"/>
    </row>
    <row r="27" spans="2:11" ht="18" customHeight="1">
      <c r="B27" s="1214" t="s">
        <v>324</v>
      </c>
      <c r="C27" s="1214"/>
      <c r="D27" s="300"/>
      <c r="E27" s="296"/>
      <c r="F27" s="296"/>
      <c r="G27" s="296"/>
      <c r="H27" s="296"/>
      <c r="I27" s="296"/>
      <c r="J27" s="296"/>
      <c r="K27" s="296"/>
    </row>
    <row r="28" spans="2:11" ht="54" customHeight="1">
      <c r="B28" s="302" t="s">
        <v>329</v>
      </c>
      <c r="C28" s="298" t="s">
        <v>319</v>
      </c>
      <c r="D28" s="295"/>
      <c r="E28" s="296"/>
      <c r="F28" s="296"/>
      <c r="G28" s="296"/>
      <c r="H28" s="296"/>
      <c r="I28" s="296"/>
      <c r="J28" s="296"/>
      <c r="K28" s="296"/>
    </row>
    <row r="29" spans="2:11" ht="18" customHeight="1">
      <c r="B29" s="302" t="s">
        <v>329</v>
      </c>
      <c r="C29" s="298" t="s">
        <v>322</v>
      </c>
      <c r="D29" s="295"/>
      <c r="E29" s="296"/>
      <c r="F29" s="296"/>
      <c r="G29" s="296"/>
      <c r="H29" s="296"/>
      <c r="I29" s="296"/>
      <c r="J29" s="296"/>
      <c r="K29" s="296"/>
    </row>
    <row r="30" spans="2:11" ht="18" customHeight="1">
      <c r="B30" s="1214" t="s">
        <v>325</v>
      </c>
      <c r="C30" s="1214"/>
      <c r="D30" s="300"/>
    </row>
    <row r="31" spans="2:11" ht="54" customHeight="1">
      <c r="B31" s="302" t="s">
        <v>329</v>
      </c>
      <c r="C31" s="298" t="s">
        <v>319</v>
      </c>
      <c r="D31" s="295"/>
      <c r="E31" s="296"/>
      <c r="F31" s="296"/>
      <c r="G31" s="296"/>
      <c r="H31" s="296"/>
      <c r="I31" s="296"/>
      <c r="J31" s="296"/>
      <c r="K31" s="296"/>
    </row>
    <row r="32" spans="2:11" ht="18" customHeight="1">
      <c r="B32" s="302" t="s">
        <v>329</v>
      </c>
      <c r="C32" s="298" t="s">
        <v>322</v>
      </c>
      <c r="D32" s="295"/>
    </row>
    <row r="33" spans="2:11" ht="18" customHeight="1">
      <c r="B33" s="1214" t="s">
        <v>572</v>
      </c>
      <c r="C33" s="1214"/>
      <c r="D33" s="300"/>
    </row>
    <row r="34" spans="2:11" ht="18" customHeight="1">
      <c r="B34" s="302" t="s">
        <v>329</v>
      </c>
      <c r="C34" s="298" t="s">
        <v>326</v>
      </c>
      <c r="D34" s="295"/>
    </row>
    <row r="35" spans="2:11" ht="18" hidden="1" customHeight="1">
      <c r="B35" s="1214" t="s">
        <v>528</v>
      </c>
      <c r="C35" s="1214"/>
      <c r="D35" s="300"/>
    </row>
    <row r="36" spans="2:11" ht="18" hidden="1" customHeight="1">
      <c r="B36" s="302" t="s">
        <v>329</v>
      </c>
      <c r="C36" s="298" t="s">
        <v>326</v>
      </c>
      <c r="D36" s="295"/>
    </row>
    <row r="37" spans="2:11" ht="18" customHeight="1">
      <c r="B37" s="1214" t="s">
        <v>327</v>
      </c>
      <c r="C37" s="1214"/>
      <c r="D37" s="300"/>
    </row>
    <row r="38" spans="2:11" ht="32.25" customHeight="1">
      <c r="B38" s="302" t="s">
        <v>329</v>
      </c>
      <c r="C38" s="298" t="s">
        <v>333</v>
      </c>
      <c r="D38" s="295"/>
      <c r="E38" s="296"/>
      <c r="F38" s="296"/>
      <c r="G38" s="296"/>
      <c r="H38" s="296"/>
      <c r="I38" s="296"/>
      <c r="J38" s="296"/>
      <c r="K38" s="296"/>
    </row>
    <row r="39" spans="2:11" ht="18" customHeight="1">
      <c r="B39" s="1214" t="s">
        <v>334</v>
      </c>
      <c r="C39" s="1214"/>
    </row>
    <row r="40" spans="2:11" ht="38.1" customHeight="1">
      <c r="B40" s="302" t="s">
        <v>329</v>
      </c>
      <c r="C40" s="298" t="s">
        <v>332</v>
      </c>
    </row>
    <row r="41" spans="2:11" ht="38.1" customHeight="1">
      <c r="B41" s="302" t="s">
        <v>329</v>
      </c>
      <c r="C41" s="298" t="s">
        <v>333</v>
      </c>
    </row>
    <row r="42" spans="2:11" ht="18" customHeight="1">
      <c r="B42" s="1214" t="s">
        <v>335</v>
      </c>
      <c r="C42" s="1214"/>
    </row>
    <row r="43" spans="2:11" ht="18" customHeight="1">
      <c r="B43" s="302" t="s">
        <v>329</v>
      </c>
      <c r="C43" s="304" t="s">
        <v>330</v>
      </c>
    </row>
    <row r="44" spans="2:11" ht="18" customHeight="1">
      <c r="B44" s="302" t="s">
        <v>329</v>
      </c>
      <c r="C44" s="304" t="s">
        <v>336</v>
      </c>
    </row>
    <row r="45" spans="2:11" ht="18" customHeight="1">
      <c r="B45" s="1214" t="s">
        <v>331</v>
      </c>
      <c r="C45" s="1214"/>
    </row>
    <row r="46" spans="2:11" ht="18" customHeight="1">
      <c r="B46" s="302" t="s">
        <v>329</v>
      </c>
      <c r="C46" s="298" t="s">
        <v>137</v>
      </c>
      <c r="D46" s="295"/>
      <c r="E46" s="296"/>
      <c r="F46" s="296"/>
      <c r="G46" s="296"/>
      <c r="H46" s="296"/>
      <c r="I46" s="296"/>
      <c r="J46" s="296"/>
      <c r="K46" s="296"/>
    </row>
    <row r="47" spans="2:11" ht="18" customHeight="1">
      <c r="B47" s="302" t="s">
        <v>329</v>
      </c>
      <c r="C47" s="298" t="s">
        <v>337</v>
      </c>
      <c r="D47" s="295"/>
      <c r="E47" s="296"/>
      <c r="F47" s="296"/>
      <c r="G47" s="296"/>
      <c r="H47" s="296"/>
      <c r="I47" s="296"/>
      <c r="J47" s="296"/>
      <c r="K47" s="296"/>
    </row>
    <row r="48" spans="2:11" ht="36" customHeight="1">
      <c r="B48" s="302" t="s">
        <v>329</v>
      </c>
      <c r="C48" s="298" t="s">
        <v>138</v>
      </c>
      <c r="D48" s="295"/>
      <c r="E48" s="296"/>
      <c r="F48" s="296"/>
      <c r="G48" s="296"/>
      <c r="H48" s="296"/>
      <c r="I48" s="296"/>
      <c r="J48" s="296"/>
      <c r="K48" s="296"/>
    </row>
    <row r="49" spans="1:11" ht="18" customHeight="1">
      <c r="B49" s="302" t="s">
        <v>329</v>
      </c>
      <c r="C49" s="298" t="s">
        <v>338</v>
      </c>
      <c r="D49" s="295"/>
      <c r="E49" s="296"/>
      <c r="F49" s="296"/>
      <c r="G49" s="296"/>
      <c r="H49" s="296"/>
      <c r="I49" s="296"/>
      <c r="J49" s="296"/>
      <c r="K49" s="296"/>
    </row>
    <row r="50" spans="1:11" ht="18" customHeight="1">
      <c r="A50" s="291"/>
      <c r="C50" s="305"/>
    </row>
    <row r="51" spans="1:11" ht="18" customHeight="1">
      <c r="A51" s="1217"/>
      <c r="B51" s="1217"/>
      <c r="C51" s="1217"/>
      <c r="D51" s="299"/>
    </row>
    <row r="52" spans="1:11" ht="18" customHeight="1">
      <c r="A52" s="1216" t="s">
        <v>139</v>
      </c>
      <c r="B52" s="1216"/>
      <c r="C52" s="1216"/>
      <c r="D52" s="299"/>
    </row>
    <row r="53" spans="1:11" ht="36" customHeight="1">
      <c r="A53" s="1215" t="s">
        <v>339</v>
      </c>
      <c r="B53" s="1215"/>
      <c r="C53" s="1215"/>
    </row>
    <row r="54" spans="1:11" ht="18" customHeight="1">
      <c r="B54" s="306"/>
      <c r="C54" s="306"/>
    </row>
    <row r="55" spans="1:11" ht="18" customHeight="1">
      <c r="C55" s="304"/>
    </row>
    <row r="56" spans="1:11" ht="18" customHeight="1">
      <c r="C56" s="305"/>
    </row>
    <row r="57" spans="1:11" ht="18" customHeight="1">
      <c r="C57" s="304"/>
    </row>
    <row r="58" spans="1:11" ht="18" customHeight="1">
      <c r="B58" s="305"/>
      <c r="C58" s="305"/>
    </row>
    <row r="59" spans="1:11" ht="18" customHeight="1">
      <c r="B59" s="305"/>
      <c r="C59" s="305"/>
    </row>
    <row r="60" spans="1:11" ht="18" customHeight="1">
      <c r="B60" s="305"/>
      <c r="C60" s="305"/>
    </row>
    <row r="61" spans="1:11" ht="18" customHeight="1">
      <c r="B61" s="305"/>
      <c r="C61" s="305"/>
    </row>
    <row r="62" spans="1:11" ht="18" customHeight="1">
      <c r="B62" s="305"/>
      <c r="C62" s="305"/>
    </row>
    <row r="63" spans="1:11" ht="18" customHeight="1">
      <c r="B63" s="305"/>
      <c r="C63" s="305"/>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9AC181BA-F443-4EA7-A647-328174FE3004}"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5"/>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6"/>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7"/>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30"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D26" sqref="D26:G26"/>
    </sheetView>
  </sheetViews>
  <sheetFormatPr defaultColWidth="8" defaultRowHeight="14.4"/>
  <cols>
    <col min="1" max="1" width="8" style="160" customWidth="1"/>
    <col min="2" max="2" width="28.88671875" style="162" customWidth="1"/>
    <col min="3" max="3" width="10.21875" style="162" customWidth="1"/>
    <col min="4" max="5" width="5.6640625" style="162" customWidth="1"/>
    <col min="6" max="6" width="5.6640625" style="167" customWidth="1"/>
    <col min="7" max="7" width="34.109375" style="167" customWidth="1"/>
    <col min="8" max="10" width="10.33203125" style="167" hidden="1" customWidth="1"/>
    <col min="11" max="11" width="8" style="160" hidden="1" customWidth="1"/>
    <col min="12" max="12" width="21.44140625" style="160" hidden="1" customWidth="1"/>
    <col min="13" max="18" width="8" style="160" hidden="1" customWidth="1"/>
    <col min="19" max="19" width="8" style="160" customWidth="1"/>
    <col min="20" max="25" width="8" style="160"/>
    <col min="26" max="26" width="0" style="160" hidden="1" customWidth="1"/>
    <col min="27" max="27" width="16.77734375" style="160" hidden="1" customWidth="1"/>
    <col min="28" max="28" width="25.6640625" style="160" hidden="1" customWidth="1"/>
    <col min="29" max="29" width="0" style="160" hidden="1" customWidth="1"/>
    <col min="30" max="16384" width="8" style="160"/>
  </cols>
  <sheetData>
    <row r="1" spans="2:28" s="165" customFormat="1" ht="50.4" customHeight="1">
      <c r="B1" s="1232" t="str">
        <f>Cover!$B$2</f>
        <v>400kV AIS Substation Extension Package SS-111 for Extension of 400/220 kV Jabalpur Substation associated with Western Region Expansion Scheme-XXXIII (WRES-XXXIII): Part A.</v>
      </c>
      <c r="C1" s="1232"/>
      <c r="D1" s="1232"/>
      <c r="E1" s="1232"/>
      <c r="F1" s="1232"/>
      <c r="G1" s="1232"/>
      <c r="H1" s="161"/>
      <c r="I1" s="161"/>
      <c r="J1" s="161"/>
      <c r="L1" s="182"/>
      <c r="M1" s="182"/>
      <c r="N1" s="182"/>
    </row>
    <row r="2" spans="2:28" ht="20.100000000000001" customHeight="1">
      <c r="B2" s="1233" t="str">
        <f>Cover!B3</f>
        <v>Specification No.: CC/NT/W-AIS/DOM/A00/23/02698</v>
      </c>
      <c r="C2" s="1233"/>
      <c r="D2" s="1233"/>
      <c r="E2" s="1233"/>
      <c r="F2" s="1233"/>
      <c r="G2" s="1233"/>
      <c r="H2" s="162"/>
      <c r="I2" s="162"/>
      <c r="J2" s="162"/>
      <c r="L2" s="819" t="s">
        <v>560</v>
      </c>
      <c r="M2" s="347">
        <v>1</v>
      </c>
      <c r="N2" s="183"/>
      <c r="AA2" s="819" t="s">
        <v>563</v>
      </c>
      <c r="AB2" s="1021">
        <v>1</v>
      </c>
    </row>
    <row r="3" spans="2:28" ht="12" customHeight="1">
      <c r="B3" s="163"/>
      <c r="C3" s="163"/>
      <c r="D3" s="163"/>
      <c r="E3" s="163"/>
      <c r="F3" s="162"/>
      <c r="G3" s="162"/>
      <c r="H3" s="162"/>
      <c r="I3" s="162"/>
      <c r="J3" s="162"/>
      <c r="L3" s="819" t="s">
        <v>561</v>
      </c>
      <c r="M3" s="347" t="s">
        <v>452</v>
      </c>
      <c r="N3" s="183"/>
      <c r="AA3" s="819" t="s">
        <v>564</v>
      </c>
      <c r="AB3" s="1021" t="s">
        <v>452</v>
      </c>
    </row>
    <row r="4" spans="2:28" ht="20.100000000000001" customHeight="1">
      <c r="B4" s="1234" t="s">
        <v>261</v>
      </c>
      <c r="C4" s="1234"/>
      <c r="D4" s="1234"/>
      <c r="E4" s="1234"/>
      <c r="F4" s="1234"/>
      <c r="G4" s="1234"/>
      <c r="H4" s="162"/>
      <c r="I4" s="162"/>
      <c r="J4" s="162"/>
      <c r="M4" s="347"/>
      <c r="N4" s="183"/>
    </row>
    <row r="5" spans="2:28" ht="12" customHeight="1">
      <c r="B5" s="164"/>
      <c r="C5" s="164"/>
      <c r="F5" s="162"/>
      <c r="G5" s="162"/>
      <c r="H5" s="162"/>
      <c r="I5" s="162"/>
      <c r="J5" s="162"/>
      <c r="L5" s="183"/>
      <c r="M5" s="183"/>
      <c r="N5" s="183"/>
    </row>
    <row r="6" spans="2:28" s="165" customFormat="1" ht="43.5" customHeight="1" thickBot="1">
      <c r="B6" s="672" t="s">
        <v>262</v>
      </c>
      <c r="C6" s="674"/>
      <c r="D6" s="1235" t="s">
        <v>563</v>
      </c>
      <c r="E6" s="1235"/>
      <c r="F6" s="1235"/>
      <c r="G6" s="1235"/>
      <c r="H6" s="166"/>
      <c r="I6" s="166" t="str">
        <f>D6</f>
        <v>Sole Bidder</v>
      </c>
      <c r="J6" s="166"/>
      <c r="K6" s="165">
        <f>IF(I6="Sole Bidder",1,2)</f>
        <v>1</v>
      </c>
      <c r="L6" s="567">
        <f>IF(D6= "Sole Bidder", 0, D7)</f>
        <v>0</v>
      </c>
      <c r="M6" s="182" t="str">
        <f>D6</f>
        <v>Sole Bidder</v>
      </c>
      <c r="N6" s="182">
        <f>IF(M6="Sole Bidder",1,2)</f>
        <v>1</v>
      </c>
      <c r="AA6" s="1022">
        <f>IF(D6= "Sole Bidder", 0, D7)</f>
        <v>0</v>
      </c>
    </row>
    <row r="7" spans="2:28" ht="50.1" customHeight="1">
      <c r="B7" s="671" t="str">
        <f>IF(D6= "JV (Joint Venture)", "Total Nos. of  Partners in the JV [excluding the Lead Partner]", "")</f>
        <v/>
      </c>
      <c r="C7" s="673"/>
      <c r="D7" s="1236">
        <v>1</v>
      </c>
      <c r="E7" s="1237"/>
      <c r="F7" s="1237"/>
      <c r="G7" s="1238"/>
      <c r="L7" s="183"/>
      <c r="M7" s="183"/>
      <c r="N7" s="183"/>
    </row>
    <row r="8" spans="2:28" ht="19.5" customHeight="1">
      <c r="B8" s="168"/>
      <c r="C8" s="168"/>
      <c r="D8" s="166"/>
      <c r="L8" s="160">
        <f>IF(AND(D6="JV (Joint Venture)",D7=1),1,0)</f>
        <v>0</v>
      </c>
    </row>
    <row r="9" spans="2:28" ht="20.100000000000001" customHeight="1">
      <c r="B9" s="169" t="str">
        <f>IF(D6= "Sole Bidder", "Name of Sole Bidder", "Name of Lead Partner")</f>
        <v>Name of Sole Bidder</v>
      </c>
      <c r="C9" s="170"/>
      <c r="D9" s="1224" t="s">
        <v>464</v>
      </c>
      <c r="E9" s="1225"/>
      <c r="F9" s="1225"/>
      <c r="G9" s="1226"/>
    </row>
    <row r="10" spans="2:28" ht="20.100000000000001" customHeight="1">
      <c r="B10" s="171" t="str">
        <f>IF(D6= "Sole Bidder", "Address of Sole Bidder", "Address of Lead Partner")</f>
        <v>Address of Sole Bidder</v>
      </c>
      <c r="C10" s="172"/>
      <c r="D10" s="1224" t="s">
        <v>464</v>
      </c>
      <c r="E10" s="1225"/>
      <c r="F10" s="1225"/>
      <c r="G10" s="1226"/>
    </row>
    <row r="11" spans="2:28" ht="20.100000000000001" customHeight="1">
      <c r="B11" s="173"/>
      <c r="C11" s="174"/>
      <c r="D11" s="1224" t="s">
        <v>464</v>
      </c>
      <c r="E11" s="1225"/>
      <c r="F11" s="1225"/>
      <c r="G11" s="1226"/>
    </row>
    <row r="12" spans="2:28" ht="20.100000000000001" customHeight="1">
      <c r="B12" s="175"/>
      <c r="C12" s="176"/>
      <c r="D12" s="1224" t="s">
        <v>464</v>
      </c>
      <c r="E12" s="1225"/>
      <c r="F12" s="1225"/>
      <c r="G12" s="1226"/>
    </row>
    <row r="13" spans="2:28" ht="20.100000000000001" customHeight="1"/>
    <row r="14" spans="2:28" ht="20.100000000000001" customHeight="1">
      <c r="B14" s="169" t="str">
        <f>IF(D7=1, "Name of other Partner","Name of other Partner - 1")</f>
        <v>Name of other Partner</v>
      </c>
      <c r="C14" s="170"/>
      <c r="D14" s="1224"/>
      <c r="E14" s="1225"/>
      <c r="F14" s="1225"/>
      <c r="G14" s="1226"/>
    </row>
    <row r="15" spans="2:28" ht="20.100000000000001" customHeight="1">
      <c r="B15" s="171" t="str">
        <f>IF(D7=1, "Address of other Partner","Address of other Partner - 1")</f>
        <v>Address of other Partner</v>
      </c>
      <c r="C15" s="172"/>
      <c r="D15" s="1227"/>
      <c r="E15" s="1228"/>
      <c r="F15" s="1228"/>
      <c r="G15" s="1229"/>
    </row>
    <row r="16" spans="2:28" ht="20.100000000000001" customHeight="1">
      <c r="B16" s="173"/>
      <c r="C16" s="174"/>
      <c r="D16" s="1227" t="s">
        <v>464</v>
      </c>
      <c r="E16" s="1228"/>
      <c r="F16" s="1228"/>
      <c r="G16" s="1229"/>
    </row>
    <row r="17" spans="2:10" ht="20.100000000000001" customHeight="1">
      <c r="B17" s="175"/>
      <c r="C17" s="176"/>
      <c r="D17" s="1227" t="s">
        <v>464</v>
      </c>
      <c r="E17" s="1228"/>
      <c r="F17" s="1228"/>
      <c r="G17" s="1229"/>
    </row>
    <row r="18" spans="2:10" ht="20.100000000000001" customHeight="1"/>
    <row r="19" spans="2:10" ht="20.100000000000001" customHeight="1">
      <c r="B19" s="169" t="s">
        <v>453</v>
      </c>
      <c r="C19" s="170"/>
      <c r="D19" s="1221" t="s">
        <v>464</v>
      </c>
      <c r="E19" s="1222"/>
      <c r="F19" s="1222"/>
      <c r="G19" s="1223"/>
    </row>
    <row r="20" spans="2:10" ht="20.100000000000001" customHeight="1">
      <c r="B20" s="171" t="s">
        <v>454</v>
      </c>
      <c r="C20" s="172"/>
      <c r="D20" s="1221" t="s">
        <v>464</v>
      </c>
      <c r="E20" s="1222"/>
      <c r="F20" s="1222"/>
      <c r="G20" s="1223"/>
    </row>
    <row r="21" spans="2:10" ht="20.100000000000001" customHeight="1">
      <c r="B21" s="173"/>
      <c r="C21" s="174"/>
      <c r="D21" s="1221" t="s">
        <v>464</v>
      </c>
      <c r="E21" s="1222"/>
      <c r="F21" s="1222"/>
      <c r="G21" s="1223"/>
    </row>
    <row r="22" spans="2:10" ht="20.100000000000001" customHeight="1">
      <c r="B22" s="175"/>
      <c r="C22" s="176"/>
      <c r="D22" s="1224" t="s">
        <v>464</v>
      </c>
      <c r="E22" s="1230"/>
      <c r="F22" s="1230"/>
      <c r="G22" s="1231"/>
    </row>
    <row r="23" spans="2:10" ht="20.100000000000001" customHeight="1"/>
    <row r="24" spans="2:10" ht="21" customHeight="1">
      <c r="B24" s="177" t="s">
        <v>263</v>
      </c>
      <c r="C24" s="178"/>
      <c r="D24" s="1224"/>
      <c r="E24" s="1225"/>
      <c r="F24" s="1225"/>
      <c r="G24" s="1226"/>
    </row>
    <row r="25" spans="2:10" ht="21" customHeight="1">
      <c r="B25" s="177" t="s">
        <v>264</v>
      </c>
      <c r="C25" s="178"/>
      <c r="D25" s="1224"/>
      <c r="E25" s="1225"/>
      <c r="F25" s="1225"/>
      <c r="G25" s="1226"/>
    </row>
    <row r="26" spans="2:10" ht="21" customHeight="1">
      <c r="B26" s="177" t="s">
        <v>477</v>
      </c>
      <c r="C26" s="178"/>
      <c r="D26" s="1218"/>
      <c r="E26" s="1219"/>
      <c r="F26" s="1219"/>
      <c r="G26" s="1220"/>
    </row>
    <row r="27" spans="2:10" ht="21" customHeight="1">
      <c r="B27" s="177" t="s">
        <v>478</v>
      </c>
      <c r="C27" s="178"/>
      <c r="D27" s="1221"/>
      <c r="E27" s="1222"/>
      <c r="F27" s="1222"/>
      <c r="G27" s="1223"/>
    </row>
    <row r="28" spans="2:10" ht="21" customHeight="1">
      <c r="B28" s="177" t="s">
        <v>479</v>
      </c>
      <c r="C28" s="178"/>
      <c r="D28" s="1221"/>
      <c r="E28" s="1222"/>
      <c r="F28" s="1222"/>
      <c r="G28" s="1223"/>
    </row>
    <row r="29" spans="2:10" ht="21" customHeight="1">
      <c r="B29" s="177" t="s">
        <v>480</v>
      </c>
      <c r="C29" s="178"/>
      <c r="D29" s="1221"/>
      <c r="E29" s="1222"/>
      <c r="F29" s="1222"/>
      <c r="G29" s="1223"/>
    </row>
    <row r="30" spans="2:10" ht="21" customHeight="1">
      <c r="B30" s="179"/>
      <c r="C30" s="179"/>
      <c r="D30" s="179"/>
    </row>
    <row r="31" spans="2:10" s="165" customFormat="1" ht="21" customHeight="1">
      <c r="B31" s="177" t="s">
        <v>265</v>
      </c>
      <c r="C31" s="178"/>
      <c r="D31" s="344"/>
      <c r="E31" s="568"/>
      <c r="F31" s="344"/>
      <c r="G31" s="345" t="str">
        <f>IF(D31&gt;H31, "Invalid Date !", "")</f>
        <v/>
      </c>
      <c r="H31" s="346">
        <f>IF(E31="Feb",28,IF(OR(E31="Apr", E31="Jun", E31="Sep", E31="Nov"),30,31))</f>
        <v>31</v>
      </c>
      <c r="I31" s="162"/>
      <c r="J31" s="162"/>
    </row>
    <row r="32" spans="2:10" ht="21" customHeight="1">
      <c r="B32" s="177" t="s">
        <v>266</v>
      </c>
      <c r="C32" s="178"/>
      <c r="D32" s="1224"/>
      <c r="E32" s="1225"/>
      <c r="F32" s="1225"/>
      <c r="G32" s="1226"/>
    </row>
    <row r="33" spans="5:5">
      <c r="E33" s="167"/>
    </row>
  </sheetData>
  <sheetProtection algorithmName="SHA-512" hashValue="NM1q9SoJipoItPEZmRjt60RjhaHAS10OvFmAqyDmXYs3wXa7Pzg++XrWEPkyiJeNlae3CDp00LCirswvIdD4jw==" saltValue="/MUCzp38MDL0muTkQFlvXA==" spinCount="100000" sheet="1" formatColumns="0" formatRows="0" selectLockedCells="1"/>
  <customSheetViews>
    <customSheetView guid="{9AC181BA-F443-4EA7-A647-328174FE3004}" showGridLines="0" printArea="1" hiddenColumns="1" view="pageBreakPreview" topLeftCell="A22">
      <selection activeCell="D10" sqref="D10:G10"/>
      <pageMargins left="0.75" right="0.75" top="0.69" bottom="0.7" header="0.4" footer="0.37"/>
      <pageSetup orientation="portrait" r:id="rId1"/>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3"/>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4"/>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5"/>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6"/>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7"/>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8"/>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9"/>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0"/>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1"/>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2"/>
      <headerFooter alignWithMargins="0"/>
    </customSheetView>
    <customSheetView guid="{B23AD343-29DA-4CE0-BD10-47BF44F3782F}" showGridLines="0">
      <selection activeCell="G8" sqref="G8"/>
      <pageMargins left="0.75" right="0.75" top="0.69" bottom="0.7" header="0.4" footer="0.37"/>
      <pageSetup orientation="portrait" r:id="rId13"/>
      <headerFooter alignWithMargins="0"/>
    </customSheetView>
    <customSheetView guid="{ECE9294F-C910-4036-88BC-B1F2176FB06B}" showGridLines="0">
      <selection activeCell="D14" sqref="D14:G14"/>
      <pageMargins left="0.75" right="0.75" top="0.69" bottom="0.7" header="0.4" footer="0.37"/>
      <pageSetup orientation="portrait" r:id="rId14"/>
      <headerFooter alignWithMargins="0"/>
    </customSheetView>
    <customSheetView guid="{4F65FF32-EC61-4022-A399-2986D7B6B8B3}" showGridLines="0" showRuler="0">
      <selection activeCell="D6" sqref="D6"/>
      <pageMargins left="0.75" right="0.75" top="0.69" bottom="0.7" header="0.4" footer="0.37"/>
      <pageSetup orientation="portrait" r:id="rId15"/>
      <headerFooter alignWithMargins="0"/>
    </customSheetView>
    <customSheetView guid="{01ACF2E1-8E61-4459-ABC1-B6C183DEED61}" showGridLines="0" showRuler="0">
      <selection activeCell="D28" sqref="D28"/>
      <pageMargins left="0.75" right="0.75" top="0.69" bottom="0.7" header="0.4" footer="0.37"/>
      <pageSetup orientation="portrait" r:id="rId16"/>
      <headerFooter alignWithMargins="0"/>
    </customSheetView>
    <customSheetView guid="{14D7F02E-BCCA-4517-ABC7-537FF4AEB67A}" showGridLines="0">
      <selection activeCell="D10" sqref="D10:G10"/>
      <pageMargins left="0.75" right="0.75" top="0.69" bottom="0.7" header="0.4" footer="0.37"/>
      <pageSetup orientation="portrait" r:id="rId17"/>
      <headerFooter alignWithMargins="0"/>
    </customSheetView>
    <customSheetView guid="{27A45B7A-04F2-4516-B80B-5ED0825D4ED3}" showGridLines="0">
      <selection activeCell="D6" sqref="D6:G6"/>
      <pageMargins left="0.75" right="0.75" top="0.69" bottom="0.7" header="0.4" footer="0.37"/>
      <pageSetup orientation="portrait" r:id="rId18"/>
      <headerFooter alignWithMargins="0"/>
    </customSheetView>
    <customSheetView guid="{E9F4E142-7D26-464D-BECA-4F3806DB1FE1}" showGridLines="0">
      <selection activeCell="G8" sqref="G8"/>
      <pageMargins left="0.75" right="0.75" top="0.69" bottom="0.7" header="0.4" footer="0.37"/>
      <pageSetup orientation="portrait" r:id="rId19"/>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20"/>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21"/>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22"/>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23"/>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24"/>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25"/>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26"/>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7"/>
      <headerFooter alignWithMargins="0"/>
    </customSheetView>
    <customSheetView guid="{D5F8AD2D-F014-4A7B-9CE7-589273BD9F11}" showGridLines="0" printArea="1" hiddenColumns="1" view="pageBreakPreview">
      <selection activeCell="F31" sqref="F31"/>
      <pageMargins left="0.75" right="0.75" top="0.69" bottom="0.7" header="0.4" footer="0.37"/>
      <pageSetup orientation="portrait" r:id="rId28"/>
      <headerFooter alignWithMargins="0"/>
    </customSheetView>
  </customSheetViews>
  <mergeCells count="24">
    <mergeCell ref="B1:G1"/>
    <mergeCell ref="B2:G2"/>
    <mergeCell ref="B4:G4"/>
    <mergeCell ref="D6:G6"/>
    <mergeCell ref="D7:G7"/>
    <mergeCell ref="D20:G20"/>
    <mergeCell ref="D19:G19"/>
    <mergeCell ref="D24:G24"/>
    <mergeCell ref="D25:G25"/>
    <mergeCell ref="D22:G22"/>
    <mergeCell ref="D21:G21"/>
    <mergeCell ref="D9:G9"/>
    <mergeCell ref="D10:G10"/>
    <mergeCell ref="D11:G11"/>
    <mergeCell ref="D12:G12"/>
    <mergeCell ref="D17:G17"/>
    <mergeCell ref="D16:G16"/>
    <mergeCell ref="D14:G14"/>
    <mergeCell ref="D15:G15"/>
    <mergeCell ref="D26:G26"/>
    <mergeCell ref="D27:G27"/>
    <mergeCell ref="D28:G28"/>
    <mergeCell ref="D29:G29"/>
    <mergeCell ref="D32:G32"/>
  </mergeCells>
  <phoneticPr fontId="35" type="noConversion"/>
  <conditionalFormatting sqref="B19:C22">
    <cfRule type="expression" dxfId="362" priority="8" stopIfTrue="1">
      <formula>$L$6&lt;2</formula>
    </cfRule>
  </conditionalFormatting>
  <conditionalFormatting sqref="B14:C17">
    <cfRule type="expression" dxfId="361" priority="9" stopIfTrue="1">
      <formula>$L$6&lt;1</formula>
    </cfRule>
  </conditionalFormatting>
  <conditionalFormatting sqref="B7:C7">
    <cfRule type="expression" dxfId="360" priority="11" stopIfTrue="1">
      <formula>$D$6="Sole Bidder"</formula>
    </cfRule>
  </conditionalFormatting>
  <conditionalFormatting sqref="D14:G17">
    <cfRule type="expression" dxfId="359" priority="3" stopIfTrue="1">
      <formula>$L$6&lt;1</formula>
    </cfRule>
  </conditionalFormatting>
  <conditionalFormatting sqref="D19:G22">
    <cfRule type="expression" dxfId="358" priority="2" stopIfTrue="1">
      <formula>$L$6&lt;2</formula>
    </cfRule>
  </conditionalFormatting>
  <conditionalFormatting sqref="D7:G7">
    <cfRule type="expression" dxfId="357" priority="1" stopIfTrue="1">
      <formula>$D$6="Sole Bidder"</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"2023,2024"</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60"/>
  <sheetViews>
    <sheetView view="pageBreakPreview" topLeftCell="A27" zoomScale="70" zoomScaleNormal="100" zoomScaleSheetLayoutView="70" workbookViewId="0">
      <selection activeCell="I68" sqref="I68"/>
    </sheetView>
  </sheetViews>
  <sheetFormatPr defaultColWidth="9" defaultRowHeight="13.8"/>
  <cols>
    <col min="1" max="1" width="9.77734375" style="867" customWidth="1"/>
    <col min="2" max="2" width="13.6640625" style="867" customWidth="1"/>
    <col min="3" max="3" width="9.6640625" style="867" customWidth="1"/>
    <col min="4" max="4" width="22.33203125" style="867" customWidth="1"/>
    <col min="5" max="5" width="15.33203125" style="867" customWidth="1"/>
    <col min="6" max="6" width="13.44140625" style="867" customWidth="1"/>
    <col min="7" max="8" width="11.33203125" style="867" customWidth="1"/>
    <col min="9" max="9" width="11.33203125" style="875" customWidth="1"/>
    <col min="10" max="10" width="55.33203125" style="866" customWidth="1"/>
    <col min="11" max="11" width="9.109375" style="867" customWidth="1"/>
    <col min="12" max="12" width="6.6640625" style="867" customWidth="1"/>
    <col min="13" max="13" width="13.6640625" style="866" customWidth="1"/>
    <col min="14" max="14" width="22.109375" style="867" customWidth="1"/>
    <col min="15" max="15" width="13" style="867" hidden="1" customWidth="1"/>
    <col min="16" max="16" width="16.88671875" style="863" hidden="1" customWidth="1"/>
    <col min="17" max="17" width="16.44140625" style="863" hidden="1" customWidth="1"/>
    <col min="18" max="18" width="16.88671875" style="863" hidden="1" customWidth="1"/>
    <col min="19" max="19" width="11.88671875" style="864" customWidth="1"/>
    <col min="20" max="20" width="13.88671875" style="865" customWidth="1"/>
    <col min="21" max="23" width="9" style="865" customWidth="1"/>
    <col min="24" max="24" width="14.21875" style="865" customWidth="1"/>
    <col min="25" max="25" width="24.109375" style="865" customWidth="1"/>
    <col min="26" max="26" width="11.109375" style="866" customWidth="1"/>
    <col min="27" max="27" width="12.77734375" style="866" customWidth="1"/>
    <col min="28" max="28" width="11.33203125" style="867" customWidth="1"/>
    <col min="29" max="29" width="10.33203125" style="866" customWidth="1"/>
    <col min="30" max="30" width="17.77734375" style="866" hidden="1" customWidth="1"/>
    <col min="31" max="31" width="10.44140625" style="866" hidden="1" customWidth="1"/>
    <col min="32" max="32" width="12.33203125" style="866" hidden="1" customWidth="1"/>
    <col min="33" max="34" width="9" style="866" hidden="1" customWidth="1"/>
    <col min="35" max="35" width="10.88671875" style="866" hidden="1" customWidth="1"/>
    <col min="36" max="36" width="18.77734375" style="866" hidden="1" customWidth="1"/>
    <col min="37" max="37" width="9" style="866" hidden="1" customWidth="1"/>
    <col min="38" max="39" width="9" style="865" hidden="1" customWidth="1"/>
    <col min="40" max="51" width="9" style="865" customWidth="1"/>
    <col min="52" max="52" width="9" style="866" customWidth="1"/>
    <col min="53" max="16384" width="9" style="866"/>
  </cols>
  <sheetData>
    <row r="1" spans="1:51" s="285" customFormat="1" ht="14.4">
      <c r="A1" s="950" t="str">
        <f>Cover!B3</f>
        <v>Specification No.: CC/NT/W-AIS/DOM/A00/23/02698</v>
      </c>
      <c r="B1" s="950"/>
      <c r="C1" s="950"/>
      <c r="D1" s="950"/>
      <c r="E1" s="950"/>
      <c r="F1" s="950"/>
      <c r="G1" s="950"/>
      <c r="H1" s="950"/>
      <c r="I1" s="1096"/>
      <c r="J1" s="1097"/>
      <c r="K1" s="952"/>
      <c r="L1" s="952"/>
      <c r="M1" s="953"/>
      <c r="N1" s="954" t="s">
        <v>418</v>
      </c>
      <c r="O1" s="952" t="s">
        <v>418</v>
      </c>
      <c r="P1" s="1098"/>
      <c r="Q1" s="1098"/>
      <c r="R1" s="1098"/>
      <c r="S1" s="960"/>
      <c r="T1" s="955"/>
      <c r="U1" s="955"/>
      <c r="V1" s="955"/>
      <c r="W1" s="955"/>
      <c r="X1" s="955"/>
      <c r="Y1" s="955"/>
      <c r="AB1" s="956"/>
      <c r="AD1" s="1099" t="s">
        <v>254</v>
      </c>
      <c r="AE1" s="1100">
        <f>SUMIF(O18:O147, "Direct",N18:N147)</f>
        <v>0</v>
      </c>
      <c r="AJ1" s="1100" t="str">
        <f>'Names of Bidder'!D6</f>
        <v>Sole Bidder</v>
      </c>
      <c r="AK1" s="285" t="s">
        <v>255</v>
      </c>
      <c r="AL1" s="955"/>
      <c r="AM1" s="955"/>
      <c r="AN1" s="955"/>
      <c r="AO1" s="955"/>
      <c r="AP1" s="955"/>
      <c r="AQ1" s="955"/>
      <c r="AR1" s="955"/>
      <c r="AS1" s="955"/>
      <c r="AT1" s="955"/>
      <c r="AU1" s="955"/>
      <c r="AV1" s="955"/>
      <c r="AW1" s="955"/>
      <c r="AX1" s="955"/>
      <c r="AY1" s="955"/>
    </row>
    <row r="2" spans="1:51">
      <c r="A2" s="870"/>
      <c r="B2" s="870"/>
      <c r="C2" s="870"/>
      <c r="D2" s="870"/>
      <c r="E2" s="870"/>
      <c r="F2" s="870"/>
      <c r="G2" s="870"/>
      <c r="H2" s="870"/>
      <c r="I2" s="871"/>
      <c r="AA2" s="867"/>
      <c r="AD2" s="868" t="s">
        <v>256</v>
      </c>
      <c r="AE2" s="872" t="e">
        <f>#REF!-AE1</f>
        <v>#REF!</v>
      </c>
      <c r="AF2" s="873"/>
      <c r="AJ2" s="869">
        <f>'Names of Bidder'!L6</f>
        <v>0</v>
      </c>
    </row>
    <row r="3" spans="1:51" ht="43.2" customHeight="1">
      <c r="A3" s="1269" t="str">
        <f>Cover!B2</f>
        <v>400kV AIS Substation Extension Package SS-111 for Extension of 400/220 kV Jabalpur Substation associated with Western Region Expansion Scheme-XXXIII (WRES-XXXIII): Part A.</v>
      </c>
      <c r="B3" s="1269"/>
      <c r="C3" s="1269"/>
      <c r="D3" s="1269"/>
      <c r="E3" s="1269"/>
      <c r="F3" s="1269"/>
      <c r="G3" s="1269"/>
      <c r="H3" s="1269"/>
      <c r="I3" s="1269"/>
      <c r="J3" s="1269"/>
      <c r="K3" s="1269"/>
      <c r="L3" s="1269"/>
      <c r="M3" s="1269"/>
      <c r="N3" s="1269"/>
      <c r="O3" s="1269"/>
      <c r="Y3" s="874"/>
      <c r="Z3" s="875"/>
      <c r="AA3" s="875"/>
      <c r="AB3" s="875"/>
      <c r="AD3" s="870"/>
      <c r="AG3" s="1241"/>
      <c r="AH3" s="1241"/>
    </row>
    <row r="4" spans="1:51">
      <c r="A4" s="1270" t="s">
        <v>23</v>
      </c>
      <c r="B4" s="1270"/>
      <c r="C4" s="1270"/>
      <c r="D4" s="1270"/>
      <c r="E4" s="1270"/>
      <c r="F4" s="1270"/>
      <c r="G4" s="1270"/>
      <c r="H4" s="1270"/>
      <c r="I4" s="1270"/>
      <c r="J4" s="1270"/>
      <c r="K4" s="1270"/>
      <c r="L4" s="1270"/>
      <c r="M4" s="1270"/>
      <c r="N4" s="1270"/>
      <c r="O4" s="1270"/>
      <c r="Y4" s="874"/>
      <c r="Z4" s="875"/>
      <c r="AA4" s="875"/>
      <c r="AB4" s="875"/>
      <c r="AD4" s="870"/>
      <c r="AE4" s="876"/>
      <c r="AF4" s="873"/>
    </row>
    <row r="5" spans="1:51" s="285" customFormat="1" ht="14.4">
      <c r="A5" s="956"/>
      <c r="B5" s="956"/>
      <c r="C5" s="956"/>
      <c r="D5" s="956"/>
      <c r="E5" s="956"/>
      <c r="F5" s="956"/>
      <c r="G5" s="956"/>
      <c r="H5" s="956"/>
      <c r="I5" s="1103"/>
      <c r="K5" s="956"/>
      <c r="L5" s="956"/>
      <c r="N5" s="956"/>
      <c r="O5" s="956"/>
      <c r="P5" s="1098"/>
      <c r="Q5" s="1098"/>
      <c r="R5" s="1098"/>
      <c r="S5" s="960"/>
      <c r="T5" s="955"/>
      <c r="U5" s="955"/>
      <c r="V5" s="955"/>
      <c r="W5" s="955"/>
      <c r="X5" s="955"/>
      <c r="Y5" s="961"/>
      <c r="Z5" s="1103"/>
      <c r="AA5" s="1103"/>
      <c r="AB5" s="1103"/>
      <c r="AD5" s="1104"/>
      <c r="AL5" s="955"/>
      <c r="AM5" s="955"/>
      <c r="AN5" s="955"/>
      <c r="AO5" s="955"/>
      <c r="AP5" s="955"/>
      <c r="AQ5" s="955"/>
      <c r="AR5" s="955"/>
      <c r="AS5" s="955"/>
      <c r="AT5" s="955"/>
      <c r="AU5" s="955"/>
      <c r="AV5" s="955"/>
      <c r="AW5" s="955"/>
      <c r="AX5" s="955"/>
      <c r="AY5" s="955"/>
    </row>
    <row r="6" spans="1:51" s="285" customFormat="1" ht="14.4">
      <c r="A6" s="181" t="str">
        <f>"Bidder’s Name and Address (" &amp; MID('Names of Bidder'!B9,9, 20) &amp; ") :"</f>
        <v>Bidder’s Name and Address (Sole Bidder) :</v>
      </c>
      <c r="B6" s="181"/>
      <c r="C6" s="181"/>
      <c r="D6" s="181"/>
      <c r="E6" s="181"/>
      <c r="F6" s="181"/>
      <c r="G6" s="181"/>
      <c r="H6" s="181"/>
      <c r="I6" s="1105"/>
      <c r="J6" s="1106"/>
      <c r="K6" s="966"/>
      <c r="L6" s="966"/>
      <c r="M6" s="969" t="s">
        <v>396</v>
      </c>
      <c r="N6" s="956"/>
      <c r="O6" s="968"/>
      <c r="P6" s="1098"/>
      <c r="Q6" s="1098"/>
      <c r="R6" s="1098"/>
      <c r="S6" s="960"/>
      <c r="T6" s="955"/>
      <c r="U6" s="955"/>
      <c r="V6" s="955"/>
      <c r="W6" s="955"/>
      <c r="X6" s="955"/>
      <c r="Y6" s="961"/>
      <c r="Z6" s="1103"/>
      <c r="AA6" s="1103"/>
      <c r="AB6" s="1103"/>
      <c r="AD6" s="1104"/>
      <c r="AE6" s="1107"/>
      <c r="AL6" s="955"/>
      <c r="AM6" s="955"/>
      <c r="AN6" s="955"/>
      <c r="AO6" s="955"/>
      <c r="AP6" s="955"/>
      <c r="AQ6" s="955"/>
      <c r="AR6" s="955"/>
      <c r="AS6" s="955"/>
      <c r="AT6" s="955"/>
      <c r="AU6" s="955"/>
      <c r="AV6" s="955"/>
      <c r="AW6" s="955"/>
      <c r="AX6" s="955"/>
      <c r="AY6" s="955"/>
    </row>
    <row r="7" spans="1:51" s="285" customFormat="1" ht="14.4">
      <c r="A7" s="1271" t="str">
        <f>IF('Names of Bidder'!D9="", "", IF('Names of Bidder'!D6= "JV (Joint Venture)", "JV of " &amp; AJ8, ""))</f>
        <v/>
      </c>
      <c r="B7" s="1271"/>
      <c r="C7" s="1271"/>
      <c r="D7" s="1271"/>
      <c r="E7" s="1271"/>
      <c r="F7" s="1271"/>
      <c r="G7" s="1271"/>
      <c r="H7" s="1271"/>
      <c r="I7" s="1271"/>
      <c r="J7" s="1271"/>
      <c r="K7" s="1271"/>
      <c r="L7" s="1271"/>
      <c r="M7" s="971" t="s">
        <v>481</v>
      </c>
      <c r="N7" s="956"/>
      <c r="O7" s="968"/>
      <c r="P7" s="1098"/>
      <c r="Q7" s="1098"/>
      <c r="R7" s="1098"/>
      <c r="S7" s="960"/>
      <c r="T7" s="955"/>
      <c r="U7" s="955"/>
      <c r="V7" s="955"/>
      <c r="W7" s="955"/>
      <c r="X7" s="955"/>
      <c r="Y7" s="1098"/>
      <c r="Z7" s="1108"/>
      <c r="AA7" s="1108"/>
      <c r="AB7" s="1108"/>
      <c r="AG7" s="1266"/>
      <c r="AH7" s="1266"/>
      <c r="AL7" s="955"/>
      <c r="AM7" s="955"/>
      <c r="AN7" s="955"/>
      <c r="AO7" s="955"/>
      <c r="AP7" s="955"/>
      <c r="AQ7" s="955"/>
      <c r="AR7" s="955"/>
      <c r="AS7" s="955"/>
      <c r="AT7" s="955"/>
      <c r="AU7" s="955"/>
      <c r="AV7" s="955"/>
      <c r="AW7" s="955"/>
      <c r="AX7" s="955"/>
      <c r="AY7" s="955"/>
    </row>
    <row r="8" spans="1:51" s="285" customFormat="1" ht="14.4">
      <c r="A8" s="181" t="s">
        <v>397</v>
      </c>
      <c r="B8" s="181"/>
      <c r="C8" s="971" t="str">
        <f>IF('Names of Bidder'!D9=0, "", 'Names of Bidder'!D9)</f>
        <v xml:space="preserve">…….. …….. …….. …….. …….. …….. </v>
      </c>
      <c r="D8" s="971"/>
      <c r="E8" s="971"/>
      <c r="F8" s="181"/>
      <c r="G8" s="181"/>
      <c r="H8" s="181"/>
      <c r="I8" s="1105"/>
      <c r="K8" s="956"/>
      <c r="L8" s="956"/>
      <c r="M8" s="971" t="s">
        <v>400</v>
      </c>
      <c r="N8" s="956"/>
      <c r="O8" s="968"/>
      <c r="P8" s="1098"/>
      <c r="Q8" s="1098"/>
      <c r="R8" s="1098"/>
      <c r="S8" s="960"/>
      <c r="T8" s="955"/>
      <c r="U8" s="955"/>
      <c r="V8" s="955"/>
      <c r="W8" s="955"/>
      <c r="X8" s="955"/>
      <c r="Y8" s="961"/>
      <c r="Z8" s="1109"/>
      <c r="AA8" s="1109"/>
      <c r="AB8" s="1109"/>
      <c r="AJ8" s="1100" t="str">
        <f>IF('Names of Bidder'!D7=1,'Names of Bidder'!D9&amp;" &amp; "&amp;'Names of Bidder'!D14,IF('Names of Bidder'!D7="2 or More",'Names of Bidder'!D9&amp;" , "&amp;'Names of Bidder'!D14&amp;" &amp; "&amp;'Names of Bidder'!D19,""))</f>
        <v xml:space="preserve">…….. …….. …….. …….. …….. ……..  &amp; </v>
      </c>
      <c r="AL8" s="955"/>
      <c r="AM8" s="955"/>
      <c r="AN8" s="955"/>
      <c r="AO8" s="955"/>
      <c r="AP8" s="955"/>
      <c r="AQ8" s="955"/>
      <c r="AR8" s="955"/>
      <c r="AS8" s="955"/>
      <c r="AT8" s="955"/>
      <c r="AU8" s="955"/>
      <c r="AV8" s="955"/>
      <c r="AW8" s="955"/>
      <c r="AX8" s="955"/>
      <c r="AY8" s="955"/>
    </row>
    <row r="9" spans="1:51" s="285" customFormat="1" ht="14.4">
      <c r="A9" s="181" t="s">
        <v>399</v>
      </c>
      <c r="B9" s="181"/>
      <c r="C9" s="971" t="str">
        <f>IF('Names of Bidder'!D10=0, "", 'Names of Bidder'!D10)</f>
        <v xml:space="preserve">…….. …….. …….. …….. …….. …….. </v>
      </c>
      <c r="D9" s="971"/>
      <c r="E9" s="971"/>
      <c r="F9" s="181"/>
      <c r="G9" s="181"/>
      <c r="H9" s="181"/>
      <c r="I9" s="1105"/>
      <c r="K9" s="956"/>
      <c r="L9" s="956"/>
      <c r="M9" s="971" t="s">
        <v>401</v>
      </c>
      <c r="N9" s="956"/>
      <c r="O9" s="968"/>
      <c r="P9" s="1098"/>
      <c r="Q9" s="1098"/>
      <c r="R9" s="1098"/>
      <c r="S9" s="960"/>
      <c r="T9" s="955"/>
      <c r="U9" s="955"/>
      <c r="V9" s="955"/>
      <c r="W9" s="955"/>
      <c r="X9" s="955"/>
      <c r="Y9" s="961"/>
      <c r="Z9" s="1109"/>
      <c r="AA9" s="1109"/>
      <c r="AB9" s="1109"/>
      <c r="AL9" s="955"/>
      <c r="AM9" s="955"/>
      <c r="AN9" s="955"/>
      <c r="AO9" s="955"/>
      <c r="AP9" s="955"/>
      <c r="AQ9" s="955"/>
      <c r="AR9" s="955"/>
      <c r="AS9" s="955"/>
      <c r="AT9" s="955"/>
      <c r="AU9" s="955"/>
      <c r="AV9" s="955"/>
      <c r="AW9" s="955"/>
      <c r="AX9" s="955"/>
      <c r="AY9" s="955"/>
    </row>
    <row r="10" spans="1:51" s="285" customFormat="1" ht="14.4">
      <c r="A10" s="1106"/>
      <c r="B10" s="1106"/>
      <c r="C10" s="971" t="str">
        <f>IF('Names of Bidder'!D11=0, "", 'Names of Bidder'!D11)</f>
        <v xml:space="preserve">…….. …….. …….. …….. …….. …….. </v>
      </c>
      <c r="D10" s="971"/>
      <c r="E10" s="971"/>
      <c r="F10" s="1106"/>
      <c r="G10" s="1106"/>
      <c r="H10" s="1106"/>
      <c r="I10" s="1110"/>
      <c r="K10" s="956"/>
      <c r="L10" s="956"/>
      <c r="M10" s="971" t="s">
        <v>280</v>
      </c>
      <c r="N10" s="956"/>
      <c r="O10" s="968"/>
      <c r="P10" s="1098"/>
      <c r="Q10" s="1098"/>
      <c r="R10" s="1098"/>
      <c r="S10" s="960"/>
      <c r="T10" s="955"/>
      <c r="U10" s="955"/>
      <c r="V10" s="955"/>
      <c r="W10" s="955"/>
      <c r="X10" s="955"/>
      <c r="Y10" s="1098"/>
      <c r="Z10" s="1111"/>
      <c r="AA10" s="1103"/>
      <c r="AB10" s="1112"/>
      <c r="AL10" s="955"/>
      <c r="AM10" s="955"/>
      <c r="AN10" s="955"/>
      <c r="AO10" s="955"/>
      <c r="AP10" s="955"/>
      <c r="AQ10" s="955"/>
      <c r="AR10" s="955"/>
      <c r="AS10" s="955"/>
      <c r="AT10" s="955"/>
      <c r="AU10" s="955"/>
      <c r="AV10" s="955"/>
      <c r="AW10" s="955"/>
      <c r="AX10" s="955"/>
      <c r="AY10" s="955"/>
    </row>
    <row r="11" spans="1:51" s="285" customFormat="1" ht="14.4">
      <c r="A11" s="1106"/>
      <c r="B11" s="1106"/>
      <c r="C11" s="1267" t="str">
        <f>IF('Names of Bidder'!D12=0, "", 'Names of Bidder'!D12)</f>
        <v xml:space="preserve">…….. …….. …….. …….. …….. …….. </v>
      </c>
      <c r="D11" s="1267"/>
      <c r="E11" s="1267"/>
      <c r="F11" s="1106"/>
      <c r="G11" s="1106"/>
      <c r="H11" s="1106"/>
      <c r="I11" s="1110"/>
      <c r="K11" s="956"/>
      <c r="L11" s="956"/>
      <c r="M11" s="971" t="s">
        <v>402</v>
      </c>
      <c r="N11" s="956"/>
      <c r="O11" s="968"/>
      <c r="P11" s="1098"/>
      <c r="Q11" s="1098"/>
      <c r="R11" s="1098"/>
      <c r="S11" s="960"/>
      <c r="T11" s="955"/>
      <c r="U11" s="955"/>
      <c r="V11" s="955"/>
      <c r="W11" s="955"/>
      <c r="X11" s="955"/>
      <c r="Y11" s="955"/>
      <c r="AB11" s="956"/>
      <c r="AG11" s="1266"/>
      <c r="AH11" s="1266"/>
      <c r="AL11" s="955"/>
      <c r="AM11" s="955"/>
      <c r="AN11" s="955"/>
      <c r="AO11" s="955"/>
      <c r="AP11" s="955"/>
      <c r="AQ11" s="955"/>
      <c r="AR11" s="955"/>
      <c r="AS11" s="955"/>
      <c r="AT11" s="955"/>
      <c r="AU11" s="955"/>
      <c r="AV11" s="955"/>
      <c r="AW11" s="955"/>
      <c r="AX11" s="955"/>
      <c r="AY11" s="955"/>
    </row>
    <row r="12" spans="1:51" s="285" customFormat="1" ht="14.4">
      <c r="A12" s="1106"/>
      <c r="B12" s="1106"/>
      <c r="C12" s="956"/>
      <c r="D12" s="956"/>
      <c r="E12" s="956"/>
      <c r="F12" s="1106"/>
      <c r="G12" s="1106"/>
      <c r="H12" s="1106"/>
      <c r="I12" s="1110"/>
      <c r="J12" s="1106"/>
      <c r="K12" s="968"/>
      <c r="L12" s="968"/>
      <c r="M12" s="181"/>
      <c r="N12" s="1113"/>
      <c r="O12" s="1113"/>
      <c r="P12" s="1098"/>
      <c r="Q12" s="1098"/>
      <c r="R12" s="1098"/>
      <c r="S12" s="960"/>
      <c r="T12" s="955"/>
      <c r="U12" s="955"/>
      <c r="V12" s="955"/>
      <c r="W12" s="955"/>
      <c r="X12" s="955"/>
      <c r="Y12" s="955"/>
      <c r="AB12" s="956"/>
      <c r="AI12" s="1114"/>
      <c r="AL12" s="955"/>
      <c r="AM12" s="955"/>
      <c r="AN12" s="955"/>
      <c r="AO12" s="955"/>
      <c r="AP12" s="955"/>
      <c r="AQ12" s="955"/>
      <c r="AR12" s="955"/>
      <c r="AS12" s="955"/>
      <c r="AT12" s="955"/>
      <c r="AU12" s="955"/>
      <c r="AV12" s="955"/>
      <c r="AW12" s="955"/>
      <c r="AX12" s="955"/>
      <c r="AY12" s="955"/>
    </row>
    <row r="13" spans="1:51" ht="14.4">
      <c r="A13" s="1268" t="s">
        <v>567</v>
      </c>
      <c r="B13" s="1268"/>
      <c r="C13" s="1268"/>
      <c r="D13" s="1268"/>
      <c r="E13" s="1268"/>
      <c r="F13" s="1268"/>
      <c r="G13" s="1268"/>
      <c r="H13" s="1268"/>
      <c r="I13" s="1268"/>
      <c r="J13" s="1268"/>
      <c r="K13" s="1268"/>
      <c r="L13" s="1268"/>
      <c r="M13" s="1268"/>
      <c r="N13" s="1268"/>
      <c r="O13" s="1268"/>
      <c r="P13" s="882"/>
      <c r="Q13" s="882"/>
      <c r="R13" s="882"/>
      <c r="S13" s="883"/>
      <c r="T13" s="884"/>
      <c r="U13" s="884"/>
      <c r="V13" s="884"/>
      <c r="W13" s="884"/>
      <c r="AA13" s="867"/>
      <c r="AE13" s="866" t="s">
        <v>424</v>
      </c>
      <c r="AI13" s="881"/>
    </row>
    <row r="14" spans="1:51">
      <c r="A14" s="885"/>
      <c r="B14" s="885"/>
      <c r="C14" s="885"/>
      <c r="D14" s="885"/>
      <c r="E14" s="885"/>
      <c r="F14" s="885"/>
      <c r="G14" s="885"/>
      <c r="H14" s="885"/>
      <c r="I14" s="886"/>
      <c r="J14" s="885"/>
      <c r="K14" s="1052"/>
      <c r="L14" s="1052"/>
      <c r="M14" s="885"/>
      <c r="N14" s="1052"/>
      <c r="O14" s="1052"/>
      <c r="P14" s="882"/>
      <c r="Q14" s="882"/>
      <c r="R14" s="882"/>
      <c r="S14" s="883"/>
      <c r="T14" s="884"/>
      <c r="U14" s="884"/>
      <c r="V14" s="884"/>
      <c r="W14" s="884"/>
      <c r="AA14" s="867"/>
      <c r="AI14" s="881"/>
    </row>
    <row r="15" spans="1:51">
      <c r="L15" s="887" t="s">
        <v>273</v>
      </c>
      <c r="M15" s="887"/>
      <c r="Z15" s="1239"/>
      <c r="AA15" s="1239"/>
      <c r="AC15" s="1240"/>
      <c r="AD15" s="1240"/>
      <c r="AE15" s="866" t="s">
        <v>70</v>
      </c>
      <c r="AG15" s="1241"/>
      <c r="AH15" s="1241"/>
    </row>
    <row r="16" spans="1:51" s="285" customFormat="1" ht="138">
      <c r="A16" s="1013" t="s">
        <v>361</v>
      </c>
      <c r="B16" s="1013" t="s">
        <v>514</v>
      </c>
      <c r="C16" s="1013" t="s">
        <v>515</v>
      </c>
      <c r="D16" s="1013" t="s">
        <v>516</v>
      </c>
      <c r="E16" s="1013" t="s">
        <v>517</v>
      </c>
      <c r="F16" s="1013" t="s">
        <v>485</v>
      </c>
      <c r="G16" s="1013" t="s">
        <v>533</v>
      </c>
      <c r="H16" s="1013" t="s">
        <v>486</v>
      </c>
      <c r="I16" s="1101" t="s">
        <v>512</v>
      </c>
      <c r="J16" s="1014" t="s">
        <v>391</v>
      </c>
      <c r="K16" s="1009" t="s">
        <v>353</v>
      </c>
      <c r="L16" s="1009" t="s">
        <v>362</v>
      </c>
      <c r="M16" s="1013" t="s">
        <v>507</v>
      </c>
      <c r="N16" s="1013" t="s">
        <v>508</v>
      </c>
      <c r="O16" s="1013" t="s">
        <v>509</v>
      </c>
      <c r="P16" s="1098"/>
      <c r="Q16" s="1098"/>
      <c r="R16" s="1098"/>
      <c r="S16" s="960"/>
      <c r="T16" s="955"/>
      <c r="U16" s="955"/>
      <c r="V16" s="955"/>
      <c r="W16" s="955"/>
      <c r="X16" s="955"/>
      <c r="Y16" s="955"/>
      <c r="Z16" s="1102"/>
      <c r="AA16" s="1102"/>
      <c r="AB16" s="956"/>
      <c r="AC16" s="1102"/>
      <c r="AD16" s="1102"/>
      <c r="AL16" s="955"/>
      <c r="AM16" s="955"/>
      <c r="AN16" s="955"/>
      <c r="AO16" s="955"/>
      <c r="AP16" s="955"/>
      <c r="AQ16" s="955"/>
      <c r="AR16" s="955"/>
      <c r="AS16" s="955"/>
      <c r="AT16" s="955"/>
      <c r="AU16" s="955"/>
      <c r="AV16" s="955"/>
      <c r="AW16" s="955"/>
      <c r="AX16" s="955"/>
      <c r="AY16" s="955"/>
    </row>
    <row r="17" spans="1:51" s="285" customFormat="1" ht="14.4">
      <c r="A17" s="1115">
        <v>1</v>
      </c>
      <c r="B17" s="1116">
        <v>2</v>
      </c>
      <c r="C17" s="1116">
        <v>3</v>
      </c>
      <c r="D17" s="1116">
        <v>4</v>
      </c>
      <c r="E17" s="1116">
        <v>5</v>
      </c>
      <c r="F17" s="1116">
        <v>6</v>
      </c>
      <c r="G17" s="1116">
        <v>7</v>
      </c>
      <c r="H17" s="1116">
        <v>8</v>
      </c>
      <c r="I17" s="1116">
        <v>9</v>
      </c>
      <c r="J17" s="1009">
        <v>10</v>
      </c>
      <c r="K17" s="1009">
        <v>11</v>
      </c>
      <c r="L17" s="1009">
        <v>12</v>
      </c>
      <c r="M17" s="1009">
        <v>13</v>
      </c>
      <c r="N17" s="1009" t="s">
        <v>518</v>
      </c>
      <c r="O17" s="1117">
        <v>15</v>
      </c>
      <c r="P17" s="1098"/>
      <c r="Q17" s="1098"/>
      <c r="R17" s="1098"/>
      <c r="S17" s="960"/>
      <c r="T17" s="955"/>
      <c r="U17" s="955"/>
      <c r="V17" s="955"/>
      <c r="W17" s="955"/>
      <c r="X17" s="955"/>
      <c r="Y17" s="955"/>
      <c r="Z17" s="294"/>
      <c r="AA17" s="294"/>
      <c r="AB17" s="956"/>
      <c r="AC17" s="294"/>
      <c r="AD17" s="294"/>
      <c r="AL17" s="955"/>
      <c r="AM17" s="955"/>
      <c r="AN17" s="955"/>
      <c r="AO17" s="955"/>
      <c r="AP17" s="955"/>
      <c r="AQ17" s="955"/>
      <c r="AR17" s="955"/>
      <c r="AS17" s="955"/>
      <c r="AT17" s="955"/>
      <c r="AU17" s="955"/>
      <c r="AV17" s="955"/>
      <c r="AW17" s="955"/>
      <c r="AX17" s="955"/>
      <c r="AY17" s="955"/>
    </row>
    <row r="18" spans="1:51" s="285" customFormat="1" ht="14.4">
      <c r="A18" s="551"/>
      <c r="B18" s="551"/>
      <c r="C18" s="551"/>
      <c r="D18" s="551"/>
      <c r="E18" s="551"/>
      <c r="F18" s="551"/>
      <c r="G18" s="551"/>
      <c r="H18" s="551"/>
      <c r="I18" s="1118"/>
      <c r="J18" s="551"/>
      <c r="K18" s="1119"/>
      <c r="L18" s="1119"/>
      <c r="M18" s="1120"/>
      <c r="N18" s="1121"/>
      <c r="O18" s="1050"/>
      <c r="P18" s="955"/>
      <c r="Q18" s="955"/>
      <c r="R18" s="955"/>
      <c r="S18" s="955"/>
      <c r="T18" s="1122"/>
      <c r="U18" s="955"/>
      <c r="V18" s="425"/>
      <c r="W18" s="955"/>
      <c r="X18" s="955"/>
      <c r="Y18" s="955"/>
    </row>
    <row r="19" spans="1:51" s="285" customFormat="1" ht="14.4">
      <c r="A19" s="551"/>
      <c r="B19" s="551"/>
      <c r="C19" s="551"/>
      <c r="D19" s="551"/>
      <c r="E19" s="551"/>
      <c r="F19" s="551"/>
      <c r="G19" s="551"/>
      <c r="H19" s="551"/>
      <c r="I19" s="1118"/>
      <c r="J19" s="1123"/>
      <c r="K19" s="1119"/>
      <c r="L19" s="1119"/>
      <c r="M19" s="1120"/>
      <c r="N19" s="1121"/>
      <c r="O19" s="1050"/>
      <c r="P19" s="955"/>
      <c r="Q19" s="955"/>
      <c r="R19" s="955"/>
      <c r="S19" s="955"/>
      <c r="T19" s="1122"/>
      <c r="U19" s="955"/>
      <c r="V19" s="425"/>
      <c r="W19" s="955"/>
      <c r="X19" s="955"/>
      <c r="Y19" s="955"/>
    </row>
    <row r="20" spans="1:51" s="285" customFormat="1" ht="21" hidden="1">
      <c r="A20" s="1124"/>
      <c r="B20" s="1242" t="s">
        <v>573</v>
      </c>
      <c r="C20" s="1243"/>
      <c r="D20" s="1243"/>
      <c r="E20" s="1243"/>
      <c r="F20" s="1243"/>
      <c r="G20" s="1243"/>
      <c r="H20" s="1243"/>
      <c r="I20" s="1243"/>
      <c r="J20" s="1244"/>
      <c r="K20" s="1125"/>
      <c r="L20" s="1125"/>
      <c r="M20" s="1126"/>
      <c r="N20" s="1127"/>
      <c r="O20" s="1053"/>
      <c r="P20" s="955"/>
      <c r="Q20" s="955"/>
      <c r="R20" s="955"/>
      <c r="S20" s="955"/>
      <c r="T20" s="1122"/>
      <c r="U20" s="955"/>
      <c r="V20" s="425"/>
      <c r="W20" s="955"/>
      <c r="X20" s="955"/>
      <c r="Y20" s="955"/>
    </row>
    <row r="21" spans="1:51" s="687" customFormat="1" ht="31.2">
      <c r="A21" s="1031" t="s">
        <v>340</v>
      </c>
      <c r="B21" s="1034" t="s">
        <v>787</v>
      </c>
      <c r="C21" s="1035"/>
      <c r="D21" s="1035"/>
      <c r="E21" s="1035"/>
      <c r="F21" s="1035"/>
      <c r="G21" s="1035"/>
      <c r="H21" s="1035"/>
      <c r="I21" s="1035"/>
      <c r="J21" s="1036"/>
      <c r="K21" s="1031"/>
      <c r="L21" s="1031"/>
      <c r="M21" s="1032"/>
      <c r="N21" s="1031"/>
      <c r="O21" s="1054"/>
      <c r="P21" s="686"/>
      <c r="Q21" s="787" t="s">
        <v>493</v>
      </c>
      <c r="R21" s="787" t="s">
        <v>494</v>
      </c>
      <c r="S21" s="686"/>
      <c r="T21" s="1033"/>
      <c r="U21" s="686"/>
      <c r="V21" s="695"/>
      <c r="W21" s="686"/>
      <c r="X21" s="686"/>
      <c r="Y21" s="686"/>
    </row>
    <row r="22" spans="1:51" s="285" customFormat="1" ht="28.8">
      <c r="A22" s="1050">
        <v>1</v>
      </c>
      <c r="B22" s="1050">
        <v>7000023516</v>
      </c>
      <c r="C22" s="1050">
        <v>10</v>
      </c>
      <c r="D22" s="1050" t="s">
        <v>788</v>
      </c>
      <c r="E22" s="1050">
        <v>1000004501</v>
      </c>
      <c r="F22" s="1050">
        <v>85352913</v>
      </c>
      <c r="G22" s="1023"/>
      <c r="H22" s="1050">
        <v>18</v>
      </c>
      <c r="I22" s="1024"/>
      <c r="J22" s="1048" t="s">
        <v>739</v>
      </c>
      <c r="K22" s="1050" t="s">
        <v>574</v>
      </c>
      <c r="L22" s="1050">
        <v>2</v>
      </c>
      <c r="M22" s="1025"/>
      <c r="N22" s="1128" t="str">
        <f t="shared" ref="N22:N147" si="0">IF(M22=0, "Included",IF(ISERROR(L22*M22), M22, L22*M22))</f>
        <v>Included</v>
      </c>
      <c r="O22" s="1056">
        <f t="shared" ref="O22:O147" si="1">R22</f>
        <v>0</v>
      </c>
      <c r="P22" s="955"/>
      <c r="Q22" s="285">
        <f t="shared" ref="Q22:Q147" si="2">IF(N22="Included",0,N22)</f>
        <v>0</v>
      </c>
      <c r="R22" s="893">
        <f>IF(I22="", H22*Q22/100,I22*Q22/100)</f>
        <v>0</v>
      </c>
      <c r="S22" s="955"/>
      <c r="T22" s="1122"/>
      <c r="U22" s="955"/>
      <c r="V22" s="425"/>
      <c r="W22" s="955"/>
      <c r="X22" s="955"/>
      <c r="Y22" s="955"/>
    </row>
    <row r="23" spans="1:51" s="285" customFormat="1" ht="28.8">
      <c r="A23" s="1050">
        <v>2</v>
      </c>
      <c r="B23" s="1050">
        <v>7000023516</v>
      </c>
      <c r="C23" s="1050">
        <v>20</v>
      </c>
      <c r="D23" s="1050" t="s">
        <v>788</v>
      </c>
      <c r="E23" s="1050">
        <v>1000004463</v>
      </c>
      <c r="F23" s="1050">
        <v>85359090</v>
      </c>
      <c r="G23" s="1023"/>
      <c r="H23" s="1050">
        <v>18</v>
      </c>
      <c r="I23" s="1024"/>
      <c r="J23" s="1048" t="s">
        <v>740</v>
      </c>
      <c r="K23" s="1050" t="s">
        <v>574</v>
      </c>
      <c r="L23" s="1050">
        <v>6</v>
      </c>
      <c r="M23" s="1025"/>
      <c r="N23" s="1128" t="str">
        <f t="shared" ref="N23:N126" si="3">IF(M23=0, "Included",IF(ISERROR(L23*M23), M23, L23*M23))</f>
        <v>Included</v>
      </c>
      <c r="O23" s="1056">
        <f t="shared" ref="O23:O126" si="4">R23</f>
        <v>0</v>
      </c>
      <c r="P23" s="955"/>
      <c r="Q23" s="285">
        <f t="shared" ref="Q23:Q126" si="5">IF(N23="Included",0,N23)</f>
        <v>0</v>
      </c>
      <c r="R23" s="893">
        <f t="shared" ref="R23:R86" si="6">IF(I23="", H23*Q23/100,I23*Q23/100)</f>
        <v>0</v>
      </c>
      <c r="S23" s="955"/>
      <c r="T23" s="1122"/>
      <c r="U23" s="955"/>
      <c r="V23" s="425"/>
      <c r="W23" s="955"/>
      <c r="X23" s="955"/>
      <c r="Y23" s="955"/>
    </row>
    <row r="24" spans="1:51" ht="28.8">
      <c r="A24" s="1050">
        <f>A23+1</f>
        <v>3</v>
      </c>
      <c r="B24" s="1050">
        <v>7000023516</v>
      </c>
      <c r="C24" s="1050">
        <v>30</v>
      </c>
      <c r="D24" s="1050" t="s">
        <v>788</v>
      </c>
      <c r="E24" s="1050">
        <v>1000004498</v>
      </c>
      <c r="F24" s="1050">
        <v>85353090</v>
      </c>
      <c r="G24" s="1023"/>
      <c r="H24" s="1050">
        <v>18</v>
      </c>
      <c r="I24" s="1024"/>
      <c r="J24" s="1048" t="s">
        <v>741</v>
      </c>
      <c r="K24" s="1050" t="s">
        <v>574</v>
      </c>
      <c r="L24" s="1050">
        <v>4</v>
      </c>
      <c r="M24" s="1025"/>
      <c r="N24" s="1055" t="str">
        <f t="shared" si="3"/>
        <v>Included</v>
      </c>
      <c r="O24" s="1056">
        <f t="shared" si="4"/>
        <v>0</v>
      </c>
      <c r="P24" s="865"/>
      <c r="Q24" s="285">
        <f t="shared" si="5"/>
        <v>0</v>
      </c>
      <c r="R24" s="893">
        <f t="shared" si="6"/>
        <v>0</v>
      </c>
      <c r="S24" s="865"/>
      <c r="T24" s="890"/>
      <c r="V24" s="891"/>
      <c r="AB24" s="866"/>
      <c r="AL24" s="866"/>
      <c r="AM24" s="866"/>
      <c r="AN24" s="866"/>
      <c r="AO24" s="866"/>
      <c r="AP24" s="866"/>
      <c r="AQ24" s="866"/>
      <c r="AR24" s="866"/>
      <c r="AS24" s="866"/>
      <c r="AT24" s="866"/>
      <c r="AU24" s="866"/>
      <c r="AV24" s="866"/>
      <c r="AW24" s="866"/>
      <c r="AX24" s="866"/>
      <c r="AY24" s="866"/>
    </row>
    <row r="25" spans="1:51" ht="28.8">
      <c r="A25" s="1050">
        <f t="shared" ref="A25:A88" si="7">A24+1</f>
        <v>4</v>
      </c>
      <c r="B25" s="1050">
        <v>7000023516</v>
      </c>
      <c r="C25" s="1050">
        <v>40</v>
      </c>
      <c r="D25" s="1050" t="s">
        <v>788</v>
      </c>
      <c r="E25" s="1050">
        <v>1000020419</v>
      </c>
      <c r="F25" s="1050">
        <v>85354010</v>
      </c>
      <c r="G25" s="1023"/>
      <c r="H25" s="1050">
        <v>18</v>
      </c>
      <c r="I25" s="1024"/>
      <c r="J25" s="1048" t="s">
        <v>575</v>
      </c>
      <c r="K25" s="1050" t="s">
        <v>574</v>
      </c>
      <c r="L25" s="1050">
        <v>6</v>
      </c>
      <c r="M25" s="1025"/>
      <c r="N25" s="1055" t="str">
        <f t="shared" si="3"/>
        <v>Included</v>
      </c>
      <c r="O25" s="1056">
        <f t="shared" si="4"/>
        <v>0</v>
      </c>
      <c r="P25" s="865"/>
      <c r="Q25" s="285">
        <f t="shared" si="5"/>
        <v>0</v>
      </c>
      <c r="R25" s="893">
        <f t="shared" si="6"/>
        <v>0</v>
      </c>
      <c r="S25" s="865"/>
      <c r="T25" s="890"/>
      <c r="V25" s="891"/>
      <c r="AB25" s="866"/>
      <c r="AL25" s="866"/>
      <c r="AM25" s="866"/>
      <c r="AN25" s="866"/>
      <c r="AO25" s="866"/>
      <c r="AP25" s="866"/>
      <c r="AQ25" s="866"/>
      <c r="AR25" s="866"/>
      <c r="AS25" s="866"/>
      <c r="AT25" s="866"/>
      <c r="AU25" s="866"/>
      <c r="AV25" s="866"/>
      <c r="AW25" s="866"/>
      <c r="AX25" s="866"/>
      <c r="AY25" s="866"/>
    </row>
    <row r="26" spans="1:51" ht="28.8">
      <c r="A26" s="1050">
        <f t="shared" si="7"/>
        <v>5</v>
      </c>
      <c r="B26" s="1050">
        <v>7000023516</v>
      </c>
      <c r="C26" s="1050">
        <v>50</v>
      </c>
      <c r="D26" s="1050" t="s">
        <v>788</v>
      </c>
      <c r="E26" s="1050">
        <v>1000004401</v>
      </c>
      <c r="F26" s="1050">
        <v>85462040</v>
      </c>
      <c r="G26" s="1023"/>
      <c r="H26" s="1050">
        <v>18</v>
      </c>
      <c r="I26" s="1024"/>
      <c r="J26" s="1048" t="s">
        <v>576</v>
      </c>
      <c r="K26" s="1050" t="s">
        <v>574</v>
      </c>
      <c r="L26" s="1050">
        <v>6</v>
      </c>
      <c r="M26" s="1025"/>
      <c r="N26" s="1055" t="str">
        <f t="shared" si="3"/>
        <v>Included</v>
      </c>
      <c r="O26" s="1056">
        <f t="shared" si="4"/>
        <v>0</v>
      </c>
      <c r="P26" s="865"/>
      <c r="Q26" s="285">
        <f t="shared" si="5"/>
        <v>0</v>
      </c>
      <c r="R26" s="893">
        <f t="shared" si="6"/>
        <v>0</v>
      </c>
      <c r="S26" s="865"/>
      <c r="T26" s="890"/>
      <c r="V26" s="891"/>
      <c r="AB26" s="866"/>
      <c r="AL26" s="866"/>
      <c r="AM26" s="866"/>
      <c r="AN26" s="866"/>
      <c r="AO26" s="866"/>
      <c r="AP26" s="866"/>
      <c r="AQ26" s="866"/>
      <c r="AR26" s="866"/>
      <c r="AS26" s="866"/>
      <c r="AT26" s="866"/>
      <c r="AU26" s="866"/>
      <c r="AV26" s="866"/>
      <c r="AW26" s="866"/>
      <c r="AX26" s="866"/>
      <c r="AY26" s="866"/>
    </row>
    <row r="27" spans="1:51" ht="28.8">
      <c r="A27" s="1050">
        <f t="shared" si="7"/>
        <v>6</v>
      </c>
      <c r="B27" s="1050">
        <v>7000023516</v>
      </c>
      <c r="C27" s="1050">
        <v>90</v>
      </c>
      <c r="D27" s="1050" t="s">
        <v>789</v>
      </c>
      <c r="E27" s="1050">
        <v>1000001683</v>
      </c>
      <c r="F27" s="1050">
        <v>85352912</v>
      </c>
      <c r="G27" s="1023"/>
      <c r="H27" s="1050">
        <v>18</v>
      </c>
      <c r="I27" s="1024"/>
      <c r="J27" s="1048" t="s">
        <v>742</v>
      </c>
      <c r="K27" s="1050" t="s">
        <v>574</v>
      </c>
      <c r="L27" s="1050">
        <v>7</v>
      </c>
      <c r="M27" s="1025"/>
      <c r="N27" s="1055" t="str">
        <f t="shared" si="3"/>
        <v>Included</v>
      </c>
      <c r="O27" s="1056">
        <f t="shared" si="4"/>
        <v>0</v>
      </c>
      <c r="P27" s="865"/>
      <c r="Q27" s="285">
        <f t="shared" si="5"/>
        <v>0</v>
      </c>
      <c r="R27" s="893">
        <f t="shared" si="6"/>
        <v>0</v>
      </c>
      <c r="S27" s="865"/>
      <c r="T27" s="890"/>
      <c r="V27" s="891"/>
      <c r="AB27" s="866"/>
      <c r="AL27" s="866"/>
      <c r="AM27" s="866"/>
      <c r="AN27" s="866"/>
      <c r="AO27" s="866"/>
      <c r="AP27" s="866"/>
      <c r="AQ27" s="866"/>
      <c r="AR27" s="866"/>
      <c r="AS27" s="866"/>
      <c r="AT27" s="866"/>
      <c r="AU27" s="866"/>
      <c r="AV27" s="866"/>
      <c r="AW27" s="866"/>
      <c r="AX27" s="866"/>
      <c r="AY27" s="866"/>
    </row>
    <row r="28" spans="1:51" ht="28.8">
      <c r="A28" s="1050">
        <f t="shared" si="7"/>
        <v>7</v>
      </c>
      <c r="B28" s="1050">
        <v>7000023516</v>
      </c>
      <c r="C28" s="1050">
        <v>70</v>
      </c>
      <c r="D28" s="1050" t="s">
        <v>789</v>
      </c>
      <c r="E28" s="1050">
        <v>1000028442</v>
      </c>
      <c r="F28" s="1050">
        <v>85352912</v>
      </c>
      <c r="G28" s="1023"/>
      <c r="H28" s="1050">
        <v>18</v>
      </c>
      <c r="I28" s="1024"/>
      <c r="J28" s="1048" t="s">
        <v>803</v>
      </c>
      <c r="K28" s="1050" t="s">
        <v>574</v>
      </c>
      <c r="L28" s="1050">
        <v>1</v>
      </c>
      <c r="M28" s="1025"/>
      <c r="N28" s="1055" t="str">
        <f t="shared" si="3"/>
        <v>Included</v>
      </c>
      <c r="O28" s="1056">
        <f t="shared" si="4"/>
        <v>0</v>
      </c>
      <c r="P28" s="865"/>
      <c r="Q28" s="285">
        <f t="shared" si="5"/>
        <v>0</v>
      </c>
      <c r="R28" s="893">
        <f t="shared" si="6"/>
        <v>0</v>
      </c>
      <c r="S28" s="865"/>
      <c r="T28" s="890"/>
      <c r="V28" s="891"/>
      <c r="AB28" s="866"/>
      <c r="AL28" s="866"/>
      <c r="AM28" s="866"/>
      <c r="AN28" s="866"/>
      <c r="AO28" s="866"/>
      <c r="AP28" s="866"/>
      <c r="AQ28" s="866"/>
      <c r="AR28" s="866"/>
      <c r="AS28" s="866"/>
      <c r="AT28" s="866"/>
      <c r="AU28" s="866"/>
      <c r="AV28" s="866"/>
      <c r="AW28" s="866"/>
      <c r="AX28" s="866"/>
      <c r="AY28" s="866"/>
    </row>
    <row r="29" spans="1:51" ht="28.8">
      <c r="A29" s="1050">
        <f t="shared" si="7"/>
        <v>8</v>
      </c>
      <c r="B29" s="1050">
        <v>7000023516</v>
      </c>
      <c r="C29" s="1050">
        <v>100</v>
      </c>
      <c r="D29" s="1050" t="s">
        <v>789</v>
      </c>
      <c r="E29" s="1050">
        <v>1000001684</v>
      </c>
      <c r="F29" s="1050">
        <v>85359090</v>
      </c>
      <c r="G29" s="1023"/>
      <c r="H29" s="1050">
        <v>18</v>
      </c>
      <c r="I29" s="1024"/>
      <c r="J29" s="1048" t="s">
        <v>744</v>
      </c>
      <c r="K29" s="1050" t="s">
        <v>574</v>
      </c>
      <c r="L29" s="1050">
        <v>21</v>
      </c>
      <c r="M29" s="1025"/>
      <c r="N29" s="1055" t="str">
        <f t="shared" si="3"/>
        <v>Included</v>
      </c>
      <c r="O29" s="1056">
        <f t="shared" si="4"/>
        <v>0</v>
      </c>
      <c r="P29" s="865"/>
      <c r="Q29" s="285">
        <f t="shared" si="5"/>
        <v>0</v>
      </c>
      <c r="R29" s="893">
        <f t="shared" si="6"/>
        <v>0</v>
      </c>
      <c r="S29" s="865"/>
      <c r="T29" s="890"/>
      <c r="V29" s="891"/>
      <c r="AB29" s="866"/>
      <c r="AL29" s="866"/>
      <c r="AM29" s="866"/>
      <c r="AN29" s="866"/>
      <c r="AO29" s="866"/>
      <c r="AP29" s="866"/>
      <c r="AQ29" s="866"/>
      <c r="AR29" s="866"/>
      <c r="AS29" s="866"/>
      <c r="AT29" s="866"/>
      <c r="AU29" s="866"/>
      <c r="AV29" s="866"/>
      <c r="AW29" s="866"/>
      <c r="AX29" s="866"/>
      <c r="AY29" s="866"/>
    </row>
    <row r="30" spans="1:51" ht="28.8">
      <c r="A30" s="1050">
        <f t="shared" si="7"/>
        <v>9</v>
      </c>
      <c r="B30" s="1050">
        <v>7000023516</v>
      </c>
      <c r="C30" s="1050">
        <v>80</v>
      </c>
      <c r="D30" s="1050" t="s">
        <v>789</v>
      </c>
      <c r="E30" s="1050">
        <v>1000001739</v>
      </c>
      <c r="F30" s="1050">
        <v>85359090</v>
      </c>
      <c r="G30" s="1023"/>
      <c r="H30" s="1050">
        <v>18</v>
      </c>
      <c r="I30" s="1024"/>
      <c r="J30" s="1048" t="s">
        <v>743</v>
      </c>
      <c r="K30" s="1050" t="s">
        <v>574</v>
      </c>
      <c r="L30" s="1050">
        <v>3</v>
      </c>
      <c r="M30" s="1025"/>
      <c r="N30" s="1055" t="str">
        <f t="shared" si="3"/>
        <v>Included</v>
      </c>
      <c r="O30" s="1056">
        <f t="shared" si="4"/>
        <v>0</v>
      </c>
      <c r="P30" s="865"/>
      <c r="Q30" s="285">
        <f t="shared" si="5"/>
        <v>0</v>
      </c>
      <c r="R30" s="893">
        <f t="shared" si="6"/>
        <v>0</v>
      </c>
      <c r="S30" s="865"/>
      <c r="T30" s="890"/>
      <c r="V30" s="891"/>
      <c r="AB30" s="866"/>
      <c r="AL30" s="866"/>
      <c r="AM30" s="866"/>
      <c r="AN30" s="866"/>
      <c r="AO30" s="866"/>
      <c r="AP30" s="866"/>
      <c r="AQ30" s="866"/>
      <c r="AR30" s="866"/>
      <c r="AS30" s="866"/>
      <c r="AT30" s="866"/>
      <c r="AU30" s="866"/>
      <c r="AV30" s="866"/>
      <c r="AW30" s="866"/>
      <c r="AX30" s="866"/>
      <c r="AY30" s="866"/>
    </row>
    <row r="31" spans="1:51" ht="28.8">
      <c r="A31" s="1050">
        <f t="shared" si="7"/>
        <v>10</v>
      </c>
      <c r="B31" s="1050">
        <v>7000023516</v>
      </c>
      <c r="C31" s="1050">
        <v>140</v>
      </c>
      <c r="D31" s="1050" t="s">
        <v>789</v>
      </c>
      <c r="E31" s="1050">
        <v>1000032777</v>
      </c>
      <c r="F31" s="1050">
        <v>85353090</v>
      </c>
      <c r="G31" s="1023"/>
      <c r="H31" s="1050">
        <v>18</v>
      </c>
      <c r="I31" s="1024"/>
      <c r="J31" s="1048" t="s">
        <v>747</v>
      </c>
      <c r="K31" s="1050" t="s">
        <v>574</v>
      </c>
      <c r="L31" s="1050">
        <v>13</v>
      </c>
      <c r="M31" s="1025"/>
      <c r="N31" s="1055" t="str">
        <f t="shared" si="3"/>
        <v>Included</v>
      </c>
      <c r="O31" s="1056">
        <f t="shared" si="4"/>
        <v>0</v>
      </c>
      <c r="P31" s="865"/>
      <c r="Q31" s="285">
        <f t="shared" si="5"/>
        <v>0</v>
      </c>
      <c r="R31" s="893">
        <f t="shared" si="6"/>
        <v>0</v>
      </c>
      <c r="S31" s="865"/>
      <c r="T31" s="890"/>
      <c r="V31" s="891"/>
      <c r="AB31" s="866"/>
      <c r="AL31" s="866"/>
      <c r="AM31" s="866"/>
      <c r="AN31" s="866"/>
      <c r="AO31" s="866"/>
      <c r="AP31" s="866"/>
      <c r="AQ31" s="866"/>
      <c r="AR31" s="866"/>
      <c r="AS31" s="866"/>
      <c r="AT31" s="866"/>
      <c r="AU31" s="866"/>
      <c r="AV31" s="866"/>
      <c r="AW31" s="866"/>
      <c r="AX31" s="866"/>
      <c r="AY31" s="866"/>
    </row>
    <row r="32" spans="1:51" ht="28.8">
      <c r="A32" s="1050">
        <f t="shared" si="7"/>
        <v>11</v>
      </c>
      <c r="B32" s="1050">
        <v>7000023516</v>
      </c>
      <c r="C32" s="1050">
        <v>120</v>
      </c>
      <c r="D32" s="1050" t="s">
        <v>789</v>
      </c>
      <c r="E32" s="1050">
        <v>1000001688</v>
      </c>
      <c r="F32" s="1050">
        <v>85353090</v>
      </c>
      <c r="G32" s="1023"/>
      <c r="H32" s="1050">
        <v>18</v>
      </c>
      <c r="I32" s="1024"/>
      <c r="J32" s="1048" t="s">
        <v>746</v>
      </c>
      <c r="K32" s="1050" t="s">
        <v>574</v>
      </c>
      <c r="L32" s="1050">
        <v>7</v>
      </c>
      <c r="M32" s="1025"/>
      <c r="N32" s="1055" t="str">
        <f t="shared" si="3"/>
        <v>Included</v>
      </c>
      <c r="O32" s="1056">
        <f t="shared" si="4"/>
        <v>0</v>
      </c>
      <c r="P32" s="865"/>
      <c r="Q32" s="285">
        <f t="shared" si="5"/>
        <v>0</v>
      </c>
      <c r="R32" s="893">
        <f t="shared" si="6"/>
        <v>0</v>
      </c>
      <c r="S32" s="865"/>
      <c r="T32" s="890"/>
      <c r="V32" s="891"/>
      <c r="AB32" s="866"/>
      <c r="AL32" s="866"/>
      <c r="AM32" s="866"/>
      <c r="AN32" s="866"/>
      <c r="AO32" s="866"/>
      <c r="AP32" s="866"/>
      <c r="AQ32" s="866"/>
      <c r="AR32" s="866"/>
      <c r="AS32" s="866"/>
      <c r="AT32" s="866"/>
      <c r="AU32" s="866"/>
      <c r="AV32" s="866"/>
      <c r="AW32" s="866"/>
      <c r="AX32" s="866"/>
      <c r="AY32" s="866"/>
    </row>
    <row r="33" spans="1:25" s="866" customFormat="1" ht="28.8">
      <c r="A33" s="1050">
        <f t="shared" si="7"/>
        <v>12</v>
      </c>
      <c r="B33" s="1050">
        <v>7000023516</v>
      </c>
      <c r="C33" s="1050">
        <v>130</v>
      </c>
      <c r="D33" s="1050" t="s">
        <v>789</v>
      </c>
      <c r="E33" s="1050">
        <v>1000001689</v>
      </c>
      <c r="F33" s="1050">
        <v>85353090</v>
      </c>
      <c r="G33" s="1023"/>
      <c r="H33" s="1050">
        <v>18</v>
      </c>
      <c r="I33" s="1024"/>
      <c r="J33" s="1048" t="s">
        <v>745</v>
      </c>
      <c r="K33" s="1050" t="s">
        <v>574</v>
      </c>
      <c r="L33" s="1050">
        <v>7</v>
      </c>
      <c r="M33" s="1025"/>
      <c r="N33" s="1055" t="str">
        <f t="shared" si="3"/>
        <v>Included</v>
      </c>
      <c r="O33" s="1056">
        <f t="shared" si="4"/>
        <v>0</v>
      </c>
      <c r="P33" s="865"/>
      <c r="Q33" s="285">
        <f t="shared" si="5"/>
        <v>0</v>
      </c>
      <c r="R33" s="893">
        <f t="shared" si="6"/>
        <v>0</v>
      </c>
      <c r="S33" s="865"/>
      <c r="T33" s="890"/>
      <c r="U33" s="865"/>
      <c r="V33" s="891"/>
      <c r="W33" s="865"/>
      <c r="X33" s="865"/>
      <c r="Y33" s="865"/>
    </row>
    <row r="34" spans="1:25" s="866" customFormat="1" ht="28.8">
      <c r="A34" s="1050">
        <f t="shared" si="7"/>
        <v>13</v>
      </c>
      <c r="B34" s="1050">
        <v>7000023516</v>
      </c>
      <c r="C34" s="1050">
        <v>60</v>
      </c>
      <c r="D34" s="1050" t="s">
        <v>789</v>
      </c>
      <c r="E34" s="1050">
        <v>1000051760</v>
      </c>
      <c r="F34" s="1050">
        <v>85353090</v>
      </c>
      <c r="G34" s="1023"/>
      <c r="H34" s="1050">
        <v>18</v>
      </c>
      <c r="I34" s="1024"/>
      <c r="J34" s="1048" t="s">
        <v>804</v>
      </c>
      <c r="K34" s="1050" t="s">
        <v>574</v>
      </c>
      <c r="L34" s="1050">
        <v>2</v>
      </c>
      <c r="M34" s="1025"/>
      <c r="N34" s="1055" t="str">
        <f t="shared" si="3"/>
        <v>Included</v>
      </c>
      <c r="O34" s="1056">
        <f t="shared" si="4"/>
        <v>0</v>
      </c>
      <c r="P34" s="865"/>
      <c r="Q34" s="285">
        <f t="shared" si="5"/>
        <v>0</v>
      </c>
      <c r="R34" s="893">
        <f t="shared" si="6"/>
        <v>0</v>
      </c>
      <c r="S34" s="865"/>
      <c r="T34" s="890"/>
      <c r="U34" s="865"/>
      <c r="V34" s="891"/>
      <c r="W34" s="865"/>
      <c r="X34" s="865"/>
      <c r="Y34" s="865"/>
    </row>
    <row r="35" spans="1:25" s="866" customFormat="1" ht="28.8">
      <c r="A35" s="1050">
        <f t="shared" si="7"/>
        <v>14</v>
      </c>
      <c r="B35" s="1050">
        <v>7000023516</v>
      </c>
      <c r="C35" s="1050">
        <v>150</v>
      </c>
      <c r="D35" s="1050" t="s">
        <v>789</v>
      </c>
      <c r="E35" s="1050">
        <v>1000020417</v>
      </c>
      <c r="F35" s="1050">
        <v>85354010</v>
      </c>
      <c r="G35" s="1023"/>
      <c r="H35" s="1050">
        <v>18</v>
      </c>
      <c r="I35" s="1024"/>
      <c r="J35" s="1048" t="s">
        <v>641</v>
      </c>
      <c r="K35" s="1050" t="s">
        <v>574</v>
      </c>
      <c r="L35" s="1050">
        <v>18</v>
      </c>
      <c r="M35" s="1025"/>
      <c r="N35" s="1055" t="str">
        <f t="shared" si="3"/>
        <v>Included</v>
      </c>
      <c r="O35" s="1056">
        <f t="shared" si="4"/>
        <v>0</v>
      </c>
      <c r="P35" s="865"/>
      <c r="Q35" s="285">
        <f t="shared" si="5"/>
        <v>0</v>
      </c>
      <c r="R35" s="893">
        <f t="shared" si="6"/>
        <v>0</v>
      </c>
      <c r="S35" s="865"/>
      <c r="T35" s="890"/>
      <c r="U35" s="865"/>
      <c r="V35" s="891"/>
      <c r="W35" s="865"/>
      <c r="X35" s="865"/>
      <c r="Y35" s="865"/>
    </row>
    <row r="36" spans="1:25" s="866" customFormat="1" ht="28.8">
      <c r="A36" s="1050">
        <f t="shared" si="7"/>
        <v>15</v>
      </c>
      <c r="B36" s="1050">
        <v>7000023516</v>
      </c>
      <c r="C36" s="1050">
        <v>110</v>
      </c>
      <c r="D36" s="1050" t="s">
        <v>789</v>
      </c>
      <c r="E36" s="1050">
        <v>1000001772</v>
      </c>
      <c r="F36" s="1050">
        <v>85359090</v>
      </c>
      <c r="G36" s="1023"/>
      <c r="H36" s="1050">
        <v>18</v>
      </c>
      <c r="I36" s="1024"/>
      <c r="J36" s="1048" t="s">
        <v>664</v>
      </c>
      <c r="K36" s="1050" t="s">
        <v>574</v>
      </c>
      <c r="L36" s="1050">
        <v>18</v>
      </c>
      <c r="M36" s="1025"/>
      <c r="N36" s="1055" t="str">
        <f t="shared" si="3"/>
        <v>Included</v>
      </c>
      <c r="O36" s="1056">
        <f t="shared" si="4"/>
        <v>0</v>
      </c>
      <c r="P36" s="865"/>
      <c r="Q36" s="285">
        <f t="shared" si="5"/>
        <v>0</v>
      </c>
      <c r="R36" s="893">
        <f t="shared" si="6"/>
        <v>0</v>
      </c>
      <c r="S36" s="865"/>
      <c r="T36" s="890"/>
      <c r="U36" s="865"/>
      <c r="V36" s="891"/>
      <c r="W36" s="865"/>
      <c r="X36" s="865"/>
      <c r="Y36" s="865"/>
    </row>
    <row r="37" spans="1:25" s="866" customFormat="1" ht="28.8">
      <c r="A37" s="1050">
        <f t="shared" si="7"/>
        <v>16</v>
      </c>
      <c r="B37" s="1050">
        <v>7000023516</v>
      </c>
      <c r="C37" s="1050">
        <v>160</v>
      </c>
      <c r="D37" s="1050" t="s">
        <v>789</v>
      </c>
      <c r="E37" s="1050">
        <v>1000001695</v>
      </c>
      <c r="F37" s="1050">
        <v>85462040</v>
      </c>
      <c r="G37" s="1023"/>
      <c r="H37" s="1050">
        <v>18</v>
      </c>
      <c r="I37" s="1024"/>
      <c r="J37" s="1048" t="s">
        <v>642</v>
      </c>
      <c r="K37" s="1050" t="s">
        <v>574</v>
      </c>
      <c r="L37" s="1050">
        <v>92</v>
      </c>
      <c r="M37" s="1025"/>
      <c r="N37" s="1055" t="str">
        <f t="shared" si="3"/>
        <v>Included</v>
      </c>
      <c r="O37" s="1056">
        <f t="shared" si="4"/>
        <v>0</v>
      </c>
      <c r="P37" s="865"/>
      <c r="Q37" s="285">
        <f t="shared" si="5"/>
        <v>0</v>
      </c>
      <c r="R37" s="893">
        <f t="shared" si="6"/>
        <v>0</v>
      </c>
      <c r="S37" s="865"/>
      <c r="T37" s="890"/>
      <c r="U37" s="865"/>
      <c r="V37" s="891"/>
      <c r="W37" s="865"/>
      <c r="X37" s="865"/>
      <c r="Y37" s="865"/>
    </row>
    <row r="38" spans="1:25" s="866" customFormat="1" ht="28.8">
      <c r="A38" s="1050">
        <f t="shared" si="7"/>
        <v>17</v>
      </c>
      <c r="B38" s="1050">
        <v>7000023516</v>
      </c>
      <c r="C38" s="1050">
        <v>170</v>
      </c>
      <c r="D38" s="1050" t="s">
        <v>789</v>
      </c>
      <c r="E38" s="1050">
        <v>1000001694</v>
      </c>
      <c r="F38" s="1050">
        <v>85462040</v>
      </c>
      <c r="G38" s="1023"/>
      <c r="H38" s="1050">
        <v>18</v>
      </c>
      <c r="I38" s="1024"/>
      <c r="J38" s="1048" t="s">
        <v>710</v>
      </c>
      <c r="K38" s="1050" t="s">
        <v>574</v>
      </c>
      <c r="L38" s="1050">
        <v>12</v>
      </c>
      <c r="M38" s="1025"/>
      <c r="N38" s="1055" t="str">
        <f t="shared" si="3"/>
        <v>Included</v>
      </c>
      <c r="O38" s="1056">
        <f t="shared" si="4"/>
        <v>0</v>
      </c>
      <c r="P38" s="865"/>
      <c r="Q38" s="285">
        <f t="shared" si="5"/>
        <v>0</v>
      </c>
      <c r="R38" s="893">
        <f t="shared" si="6"/>
        <v>0</v>
      </c>
      <c r="S38" s="865"/>
      <c r="T38" s="890"/>
      <c r="U38" s="865"/>
      <c r="V38" s="891"/>
      <c r="W38" s="865"/>
      <c r="X38" s="865"/>
      <c r="Y38" s="865"/>
    </row>
    <row r="39" spans="1:25" s="866" customFormat="1" ht="28.8">
      <c r="A39" s="1050">
        <f t="shared" si="7"/>
        <v>18</v>
      </c>
      <c r="B39" s="1050">
        <v>7000023516</v>
      </c>
      <c r="C39" s="1050">
        <v>180</v>
      </c>
      <c r="D39" s="1050" t="s">
        <v>658</v>
      </c>
      <c r="E39" s="1050">
        <v>1000011320</v>
      </c>
      <c r="F39" s="1050">
        <v>72169990</v>
      </c>
      <c r="G39" s="1023"/>
      <c r="H39" s="1050">
        <v>18</v>
      </c>
      <c r="I39" s="1024"/>
      <c r="J39" s="1048" t="s">
        <v>709</v>
      </c>
      <c r="K39" s="1050" t="s">
        <v>578</v>
      </c>
      <c r="L39" s="1050">
        <v>2</v>
      </c>
      <c r="M39" s="1025"/>
      <c r="N39" s="1055" t="str">
        <f t="shared" si="3"/>
        <v>Included</v>
      </c>
      <c r="O39" s="1056">
        <f t="shared" si="4"/>
        <v>0</v>
      </c>
      <c r="P39" s="865"/>
      <c r="Q39" s="285">
        <f t="shared" si="5"/>
        <v>0</v>
      </c>
      <c r="R39" s="893">
        <f t="shared" si="6"/>
        <v>0</v>
      </c>
      <c r="S39" s="865"/>
      <c r="T39" s="890"/>
      <c r="U39" s="865"/>
      <c r="V39" s="891"/>
      <c r="W39" s="865"/>
      <c r="X39" s="865"/>
      <c r="Y39" s="865"/>
    </row>
    <row r="40" spans="1:25" s="866" customFormat="1" ht="43.2">
      <c r="A40" s="1050">
        <f t="shared" si="7"/>
        <v>19</v>
      </c>
      <c r="B40" s="1050">
        <v>7000023516</v>
      </c>
      <c r="C40" s="1050">
        <v>190</v>
      </c>
      <c r="D40" s="1050" t="s">
        <v>763</v>
      </c>
      <c r="E40" s="1050">
        <v>1000055986</v>
      </c>
      <c r="F40" s="1050">
        <v>72169990</v>
      </c>
      <c r="G40" s="1023"/>
      <c r="H40" s="1050">
        <v>18</v>
      </c>
      <c r="I40" s="1024"/>
      <c r="J40" s="1048" t="s">
        <v>748</v>
      </c>
      <c r="K40" s="1050" t="s">
        <v>574</v>
      </c>
      <c r="L40" s="1050">
        <v>6</v>
      </c>
      <c r="M40" s="1025"/>
      <c r="N40" s="1055" t="str">
        <f t="shared" si="3"/>
        <v>Included</v>
      </c>
      <c r="O40" s="1056">
        <f t="shared" si="4"/>
        <v>0</v>
      </c>
      <c r="P40" s="865"/>
      <c r="Q40" s="285">
        <f t="shared" si="5"/>
        <v>0</v>
      </c>
      <c r="R40" s="893">
        <f t="shared" si="6"/>
        <v>0</v>
      </c>
      <c r="S40" s="865"/>
      <c r="T40" s="890"/>
      <c r="U40" s="865"/>
      <c r="V40" s="891"/>
      <c r="W40" s="865"/>
      <c r="X40" s="865"/>
      <c r="Y40" s="865"/>
    </row>
    <row r="41" spans="1:25" s="866" customFormat="1" ht="43.2">
      <c r="A41" s="1050">
        <f t="shared" si="7"/>
        <v>20</v>
      </c>
      <c r="B41" s="1050">
        <v>7000023516</v>
      </c>
      <c r="C41" s="1050">
        <v>200</v>
      </c>
      <c r="D41" s="1050" t="s">
        <v>659</v>
      </c>
      <c r="E41" s="1050">
        <v>1000011257</v>
      </c>
      <c r="F41" s="1050">
        <v>72169990</v>
      </c>
      <c r="G41" s="1023"/>
      <c r="H41" s="1050">
        <v>18</v>
      </c>
      <c r="I41" s="1024"/>
      <c r="J41" s="1048" t="s">
        <v>715</v>
      </c>
      <c r="K41" s="1050" t="s">
        <v>578</v>
      </c>
      <c r="L41" s="1050">
        <v>3</v>
      </c>
      <c r="M41" s="1025"/>
      <c r="N41" s="1055" t="str">
        <f t="shared" si="3"/>
        <v>Included</v>
      </c>
      <c r="O41" s="1056">
        <f t="shared" si="4"/>
        <v>0</v>
      </c>
      <c r="P41" s="865"/>
      <c r="Q41" s="285">
        <f t="shared" si="5"/>
        <v>0</v>
      </c>
      <c r="R41" s="893">
        <f t="shared" si="6"/>
        <v>0</v>
      </c>
      <c r="S41" s="865"/>
      <c r="T41" s="890"/>
      <c r="U41" s="865"/>
      <c r="V41" s="891"/>
      <c r="W41" s="865"/>
      <c r="X41" s="865"/>
      <c r="Y41" s="865"/>
    </row>
    <row r="42" spans="1:25" s="866" customFormat="1" ht="28.8">
      <c r="A42" s="1050">
        <f t="shared" si="7"/>
        <v>21</v>
      </c>
      <c r="B42" s="1050">
        <v>7000023516</v>
      </c>
      <c r="C42" s="1050">
        <v>210</v>
      </c>
      <c r="D42" s="1050" t="s">
        <v>659</v>
      </c>
      <c r="E42" s="1050">
        <v>1000011261</v>
      </c>
      <c r="F42" s="1050">
        <v>72169990</v>
      </c>
      <c r="G42" s="1023"/>
      <c r="H42" s="1050">
        <v>18</v>
      </c>
      <c r="I42" s="1024"/>
      <c r="J42" s="1048" t="s">
        <v>711</v>
      </c>
      <c r="K42" s="1050" t="s">
        <v>578</v>
      </c>
      <c r="L42" s="1050">
        <v>4</v>
      </c>
      <c r="M42" s="1025"/>
      <c r="N42" s="1055" t="str">
        <f t="shared" si="3"/>
        <v>Included</v>
      </c>
      <c r="O42" s="1056">
        <f t="shared" si="4"/>
        <v>0</v>
      </c>
      <c r="P42" s="865"/>
      <c r="Q42" s="285">
        <f t="shared" si="5"/>
        <v>0</v>
      </c>
      <c r="R42" s="893">
        <f t="shared" si="6"/>
        <v>0</v>
      </c>
      <c r="S42" s="865"/>
      <c r="T42" s="890"/>
      <c r="U42" s="865"/>
      <c r="V42" s="891"/>
      <c r="W42" s="865"/>
      <c r="X42" s="865"/>
      <c r="Y42" s="865"/>
    </row>
    <row r="43" spans="1:25" s="866" customFormat="1" ht="43.2">
      <c r="A43" s="1050">
        <f t="shared" si="7"/>
        <v>22</v>
      </c>
      <c r="B43" s="1050">
        <v>7000023516</v>
      </c>
      <c r="C43" s="1050">
        <v>220</v>
      </c>
      <c r="D43" s="1050" t="s">
        <v>659</v>
      </c>
      <c r="E43" s="1050">
        <v>1000011264</v>
      </c>
      <c r="F43" s="1050">
        <v>72169990</v>
      </c>
      <c r="G43" s="1023"/>
      <c r="H43" s="1050">
        <v>18</v>
      </c>
      <c r="I43" s="1024"/>
      <c r="J43" s="1048" t="s">
        <v>661</v>
      </c>
      <c r="K43" s="1050" t="s">
        <v>578</v>
      </c>
      <c r="L43" s="1050">
        <v>2</v>
      </c>
      <c r="M43" s="1025"/>
      <c r="N43" s="1055" t="str">
        <f t="shared" si="3"/>
        <v>Included</v>
      </c>
      <c r="O43" s="1056">
        <f t="shared" si="4"/>
        <v>0</v>
      </c>
      <c r="P43" s="865"/>
      <c r="Q43" s="285">
        <f t="shared" si="5"/>
        <v>0</v>
      </c>
      <c r="R43" s="893">
        <f t="shared" si="6"/>
        <v>0</v>
      </c>
      <c r="S43" s="865"/>
      <c r="T43" s="890"/>
      <c r="U43" s="865"/>
      <c r="V43" s="891"/>
      <c r="W43" s="865"/>
      <c r="X43" s="865"/>
      <c r="Y43" s="865"/>
    </row>
    <row r="44" spans="1:25" s="866" customFormat="1" ht="43.2">
      <c r="A44" s="1050">
        <f t="shared" si="7"/>
        <v>23</v>
      </c>
      <c r="B44" s="1050">
        <v>7000023516</v>
      </c>
      <c r="C44" s="1050">
        <v>230</v>
      </c>
      <c r="D44" s="1050" t="s">
        <v>659</v>
      </c>
      <c r="E44" s="1050">
        <v>1000011253</v>
      </c>
      <c r="F44" s="1050">
        <v>72169990</v>
      </c>
      <c r="G44" s="1023"/>
      <c r="H44" s="1050">
        <v>18</v>
      </c>
      <c r="I44" s="1024"/>
      <c r="J44" s="1048" t="s">
        <v>750</v>
      </c>
      <c r="K44" s="1050" t="s">
        <v>578</v>
      </c>
      <c r="L44" s="1050">
        <v>1</v>
      </c>
      <c r="M44" s="1025"/>
      <c r="N44" s="1055" t="str">
        <f t="shared" si="3"/>
        <v>Included</v>
      </c>
      <c r="O44" s="1056">
        <f t="shared" si="4"/>
        <v>0</v>
      </c>
      <c r="P44" s="865"/>
      <c r="Q44" s="285">
        <f t="shared" si="5"/>
        <v>0</v>
      </c>
      <c r="R44" s="893">
        <f t="shared" si="6"/>
        <v>0</v>
      </c>
      <c r="S44" s="865"/>
      <c r="T44" s="890"/>
      <c r="U44" s="865"/>
      <c r="V44" s="891"/>
      <c r="W44" s="865"/>
      <c r="X44" s="865"/>
      <c r="Y44" s="865"/>
    </row>
    <row r="45" spans="1:25" s="866" customFormat="1" ht="43.2">
      <c r="A45" s="1050">
        <f t="shared" si="7"/>
        <v>24</v>
      </c>
      <c r="B45" s="1050">
        <v>7000023516</v>
      </c>
      <c r="C45" s="1050">
        <v>240</v>
      </c>
      <c r="D45" s="1050" t="s">
        <v>659</v>
      </c>
      <c r="E45" s="1050">
        <v>1000011265</v>
      </c>
      <c r="F45" s="1050">
        <v>72169990</v>
      </c>
      <c r="G45" s="1023"/>
      <c r="H45" s="1050">
        <v>18</v>
      </c>
      <c r="I45" s="1024"/>
      <c r="J45" s="1048" t="s">
        <v>749</v>
      </c>
      <c r="K45" s="1050" t="s">
        <v>578</v>
      </c>
      <c r="L45" s="1050">
        <v>1</v>
      </c>
      <c r="M45" s="1025"/>
      <c r="N45" s="1055" t="str">
        <f t="shared" si="3"/>
        <v>Included</v>
      </c>
      <c r="O45" s="1056">
        <f t="shared" si="4"/>
        <v>0</v>
      </c>
      <c r="P45" s="865"/>
      <c r="Q45" s="285">
        <f t="shared" si="5"/>
        <v>0</v>
      </c>
      <c r="R45" s="893">
        <f t="shared" si="6"/>
        <v>0</v>
      </c>
      <c r="S45" s="865"/>
      <c r="T45" s="890"/>
      <c r="U45" s="865"/>
      <c r="V45" s="891"/>
      <c r="W45" s="865"/>
      <c r="X45" s="865"/>
      <c r="Y45" s="865"/>
    </row>
    <row r="46" spans="1:25" s="866" customFormat="1" ht="43.2">
      <c r="A46" s="1050">
        <f t="shared" si="7"/>
        <v>25</v>
      </c>
      <c r="B46" s="1050">
        <v>7000023516</v>
      </c>
      <c r="C46" s="1050">
        <v>250</v>
      </c>
      <c r="D46" s="1050" t="s">
        <v>761</v>
      </c>
      <c r="E46" s="1050">
        <v>1000055981</v>
      </c>
      <c r="F46" s="1050">
        <v>72169990</v>
      </c>
      <c r="G46" s="1023"/>
      <c r="H46" s="1050">
        <v>18</v>
      </c>
      <c r="I46" s="1024"/>
      <c r="J46" s="1048" t="s">
        <v>717</v>
      </c>
      <c r="K46" s="1050" t="s">
        <v>574</v>
      </c>
      <c r="L46" s="1050">
        <v>21</v>
      </c>
      <c r="M46" s="1025"/>
      <c r="N46" s="1055" t="str">
        <f t="shared" si="3"/>
        <v>Included</v>
      </c>
      <c r="O46" s="1056">
        <f t="shared" si="4"/>
        <v>0</v>
      </c>
      <c r="P46" s="865"/>
      <c r="Q46" s="285">
        <f t="shared" si="5"/>
        <v>0</v>
      </c>
      <c r="R46" s="893">
        <f t="shared" si="6"/>
        <v>0</v>
      </c>
      <c r="S46" s="865"/>
      <c r="T46" s="890"/>
      <c r="U46" s="865"/>
      <c r="V46" s="891"/>
      <c r="W46" s="865"/>
      <c r="X46" s="865"/>
      <c r="Y46" s="865"/>
    </row>
    <row r="47" spans="1:25" s="866" customFormat="1" ht="43.2">
      <c r="A47" s="1050">
        <f t="shared" si="7"/>
        <v>26</v>
      </c>
      <c r="B47" s="1050">
        <v>7000023516</v>
      </c>
      <c r="C47" s="1050">
        <v>260</v>
      </c>
      <c r="D47" s="1050" t="s">
        <v>761</v>
      </c>
      <c r="E47" s="1050">
        <v>1000055978</v>
      </c>
      <c r="F47" s="1050">
        <v>72169990</v>
      </c>
      <c r="G47" s="1023"/>
      <c r="H47" s="1050">
        <v>18</v>
      </c>
      <c r="I47" s="1024"/>
      <c r="J47" s="1048" t="s">
        <v>716</v>
      </c>
      <c r="K47" s="1050" t="s">
        <v>574</v>
      </c>
      <c r="L47" s="1050">
        <v>21</v>
      </c>
      <c r="M47" s="1025"/>
      <c r="N47" s="1055" t="str">
        <f t="shared" si="3"/>
        <v>Included</v>
      </c>
      <c r="O47" s="1056">
        <f t="shared" si="4"/>
        <v>0</v>
      </c>
      <c r="P47" s="865"/>
      <c r="Q47" s="285">
        <f t="shared" si="5"/>
        <v>0</v>
      </c>
      <c r="R47" s="893">
        <f t="shared" si="6"/>
        <v>0</v>
      </c>
      <c r="S47" s="865"/>
      <c r="T47" s="890"/>
      <c r="U47" s="865"/>
      <c r="V47" s="891"/>
      <c r="W47" s="865"/>
      <c r="X47" s="865"/>
      <c r="Y47" s="865"/>
    </row>
    <row r="48" spans="1:25" s="866" customFormat="1" ht="43.2">
      <c r="A48" s="1050">
        <f t="shared" si="7"/>
        <v>27</v>
      </c>
      <c r="B48" s="1050">
        <v>7000023516</v>
      </c>
      <c r="C48" s="1050">
        <v>270</v>
      </c>
      <c r="D48" s="1050" t="s">
        <v>761</v>
      </c>
      <c r="E48" s="1050">
        <v>1000055973</v>
      </c>
      <c r="F48" s="1050">
        <v>72169990</v>
      </c>
      <c r="G48" s="1023"/>
      <c r="H48" s="1050">
        <v>18</v>
      </c>
      <c r="I48" s="1024"/>
      <c r="J48" s="1048" t="s">
        <v>751</v>
      </c>
      <c r="K48" s="1050" t="s">
        <v>574</v>
      </c>
      <c r="L48" s="1050">
        <v>3</v>
      </c>
      <c r="M48" s="1025"/>
      <c r="N48" s="1055" t="str">
        <f t="shared" si="3"/>
        <v>Included</v>
      </c>
      <c r="O48" s="1056">
        <f t="shared" si="4"/>
        <v>0</v>
      </c>
      <c r="P48" s="865"/>
      <c r="Q48" s="285">
        <f t="shared" si="5"/>
        <v>0</v>
      </c>
      <c r="R48" s="893">
        <f t="shared" si="6"/>
        <v>0</v>
      </c>
      <c r="S48" s="865"/>
      <c r="T48" s="890"/>
      <c r="U48" s="865"/>
      <c r="V48" s="891"/>
      <c r="W48" s="865"/>
      <c r="X48" s="865"/>
      <c r="Y48" s="865"/>
    </row>
    <row r="49" spans="1:25" s="866" customFormat="1" ht="43.2">
      <c r="A49" s="1050">
        <f t="shared" si="7"/>
        <v>28</v>
      </c>
      <c r="B49" s="1050">
        <v>7000023516</v>
      </c>
      <c r="C49" s="1050">
        <v>280</v>
      </c>
      <c r="D49" s="1050" t="s">
        <v>761</v>
      </c>
      <c r="E49" s="1050">
        <v>1000055983</v>
      </c>
      <c r="F49" s="1050">
        <v>72169990</v>
      </c>
      <c r="G49" s="1023"/>
      <c r="H49" s="1050">
        <v>18</v>
      </c>
      <c r="I49" s="1024"/>
      <c r="J49" s="1048" t="s">
        <v>706</v>
      </c>
      <c r="K49" s="1050" t="s">
        <v>574</v>
      </c>
      <c r="L49" s="1050">
        <v>57</v>
      </c>
      <c r="M49" s="1025"/>
      <c r="N49" s="1055" t="str">
        <f t="shared" si="3"/>
        <v>Included</v>
      </c>
      <c r="O49" s="1056">
        <f t="shared" si="4"/>
        <v>0</v>
      </c>
      <c r="P49" s="865"/>
      <c r="Q49" s="285">
        <f t="shared" si="5"/>
        <v>0</v>
      </c>
      <c r="R49" s="893">
        <f t="shared" si="6"/>
        <v>0</v>
      </c>
      <c r="S49" s="865"/>
      <c r="T49" s="890"/>
      <c r="U49" s="865"/>
      <c r="V49" s="891"/>
      <c r="W49" s="865"/>
      <c r="X49" s="865"/>
      <c r="Y49" s="865"/>
    </row>
    <row r="50" spans="1:25" s="866" customFormat="1" ht="43.2">
      <c r="A50" s="1050">
        <f t="shared" si="7"/>
        <v>29</v>
      </c>
      <c r="B50" s="1050">
        <v>7000023516</v>
      </c>
      <c r="C50" s="1050">
        <v>290</v>
      </c>
      <c r="D50" s="1050" t="s">
        <v>761</v>
      </c>
      <c r="E50" s="1050">
        <v>1000055980</v>
      </c>
      <c r="F50" s="1050">
        <v>72169990</v>
      </c>
      <c r="G50" s="1023"/>
      <c r="H50" s="1050">
        <v>18</v>
      </c>
      <c r="I50" s="1024"/>
      <c r="J50" s="1048" t="s">
        <v>705</v>
      </c>
      <c r="K50" s="1050" t="s">
        <v>574</v>
      </c>
      <c r="L50" s="1050">
        <v>45</v>
      </c>
      <c r="M50" s="1025"/>
      <c r="N50" s="1055" t="str">
        <f t="shared" si="3"/>
        <v>Included</v>
      </c>
      <c r="O50" s="1056">
        <f t="shared" si="4"/>
        <v>0</v>
      </c>
      <c r="P50" s="865"/>
      <c r="Q50" s="285">
        <f t="shared" si="5"/>
        <v>0</v>
      </c>
      <c r="R50" s="893">
        <f t="shared" si="6"/>
        <v>0</v>
      </c>
      <c r="S50" s="865"/>
      <c r="T50" s="890"/>
      <c r="U50" s="865"/>
      <c r="V50" s="891"/>
      <c r="W50" s="865"/>
      <c r="X50" s="865"/>
      <c r="Y50" s="865"/>
    </row>
    <row r="51" spans="1:25" s="866" customFormat="1" ht="43.2">
      <c r="A51" s="1050">
        <f t="shared" si="7"/>
        <v>30</v>
      </c>
      <c r="B51" s="1050">
        <v>7000023516</v>
      </c>
      <c r="C51" s="1050">
        <v>300</v>
      </c>
      <c r="D51" s="1050" t="s">
        <v>761</v>
      </c>
      <c r="E51" s="1050">
        <v>1000055977</v>
      </c>
      <c r="F51" s="1050">
        <v>72169990</v>
      </c>
      <c r="G51" s="1023"/>
      <c r="H51" s="1050">
        <v>18</v>
      </c>
      <c r="I51" s="1024"/>
      <c r="J51" s="1048" t="s">
        <v>708</v>
      </c>
      <c r="K51" s="1050" t="s">
        <v>574</v>
      </c>
      <c r="L51" s="1050">
        <v>30</v>
      </c>
      <c r="M51" s="1025"/>
      <c r="N51" s="1055" t="str">
        <f t="shared" si="3"/>
        <v>Included</v>
      </c>
      <c r="O51" s="1056">
        <f t="shared" si="4"/>
        <v>0</v>
      </c>
      <c r="P51" s="865"/>
      <c r="Q51" s="285">
        <f t="shared" si="5"/>
        <v>0</v>
      </c>
      <c r="R51" s="893">
        <f t="shared" si="6"/>
        <v>0</v>
      </c>
      <c r="S51" s="865"/>
      <c r="T51" s="890"/>
      <c r="U51" s="865"/>
      <c r="V51" s="891"/>
      <c r="W51" s="865"/>
      <c r="X51" s="865"/>
      <c r="Y51" s="865"/>
    </row>
    <row r="52" spans="1:25" s="866" customFormat="1" ht="43.2">
      <c r="A52" s="1050">
        <f t="shared" si="7"/>
        <v>31</v>
      </c>
      <c r="B52" s="1050">
        <v>7000023516</v>
      </c>
      <c r="C52" s="1050">
        <v>310</v>
      </c>
      <c r="D52" s="1050" t="s">
        <v>761</v>
      </c>
      <c r="E52" s="1050">
        <v>1000055975</v>
      </c>
      <c r="F52" s="1050">
        <v>72169990</v>
      </c>
      <c r="G52" s="1023"/>
      <c r="H52" s="1050">
        <v>18</v>
      </c>
      <c r="I52" s="1024"/>
      <c r="J52" s="1048" t="s">
        <v>707</v>
      </c>
      <c r="K52" s="1050" t="s">
        <v>574</v>
      </c>
      <c r="L52" s="1050">
        <v>26</v>
      </c>
      <c r="M52" s="1025"/>
      <c r="N52" s="1055" t="str">
        <f t="shared" si="3"/>
        <v>Included</v>
      </c>
      <c r="O52" s="1056">
        <f t="shared" si="4"/>
        <v>0</v>
      </c>
      <c r="P52" s="865"/>
      <c r="Q52" s="285">
        <f t="shared" si="5"/>
        <v>0</v>
      </c>
      <c r="R52" s="893">
        <f t="shared" si="6"/>
        <v>0</v>
      </c>
      <c r="S52" s="865"/>
      <c r="T52" s="890"/>
      <c r="U52" s="865"/>
      <c r="V52" s="891"/>
      <c r="W52" s="865"/>
      <c r="X52" s="865"/>
      <c r="Y52" s="865"/>
    </row>
    <row r="53" spans="1:25" s="866" customFormat="1" ht="14.4">
      <c r="A53" s="1050">
        <f t="shared" si="7"/>
        <v>32</v>
      </c>
      <c r="B53" s="1050">
        <v>7000023516</v>
      </c>
      <c r="C53" s="1050">
        <v>320</v>
      </c>
      <c r="D53" s="1050" t="s">
        <v>638</v>
      </c>
      <c r="E53" s="1050">
        <v>1000032055</v>
      </c>
      <c r="F53" s="1050">
        <v>72159090</v>
      </c>
      <c r="G53" s="1023"/>
      <c r="H53" s="1050">
        <v>18</v>
      </c>
      <c r="I53" s="1024"/>
      <c r="J53" s="1048" t="s">
        <v>593</v>
      </c>
      <c r="K53" s="1050" t="s">
        <v>594</v>
      </c>
      <c r="L53" s="1050">
        <v>4</v>
      </c>
      <c r="M53" s="1025"/>
      <c r="N53" s="1055" t="str">
        <f t="shared" si="3"/>
        <v>Included</v>
      </c>
      <c r="O53" s="1056">
        <f t="shared" si="4"/>
        <v>0</v>
      </c>
      <c r="P53" s="865"/>
      <c r="Q53" s="285">
        <f t="shared" si="5"/>
        <v>0</v>
      </c>
      <c r="R53" s="893">
        <f t="shared" si="6"/>
        <v>0</v>
      </c>
      <c r="S53" s="865"/>
      <c r="T53" s="890"/>
      <c r="U53" s="865"/>
      <c r="V53" s="891"/>
      <c r="W53" s="865"/>
      <c r="X53" s="865"/>
      <c r="Y53" s="865"/>
    </row>
    <row r="54" spans="1:25" s="866" customFormat="1" ht="28.8">
      <c r="A54" s="1050">
        <f t="shared" si="7"/>
        <v>33</v>
      </c>
      <c r="B54" s="1050">
        <v>7000023516</v>
      </c>
      <c r="C54" s="1050">
        <v>330</v>
      </c>
      <c r="D54" s="1050" t="s">
        <v>790</v>
      </c>
      <c r="E54" s="1050">
        <v>1000055446</v>
      </c>
      <c r="F54" s="1050">
        <v>85371000</v>
      </c>
      <c r="G54" s="1023"/>
      <c r="H54" s="1050">
        <v>18</v>
      </c>
      <c r="I54" s="1024"/>
      <c r="J54" s="1048" t="s">
        <v>805</v>
      </c>
      <c r="K54" s="1050" t="s">
        <v>574</v>
      </c>
      <c r="L54" s="1050">
        <v>2</v>
      </c>
      <c r="M54" s="1025"/>
      <c r="N54" s="1055" t="str">
        <f t="shared" si="3"/>
        <v>Included</v>
      </c>
      <c r="O54" s="1056">
        <f t="shared" si="4"/>
        <v>0</v>
      </c>
      <c r="P54" s="865"/>
      <c r="Q54" s="285">
        <f t="shared" si="5"/>
        <v>0</v>
      </c>
      <c r="R54" s="893">
        <f t="shared" si="6"/>
        <v>0</v>
      </c>
      <c r="S54" s="865"/>
      <c r="T54" s="890"/>
      <c r="U54" s="865"/>
      <c r="V54" s="891"/>
      <c r="W54" s="865"/>
      <c r="X54" s="865"/>
      <c r="Y54" s="865"/>
    </row>
    <row r="55" spans="1:25" s="866" customFormat="1" ht="28.8">
      <c r="A55" s="1050">
        <f t="shared" si="7"/>
        <v>34</v>
      </c>
      <c r="B55" s="1050">
        <v>7000023516</v>
      </c>
      <c r="C55" s="1050">
        <v>340</v>
      </c>
      <c r="D55" s="1050" t="s">
        <v>790</v>
      </c>
      <c r="E55" s="1050">
        <v>1000004274</v>
      </c>
      <c r="F55" s="1050">
        <v>85371000</v>
      </c>
      <c r="G55" s="1023"/>
      <c r="H55" s="1050">
        <v>18</v>
      </c>
      <c r="I55" s="1024"/>
      <c r="J55" s="1048" t="s">
        <v>662</v>
      </c>
      <c r="K55" s="1050" t="s">
        <v>574</v>
      </c>
      <c r="L55" s="1050">
        <v>2</v>
      </c>
      <c r="M55" s="1025"/>
      <c r="N55" s="1055" t="str">
        <f t="shared" si="3"/>
        <v>Included</v>
      </c>
      <c r="O55" s="1056">
        <f t="shared" si="4"/>
        <v>0</v>
      </c>
      <c r="P55" s="865"/>
      <c r="Q55" s="285">
        <f t="shared" si="5"/>
        <v>0</v>
      </c>
      <c r="R55" s="893">
        <f t="shared" si="6"/>
        <v>0</v>
      </c>
      <c r="S55" s="865"/>
      <c r="T55" s="890"/>
      <c r="U55" s="865"/>
      <c r="V55" s="891"/>
      <c r="W55" s="865"/>
      <c r="X55" s="865"/>
      <c r="Y55" s="865"/>
    </row>
    <row r="56" spans="1:25" s="866" customFormat="1" ht="28.8">
      <c r="A56" s="1050">
        <f t="shared" si="7"/>
        <v>35</v>
      </c>
      <c r="B56" s="1050">
        <v>7000023516</v>
      </c>
      <c r="C56" s="1050">
        <v>350</v>
      </c>
      <c r="D56" s="1050" t="s">
        <v>660</v>
      </c>
      <c r="E56" s="1050">
        <v>1000001166</v>
      </c>
      <c r="F56" s="1050">
        <v>85371000</v>
      </c>
      <c r="G56" s="1023"/>
      <c r="H56" s="1050">
        <v>18</v>
      </c>
      <c r="I56" s="1024"/>
      <c r="J56" s="1048" t="s">
        <v>752</v>
      </c>
      <c r="K56" s="1050" t="s">
        <v>578</v>
      </c>
      <c r="L56" s="1050">
        <v>1</v>
      </c>
      <c r="M56" s="1025"/>
      <c r="N56" s="1055" t="str">
        <f t="shared" si="3"/>
        <v>Included</v>
      </c>
      <c r="O56" s="1056">
        <f t="shared" si="4"/>
        <v>0</v>
      </c>
      <c r="P56" s="865"/>
      <c r="Q56" s="285">
        <f t="shared" si="5"/>
        <v>0</v>
      </c>
      <c r="R56" s="893">
        <f t="shared" si="6"/>
        <v>0</v>
      </c>
      <c r="S56" s="865"/>
      <c r="T56" s="890"/>
      <c r="U56" s="865"/>
      <c r="V56" s="891"/>
      <c r="W56" s="865"/>
      <c r="X56" s="865"/>
      <c r="Y56" s="865"/>
    </row>
    <row r="57" spans="1:25" s="866" customFormat="1" ht="28.8">
      <c r="A57" s="1050">
        <f t="shared" si="7"/>
        <v>36</v>
      </c>
      <c r="B57" s="1050">
        <v>7000023516</v>
      </c>
      <c r="C57" s="1050">
        <v>360</v>
      </c>
      <c r="D57" s="1050" t="s">
        <v>660</v>
      </c>
      <c r="E57" s="1050">
        <v>1000001330</v>
      </c>
      <c r="F57" s="1050">
        <v>85371000</v>
      </c>
      <c r="G57" s="1023"/>
      <c r="H57" s="1050">
        <v>18</v>
      </c>
      <c r="I57" s="1024"/>
      <c r="J57" s="1048" t="s">
        <v>665</v>
      </c>
      <c r="K57" s="1050" t="s">
        <v>574</v>
      </c>
      <c r="L57" s="1050">
        <v>4</v>
      </c>
      <c r="M57" s="1025"/>
      <c r="N57" s="1055" t="str">
        <f t="shared" si="3"/>
        <v>Included</v>
      </c>
      <c r="O57" s="1056">
        <f t="shared" si="4"/>
        <v>0</v>
      </c>
      <c r="P57" s="865"/>
      <c r="Q57" s="285">
        <f t="shared" si="5"/>
        <v>0</v>
      </c>
      <c r="R57" s="893">
        <f t="shared" si="6"/>
        <v>0</v>
      </c>
      <c r="S57" s="865"/>
      <c r="T57" s="890"/>
      <c r="U57" s="865"/>
      <c r="V57" s="891"/>
      <c r="W57" s="865"/>
      <c r="X57" s="865"/>
      <c r="Y57" s="865"/>
    </row>
    <row r="58" spans="1:25" s="866" customFormat="1" ht="28.8">
      <c r="A58" s="1050">
        <f t="shared" si="7"/>
        <v>37</v>
      </c>
      <c r="B58" s="1050">
        <v>7000023516</v>
      </c>
      <c r="C58" s="1050">
        <v>370</v>
      </c>
      <c r="D58" s="1050" t="s">
        <v>660</v>
      </c>
      <c r="E58" s="1050">
        <v>1000055443</v>
      </c>
      <c r="F58" s="1050">
        <v>85371000</v>
      </c>
      <c r="G58" s="1023"/>
      <c r="H58" s="1050">
        <v>18</v>
      </c>
      <c r="I58" s="1024"/>
      <c r="J58" s="1048" t="s">
        <v>806</v>
      </c>
      <c r="K58" s="1050" t="s">
        <v>574</v>
      </c>
      <c r="L58" s="1050">
        <v>8</v>
      </c>
      <c r="M58" s="1025"/>
      <c r="N58" s="1055" t="str">
        <f t="shared" si="3"/>
        <v>Included</v>
      </c>
      <c r="O58" s="1056">
        <f t="shared" si="4"/>
        <v>0</v>
      </c>
      <c r="P58" s="865"/>
      <c r="Q58" s="285">
        <f t="shared" si="5"/>
        <v>0</v>
      </c>
      <c r="R58" s="893">
        <f t="shared" si="6"/>
        <v>0</v>
      </c>
      <c r="S58" s="865"/>
      <c r="T58" s="890"/>
      <c r="U58" s="865"/>
      <c r="V58" s="891"/>
      <c r="W58" s="865"/>
      <c r="X58" s="865"/>
      <c r="Y58" s="865"/>
    </row>
    <row r="59" spans="1:25" s="866" customFormat="1" ht="129.6">
      <c r="A59" s="1050">
        <f t="shared" si="7"/>
        <v>38</v>
      </c>
      <c r="B59" s="1050">
        <v>7000023516</v>
      </c>
      <c r="C59" s="1050">
        <v>380</v>
      </c>
      <c r="D59" s="1050" t="s">
        <v>640</v>
      </c>
      <c r="E59" s="1050">
        <v>1000030433</v>
      </c>
      <c r="F59" s="1050">
        <v>85287390</v>
      </c>
      <c r="G59" s="1023"/>
      <c r="H59" s="1050">
        <v>18</v>
      </c>
      <c r="I59" s="1024"/>
      <c r="J59" s="1048" t="s">
        <v>630</v>
      </c>
      <c r="K59" s="1050" t="s">
        <v>578</v>
      </c>
      <c r="L59" s="1050">
        <v>1</v>
      </c>
      <c r="M59" s="1025"/>
      <c r="N59" s="1055" t="str">
        <f t="shared" si="3"/>
        <v>Included</v>
      </c>
      <c r="O59" s="1056">
        <f t="shared" si="4"/>
        <v>0</v>
      </c>
      <c r="P59" s="865"/>
      <c r="Q59" s="285">
        <f t="shared" si="5"/>
        <v>0</v>
      </c>
      <c r="R59" s="893">
        <f t="shared" si="6"/>
        <v>0</v>
      </c>
      <c r="S59" s="865"/>
      <c r="T59" s="890"/>
      <c r="U59" s="865"/>
      <c r="V59" s="891"/>
      <c r="W59" s="865"/>
      <c r="X59" s="865"/>
      <c r="Y59" s="865"/>
    </row>
    <row r="60" spans="1:25" s="866" customFormat="1" ht="14.4">
      <c r="A60" s="1050">
        <f t="shared" si="7"/>
        <v>39</v>
      </c>
      <c r="B60" s="1050">
        <v>7000023516</v>
      </c>
      <c r="C60" s="1050">
        <v>390</v>
      </c>
      <c r="D60" s="1050" t="s">
        <v>791</v>
      </c>
      <c r="E60" s="1050">
        <v>1000001568</v>
      </c>
      <c r="F60" s="1050">
        <v>85176210</v>
      </c>
      <c r="G60" s="1023"/>
      <c r="H60" s="1050">
        <v>18</v>
      </c>
      <c r="I60" s="1024"/>
      <c r="J60" s="1048" t="s">
        <v>753</v>
      </c>
      <c r="K60" s="1050" t="s">
        <v>574</v>
      </c>
      <c r="L60" s="1050">
        <v>4</v>
      </c>
      <c r="M60" s="1025"/>
      <c r="N60" s="1055" t="str">
        <f t="shared" si="3"/>
        <v>Included</v>
      </c>
      <c r="O60" s="1056">
        <f t="shared" si="4"/>
        <v>0</v>
      </c>
      <c r="P60" s="865"/>
      <c r="Q60" s="285">
        <f t="shared" si="5"/>
        <v>0</v>
      </c>
      <c r="R60" s="893">
        <f t="shared" si="6"/>
        <v>0</v>
      </c>
      <c r="S60" s="865"/>
      <c r="T60" s="890"/>
      <c r="U60" s="865"/>
      <c r="V60" s="891"/>
      <c r="W60" s="865"/>
      <c r="X60" s="865"/>
      <c r="Y60" s="865"/>
    </row>
    <row r="61" spans="1:25" s="866" customFormat="1" ht="14.4">
      <c r="A61" s="1050">
        <f t="shared" si="7"/>
        <v>40</v>
      </c>
      <c r="B61" s="1050">
        <v>7000023516</v>
      </c>
      <c r="C61" s="1050">
        <v>400</v>
      </c>
      <c r="D61" s="1050" t="s">
        <v>792</v>
      </c>
      <c r="E61" s="1050">
        <v>1000004304</v>
      </c>
      <c r="F61" s="1050">
        <v>85371000</v>
      </c>
      <c r="G61" s="1023"/>
      <c r="H61" s="1050">
        <v>18</v>
      </c>
      <c r="I61" s="1024"/>
      <c r="J61" s="1048" t="s">
        <v>651</v>
      </c>
      <c r="K61" s="1050" t="s">
        <v>578</v>
      </c>
      <c r="L61" s="1050">
        <v>2</v>
      </c>
      <c r="M61" s="1025"/>
      <c r="N61" s="1055" t="str">
        <f t="shared" si="3"/>
        <v>Included</v>
      </c>
      <c r="O61" s="1056">
        <f t="shared" si="4"/>
        <v>0</v>
      </c>
      <c r="P61" s="865"/>
      <c r="Q61" s="285">
        <f t="shared" si="5"/>
        <v>0</v>
      </c>
      <c r="R61" s="893">
        <f t="shared" si="6"/>
        <v>0</v>
      </c>
      <c r="S61" s="865"/>
      <c r="T61" s="890"/>
      <c r="U61" s="865"/>
      <c r="V61" s="891"/>
      <c r="W61" s="865"/>
      <c r="X61" s="865"/>
      <c r="Y61" s="865"/>
    </row>
    <row r="62" spans="1:25" s="866" customFormat="1" ht="14.4">
      <c r="A62" s="1050">
        <f t="shared" si="7"/>
        <v>41</v>
      </c>
      <c r="B62" s="1050">
        <v>7000023516</v>
      </c>
      <c r="C62" s="1050">
        <v>410</v>
      </c>
      <c r="D62" s="1050" t="s">
        <v>792</v>
      </c>
      <c r="E62" s="1050">
        <v>1000001145</v>
      </c>
      <c r="F62" s="1050">
        <v>85371000</v>
      </c>
      <c r="G62" s="1023"/>
      <c r="H62" s="1050">
        <v>18</v>
      </c>
      <c r="I62" s="1024"/>
      <c r="J62" s="1048" t="s">
        <v>807</v>
      </c>
      <c r="K62" s="1050" t="s">
        <v>578</v>
      </c>
      <c r="L62" s="1050">
        <v>2</v>
      </c>
      <c r="M62" s="1025"/>
      <c r="N62" s="1055" t="str">
        <f t="shared" si="3"/>
        <v>Included</v>
      </c>
      <c r="O62" s="1056">
        <f t="shared" si="4"/>
        <v>0</v>
      </c>
      <c r="P62" s="865"/>
      <c r="Q62" s="285">
        <f t="shared" si="5"/>
        <v>0</v>
      </c>
      <c r="R62" s="893">
        <f t="shared" si="6"/>
        <v>0</v>
      </c>
      <c r="S62" s="865"/>
      <c r="T62" s="890"/>
      <c r="U62" s="865"/>
      <c r="V62" s="891"/>
      <c r="W62" s="865"/>
      <c r="X62" s="865"/>
      <c r="Y62" s="865"/>
    </row>
    <row r="63" spans="1:25" s="866" customFormat="1" ht="14.4">
      <c r="A63" s="1050">
        <f t="shared" si="7"/>
        <v>42</v>
      </c>
      <c r="B63" s="1050">
        <v>7000023516</v>
      </c>
      <c r="C63" s="1050">
        <v>420</v>
      </c>
      <c r="D63" s="1050" t="s">
        <v>792</v>
      </c>
      <c r="E63" s="1050">
        <v>1000004755</v>
      </c>
      <c r="F63" s="1050">
        <v>85371000</v>
      </c>
      <c r="G63" s="1023"/>
      <c r="H63" s="1050">
        <v>18</v>
      </c>
      <c r="I63" s="1024"/>
      <c r="J63" s="1048" t="s">
        <v>808</v>
      </c>
      <c r="K63" s="1050" t="s">
        <v>578</v>
      </c>
      <c r="L63" s="1050">
        <v>2</v>
      </c>
      <c r="M63" s="1025"/>
      <c r="N63" s="1055" t="str">
        <f t="shared" si="3"/>
        <v>Included</v>
      </c>
      <c r="O63" s="1056">
        <f t="shared" si="4"/>
        <v>0</v>
      </c>
      <c r="P63" s="865"/>
      <c r="Q63" s="285">
        <f t="shared" si="5"/>
        <v>0</v>
      </c>
      <c r="R63" s="893">
        <f t="shared" si="6"/>
        <v>0</v>
      </c>
      <c r="S63" s="865"/>
      <c r="T63" s="890"/>
      <c r="U63" s="865"/>
      <c r="V63" s="891"/>
      <c r="W63" s="865"/>
      <c r="X63" s="865"/>
      <c r="Y63" s="865"/>
    </row>
    <row r="64" spans="1:25" s="866" customFormat="1" ht="28.8">
      <c r="A64" s="1050">
        <f t="shared" si="7"/>
        <v>43</v>
      </c>
      <c r="B64" s="1050">
        <v>7000023516</v>
      </c>
      <c r="C64" s="1050">
        <v>500</v>
      </c>
      <c r="D64" s="1050" t="s">
        <v>793</v>
      </c>
      <c r="E64" s="1050">
        <v>1000031964</v>
      </c>
      <c r="F64" s="1050">
        <v>85446020</v>
      </c>
      <c r="G64" s="1023"/>
      <c r="H64" s="1050">
        <v>18</v>
      </c>
      <c r="I64" s="1024"/>
      <c r="J64" s="1048" t="s">
        <v>695</v>
      </c>
      <c r="K64" s="1050" t="s">
        <v>594</v>
      </c>
      <c r="L64" s="1050">
        <v>10.5</v>
      </c>
      <c r="M64" s="1025"/>
      <c r="N64" s="1055" t="str">
        <f t="shared" si="3"/>
        <v>Included</v>
      </c>
      <c r="O64" s="1056">
        <f t="shared" si="4"/>
        <v>0</v>
      </c>
      <c r="P64" s="865"/>
      <c r="Q64" s="285">
        <f t="shared" si="5"/>
        <v>0</v>
      </c>
      <c r="R64" s="893">
        <f t="shared" si="6"/>
        <v>0</v>
      </c>
      <c r="S64" s="865"/>
      <c r="T64" s="890"/>
      <c r="U64" s="865"/>
      <c r="V64" s="891"/>
      <c r="W64" s="865"/>
      <c r="X64" s="865"/>
      <c r="Y64" s="865"/>
    </row>
    <row r="65" spans="1:25" s="866" customFormat="1" ht="28.8">
      <c r="A65" s="1050">
        <f t="shared" si="7"/>
        <v>44</v>
      </c>
      <c r="B65" s="1050">
        <v>7000023516</v>
      </c>
      <c r="C65" s="1050">
        <v>510</v>
      </c>
      <c r="D65" s="1050" t="s">
        <v>793</v>
      </c>
      <c r="E65" s="1050">
        <v>1000031987</v>
      </c>
      <c r="F65" s="1050">
        <v>85446020</v>
      </c>
      <c r="G65" s="1023"/>
      <c r="H65" s="1050">
        <v>18</v>
      </c>
      <c r="I65" s="1024"/>
      <c r="J65" s="1048" t="s">
        <v>694</v>
      </c>
      <c r="K65" s="1050" t="s">
        <v>594</v>
      </c>
      <c r="L65" s="1050">
        <v>18</v>
      </c>
      <c r="M65" s="1025"/>
      <c r="N65" s="1055" t="str">
        <f t="shared" si="3"/>
        <v>Included</v>
      </c>
      <c r="O65" s="1056">
        <f t="shared" si="4"/>
        <v>0</v>
      </c>
      <c r="P65" s="865"/>
      <c r="Q65" s="285">
        <f t="shared" si="5"/>
        <v>0</v>
      </c>
      <c r="R65" s="893">
        <f t="shared" si="6"/>
        <v>0</v>
      </c>
      <c r="S65" s="865"/>
      <c r="T65" s="890"/>
      <c r="U65" s="865"/>
      <c r="V65" s="891"/>
      <c r="W65" s="865"/>
      <c r="X65" s="865"/>
      <c r="Y65" s="865"/>
    </row>
    <row r="66" spans="1:25" s="866" customFormat="1" ht="28.8">
      <c r="A66" s="1050">
        <f t="shared" si="7"/>
        <v>45</v>
      </c>
      <c r="B66" s="1050">
        <v>7000023516</v>
      </c>
      <c r="C66" s="1050">
        <v>520</v>
      </c>
      <c r="D66" s="1050" t="s">
        <v>793</v>
      </c>
      <c r="E66" s="1050">
        <v>1000031887</v>
      </c>
      <c r="F66" s="1050">
        <v>85446020</v>
      </c>
      <c r="G66" s="1023"/>
      <c r="H66" s="1050">
        <v>18</v>
      </c>
      <c r="I66" s="1024"/>
      <c r="J66" s="1048" t="s">
        <v>693</v>
      </c>
      <c r="K66" s="1050" t="s">
        <v>594</v>
      </c>
      <c r="L66" s="1050">
        <v>6.5</v>
      </c>
      <c r="M66" s="1025"/>
      <c r="N66" s="1055" t="str">
        <f t="shared" si="3"/>
        <v>Included</v>
      </c>
      <c r="O66" s="1056">
        <f t="shared" si="4"/>
        <v>0</v>
      </c>
      <c r="P66" s="865"/>
      <c r="Q66" s="285">
        <f t="shared" si="5"/>
        <v>0</v>
      </c>
      <c r="R66" s="893">
        <f t="shared" si="6"/>
        <v>0</v>
      </c>
      <c r="S66" s="865"/>
      <c r="T66" s="890"/>
      <c r="U66" s="865"/>
      <c r="V66" s="891"/>
      <c r="W66" s="865"/>
      <c r="X66" s="865"/>
      <c r="Y66" s="865"/>
    </row>
    <row r="67" spans="1:25" s="866" customFormat="1" ht="28.8">
      <c r="A67" s="1050">
        <f t="shared" si="7"/>
        <v>46</v>
      </c>
      <c r="B67" s="1050">
        <v>7000023516</v>
      </c>
      <c r="C67" s="1050">
        <v>530</v>
      </c>
      <c r="D67" s="1050" t="s">
        <v>793</v>
      </c>
      <c r="E67" s="1050">
        <v>1000056264</v>
      </c>
      <c r="F67" s="1050">
        <v>85446020</v>
      </c>
      <c r="G67" s="1023"/>
      <c r="H67" s="1050">
        <v>18</v>
      </c>
      <c r="I67" s="1024"/>
      <c r="J67" s="1048" t="s">
        <v>759</v>
      </c>
      <c r="K67" s="1050" t="s">
        <v>594</v>
      </c>
      <c r="L67" s="1050">
        <v>7.5</v>
      </c>
      <c r="M67" s="1025"/>
      <c r="N67" s="1055" t="str">
        <f t="shared" si="3"/>
        <v>Included</v>
      </c>
      <c r="O67" s="1056">
        <f t="shared" si="4"/>
        <v>0</v>
      </c>
      <c r="P67" s="865"/>
      <c r="Q67" s="285">
        <f t="shared" si="5"/>
        <v>0</v>
      </c>
      <c r="R67" s="893">
        <f t="shared" si="6"/>
        <v>0</v>
      </c>
      <c r="S67" s="865"/>
      <c r="T67" s="890"/>
      <c r="U67" s="865"/>
      <c r="V67" s="891"/>
      <c r="W67" s="865"/>
      <c r="X67" s="865"/>
      <c r="Y67" s="865"/>
    </row>
    <row r="68" spans="1:25" s="866" customFormat="1" ht="28.8">
      <c r="A68" s="1050">
        <f t="shared" si="7"/>
        <v>47</v>
      </c>
      <c r="B68" s="1050">
        <v>7000023516</v>
      </c>
      <c r="C68" s="1050">
        <v>540</v>
      </c>
      <c r="D68" s="1050" t="s">
        <v>793</v>
      </c>
      <c r="E68" s="1050">
        <v>1000056265</v>
      </c>
      <c r="F68" s="1050">
        <v>85446020</v>
      </c>
      <c r="G68" s="1023"/>
      <c r="H68" s="1050">
        <v>18</v>
      </c>
      <c r="I68" s="1024"/>
      <c r="J68" s="1048" t="s">
        <v>760</v>
      </c>
      <c r="K68" s="1050" t="s">
        <v>594</v>
      </c>
      <c r="L68" s="1050">
        <v>2</v>
      </c>
      <c r="M68" s="1025"/>
      <c r="N68" s="1055" t="str">
        <f t="shared" si="3"/>
        <v>Included</v>
      </c>
      <c r="O68" s="1056">
        <f t="shared" si="4"/>
        <v>0</v>
      </c>
      <c r="P68" s="865"/>
      <c r="Q68" s="285">
        <f t="shared" si="5"/>
        <v>0</v>
      </c>
      <c r="R68" s="893">
        <f t="shared" si="6"/>
        <v>0</v>
      </c>
      <c r="S68" s="865"/>
      <c r="T68" s="890"/>
      <c r="U68" s="865"/>
      <c r="V68" s="891"/>
      <c r="W68" s="865"/>
      <c r="X68" s="865"/>
      <c r="Y68" s="865"/>
    </row>
    <row r="69" spans="1:25" s="866" customFormat="1" ht="28.8">
      <c r="A69" s="1050">
        <f t="shared" si="7"/>
        <v>48</v>
      </c>
      <c r="B69" s="1050">
        <v>7000023516</v>
      </c>
      <c r="C69" s="1050">
        <v>450</v>
      </c>
      <c r="D69" s="1050" t="s">
        <v>793</v>
      </c>
      <c r="E69" s="1050">
        <v>1000031943</v>
      </c>
      <c r="F69" s="1050">
        <v>85446020</v>
      </c>
      <c r="G69" s="1023"/>
      <c r="H69" s="1050">
        <v>18</v>
      </c>
      <c r="I69" s="1024"/>
      <c r="J69" s="1048" t="s">
        <v>696</v>
      </c>
      <c r="K69" s="1050" t="s">
        <v>594</v>
      </c>
      <c r="L69" s="1050">
        <v>1.5</v>
      </c>
      <c r="M69" s="1025"/>
      <c r="N69" s="1055" t="str">
        <f t="shared" si="3"/>
        <v>Included</v>
      </c>
      <c r="O69" s="1056">
        <f t="shared" si="4"/>
        <v>0</v>
      </c>
      <c r="P69" s="865"/>
      <c r="Q69" s="285">
        <f t="shared" si="5"/>
        <v>0</v>
      </c>
      <c r="R69" s="893">
        <f t="shared" si="6"/>
        <v>0</v>
      </c>
      <c r="S69" s="865"/>
      <c r="T69" s="890"/>
      <c r="U69" s="865"/>
      <c r="V69" s="891"/>
      <c r="W69" s="865"/>
      <c r="X69" s="865"/>
      <c r="Y69" s="865"/>
    </row>
    <row r="70" spans="1:25" s="866" customFormat="1" ht="28.8">
      <c r="A70" s="1050">
        <f t="shared" si="7"/>
        <v>49</v>
      </c>
      <c r="B70" s="1050">
        <v>7000023516</v>
      </c>
      <c r="C70" s="1050">
        <v>440</v>
      </c>
      <c r="D70" s="1050" t="s">
        <v>793</v>
      </c>
      <c r="E70" s="1050">
        <v>1000031985</v>
      </c>
      <c r="F70" s="1050">
        <v>85446020</v>
      </c>
      <c r="G70" s="1023"/>
      <c r="H70" s="1050">
        <v>18</v>
      </c>
      <c r="I70" s="1024"/>
      <c r="J70" s="1048" t="s">
        <v>697</v>
      </c>
      <c r="K70" s="1050" t="s">
        <v>594</v>
      </c>
      <c r="L70" s="1050">
        <v>2.5</v>
      </c>
      <c r="M70" s="1025"/>
      <c r="N70" s="1055" t="str">
        <f t="shared" si="3"/>
        <v>Included</v>
      </c>
      <c r="O70" s="1056">
        <f t="shared" si="4"/>
        <v>0</v>
      </c>
      <c r="P70" s="865"/>
      <c r="Q70" s="285">
        <f t="shared" si="5"/>
        <v>0</v>
      </c>
      <c r="R70" s="893">
        <f t="shared" si="6"/>
        <v>0</v>
      </c>
      <c r="S70" s="865"/>
      <c r="T70" s="890"/>
      <c r="U70" s="865"/>
      <c r="V70" s="891"/>
      <c r="W70" s="865"/>
      <c r="X70" s="865"/>
      <c r="Y70" s="865"/>
    </row>
    <row r="71" spans="1:25" s="866" customFormat="1" ht="28.8">
      <c r="A71" s="1050">
        <f t="shared" si="7"/>
        <v>50</v>
      </c>
      <c r="B71" s="1050">
        <v>7000023516</v>
      </c>
      <c r="C71" s="1050">
        <v>460</v>
      </c>
      <c r="D71" s="1050" t="s">
        <v>793</v>
      </c>
      <c r="E71" s="1050">
        <v>1000031976</v>
      </c>
      <c r="F71" s="1050">
        <v>85446020</v>
      </c>
      <c r="G71" s="1023"/>
      <c r="H71" s="1050">
        <v>18</v>
      </c>
      <c r="I71" s="1024"/>
      <c r="J71" s="1048" t="s">
        <v>698</v>
      </c>
      <c r="K71" s="1050" t="s">
        <v>594</v>
      </c>
      <c r="L71" s="1050">
        <v>2.5</v>
      </c>
      <c r="M71" s="1025"/>
      <c r="N71" s="1055" t="str">
        <f t="shared" si="3"/>
        <v>Included</v>
      </c>
      <c r="O71" s="1056">
        <f t="shared" si="4"/>
        <v>0</v>
      </c>
      <c r="P71" s="865"/>
      <c r="Q71" s="285">
        <f t="shared" si="5"/>
        <v>0</v>
      </c>
      <c r="R71" s="893">
        <f t="shared" si="6"/>
        <v>0</v>
      </c>
      <c r="S71" s="865"/>
      <c r="T71" s="890"/>
      <c r="U71" s="865"/>
      <c r="V71" s="891"/>
      <c r="W71" s="865"/>
      <c r="X71" s="865"/>
      <c r="Y71" s="865"/>
    </row>
    <row r="72" spans="1:25" s="866" customFormat="1" ht="28.8">
      <c r="A72" s="1050">
        <f t="shared" si="7"/>
        <v>51</v>
      </c>
      <c r="B72" s="1050">
        <v>7000023516</v>
      </c>
      <c r="C72" s="1050">
        <v>470</v>
      </c>
      <c r="D72" s="1050" t="s">
        <v>793</v>
      </c>
      <c r="E72" s="1050">
        <v>1000031953</v>
      </c>
      <c r="F72" s="1050">
        <v>85446020</v>
      </c>
      <c r="G72" s="1023"/>
      <c r="H72" s="1050">
        <v>18</v>
      </c>
      <c r="I72" s="1024"/>
      <c r="J72" s="1048" t="s">
        <v>699</v>
      </c>
      <c r="K72" s="1050" t="s">
        <v>594</v>
      </c>
      <c r="L72" s="1050">
        <v>5</v>
      </c>
      <c r="M72" s="1025"/>
      <c r="N72" s="1055" t="str">
        <f t="shared" si="3"/>
        <v>Included</v>
      </c>
      <c r="O72" s="1056">
        <f t="shared" si="4"/>
        <v>0</v>
      </c>
      <c r="P72" s="865"/>
      <c r="Q72" s="285">
        <f t="shared" si="5"/>
        <v>0</v>
      </c>
      <c r="R72" s="893">
        <f t="shared" si="6"/>
        <v>0</v>
      </c>
      <c r="S72" s="865"/>
      <c r="T72" s="890"/>
      <c r="U72" s="865"/>
      <c r="V72" s="891"/>
      <c r="W72" s="865"/>
      <c r="X72" s="865"/>
      <c r="Y72" s="865"/>
    </row>
    <row r="73" spans="1:25" s="866" customFormat="1" ht="28.8">
      <c r="A73" s="1050">
        <f t="shared" si="7"/>
        <v>52</v>
      </c>
      <c r="B73" s="1050">
        <v>7000023516</v>
      </c>
      <c r="C73" s="1050">
        <v>480</v>
      </c>
      <c r="D73" s="1050" t="s">
        <v>793</v>
      </c>
      <c r="E73" s="1050">
        <v>1000031957</v>
      </c>
      <c r="F73" s="1050">
        <v>85446020</v>
      </c>
      <c r="G73" s="1023"/>
      <c r="H73" s="1050">
        <v>18</v>
      </c>
      <c r="I73" s="1024"/>
      <c r="J73" s="1048" t="s">
        <v>700</v>
      </c>
      <c r="K73" s="1050" t="s">
        <v>594</v>
      </c>
      <c r="L73" s="1050">
        <v>2.5</v>
      </c>
      <c r="M73" s="1025"/>
      <c r="N73" s="1055" t="str">
        <f t="shared" si="3"/>
        <v>Included</v>
      </c>
      <c r="O73" s="1056">
        <f t="shared" si="4"/>
        <v>0</v>
      </c>
      <c r="P73" s="865"/>
      <c r="Q73" s="285">
        <f t="shared" si="5"/>
        <v>0</v>
      </c>
      <c r="R73" s="893">
        <f t="shared" si="6"/>
        <v>0</v>
      </c>
      <c r="S73" s="865"/>
      <c r="T73" s="890"/>
      <c r="U73" s="865"/>
      <c r="V73" s="891"/>
      <c r="W73" s="865"/>
      <c r="X73" s="865"/>
      <c r="Y73" s="865"/>
    </row>
    <row r="74" spans="1:25" s="866" customFormat="1" ht="28.8">
      <c r="A74" s="1050">
        <f t="shared" si="7"/>
        <v>53</v>
      </c>
      <c r="B74" s="1050">
        <v>7000023516</v>
      </c>
      <c r="C74" s="1050">
        <v>490</v>
      </c>
      <c r="D74" s="1050" t="s">
        <v>793</v>
      </c>
      <c r="E74" s="1050">
        <v>1000031951</v>
      </c>
      <c r="F74" s="1050">
        <v>85446090</v>
      </c>
      <c r="G74" s="1023"/>
      <c r="H74" s="1050">
        <v>18</v>
      </c>
      <c r="I74" s="1024"/>
      <c r="J74" s="1048" t="s">
        <v>701</v>
      </c>
      <c r="K74" s="1050" t="s">
        <v>594</v>
      </c>
      <c r="L74" s="1050">
        <v>1.5</v>
      </c>
      <c r="M74" s="1025"/>
      <c r="N74" s="1055" t="str">
        <f t="shared" si="3"/>
        <v>Included</v>
      </c>
      <c r="O74" s="1056">
        <f t="shared" si="4"/>
        <v>0</v>
      </c>
      <c r="P74" s="865"/>
      <c r="Q74" s="285">
        <f t="shared" si="5"/>
        <v>0</v>
      </c>
      <c r="R74" s="893">
        <f t="shared" si="6"/>
        <v>0</v>
      </c>
      <c r="S74" s="865"/>
      <c r="T74" s="890"/>
      <c r="U74" s="865"/>
      <c r="V74" s="891"/>
      <c r="W74" s="865"/>
      <c r="X74" s="865"/>
      <c r="Y74" s="865"/>
    </row>
    <row r="75" spans="1:25" s="866" customFormat="1" ht="28.8">
      <c r="A75" s="1050">
        <f t="shared" si="7"/>
        <v>54</v>
      </c>
      <c r="B75" s="1050">
        <v>7000023516</v>
      </c>
      <c r="C75" s="1050">
        <v>430</v>
      </c>
      <c r="D75" s="1050" t="s">
        <v>793</v>
      </c>
      <c r="E75" s="1050">
        <v>1000031911</v>
      </c>
      <c r="F75" s="1050">
        <v>85446020</v>
      </c>
      <c r="G75" s="1023"/>
      <c r="H75" s="1050">
        <v>18</v>
      </c>
      <c r="I75" s="1024"/>
      <c r="J75" s="1048" t="s">
        <v>809</v>
      </c>
      <c r="K75" s="1050" t="s">
        <v>594</v>
      </c>
      <c r="L75" s="1050">
        <v>2.5</v>
      </c>
      <c r="M75" s="1025"/>
      <c r="N75" s="1055" t="str">
        <f t="shared" si="3"/>
        <v>Included</v>
      </c>
      <c r="O75" s="1056">
        <f t="shared" si="4"/>
        <v>0</v>
      </c>
      <c r="P75" s="865"/>
      <c r="Q75" s="285">
        <f t="shared" si="5"/>
        <v>0</v>
      </c>
      <c r="R75" s="893">
        <f t="shared" si="6"/>
        <v>0</v>
      </c>
      <c r="S75" s="865"/>
      <c r="T75" s="890"/>
      <c r="U75" s="865"/>
      <c r="V75" s="891"/>
      <c r="W75" s="865"/>
      <c r="X75" s="865"/>
      <c r="Y75" s="865"/>
    </row>
    <row r="76" spans="1:25" s="866" customFormat="1" ht="28.8">
      <c r="A76" s="1050">
        <f t="shared" si="7"/>
        <v>55</v>
      </c>
      <c r="B76" s="1050">
        <v>7000023516</v>
      </c>
      <c r="C76" s="1050">
        <v>550</v>
      </c>
      <c r="D76" s="1050" t="s">
        <v>794</v>
      </c>
      <c r="E76" s="1050">
        <v>1000006284</v>
      </c>
      <c r="F76" s="1050">
        <v>84151090</v>
      </c>
      <c r="G76" s="1023"/>
      <c r="H76" s="1050">
        <v>28</v>
      </c>
      <c r="I76" s="1024"/>
      <c r="J76" s="1048" t="s">
        <v>583</v>
      </c>
      <c r="K76" s="1050" t="s">
        <v>578</v>
      </c>
      <c r="L76" s="1050">
        <v>3</v>
      </c>
      <c r="M76" s="1025"/>
      <c r="N76" s="1055" t="str">
        <f t="shared" si="3"/>
        <v>Included</v>
      </c>
      <c r="O76" s="1056">
        <f t="shared" si="4"/>
        <v>0</v>
      </c>
      <c r="P76" s="865"/>
      <c r="Q76" s="285">
        <f t="shared" si="5"/>
        <v>0</v>
      </c>
      <c r="R76" s="893">
        <f t="shared" si="6"/>
        <v>0</v>
      </c>
      <c r="S76" s="865"/>
      <c r="T76" s="890"/>
      <c r="U76" s="865"/>
      <c r="V76" s="891"/>
      <c r="W76" s="865"/>
      <c r="X76" s="865"/>
      <c r="Y76" s="865"/>
    </row>
    <row r="77" spans="1:25" s="866" customFormat="1" ht="28.8">
      <c r="A77" s="1050">
        <f t="shared" si="7"/>
        <v>56</v>
      </c>
      <c r="B77" s="1050">
        <v>7000023516</v>
      </c>
      <c r="C77" s="1050">
        <v>560</v>
      </c>
      <c r="D77" s="1050" t="s">
        <v>794</v>
      </c>
      <c r="E77" s="1050">
        <v>1000006285</v>
      </c>
      <c r="F77" s="1050">
        <v>84151090</v>
      </c>
      <c r="G77" s="1023"/>
      <c r="H77" s="1050">
        <v>28</v>
      </c>
      <c r="I77" s="1024"/>
      <c r="J77" s="1048" t="s">
        <v>704</v>
      </c>
      <c r="K77" s="1050" t="s">
        <v>578</v>
      </c>
      <c r="L77" s="1050">
        <v>2</v>
      </c>
      <c r="M77" s="1025"/>
      <c r="N77" s="1055" t="str">
        <f t="shared" si="3"/>
        <v>Included</v>
      </c>
      <c r="O77" s="1056">
        <f t="shared" si="4"/>
        <v>0</v>
      </c>
      <c r="P77" s="865"/>
      <c r="Q77" s="285">
        <f t="shared" si="5"/>
        <v>0</v>
      </c>
      <c r="R77" s="893">
        <f t="shared" si="6"/>
        <v>0</v>
      </c>
      <c r="S77" s="865"/>
      <c r="T77" s="890"/>
      <c r="U77" s="865"/>
      <c r="V77" s="891"/>
      <c r="W77" s="865"/>
      <c r="X77" s="865"/>
      <c r="Y77" s="865"/>
    </row>
    <row r="78" spans="1:25" s="866" customFormat="1" ht="43.2">
      <c r="A78" s="1050">
        <f t="shared" si="7"/>
        <v>57</v>
      </c>
      <c r="B78" s="1050">
        <v>7000023516</v>
      </c>
      <c r="C78" s="1050">
        <v>580</v>
      </c>
      <c r="D78" s="1050" t="s">
        <v>795</v>
      </c>
      <c r="E78" s="1050">
        <v>1000012069</v>
      </c>
      <c r="F78" s="1050">
        <v>84248990</v>
      </c>
      <c r="G78" s="1023"/>
      <c r="H78" s="1050">
        <v>18</v>
      </c>
      <c r="I78" s="1024"/>
      <c r="J78" s="1048" t="s">
        <v>810</v>
      </c>
      <c r="K78" s="1050" t="s">
        <v>578</v>
      </c>
      <c r="L78" s="1050">
        <v>2</v>
      </c>
      <c r="M78" s="1025"/>
      <c r="N78" s="1055" t="str">
        <f t="shared" si="3"/>
        <v>Included</v>
      </c>
      <c r="O78" s="1056">
        <f t="shared" si="4"/>
        <v>0</v>
      </c>
      <c r="P78" s="865"/>
      <c r="Q78" s="285">
        <f t="shared" si="5"/>
        <v>0</v>
      </c>
      <c r="R78" s="893">
        <f t="shared" si="6"/>
        <v>0</v>
      </c>
      <c r="S78" s="865"/>
      <c r="T78" s="890"/>
      <c r="U78" s="865"/>
      <c r="V78" s="891"/>
      <c r="W78" s="865"/>
      <c r="X78" s="865"/>
      <c r="Y78" s="865"/>
    </row>
    <row r="79" spans="1:25" s="866" customFormat="1" ht="28.8">
      <c r="A79" s="1050">
        <f t="shared" si="7"/>
        <v>58</v>
      </c>
      <c r="B79" s="1050">
        <v>7000023516</v>
      </c>
      <c r="C79" s="1050">
        <v>570</v>
      </c>
      <c r="D79" s="1050" t="s">
        <v>795</v>
      </c>
      <c r="E79" s="1050">
        <v>1000012018</v>
      </c>
      <c r="F79" s="1050">
        <v>85311020</v>
      </c>
      <c r="G79" s="1023"/>
      <c r="H79" s="1050">
        <v>18</v>
      </c>
      <c r="I79" s="1024"/>
      <c r="J79" s="1048" t="s">
        <v>584</v>
      </c>
      <c r="K79" s="1050" t="s">
        <v>578</v>
      </c>
      <c r="L79" s="1050">
        <v>3</v>
      </c>
      <c r="M79" s="1025"/>
      <c r="N79" s="1055" t="str">
        <f t="shared" si="3"/>
        <v>Included</v>
      </c>
      <c r="O79" s="1056">
        <f t="shared" si="4"/>
        <v>0</v>
      </c>
      <c r="P79" s="865"/>
      <c r="Q79" s="285">
        <f t="shared" si="5"/>
        <v>0</v>
      </c>
      <c r="R79" s="893">
        <f t="shared" si="6"/>
        <v>0</v>
      </c>
      <c r="S79" s="865"/>
      <c r="T79" s="890"/>
      <c r="U79" s="865"/>
      <c r="V79" s="891"/>
      <c r="W79" s="865"/>
      <c r="X79" s="865"/>
      <c r="Y79" s="865"/>
    </row>
    <row r="80" spans="1:25" s="866" customFormat="1" ht="28.8">
      <c r="A80" s="1050">
        <f t="shared" si="7"/>
        <v>59</v>
      </c>
      <c r="B80" s="1050">
        <v>7000023516</v>
      </c>
      <c r="C80" s="1050">
        <v>590</v>
      </c>
      <c r="D80" s="1050" t="s">
        <v>795</v>
      </c>
      <c r="E80" s="1050">
        <v>1000012019</v>
      </c>
      <c r="F80" s="1050">
        <v>85311020</v>
      </c>
      <c r="G80" s="1023"/>
      <c r="H80" s="1050">
        <v>18</v>
      </c>
      <c r="I80" s="1024"/>
      <c r="J80" s="1048" t="s">
        <v>702</v>
      </c>
      <c r="K80" s="1050" t="s">
        <v>578</v>
      </c>
      <c r="L80" s="1050">
        <v>2</v>
      </c>
      <c r="M80" s="1025"/>
      <c r="N80" s="1055" t="str">
        <f t="shared" si="3"/>
        <v>Included</v>
      </c>
      <c r="O80" s="1056">
        <f t="shared" si="4"/>
        <v>0</v>
      </c>
      <c r="P80" s="865"/>
      <c r="Q80" s="285">
        <f t="shared" si="5"/>
        <v>0</v>
      </c>
      <c r="R80" s="893">
        <f t="shared" si="6"/>
        <v>0</v>
      </c>
      <c r="S80" s="865"/>
      <c r="T80" s="890"/>
      <c r="U80" s="865"/>
      <c r="V80" s="891"/>
      <c r="W80" s="865"/>
      <c r="X80" s="865"/>
      <c r="Y80" s="865"/>
    </row>
    <row r="81" spans="1:25" s="866" customFormat="1" ht="28.8">
      <c r="A81" s="1050">
        <f t="shared" si="7"/>
        <v>60</v>
      </c>
      <c r="B81" s="1050">
        <v>7000023516</v>
      </c>
      <c r="C81" s="1050">
        <v>600</v>
      </c>
      <c r="D81" s="1050" t="s">
        <v>714</v>
      </c>
      <c r="E81" s="1050">
        <v>1000013795</v>
      </c>
      <c r="F81" s="1050">
        <v>94059900</v>
      </c>
      <c r="G81" s="1023"/>
      <c r="H81" s="1050">
        <v>18</v>
      </c>
      <c r="I81" s="1024"/>
      <c r="J81" s="1048" t="s">
        <v>589</v>
      </c>
      <c r="K81" s="1050" t="s">
        <v>577</v>
      </c>
      <c r="L81" s="1050">
        <v>3</v>
      </c>
      <c r="M81" s="1025"/>
      <c r="N81" s="1055" t="str">
        <f t="shared" si="3"/>
        <v>Included</v>
      </c>
      <c r="O81" s="1056">
        <f t="shared" si="4"/>
        <v>0</v>
      </c>
      <c r="P81" s="865"/>
      <c r="Q81" s="285">
        <f t="shared" si="5"/>
        <v>0</v>
      </c>
      <c r="R81" s="893">
        <f t="shared" si="6"/>
        <v>0</v>
      </c>
      <c r="S81" s="865"/>
      <c r="T81" s="890"/>
      <c r="U81" s="865"/>
      <c r="V81" s="891"/>
      <c r="W81" s="865"/>
      <c r="X81" s="865"/>
      <c r="Y81" s="865"/>
    </row>
    <row r="82" spans="1:25" s="866" customFormat="1" ht="28.8">
      <c r="A82" s="1050">
        <f t="shared" si="7"/>
        <v>61</v>
      </c>
      <c r="B82" s="1050">
        <v>7000023516</v>
      </c>
      <c r="C82" s="1050">
        <v>650</v>
      </c>
      <c r="D82" s="1050" t="s">
        <v>714</v>
      </c>
      <c r="E82" s="1050">
        <v>1000013796</v>
      </c>
      <c r="F82" s="1050">
        <v>94059900</v>
      </c>
      <c r="G82" s="1023"/>
      <c r="H82" s="1050">
        <v>18</v>
      </c>
      <c r="I82" s="1024"/>
      <c r="J82" s="1048" t="s">
        <v>703</v>
      </c>
      <c r="K82" s="1050" t="s">
        <v>577</v>
      </c>
      <c r="L82" s="1050">
        <v>2</v>
      </c>
      <c r="M82" s="1025"/>
      <c r="N82" s="1055" t="str">
        <f t="shared" si="3"/>
        <v>Included</v>
      </c>
      <c r="O82" s="1056">
        <f t="shared" si="4"/>
        <v>0</v>
      </c>
      <c r="P82" s="865"/>
      <c r="Q82" s="285">
        <f t="shared" si="5"/>
        <v>0</v>
      </c>
      <c r="R82" s="893">
        <f t="shared" si="6"/>
        <v>0</v>
      </c>
      <c r="S82" s="865"/>
      <c r="T82" s="890"/>
      <c r="U82" s="865"/>
      <c r="V82" s="891"/>
      <c r="W82" s="865"/>
      <c r="X82" s="865"/>
      <c r="Y82" s="865"/>
    </row>
    <row r="83" spans="1:25" s="866" customFormat="1" ht="28.8">
      <c r="A83" s="1050">
        <f t="shared" si="7"/>
        <v>62</v>
      </c>
      <c r="B83" s="1050">
        <v>7000023516</v>
      </c>
      <c r="C83" s="1050">
        <v>620</v>
      </c>
      <c r="D83" s="1050" t="s">
        <v>714</v>
      </c>
      <c r="E83" s="1050">
        <v>1000038387</v>
      </c>
      <c r="F83" s="1050">
        <v>94051090</v>
      </c>
      <c r="G83" s="1023"/>
      <c r="H83" s="1050">
        <v>18</v>
      </c>
      <c r="I83" s="1024"/>
      <c r="J83" s="1048" t="s">
        <v>595</v>
      </c>
      <c r="K83" s="1050" t="s">
        <v>574</v>
      </c>
      <c r="L83" s="1050">
        <v>20</v>
      </c>
      <c r="M83" s="1025"/>
      <c r="N83" s="1055" t="str">
        <f t="shared" si="3"/>
        <v>Included</v>
      </c>
      <c r="O83" s="1056">
        <f t="shared" si="4"/>
        <v>0</v>
      </c>
      <c r="P83" s="865"/>
      <c r="Q83" s="285">
        <f t="shared" si="5"/>
        <v>0</v>
      </c>
      <c r="R83" s="893">
        <f t="shared" si="6"/>
        <v>0</v>
      </c>
      <c r="S83" s="865"/>
      <c r="T83" s="890"/>
      <c r="U83" s="865"/>
      <c r="V83" s="891"/>
      <c r="W83" s="865"/>
      <c r="X83" s="865"/>
      <c r="Y83" s="865"/>
    </row>
    <row r="84" spans="1:25" s="866" customFormat="1" ht="28.8">
      <c r="A84" s="1050">
        <f t="shared" si="7"/>
        <v>63</v>
      </c>
      <c r="B84" s="1050">
        <v>7000023516</v>
      </c>
      <c r="C84" s="1050">
        <v>610</v>
      </c>
      <c r="D84" s="1050" t="s">
        <v>714</v>
      </c>
      <c r="E84" s="1050">
        <v>1000038325</v>
      </c>
      <c r="F84" s="1050">
        <v>94059900</v>
      </c>
      <c r="G84" s="1023"/>
      <c r="H84" s="1050">
        <v>18</v>
      </c>
      <c r="I84" s="1024"/>
      <c r="J84" s="1048" t="s">
        <v>588</v>
      </c>
      <c r="K84" s="1050" t="s">
        <v>574</v>
      </c>
      <c r="L84" s="1050">
        <v>20</v>
      </c>
      <c r="M84" s="1025"/>
      <c r="N84" s="1055" t="str">
        <f t="shared" si="3"/>
        <v>Included</v>
      </c>
      <c r="O84" s="1056">
        <f t="shared" si="4"/>
        <v>0</v>
      </c>
      <c r="P84" s="865"/>
      <c r="Q84" s="285">
        <f t="shared" si="5"/>
        <v>0</v>
      </c>
      <c r="R84" s="893">
        <f t="shared" si="6"/>
        <v>0</v>
      </c>
      <c r="S84" s="865"/>
      <c r="T84" s="890"/>
      <c r="U84" s="865"/>
      <c r="V84" s="891"/>
      <c r="W84" s="865"/>
      <c r="X84" s="865"/>
      <c r="Y84" s="865"/>
    </row>
    <row r="85" spans="1:25" s="866" customFormat="1" ht="14.4">
      <c r="A85" s="1050">
        <f t="shared" si="7"/>
        <v>64</v>
      </c>
      <c r="B85" s="1050">
        <v>7000023516</v>
      </c>
      <c r="C85" s="1050">
        <v>640</v>
      </c>
      <c r="D85" s="1050" t="s">
        <v>714</v>
      </c>
      <c r="E85" s="1050">
        <v>1000014547</v>
      </c>
      <c r="F85" s="1050">
        <v>85371000</v>
      </c>
      <c r="G85" s="1023"/>
      <c r="H85" s="1050">
        <v>18</v>
      </c>
      <c r="I85" s="1024"/>
      <c r="J85" s="1048" t="s">
        <v>585</v>
      </c>
      <c r="K85" s="1050" t="s">
        <v>574</v>
      </c>
      <c r="L85" s="1050">
        <v>3</v>
      </c>
      <c r="M85" s="1025"/>
      <c r="N85" s="1055" t="str">
        <f t="shared" si="3"/>
        <v>Included</v>
      </c>
      <c r="O85" s="1056">
        <f t="shared" si="4"/>
        <v>0</v>
      </c>
      <c r="P85" s="865"/>
      <c r="Q85" s="285">
        <f t="shared" si="5"/>
        <v>0</v>
      </c>
      <c r="R85" s="893">
        <f t="shared" si="6"/>
        <v>0</v>
      </c>
      <c r="S85" s="865"/>
      <c r="T85" s="890"/>
      <c r="U85" s="865"/>
      <c r="V85" s="891"/>
      <c r="W85" s="865"/>
      <c r="X85" s="865"/>
      <c r="Y85" s="865"/>
    </row>
    <row r="86" spans="1:25" s="866" customFormat="1" ht="28.8">
      <c r="A86" s="1050">
        <f t="shared" si="7"/>
        <v>65</v>
      </c>
      <c r="B86" s="1050">
        <v>7000023516</v>
      </c>
      <c r="C86" s="1050">
        <v>670</v>
      </c>
      <c r="D86" s="1050" t="s">
        <v>714</v>
      </c>
      <c r="E86" s="1050">
        <v>1000038397</v>
      </c>
      <c r="F86" s="1050">
        <v>94059900</v>
      </c>
      <c r="G86" s="1023"/>
      <c r="H86" s="1050">
        <v>18</v>
      </c>
      <c r="I86" s="1024"/>
      <c r="J86" s="1048" t="s">
        <v>811</v>
      </c>
      <c r="K86" s="1050" t="s">
        <v>574</v>
      </c>
      <c r="L86" s="1050">
        <v>16</v>
      </c>
      <c r="M86" s="1025"/>
      <c r="N86" s="1055" t="str">
        <f t="shared" si="3"/>
        <v>Included</v>
      </c>
      <c r="O86" s="1056">
        <f t="shared" si="4"/>
        <v>0</v>
      </c>
      <c r="P86" s="865"/>
      <c r="Q86" s="285">
        <f t="shared" si="5"/>
        <v>0</v>
      </c>
      <c r="R86" s="893">
        <f t="shared" si="6"/>
        <v>0</v>
      </c>
      <c r="S86" s="865"/>
      <c r="T86" s="890"/>
      <c r="U86" s="865"/>
      <c r="V86" s="891"/>
      <c r="W86" s="865"/>
      <c r="X86" s="865"/>
      <c r="Y86" s="865"/>
    </row>
    <row r="87" spans="1:25" s="866" customFormat="1" ht="28.8">
      <c r="A87" s="1050">
        <f t="shared" si="7"/>
        <v>66</v>
      </c>
      <c r="B87" s="1050">
        <v>7000023516</v>
      </c>
      <c r="C87" s="1050">
        <v>680</v>
      </c>
      <c r="D87" s="1050" t="s">
        <v>714</v>
      </c>
      <c r="E87" s="1050">
        <v>1000038389</v>
      </c>
      <c r="F87" s="1050">
        <v>94051090</v>
      </c>
      <c r="G87" s="1023"/>
      <c r="H87" s="1050">
        <v>18</v>
      </c>
      <c r="I87" s="1024"/>
      <c r="J87" s="1048" t="s">
        <v>812</v>
      </c>
      <c r="K87" s="1050" t="s">
        <v>574</v>
      </c>
      <c r="L87" s="1050">
        <v>16</v>
      </c>
      <c r="M87" s="1025"/>
      <c r="N87" s="1055" t="str">
        <f t="shared" si="3"/>
        <v>Included</v>
      </c>
      <c r="O87" s="1056">
        <f t="shared" si="4"/>
        <v>0</v>
      </c>
      <c r="P87" s="865"/>
      <c r="Q87" s="285">
        <f t="shared" si="5"/>
        <v>0</v>
      </c>
      <c r="R87" s="893">
        <f t="shared" ref="R87:R126" si="8">IF(I87="", H87*Q87/100,I87*Q87/100)</f>
        <v>0</v>
      </c>
      <c r="S87" s="865"/>
      <c r="T87" s="890"/>
      <c r="U87" s="865"/>
      <c r="V87" s="891"/>
      <c r="W87" s="865"/>
      <c r="X87" s="865"/>
      <c r="Y87" s="865"/>
    </row>
    <row r="88" spans="1:25" s="866" customFormat="1" ht="28.8">
      <c r="A88" s="1050">
        <f t="shared" si="7"/>
        <v>67</v>
      </c>
      <c r="B88" s="1050">
        <v>7000023516</v>
      </c>
      <c r="C88" s="1050">
        <v>660</v>
      </c>
      <c r="D88" s="1050" t="s">
        <v>714</v>
      </c>
      <c r="E88" s="1050">
        <v>1000038385</v>
      </c>
      <c r="F88" s="1050">
        <v>94059900</v>
      </c>
      <c r="G88" s="1023"/>
      <c r="H88" s="1050">
        <v>18</v>
      </c>
      <c r="I88" s="1024"/>
      <c r="J88" s="1048" t="s">
        <v>643</v>
      </c>
      <c r="K88" s="1050" t="s">
        <v>574</v>
      </c>
      <c r="L88" s="1050">
        <v>4</v>
      </c>
      <c r="M88" s="1025"/>
      <c r="N88" s="1055" t="str">
        <f t="shared" si="3"/>
        <v>Included</v>
      </c>
      <c r="O88" s="1056">
        <f t="shared" si="4"/>
        <v>0</v>
      </c>
      <c r="P88" s="865"/>
      <c r="Q88" s="285">
        <f t="shared" si="5"/>
        <v>0</v>
      </c>
      <c r="R88" s="893">
        <f t="shared" si="8"/>
        <v>0</v>
      </c>
      <c r="S88" s="865"/>
      <c r="T88" s="890"/>
      <c r="U88" s="865"/>
      <c r="V88" s="891"/>
      <c r="W88" s="865"/>
      <c r="X88" s="865"/>
      <c r="Y88" s="865"/>
    </row>
    <row r="89" spans="1:25" s="866" customFormat="1" ht="28.8">
      <c r="A89" s="1050">
        <f t="shared" ref="A89:A149" si="9">A88+1</f>
        <v>68</v>
      </c>
      <c r="B89" s="1050">
        <v>7000023516</v>
      </c>
      <c r="C89" s="1050">
        <v>690</v>
      </c>
      <c r="D89" s="1050" t="s">
        <v>714</v>
      </c>
      <c r="E89" s="1050">
        <v>1000004952</v>
      </c>
      <c r="F89" s="1050">
        <v>94059900</v>
      </c>
      <c r="G89" s="1023"/>
      <c r="H89" s="1050">
        <v>18</v>
      </c>
      <c r="I89" s="1024"/>
      <c r="J89" s="1048" t="s">
        <v>586</v>
      </c>
      <c r="K89" s="1050" t="s">
        <v>574</v>
      </c>
      <c r="L89" s="1050">
        <v>2</v>
      </c>
      <c r="M89" s="1025"/>
      <c r="N89" s="1055" t="str">
        <f t="shared" si="3"/>
        <v>Included</v>
      </c>
      <c r="O89" s="1056">
        <f t="shared" si="4"/>
        <v>0</v>
      </c>
      <c r="P89" s="865"/>
      <c r="Q89" s="285">
        <f t="shared" si="5"/>
        <v>0</v>
      </c>
      <c r="R89" s="893">
        <f t="shared" si="8"/>
        <v>0</v>
      </c>
      <c r="S89" s="865"/>
      <c r="T89" s="890"/>
      <c r="U89" s="865"/>
      <c r="V89" s="891"/>
      <c r="W89" s="865"/>
      <c r="X89" s="865"/>
      <c r="Y89" s="865"/>
    </row>
    <row r="90" spans="1:25" s="866" customFormat="1" ht="14.4">
      <c r="A90" s="1050">
        <f t="shared" si="9"/>
        <v>69</v>
      </c>
      <c r="B90" s="1050">
        <v>7000023516</v>
      </c>
      <c r="C90" s="1050">
        <v>630</v>
      </c>
      <c r="D90" s="1050" t="s">
        <v>714</v>
      </c>
      <c r="E90" s="1050">
        <v>1000001894</v>
      </c>
      <c r="F90" s="1050">
        <v>94059900</v>
      </c>
      <c r="G90" s="1023"/>
      <c r="H90" s="1050">
        <v>18</v>
      </c>
      <c r="I90" s="1024"/>
      <c r="J90" s="1048" t="s">
        <v>587</v>
      </c>
      <c r="K90" s="1050" t="s">
        <v>574</v>
      </c>
      <c r="L90" s="1050">
        <v>1</v>
      </c>
      <c r="M90" s="1025"/>
      <c r="N90" s="1055" t="str">
        <f t="shared" si="3"/>
        <v>Included</v>
      </c>
      <c r="O90" s="1056">
        <f t="shared" si="4"/>
        <v>0</v>
      </c>
      <c r="P90" s="865"/>
      <c r="Q90" s="285">
        <f t="shared" si="5"/>
        <v>0</v>
      </c>
      <c r="R90" s="893">
        <f t="shared" si="8"/>
        <v>0</v>
      </c>
      <c r="S90" s="865"/>
      <c r="T90" s="890"/>
      <c r="U90" s="865"/>
      <c r="V90" s="891"/>
      <c r="W90" s="865"/>
      <c r="X90" s="865"/>
      <c r="Y90" s="865"/>
    </row>
    <row r="91" spans="1:25" s="866" customFormat="1" ht="57.6">
      <c r="A91" s="1050">
        <f t="shared" si="9"/>
        <v>70</v>
      </c>
      <c r="B91" s="1050">
        <v>7000023516</v>
      </c>
      <c r="C91" s="1050">
        <v>700</v>
      </c>
      <c r="D91" s="1050" t="s">
        <v>762</v>
      </c>
      <c r="E91" s="1050">
        <v>1000020194</v>
      </c>
      <c r="F91" s="1050">
        <v>73045930</v>
      </c>
      <c r="G91" s="1023"/>
      <c r="H91" s="1050">
        <v>18</v>
      </c>
      <c r="I91" s="1024"/>
      <c r="J91" s="1048" t="s">
        <v>580</v>
      </c>
      <c r="K91" s="1050" t="s">
        <v>574</v>
      </c>
      <c r="L91" s="1050">
        <v>4</v>
      </c>
      <c r="M91" s="1025"/>
      <c r="N91" s="1055" t="str">
        <f t="shared" si="3"/>
        <v>Included</v>
      </c>
      <c r="O91" s="1056">
        <f t="shared" si="4"/>
        <v>0</v>
      </c>
      <c r="P91" s="865"/>
      <c r="Q91" s="285">
        <f t="shared" si="5"/>
        <v>0</v>
      </c>
      <c r="R91" s="893">
        <f t="shared" si="8"/>
        <v>0</v>
      </c>
      <c r="S91" s="865"/>
      <c r="T91" s="890"/>
      <c r="U91" s="865"/>
      <c r="V91" s="891"/>
      <c r="W91" s="865"/>
      <c r="X91" s="865"/>
      <c r="Y91" s="865"/>
    </row>
    <row r="92" spans="1:25" s="866" customFormat="1" ht="57.6">
      <c r="A92" s="1050">
        <f t="shared" si="9"/>
        <v>71</v>
      </c>
      <c r="B92" s="1050">
        <v>7000023516</v>
      </c>
      <c r="C92" s="1050">
        <v>710</v>
      </c>
      <c r="D92" s="1050" t="s">
        <v>762</v>
      </c>
      <c r="E92" s="1050">
        <v>1000020192</v>
      </c>
      <c r="F92" s="1050">
        <v>73045930</v>
      </c>
      <c r="G92" s="1023"/>
      <c r="H92" s="1050">
        <v>18</v>
      </c>
      <c r="I92" s="1024"/>
      <c r="J92" s="1048" t="s">
        <v>590</v>
      </c>
      <c r="K92" s="1050" t="s">
        <v>574</v>
      </c>
      <c r="L92" s="1050">
        <v>6</v>
      </c>
      <c r="M92" s="1025"/>
      <c r="N92" s="1055" t="str">
        <f t="shared" si="3"/>
        <v>Included</v>
      </c>
      <c r="O92" s="1056">
        <f t="shared" si="4"/>
        <v>0</v>
      </c>
      <c r="P92" s="865"/>
      <c r="Q92" s="285">
        <f t="shared" si="5"/>
        <v>0</v>
      </c>
      <c r="R92" s="893">
        <f t="shared" si="8"/>
        <v>0</v>
      </c>
      <c r="S92" s="865"/>
      <c r="T92" s="890"/>
      <c r="U92" s="865"/>
      <c r="V92" s="891"/>
      <c r="W92" s="865"/>
      <c r="X92" s="865"/>
      <c r="Y92" s="865"/>
    </row>
    <row r="93" spans="1:25" s="866" customFormat="1" ht="57.6">
      <c r="A93" s="1050">
        <f t="shared" si="9"/>
        <v>72</v>
      </c>
      <c r="B93" s="1050">
        <v>7000023516</v>
      </c>
      <c r="C93" s="1050">
        <v>720</v>
      </c>
      <c r="D93" s="1050" t="s">
        <v>762</v>
      </c>
      <c r="E93" s="1050">
        <v>1000020195</v>
      </c>
      <c r="F93" s="1050">
        <v>73045930</v>
      </c>
      <c r="G93" s="1023"/>
      <c r="H93" s="1050">
        <v>18</v>
      </c>
      <c r="I93" s="1024"/>
      <c r="J93" s="1048" t="s">
        <v>581</v>
      </c>
      <c r="K93" s="1050" t="s">
        <v>574</v>
      </c>
      <c r="L93" s="1050">
        <v>6</v>
      </c>
      <c r="M93" s="1025"/>
      <c r="N93" s="1055" t="str">
        <f t="shared" si="3"/>
        <v>Included</v>
      </c>
      <c r="O93" s="1056">
        <f t="shared" si="4"/>
        <v>0</v>
      </c>
      <c r="P93" s="865"/>
      <c r="Q93" s="285">
        <f t="shared" si="5"/>
        <v>0</v>
      </c>
      <c r="R93" s="893">
        <f t="shared" si="8"/>
        <v>0</v>
      </c>
      <c r="S93" s="865"/>
      <c r="T93" s="890"/>
      <c r="U93" s="865"/>
      <c r="V93" s="891"/>
      <c r="W93" s="865"/>
      <c r="X93" s="865"/>
      <c r="Y93" s="865"/>
    </row>
    <row r="94" spans="1:25" s="866" customFormat="1" ht="28.8">
      <c r="A94" s="1050">
        <f t="shared" si="9"/>
        <v>73</v>
      </c>
      <c r="B94" s="1050">
        <v>7000023516</v>
      </c>
      <c r="C94" s="1050">
        <v>730</v>
      </c>
      <c r="D94" s="1050" t="s">
        <v>762</v>
      </c>
      <c r="E94" s="1050">
        <v>1000017567</v>
      </c>
      <c r="F94" s="1050">
        <v>73045930</v>
      </c>
      <c r="G94" s="1023"/>
      <c r="H94" s="1050">
        <v>18</v>
      </c>
      <c r="I94" s="1024"/>
      <c r="J94" s="1048" t="s">
        <v>579</v>
      </c>
      <c r="K94" s="1050" t="s">
        <v>574</v>
      </c>
      <c r="L94" s="1050">
        <v>6</v>
      </c>
      <c r="M94" s="1025"/>
      <c r="N94" s="1055" t="str">
        <f t="shared" si="3"/>
        <v>Included</v>
      </c>
      <c r="O94" s="1056">
        <f t="shared" si="4"/>
        <v>0</v>
      </c>
      <c r="P94" s="865"/>
      <c r="Q94" s="285">
        <f t="shared" si="5"/>
        <v>0</v>
      </c>
      <c r="R94" s="893">
        <f t="shared" si="8"/>
        <v>0</v>
      </c>
      <c r="S94" s="865"/>
      <c r="T94" s="890"/>
      <c r="U94" s="865"/>
      <c r="V94" s="891"/>
      <c r="W94" s="865"/>
      <c r="X94" s="865"/>
      <c r="Y94" s="865"/>
    </row>
    <row r="95" spans="1:25" s="866" customFormat="1" ht="57.6">
      <c r="A95" s="1050">
        <f t="shared" si="9"/>
        <v>74</v>
      </c>
      <c r="B95" s="1050">
        <v>7000023516</v>
      </c>
      <c r="C95" s="1050">
        <v>740</v>
      </c>
      <c r="D95" s="1050" t="s">
        <v>738</v>
      </c>
      <c r="E95" s="1050">
        <v>1000020086</v>
      </c>
      <c r="F95" s="1050">
        <v>73082011</v>
      </c>
      <c r="G95" s="1023"/>
      <c r="H95" s="1050">
        <v>18</v>
      </c>
      <c r="I95" s="1024"/>
      <c r="J95" s="1048" t="s">
        <v>758</v>
      </c>
      <c r="K95" s="1050" t="s">
        <v>574</v>
      </c>
      <c r="L95" s="1050">
        <v>21</v>
      </c>
      <c r="M95" s="1025"/>
      <c r="N95" s="1055" t="str">
        <f t="shared" si="3"/>
        <v>Included</v>
      </c>
      <c r="O95" s="1056">
        <f t="shared" si="4"/>
        <v>0</v>
      </c>
      <c r="P95" s="865"/>
      <c r="Q95" s="285">
        <f t="shared" si="5"/>
        <v>0</v>
      </c>
      <c r="R95" s="893">
        <f t="shared" si="8"/>
        <v>0</v>
      </c>
      <c r="S95" s="865"/>
      <c r="T95" s="890"/>
      <c r="U95" s="865"/>
      <c r="V95" s="891"/>
      <c r="W95" s="865"/>
      <c r="X95" s="865"/>
      <c r="Y95" s="865"/>
    </row>
    <row r="96" spans="1:25" s="866" customFormat="1" ht="57.6">
      <c r="A96" s="1050">
        <f t="shared" si="9"/>
        <v>75</v>
      </c>
      <c r="B96" s="1050">
        <v>7000023516</v>
      </c>
      <c r="C96" s="1050">
        <v>750</v>
      </c>
      <c r="D96" s="1050" t="s">
        <v>738</v>
      </c>
      <c r="E96" s="1050">
        <v>1000020088</v>
      </c>
      <c r="F96" s="1050">
        <v>73082011</v>
      </c>
      <c r="G96" s="1023"/>
      <c r="H96" s="1050">
        <v>18</v>
      </c>
      <c r="I96" s="1024"/>
      <c r="J96" s="1048" t="s">
        <v>645</v>
      </c>
      <c r="K96" s="1050" t="s">
        <v>574</v>
      </c>
      <c r="L96" s="1050">
        <v>14</v>
      </c>
      <c r="M96" s="1025"/>
      <c r="N96" s="1055" t="str">
        <f t="shared" si="3"/>
        <v>Included</v>
      </c>
      <c r="O96" s="1056">
        <f t="shared" si="4"/>
        <v>0</v>
      </c>
      <c r="P96" s="865"/>
      <c r="Q96" s="285">
        <f t="shared" si="5"/>
        <v>0</v>
      </c>
      <c r="R96" s="893">
        <f t="shared" si="8"/>
        <v>0</v>
      </c>
      <c r="S96" s="865"/>
      <c r="T96" s="890"/>
      <c r="U96" s="865"/>
      <c r="V96" s="891"/>
      <c r="W96" s="865"/>
      <c r="X96" s="865"/>
      <c r="Y96" s="865"/>
    </row>
    <row r="97" spans="1:25" s="866" customFormat="1" ht="57.6">
      <c r="A97" s="1050">
        <f t="shared" si="9"/>
        <v>76</v>
      </c>
      <c r="B97" s="1050">
        <v>7000023516</v>
      </c>
      <c r="C97" s="1050">
        <v>760</v>
      </c>
      <c r="D97" s="1050" t="s">
        <v>738</v>
      </c>
      <c r="E97" s="1050">
        <v>1000020097</v>
      </c>
      <c r="F97" s="1050">
        <v>73082011</v>
      </c>
      <c r="G97" s="1023"/>
      <c r="H97" s="1050">
        <v>18</v>
      </c>
      <c r="I97" s="1024"/>
      <c r="J97" s="1048" t="s">
        <v>754</v>
      </c>
      <c r="K97" s="1050" t="s">
        <v>574</v>
      </c>
      <c r="L97" s="1050">
        <v>12</v>
      </c>
      <c r="M97" s="1025"/>
      <c r="N97" s="1055" t="str">
        <f t="shared" si="3"/>
        <v>Included</v>
      </c>
      <c r="O97" s="1056">
        <f t="shared" si="4"/>
        <v>0</v>
      </c>
      <c r="P97" s="865"/>
      <c r="Q97" s="285">
        <f t="shared" si="5"/>
        <v>0</v>
      </c>
      <c r="R97" s="893">
        <f t="shared" si="8"/>
        <v>0</v>
      </c>
      <c r="S97" s="865"/>
      <c r="T97" s="890"/>
      <c r="U97" s="865"/>
      <c r="V97" s="891"/>
      <c r="W97" s="865"/>
      <c r="X97" s="865"/>
      <c r="Y97" s="865"/>
    </row>
    <row r="98" spans="1:25" s="866" customFormat="1" ht="57.6">
      <c r="A98" s="1050">
        <f t="shared" si="9"/>
        <v>77</v>
      </c>
      <c r="B98" s="1050">
        <v>7000023516</v>
      </c>
      <c r="C98" s="1050">
        <v>770</v>
      </c>
      <c r="D98" s="1050" t="s">
        <v>738</v>
      </c>
      <c r="E98" s="1050">
        <v>1000020098</v>
      </c>
      <c r="F98" s="1050">
        <v>73082011</v>
      </c>
      <c r="G98" s="1023"/>
      <c r="H98" s="1050">
        <v>18</v>
      </c>
      <c r="I98" s="1024"/>
      <c r="J98" s="1048" t="s">
        <v>813</v>
      </c>
      <c r="K98" s="1050" t="s">
        <v>574</v>
      </c>
      <c r="L98" s="1050">
        <v>12</v>
      </c>
      <c r="M98" s="1025"/>
      <c r="N98" s="1055" t="str">
        <f t="shared" si="3"/>
        <v>Included</v>
      </c>
      <c r="O98" s="1056">
        <f t="shared" si="4"/>
        <v>0</v>
      </c>
      <c r="P98" s="865"/>
      <c r="Q98" s="285">
        <f t="shared" si="5"/>
        <v>0</v>
      </c>
      <c r="R98" s="893">
        <f t="shared" si="8"/>
        <v>0</v>
      </c>
      <c r="S98" s="865"/>
      <c r="T98" s="890"/>
      <c r="U98" s="865"/>
      <c r="V98" s="891"/>
      <c r="W98" s="865"/>
      <c r="X98" s="865"/>
      <c r="Y98" s="865"/>
    </row>
    <row r="99" spans="1:25" s="866" customFormat="1" ht="57.6">
      <c r="A99" s="1050">
        <f t="shared" si="9"/>
        <v>78</v>
      </c>
      <c r="B99" s="1050">
        <v>7000023516</v>
      </c>
      <c r="C99" s="1050">
        <v>780</v>
      </c>
      <c r="D99" s="1050" t="s">
        <v>738</v>
      </c>
      <c r="E99" s="1050">
        <v>1000020103</v>
      </c>
      <c r="F99" s="1050">
        <v>73082011</v>
      </c>
      <c r="G99" s="1023"/>
      <c r="H99" s="1050">
        <v>18</v>
      </c>
      <c r="I99" s="1024"/>
      <c r="J99" s="1048" t="s">
        <v>644</v>
      </c>
      <c r="K99" s="1050" t="s">
        <v>574</v>
      </c>
      <c r="L99" s="1050">
        <v>1</v>
      </c>
      <c r="M99" s="1025"/>
      <c r="N99" s="1055" t="str">
        <f t="shared" si="3"/>
        <v>Included</v>
      </c>
      <c r="O99" s="1056">
        <f t="shared" si="4"/>
        <v>0</v>
      </c>
      <c r="P99" s="865"/>
      <c r="Q99" s="285">
        <f t="shared" si="5"/>
        <v>0</v>
      </c>
      <c r="R99" s="893">
        <f t="shared" si="8"/>
        <v>0</v>
      </c>
      <c r="S99" s="865"/>
      <c r="T99" s="890"/>
      <c r="U99" s="865"/>
      <c r="V99" s="891"/>
      <c r="W99" s="865"/>
      <c r="X99" s="865"/>
      <c r="Y99" s="865"/>
    </row>
    <row r="100" spans="1:25" s="866" customFormat="1" ht="57.6">
      <c r="A100" s="1050">
        <f t="shared" si="9"/>
        <v>79</v>
      </c>
      <c r="B100" s="1050">
        <v>7000023516</v>
      </c>
      <c r="C100" s="1050">
        <v>790</v>
      </c>
      <c r="D100" s="1050" t="s">
        <v>738</v>
      </c>
      <c r="E100" s="1050">
        <v>1000020109</v>
      </c>
      <c r="F100" s="1050">
        <v>73082011</v>
      </c>
      <c r="G100" s="1023"/>
      <c r="H100" s="1050">
        <v>18</v>
      </c>
      <c r="I100" s="1024"/>
      <c r="J100" s="1048" t="s">
        <v>666</v>
      </c>
      <c r="K100" s="1050" t="s">
        <v>574</v>
      </c>
      <c r="L100" s="1050">
        <v>4</v>
      </c>
      <c r="M100" s="1025"/>
      <c r="N100" s="1055" t="str">
        <f t="shared" si="3"/>
        <v>Included</v>
      </c>
      <c r="O100" s="1056">
        <f t="shared" si="4"/>
        <v>0</v>
      </c>
      <c r="P100" s="865"/>
      <c r="Q100" s="285">
        <f t="shared" si="5"/>
        <v>0</v>
      </c>
      <c r="R100" s="893">
        <f t="shared" si="8"/>
        <v>0</v>
      </c>
      <c r="S100" s="865"/>
      <c r="T100" s="890"/>
      <c r="U100" s="865"/>
      <c r="V100" s="891"/>
      <c r="W100" s="865"/>
      <c r="X100" s="865"/>
      <c r="Y100" s="865"/>
    </row>
    <row r="101" spans="1:25" s="866" customFormat="1" ht="57.6">
      <c r="A101" s="1050">
        <f t="shared" si="9"/>
        <v>80</v>
      </c>
      <c r="B101" s="1050">
        <v>7000023516</v>
      </c>
      <c r="C101" s="1050">
        <v>800</v>
      </c>
      <c r="D101" s="1050" t="s">
        <v>738</v>
      </c>
      <c r="E101" s="1050">
        <v>1000020110</v>
      </c>
      <c r="F101" s="1050">
        <v>73082011</v>
      </c>
      <c r="G101" s="1023"/>
      <c r="H101" s="1050">
        <v>18</v>
      </c>
      <c r="I101" s="1024"/>
      <c r="J101" s="1048" t="s">
        <v>667</v>
      </c>
      <c r="K101" s="1050" t="s">
        <v>574</v>
      </c>
      <c r="L101" s="1050">
        <v>4</v>
      </c>
      <c r="M101" s="1025"/>
      <c r="N101" s="1055" t="str">
        <f t="shared" si="3"/>
        <v>Included</v>
      </c>
      <c r="O101" s="1056">
        <f t="shared" si="4"/>
        <v>0</v>
      </c>
      <c r="P101" s="865"/>
      <c r="Q101" s="285">
        <f t="shared" si="5"/>
        <v>0</v>
      </c>
      <c r="R101" s="893">
        <f t="shared" si="8"/>
        <v>0</v>
      </c>
      <c r="S101" s="865"/>
      <c r="T101" s="890"/>
      <c r="U101" s="865"/>
      <c r="V101" s="891"/>
      <c r="W101" s="865"/>
      <c r="X101" s="865"/>
      <c r="Y101" s="865"/>
    </row>
    <row r="102" spans="1:25" s="866" customFormat="1" ht="57.6">
      <c r="A102" s="1050">
        <f t="shared" si="9"/>
        <v>81</v>
      </c>
      <c r="B102" s="1050">
        <v>7000023516</v>
      </c>
      <c r="C102" s="1050">
        <v>810</v>
      </c>
      <c r="D102" s="1050" t="s">
        <v>738</v>
      </c>
      <c r="E102" s="1050">
        <v>1000020111</v>
      </c>
      <c r="F102" s="1050">
        <v>73082011</v>
      </c>
      <c r="G102" s="1023"/>
      <c r="H102" s="1050">
        <v>18</v>
      </c>
      <c r="I102" s="1024"/>
      <c r="J102" s="1048" t="s">
        <v>755</v>
      </c>
      <c r="K102" s="1050" t="s">
        <v>574</v>
      </c>
      <c r="L102" s="1050">
        <v>8</v>
      </c>
      <c r="M102" s="1025"/>
      <c r="N102" s="1055" t="str">
        <f t="shared" si="3"/>
        <v>Included</v>
      </c>
      <c r="O102" s="1056">
        <f t="shared" si="4"/>
        <v>0</v>
      </c>
      <c r="P102" s="865"/>
      <c r="Q102" s="285">
        <f t="shared" si="5"/>
        <v>0</v>
      </c>
      <c r="R102" s="893">
        <f t="shared" si="8"/>
        <v>0</v>
      </c>
      <c r="S102" s="865"/>
      <c r="T102" s="890"/>
      <c r="U102" s="865"/>
      <c r="V102" s="891"/>
      <c r="W102" s="865"/>
      <c r="X102" s="865"/>
      <c r="Y102" s="865"/>
    </row>
    <row r="103" spans="1:25" s="866" customFormat="1" ht="57.6">
      <c r="A103" s="1050">
        <f t="shared" si="9"/>
        <v>82</v>
      </c>
      <c r="B103" s="1050">
        <v>7000023516</v>
      </c>
      <c r="C103" s="1050">
        <v>820</v>
      </c>
      <c r="D103" s="1050" t="s">
        <v>738</v>
      </c>
      <c r="E103" s="1050">
        <v>1000020112</v>
      </c>
      <c r="F103" s="1050">
        <v>73082011</v>
      </c>
      <c r="G103" s="1023"/>
      <c r="H103" s="1050">
        <v>18</v>
      </c>
      <c r="I103" s="1024"/>
      <c r="J103" s="1048" t="s">
        <v>756</v>
      </c>
      <c r="K103" s="1050" t="s">
        <v>574</v>
      </c>
      <c r="L103" s="1050">
        <v>1</v>
      </c>
      <c r="M103" s="1025"/>
      <c r="N103" s="1055" t="str">
        <f t="shared" si="3"/>
        <v>Included</v>
      </c>
      <c r="O103" s="1056">
        <f t="shared" si="4"/>
        <v>0</v>
      </c>
      <c r="P103" s="865"/>
      <c r="Q103" s="285">
        <f t="shared" si="5"/>
        <v>0</v>
      </c>
      <c r="R103" s="893">
        <f t="shared" si="8"/>
        <v>0</v>
      </c>
      <c r="S103" s="865"/>
      <c r="T103" s="890"/>
      <c r="U103" s="865"/>
      <c r="V103" s="891"/>
      <c r="W103" s="865"/>
      <c r="X103" s="865"/>
      <c r="Y103" s="865"/>
    </row>
    <row r="104" spans="1:25" s="866" customFormat="1" ht="57.6">
      <c r="A104" s="1050">
        <f t="shared" si="9"/>
        <v>83</v>
      </c>
      <c r="B104" s="1050">
        <v>7000023516</v>
      </c>
      <c r="C104" s="1050">
        <v>830</v>
      </c>
      <c r="D104" s="1050" t="s">
        <v>738</v>
      </c>
      <c r="E104" s="1050">
        <v>1000020113</v>
      </c>
      <c r="F104" s="1050">
        <v>73082011</v>
      </c>
      <c r="G104" s="1023"/>
      <c r="H104" s="1050">
        <v>18</v>
      </c>
      <c r="I104" s="1024"/>
      <c r="J104" s="1048" t="s">
        <v>757</v>
      </c>
      <c r="K104" s="1050" t="s">
        <v>574</v>
      </c>
      <c r="L104" s="1050">
        <v>3</v>
      </c>
      <c r="M104" s="1025"/>
      <c r="N104" s="1055" t="str">
        <f t="shared" si="3"/>
        <v>Included</v>
      </c>
      <c r="O104" s="1056">
        <f t="shared" si="4"/>
        <v>0</v>
      </c>
      <c r="P104" s="865"/>
      <c r="Q104" s="285">
        <f t="shared" si="5"/>
        <v>0</v>
      </c>
      <c r="R104" s="893">
        <f t="shared" si="8"/>
        <v>0</v>
      </c>
      <c r="S104" s="865"/>
      <c r="T104" s="890"/>
      <c r="U104" s="865"/>
      <c r="V104" s="891"/>
      <c r="W104" s="865"/>
      <c r="X104" s="865"/>
      <c r="Y104" s="865"/>
    </row>
    <row r="105" spans="1:25" s="866" customFormat="1" ht="57.6">
      <c r="A105" s="1050">
        <f t="shared" si="9"/>
        <v>84</v>
      </c>
      <c r="B105" s="1050">
        <v>7000023516</v>
      </c>
      <c r="C105" s="1050">
        <v>840</v>
      </c>
      <c r="D105" s="1050" t="s">
        <v>639</v>
      </c>
      <c r="E105" s="1050">
        <v>1000020189</v>
      </c>
      <c r="F105" s="1050">
        <v>73045930</v>
      </c>
      <c r="G105" s="1023"/>
      <c r="H105" s="1050">
        <v>18</v>
      </c>
      <c r="I105" s="1024"/>
      <c r="J105" s="1048" t="s">
        <v>649</v>
      </c>
      <c r="K105" s="1050" t="s">
        <v>574</v>
      </c>
      <c r="L105" s="1050">
        <v>29</v>
      </c>
      <c r="M105" s="1025"/>
      <c r="N105" s="1055" t="str">
        <f t="shared" si="3"/>
        <v>Included</v>
      </c>
      <c r="O105" s="1056">
        <f t="shared" si="4"/>
        <v>0</v>
      </c>
      <c r="P105" s="865"/>
      <c r="Q105" s="285">
        <f t="shared" si="5"/>
        <v>0</v>
      </c>
      <c r="R105" s="893">
        <f t="shared" si="8"/>
        <v>0</v>
      </c>
      <c r="S105" s="865"/>
      <c r="T105" s="890"/>
      <c r="U105" s="865"/>
      <c r="V105" s="891"/>
      <c r="W105" s="865"/>
      <c r="X105" s="865"/>
      <c r="Y105" s="865"/>
    </row>
    <row r="106" spans="1:25" s="866" customFormat="1" ht="57.6">
      <c r="A106" s="1050">
        <f t="shared" si="9"/>
        <v>85</v>
      </c>
      <c r="B106" s="1050">
        <v>7000023516</v>
      </c>
      <c r="C106" s="1050">
        <v>850</v>
      </c>
      <c r="D106" s="1050" t="s">
        <v>639</v>
      </c>
      <c r="E106" s="1050">
        <v>1000020187</v>
      </c>
      <c r="F106" s="1050">
        <v>73045930</v>
      </c>
      <c r="G106" s="1023"/>
      <c r="H106" s="1050">
        <v>18</v>
      </c>
      <c r="I106" s="1024"/>
      <c r="J106" s="1048" t="s">
        <v>648</v>
      </c>
      <c r="K106" s="1050" t="s">
        <v>574</v>
      </c>
      <c r="L106" s="1050">
        <v>24</v>
      </c>
      <c r="M106" s="1025"/>
      <c r="N106" s="1055" t="str">
        <f t="shared" si="3"/>
        <v>Included</v>
      </c>
      <c r="O106" s="1056">
        <f t="shared" si="4"/>
        <v>0</v>
      </c>
      <c r="P106" s="865"/>
      <c r="Q106" s="285">
        <f t="shared" si="5"/>
        <v>0</v>
      </c>
      <c r="R106" s="893">
        <f t="shared" si="8"/>
        <v>0</v>
      </c>
      <c r="S106" s="865"/>
      <c r="T106" s="890"/>
      <c r="U106" s="865"/>
      <c r="V106" s="891"/>
      <c r="W106" s="865"/>
      <c r="X106" s="865"/>
      <c r="Y106" s="865"/>
    </row>
    <row r="107" spans="1:25" s="866" customFormat="1" ht="57.6">
      <c r="A107" s="1050">
        <f t="shared" si="9"/>
        <v>86</v>
      </c>
      <c r="B107" s="1050">
        <v>7000023516</v>
      </c>
      <c r="C107" s="1050">
        <v>860</v>
      </c>
      <c r="D107" s="1050" t="s">
        <v>639</v>
      </c>
      <c r="E107" s="1050">
        <v>1000020188</v>
      </c>
      <c r="F107" s="1050">
        <v>73045930</v>
      </c>
      <c r="G107" s="1023"/>
      <c r="H107" s="1050">
        <v>18</v>
      </c>
      <c r="I107" s="1024"/>
      <c r="J107" s="1048" t="s">
        <v>668</v>
      </c>
      <c r="K107" s="1050" t="s">
        <v>574</v>
      </c>
      <c r="L107" s="1050">
        <v>18</v>
      </c>
      <c r="M107" s="1025"/>
      <c r="N107" s="1055" t="str">
        <f t="shared" si="3"/>
        <v>Included</v>
      </c>
      <c r="O107" s="1056">
        <f t="shared" si="4"/>
        <v>0</v>
      </c>
      <c r="P107" s="865"/>
      <c r="Q107" s="285">
        <f t="shared" si="5"/>
        <v>0</v>
      </c>
      <c r="R107" s="893">
        <f t="shared" si="8"/>
        <v>0</v>
      </c>
      <c r="S107" s="865"/>
      <c r="T107" s="890"/>
      <c r="U107" s="865"/>
      <c r="V107" s="891"/>
      <c r="W107" s="865"/>
      <c r="X107" s="865"/>
      <c r="Y107" s="865"/>
    </row>
    <row r="108" spans="1:25" s="866" customFormat="1" ht="57.6">
      <c r="A108" s="1050">
        <f t="shared" si="9"/>
        <v>87</v>
      </c>
      <c r="B108" s="1050">
        <v>7000023516</v>
      </c>
      <c r="C108" s="1050">
        <v>870</v>
      </c>
      <c r="D108" s="1050" t="s">
        <v>639</v>
      </c>
      <c r="E108" s="1050">
        <v>1000020190</v>
      </c>
      <c r="F108" s="1050">
        <v>73045930</v>
      </c>
      <c r="G108" s="1023"/>
      <c r="H108" s="1050">
        <v>18</v>
      </c>
      <c r="I108" s="1024"/>
      <c r="J108" s="1048" t="s">
        <v>650</v>
      </c>
      <c r="K108" s="1050" t="s">
        <v>574</v>
      </c>
      <c r="L108" s="1050">
        <v>18</v>
      </c>
      <c r="M108" s="1025"/>
      <c r="N108" s="1055" t="str">
        <f t="shared" si="3"/>
        <v>Included</v>
      </c>
      <c r="O108" s="1056">
        <f t="shared" si="4"/>
        <v>0</v>
      </c>
      <c r="P108" s="865"/>
      <c r="Q108" s="285">
        <f t="shared" si="5"/>
        <v>0</v>
      </c>
      <c r="R108" s="893">
        <f t="shared" si="8"/>
        <v>0</v>
      </c>
      <c r="S108" s="865"/>
      <c r="T108" s="890"/>
      <c r="U108" s="865"/>
      <c r="V108" s="891"/>
      <c r="W108" s="865"/>
      <c r="X108" s="865"/>
      <c r="Y108" s="865"/>
    </row>
    <row r="109" spans="1:25" s="866" customFormat="1" ht="28.8">
      <c r="A109" s="1050">
        <f t="shared" si="9"/>
        <v>88</v>
      </c>
      <c r="B109" s="1050">
        <v>7000023516</v>
      </c>
      <c r="C109" s="1050">
        <v>880</v>
      </c>
      <c r="D109" s="1050" t="s">
        <v>639</v>
      </c>
      <c r="E109" s="1050">
        <v>1000017563</v>
      </c>
      <c r="F109" s="1050">
        <v>73045930</v>
      </c>
      <c r="G109" s="1023"/>
      <c r="H109" s="1050">
        <v>18</v>
      </c>
      <c r="I109" s="1024"/>
      <c r="J109" s="1048" t="s">
        <v>712</v>
      </c>
      <c r="K109" s="1050" t="s">
        <v>574</v>
      </c>
      <c r="L109" s="1050">
        <v>12</v>
      </c>
      <c r="M109" s="1025"/>
      <c r="N109" s="1055" t="str">
        <f t="shared" si="3"/>
        <v>Included</v>
      </c>
      <c r="O109" s="1056">
        <f t="shared" si="4"/>
        <v>0</v>
      </c>
      <c r="P109" s="865"/>
      <c r="Q109" s="285">
        <f t="shared" si="5"/>
        <v>0</v>
      </c>
      <c r="R109" s="893">
        <f t="shared" si="8"/>
        <v>0</v>
      </c>
      <c r="S109" s="865"/>
      <c r="T109" s="890"/>
      <c r="U109" s="865"/>
      <c r="V109" s="891"/>
      <c r="W109" s="865"/>
      <c r="X109" s="865"/>
      <c r="Y109" s="865"/>
    </row>
    <row r="110" spans="1:25" s="866" customFormat="1" ht="28.8">
      <c r="A110" s="1050">
        <f t="shared" si="9"/>
        <v>89</v>
      </c>
      <c r="B110" s="1050">
        <v>7000023516</v>
      </c>
      <c r="C110" s="1050">
        <v>890</v>
      </c>
      <c r="D110" s="1050" t="s">
        <v>639</v>
      </c>
      <c r="E110" s="1050">
        <v>1000017562</v>
      </c>
      <c r="F110" s="1050">
        <v>73045930</v>
      </c>
      <c r="G110" s="1023"/>
      <c r="H110" s="1050">
        <v>18</v>
      </c>
      <c r="I110" s="1024"/>
      <c r="J110" s="1048" t="s">
        <v>647</v>
      </c>
      <c r="K110" s="1050" t="s">
        <v>574</v>
      </c>
      <c r="L110" s="1050">
        <v>68</v>
      </c>
      <c r="M110" s="1025"/>
      <c r="N110" s="1055" t="str">
        <f t="shared" si="3"/>
        <v>Included</v>
      </c>
      <c r="O110" s="1056">
        <f t="shared" si="4"/>
        <v>0</v>
      </c>
      <c r="P110" s="865"/>
      <c r="Q110" s="285">
        <f t="shared" si="5"/>
        <v>0</v>
      </c>
      <c r="R110" s="893">
        <f t="shared" si="8"/>
        <v>0</v>
      </c>
      <c r="S110" s="865"/>
      <c r="T110" s="890"/>
      <c r="U110" s="865"/>
      <c r="V110" s="891"/>
      <c r="W110" s="865"/>
      <c r="X110" s="865"/>
      <c r="Y110" s="865"/>
    </row>
    <row r="111" spans="1:25" s="866" customFormat="1" ht="57.6">
      <c r="A111" s="1050">
        <f t="shared" si="9"/>
        <v>90</v>
      </c>
      <c r="B111" s="1050">
        <v>7000023516</v>
      </c>
      <c r="C111" s="1050">
        <v>900</v>
      </c>
      <c r="D111" s="1050" t="s">
        <v>639</v>
      </c>
      <c r="E111" s="1050">
        <v>1000017565</v>
      </c>
      <c r="F111" s="1050">
        <v>73045930</v>
      </c>
      <c r="G111" s="1023"/>
      <c r="H111" s="1050">
        <v>18</v>
      </c>
      <c r="I111" s="1024"/>
      <c r="J111" s="1048" t="s">
        <v>646</v>
      </c>
      <c r="K111" s="1050" t="s">
        <v>574</v>
      </c>
      <c r="L111" s="1050">
        <v>24</v>
      </c>
      <c r="M111" s="1025"/>
      <c r="N111" s="1055" t="str">
        <f t="shared" si="3"/>
        <v>Included</v>
      </c>
      <c r="O111" s="1056">
        <f t="shared" si="4"/>
        <v>0</v>
      </c>
      <c r="P111" s="865"/>
      <c r="Q111" s="285">
        <f t="shared" si="5"/>
        <v>0</v>
      </c>
      <c r="R111" s="893">
        <f t="shared" si="8"/>
        <v>0</v>
      </c>
      <c r="S111" s="865"/>
      <c r="T111" s="890"/>
      <c r="U111" s="865"/>
      <c r="V111" s="891"/>
      <c r="W111" s="865"/>
      <c r="X111" s="865"/>
      <c r="Y111" s="865"/>
    </row>
    <row r="112" spans="1:25" s="866" customFormat="1" ht="14.4">
      <c r="A112" s="1050">
        <f t="shared" si="9"/>
        <v>91</v>
      </c>
      <c r="B112" s="1050">
        <v>7000023516</v>
      </c>
      <c r="C112" s="1050">
        <v>910</v>
      </c>
      <c r="D112" s="1050" t="s">
        <v>796</v>
      </c>
      <c r="E112" s="1050">
        <v>1000019918</v>
      </c>
      <c r="F112" s="1050">
        <v>85359090</v>
      </c>
      <c r="G112" s="1023"/>
      <c r="H112" s="1050">
        <v>18</v>
      </c>
      <c r="I112" s="1024"/>
      <c r="J112" s="1048" t="s">
        <v>635</v>
      </c>
      <c r="K112" s="1050" t="s">
        <v>577</v>
      </c>
      <c r="L112" s="1050">
        <v>1</v>
      </c>
      <c r="M112" s="1025"/>
      <c r="N112" s="1055" t="str">
        <f t="shared" si="3"/>
        <v>Included</v>
      </c>
      <c r="O112" s="1056">
        <f t="shared" si="4"/>
        <v>0</v>
      </c>
      <c r="P112" s="865"/>
      <c r="Q112" s="285">
        <f t="shared" si="5"/>
        <v>0</v>
      </c>
      <c r="R112" s="893">
        <f t="shared" si="8"/>
        <v>0</v>
      </c>
      <c r="S112" s="865"/>
      <c r="T112" s="890"/>
      <c r="U112" s="865"/>
      <c r="V112" s="891"/>
      <c r="W112" s="865"/>
      <c r="X112" s="865"/>
      <c r="Y112" s="865"/>
    </row>
    <row r="113" spans="1:25" s="866" customFormat="1" ht="14.4">
      <c r="A113" s="1050">
        <f t="shared" si="9"/>
        <v>92</v>
      </c>
      <c r="B113" s="1050">
        <v>7000023516</v>
      </c>
      <c r="C113" s="1050">
        <v>920</v>
      </c>
      <c r="D113" s="1050" t="s">
        <v>796</v>
      </c>
      <c r="E113" s="1050">
        <v>1000025935</v>
      </c>
      <c r="F113" s="1050">
        <v>85359090</v>
      </c>
      <c r="G113" s="1023"/>
      <c r="H113" s="1050">
        <v>18</v>
      </c>
      <c r="I113" s="1024"/>
      <c r="J113" s="1048" t="s">
        <v>652</v>
      </c>
      <c r="K113" s="1050" t="s">
        <v>578</v>
      </c>
      <c r="L113" s="1050">
        <v>1</v>
      </c>
      <c r="M113" s="1025"/>
      <c r="N113" s="1055" t="str">
        <f t="shared" si="3"/>
        <v>Included</v>
      </c>
      <c r="O113" s="1056">
        <f t="shared" si="4"/>
        <v>0</v>
      </c>
      <c r="P113" s="865"/>
      <c r="Q113" s="285">
        <f t="shared" si="5"/>
        <v>0</v>
      </c>
      <c r="R113" s="893">
        <f t="shared" si="8"/>
        <v>0</v>
      </c>
      <c r="S113" s="865"/>
      <c r="T113" s="890"/>
      <c r="U113" s="865"/>
      <c r="V113" s="891"/>
      <c r="W113" s="865"/>
      <c r="X113" s="865"/>
      <c r="Y113" s="865"/>
    </row>
    <row r="114" spans="1:25" s="866" customFormat="1" ht="14.4">
      <c r="A114" s="1050">
        <f t="shared" si="9"/>
        <v>93</v>
      </c>
      <c r="B114" s="1050">
        <v>7000023516</v>
      </c>
      <c r="C114" s="1050">
        <v>930</v>
      </c>
      <c r="D114" s="1050" t="s">
        <v>796</v>
      </c>
      <c r="E114" s="1050">
        <v>1000019919</v>
      </c>
      <c r="F114" s="1050">
        <v>85353090</v>
      </c>
      <c r="G114" s="1023"/>
      <c r="H114" s="1050">
        <v>18</v>
      </c>
      <c r="I114" s="1024"/>
      <c r="J114" s="1048" t="s">
        <v>634</v>
      </c>
      <c r="K114" s="1050" t="s">
        <v>577</v>
      </c>
      <c r="L114" s="1050">
        <v>1</v>
      </c>
      <c r="M114" s="1025"/>
      <c r="N114" s="1055" t="str">
        <f t="shared" si="3"/>
        <v>Included</v>
      </c>
      <c r="O114" s="1056">
        <f t="shared" si="4"/>
        <v>0</v>
      </c>
      <c r="P114" s="865"/>
      <c r="Q114" s="285">
        <f t="shared" si="5"/>
        <v>0</v>
      </c>
      <c r="R114" s="893">
        <f t="shared" si="8"/>
        <v>0</v>
      </c>
      <c r="S114" s="865"/>
      <c r="T114" s="890"/>
      <c r="U114" s="865"/>
      <c r="V114" s="891"/>
      <c r="W114" s="865"/>
      <c r="X114" s="865"/>
      <c r="Y114" s="865"/>
    </row>
    <row r="115" spans="1:25" s="866" customFormat="1" ht="14.4">
      <c r="A115" s="1050">
        <f t="shared" si="9"/>
        <v>94</v>
      </c>
      <c r="B115" s="1050">
        <v>7000023516</v>
      </c>
      <c r="C115" s="1050">
        <v>940</v>
      </c>
      <c r="D115" s="1050" t="s">
        <v>796</v>
      </c>
      <c r="E115" s="1050">
        <v>1000025936</v>
      </c>
      <c r="F115" s="1050">
        <v>85353090</v>
      </c>
      <c r="G115" s="1023"/>
      <c r="H115" s="1050">
        <v>18</v>
      </c>
      <c r="I115" s="1024"/>
      <c r="J115" s="1048" t="s">
        <v>713</v>
      </c>
      <c r="K115" s="1050" t="s">
        <v>578</v>
      </c>
      <c r="L115" s="1050">
        <v>1</v>
      </c>
      <c r="M115" s="1025"/>
      <c r="N115" s="1055" t="str">
        <f t="shared" si="3"/>
        <v>Included</v>
      </c>
      <c r="O115" s="1056">
        <f t="shared" si="4"/>
        <v>0</v>
      </c>
      <c r="P115" s="865"/>
      <c r="Q115" s="285">
        <f t="shared" si="5"/>
        <v>0</v>
      </c>
      <c r="R115" s="893">
        <f t="shared" si="8"/>
        <v>0</v>
      </c>
      <c r="S115" s="865"/>
      <c r="T115" s="890"/>
      <c r="U115" s="865"/>
      <c r="V115" s="891"/>
      <c r="W115" s="865"/>
      <c r="X115" s="865"/>
      <c r="Y115" s="865"/>
    </row>
    <row r="116" spans="1:25" s="866" customFormat="1" ht="14.4">
      <c r="A116" s="1050">
        <f t="shared" si="9"/>
        <v>95</v>
      </c>
      <c r="B116" s="1050">
        <v>7000023516</v>
      </c>
      <c r="C116" s="1050">
        <v>950</v>
      </c>
      <c r="D116" s="1050" t="s">
        <v>796</v>
      </c>
      <c r="E116" s="1050">
        <v>1000025941</v>
      </c>
      <c r="F116" s="1050">
        <v>85389000</v>
      </c>
      <c r="G116" s="1023"/>
      <c r="H116" s="1050">
        <v>18</v>
      </c>
      <c r="I116" s="1024"/>
      <c r="J116" s="1048" t="s">
        <v>636</v>
      </c>
      <c r="K116" s="1050" t="s">
        <v>578</v>
      </c>
      <c r="L116" s="1050">
        <v>1</v>
      </c>
      <c r="M116" s="1025"/>
      <c r="N116" s="1055" t="str">
        <f t="shared" si="3"/>
        <v>Included</v>
      </c>
      <c r="O116" s="1056">
        <f t="shared" si="4"/>
        <v>0</v>
      </c>
      <c r="P116" s="865"/>
      <c r="Q116" s="285">
        <f t="shared" si="5"/>
        <v>0</v>
      </c>
      <c r="R116" s="893">
        <f t="shared" si="8"/>
        <v>0</v>
      </c>
      <c r="S116" s="865"/>
      <c r="T116" s="890"/>
      <c r="U116" s="865"/>
      <c r="V116" s="891"/>
      <c r="W116" s="865"/>
      <c r="X116" s="865"/>
      <c r="Y116" s="865"/>
    </row>
    <row r="117" spans="1:25" s="866" customFormat="1" ht="14.4">
      <c r="A117" s="1050">
        <f t="shared" si="9"/>
        <v>96</v>
      </c>
      <c r="B117" s="1050">
        <v>7000023516</v>
      </c>
      <c r="C117" s="1050">
        <v>960</v>
      </c>
      <c r="D117" s="1050" t="s">
        <v>796</v>
      </c>
      <c r="E117" s="1050">
        <v>1000025933</v>
      </c>
      <c r="F117" s="1050">
        <v>85389000</v>
      </c>
      <c r="G117" s="1023"/>
      <c r="H117" s="1050">
        <v>18</v>
      </c>
      <c r="I117" s="1024"/>
      <c r="J117" s="1048" t="s">
        <v>653</v>
      </c>
      <c r="K117" s="1050" t="s">
        <v>578</v>
      </c>
      <c r="L117" s="1050">
        <v>1</v>
      </c>
      <c r="M117" s="1025"/>
      <c r="N117" s="1055" t="str">
        <f t="shared" si="3"/>
        <v>Included</v>
      </c>
      <c r="O117" s="1056">
        <f t="shared" si="4"/>
        <v>0</v>
      </c>
      <c r="P117" s="865"/>
      <c r="Q117" s="285">
        <f t="shared" si="5"/>
        <v>0</v>
      </c>
      <c r="R117" s="893">
        <f t="shared" si="8"/>
        <v>0</v>
      </c>
      <c r="S117" s="865"/>
      <c r="T117" s="890"/>
      <c r="U117" s="865"/>
      <c r="V117" s="891"/>
      <c r="W117" s="865"/>
      <c r="X117" s="865"/>
      <c r="Y117" s="865"/>
    </row>
    <row r="118" spans="1:25" s="866" customFormat="1" ht="14.4">
      <c r="A118" s="1050">
        <f t="shared" si="9"/>
        <v>97</v>
      </c>
      <c r="B118" s="1050">
        <v>7000023516</v>
      </c>
      <c r="C118" s="1050">
        <v>970</v>
      </c>
      <c r="D118" s="1050" t="s">
        <v>796</v>
      </c>
      <c r="E118" s="1050">
        <v>1000025934</v>
      </c>
      <c r="F118" s="1050">
        <v>85359090</v>
      </c>
      <c r="G118" s="1023"/>
      <c r="H118" s="1050">
        <v>18</v>
      </c>
      <c r="I118" s="1024"/>
      <c r="J118" s="1048" t="s">
        <v>669</v>
      </c>
      <c r="K118" s="1050" t="s">
        <v>578</v>
      </c>
      <c r="L118" s="1050">
        <v>1</v>
      </c>
      <c r="M118" s="1025"/>
      <c r="N118" s="1055" t="str">
        <f t="shared" si="3"/>
        <v>Included</v>
      </c>
      <c r="O118" s="1056">
        <f t="shared" si="4"/>
        <v>0</v>
      </c>
      <c r="P118" s="865"/>
      <c r="Q118" s="285">
        <f t="shared" si="5"/>
        <v>0</v>
      </c>
      <c r="R118" s="893">
        <f t="shared" si="8"/>
        <v>0</v>
      </c>
      <c r="S118" s="865"/>
      <c r="T118" s="890"/>
      <c r="U118" s="865"/>
      <c r="V118" s="891"/>
      <c r="W118" s="865"/>
      <c r="X118" s="865"/>
      <c r="Y118" s="865"/>
    </row>
    <row r="119" spans="1:25" s="866" customFormat="1" ht="14.4">
      <c r="A119" s="1050">
        <f t="shared" si="9"/>
        <v>98</v>
      </c>
      <c r="B119" s="1050">
        <v>7000023516</v>
      </c>
      <c r="C119" s="1050">
        <v>980</v>
      </c>
      <c r="D119" s="1050" t="s">
        <v>796</v>
      </c>
      <c r="E119" s="1050">
        <v>1000024186</v>
      </c>
      <c r="F119" s="1050">
        <v>85354010</v>
      </c>
      <c r="G119" s="1023"/>
      <c r="H119" s="1050">
        <v>18</v>
      </c>
      <c r="I119" s="1024"/>
      <c r="J119" s="1048" t="s">
        <v>637</v>
      </c>
      <c r="K119" s="1050" t="s">
        <v>577</v>
      </c>
      <c r="L119" s="1050">
        <v>1</v>
      </c>
      <c r="M119" s="1025"/>
      <c r="N119" s="1055" t="str">
        <f t="shared" si="3"/>
        <v>Included</v>
      </c>
      <c r="O119" s="1056">
        <f t="shared" si="4"/>
        <v>0</v>
      </c>
      <c r="P119" s="865"/>
      <c r="Q119" s="285">
        <f t="shared" si="5"/>
        <v>0</v>
      </c>
      <c r="R119" s="893">
        <f t="shared" si="8"/>
        <v>0</v>
      </c>
      <c r="S119" s="865"/>
      <c r="T119" s="890"/>
      <c r="U119" s="865"/>
      <c r="V119" s="891"/>
      <c r="W119" s="865"/>
      <c r="X119" s="865"/>
      <c r="Y119" s="865"/>
    </row>
    <row r="120" spans="1:25" s="866" customFormat="1" ht="14.4">
      <c r="A120" s="1050">
        <f t="shared" si="9"/>
        <v>99</v>
      </c>
      <c r="B120" s="1050">
        <v>7000023516</v>
      </c>
      <c r="C120" s="1050">
        <v>990</v>
      </c>
      <c r="D120" s="1050" t="s">
        <v>796</v>
      </c>
      <c r="E120" s="1050">
        <v>1000025930</v>
      </c>
      <c r="F120" s="1050">
        <v>85354010</v>
      </c>
      <c r="G120" s="1023"/>
      <c r="H120" s="1050">
        <v>18</v>
      </c>
      <c r="I120" s="1024"/>
      <c r="J120" s="1048" t="s">
        <v>654</v>
      </c>
      <c r="K120" s="1050" t="s">
        <v>578</v>
      </c>
      <c r="L120" s="1050">
        <v>1</v>
      </c>
      <c r="M120" s="1025"/>
      <c r="N120" s="1055" t="str">
        <f t="shared" si="3"/>
        <v>Included</v>
      </c>
      <c r="O120" s="1056">
        <f t="shared" si="4"/>
        <v>0</v>
      </c>
      <c r="P120" s="865"/>
      <c r="Q120" s="285">
        <f t="shared" si="5"/>
        <v>0</v>
      </c>
      <c r="R120" s="893">
        <f t="shared" si="8"/>
        <v>0</v>
      </c>
      <c r="S120" s="865"/>
      <c r="T120" s="890"/>
      <c r="U120" s="865"/>
      <c r="V120" s="891"/>
      <c r="W120" s="865"/>
      <c r="X120" s="865"/>
      <c r="Y120" s="865"/>
    </row>
    <row r="121" spans="1:25" s="866" customFormat="1" ht="14.4">
      <c r="A121" s="1050">
        <f t="shared" si="9"/>
        <v>100</v>
      </c>
      <c r="B121" s="1050">
        <v>7000023516</v>
      </c>
      <c r="C121" s="1050">
        <v>1020</v>
      </c>
      <c r="D121" s="1050" t="s">
        <v>796</v>
      </c>
      <c r="E121" s="1050">
        <v>1000019912</v>
      </c>
      <c r="F121" s="1050">
        <v>85371000</v>
      </c>
      <c r="G121" s="1023"/>
      <c r="H121" s="1050">
        <v>18</v>
      </c>
      <c r="I121" s="1024"/>
      <c r="J121" s="1048" t="s">
        <v>655</v>
      </c>
      <c r="K121" s="1050" t="s">
        <v>577</v>
      </c>
      <c r="L121" s="1050">
        <v>1</v>
      </c>
      <c r="M121" s="1025"/>
      <c r="N121" s="1055" t="str">
        <f t="shared" si="3"/>
        <v>Included</v>
      </c>
      <c r="O121" s="1056">
        <f t="shared" si="4"/>
        <v>0</v>
      </c>
      <c r="P121" s="865"/>
      <c r="Q121" s="285">
        <f t="shared" si="5"/>
        <v>0</v>
      </c>
      <c r="R121" s="893">
        <f t="shared" si="8"/>
        <v>0</v>
      </c>
      <c r="S121" s="865"/>
      <c r="T121" s="890"/>
      <c r="U121" s="865"/>
      <c r="V121" s="891"/>
      <c r="W121" s="865"/>
      <c r="X121" s="865"/>
      <c r="Y121" s="865"/>
    </row>
    <row r="122" spans="1:25" s="866" customFormat="1" ht="14.4">
      <c r="A122" s="1050">
        <f t="shared" si="9"/>
        <v>101</v>
      </c>
      <c r="B122" s="1050">
        <v>7000023516</v>
      </c>
      <c r="C122" s="1050">
        <v>1030</v>
      </c>
      <c r="D122" s="1050" t="s">
        <v>796</v>
      </c>
      <c r="E122" s="1050">
        <v>1000019927</v>
      </c>
      <c r="F122" s="1050">
        <v>85389000</v>
      </c>
      <c r="G122" s="1023"/>
      <c r="H122" s="1050">
        <v>18</v>
      </c>
      <c r="I122" s="1024"/>
      <c r="J122" s="1048" t="s">
        <v>656</v>
      </c>
      <c r="K122" s="1050" t="s">
        <v>577</v>
      </c>
      <c r="L122" s="1050">
        <v>1</v>
      </c>
      <c r="M122" s="1025"/>
      <c r="N122" s="1055" t="str">
        <f t="shared" si="3"/>
        <v>Included</v>
      </c>
      <c r="O122" s="1056">
        <f t="shared" si="4"/>
        <v>0</v>
      </c>
      <c r="P122" s="865"/>
      <c r="Q122" s="285">
        <f t="shared" si="5"/>
        <v>0</v>
      </c>
      <c r="R122" s="893">
        <f t="shared" si="8"/>
        <v>0</v>
      </c>
      <c r="S122" s="865"/>
      <c r="T122" s="890"/>
      <c r="U122" s="865"/>
      <c r="V122" s="891"/>
      <c r="W122" s="865"/>
      <c r="X122" s="865"/>
      <c r="Y122" s="865"/>
    </row>
    <row r="123" spans="1:25" s="866" customFormat="1" ht="14.4">
      <c r="A123" s="1050">
        <f t="shared" si="9"/>
        <v>102</v>
      </c>
      <c r="B123" s="1050">
        <v>7000023516</v>
      </c>
      <c r="C123" s="1050">
        <v>1000</v>
      </c>
      <c r="D123" s="1050" t="s">
        <v>796</v>
      </c>
      <c r="E123" s="1050">
        <v>1000025940</v>
      </c>
      <c r="F123" s="1050">
        <v>85462040</v>
      </c>
      <c r="G123" s="1023"/>
      <c r="H123" s="1050">
        <v>18</v>
      </c>
      <c r="I123" s="1024"/>
      <c r="J123" s="1048" t="s">
        <v>814</v>
      </c>
      <c r="K123" s="1050" t="s">
        <v>578</v>
      </c>
      <c r="L123" s="1050">
        <v>1</v>
      </c>
      <c r="M123" s="1025"/>
      <c r="N123" s="1055" t="str">
        <f t="shared" si="3"/>
        <v>Included</v>
      </c>
      <c r="O123" s="1056">
        <f t="shared" si="4"/>
        <v>0</v>
      </c>
      <c r="P123" s="865"/>
      <c r="Q123" s="285">
        <f t="shared" si="5"/>
        <v>0</v>
      </c>
      <c r="R123" s="893">
        <f t="shared" si="8"/>
        <v>0</v>
      </c>
      <c r="S123" s="865"/>
      <c r="T123" s="890"/>
      <c r="U123" s="865"/>
      <c r="V123" s="891"/>
      <c r="W123" s="865"/>
      <c r="X123" s="865"/>
      <c r="Y123" s="865"/>
    </row>
    <row r="124" spans="1:25" s="866" customFormat="1" ht="14.4">
      <c r="A124" s="1050">
        <f t="shared" si="9"/>
        <v>103</v>
      </c>
      <c r="B124" s="1050">
        <v>7000023516</v>
      </c>
      <c r="C124" s="1050">
        <v>1010</v>
      </c>
      <c r="D124" s="1050" t="s">
        <v>796</v>
      </c>
      <c r="E124" s="1050">
        <v>1000025932</v>
      </c>
      <c r="F124" s="1050">
        <v>85462040</v>
      </c>
      <c r="G124" s="1023"/>
      <c r="H124" s="1050">
        <v>18</v>
      </c>
      <c r="I124" s="1024"/>
      <c r="J124" s="1048" t="s">
        <v>815</v>
      </c>
      <c r="K124" s="1050" t="s">
        <v>578</v>
      </c>
      <c r="L124" s="1050">
        <v>1</v>
      </c>
      <c r="M124" s="1025"/>
      <c r="N124" s="1055" t="str">
        <f t="shared" si="3"/>
        <v>Included</v>
      </c>
      <c r="O124" s="1056">
        <f t="shared" si="4"/>
        <v>0</v>
      </c>
      <c r="P124" s="865"/>
      <c r="Q124" s="285">
        <f t="shared" si="5"/>
        <v>0</v>
      </c>
      <c r="R124" s="893">
        <f t="shared" si="8"/>
        <v>0</v>
      </c>
      <c r="S124" s="865"/>
      <c r="T124" s="890"/>
      <c r="U124" s="865"/>
      <c r="V124" s="891"/>
      <c r="W124" s="865"/>
      <c r="X124" s="865"/>
      <c r="Y124" s="865"/>
    </row>
    <row r="125" spans="1:25" s="866" customFormat="1" ht="28.8">
      <c r="A125" s="1050">
        <f t="shared" si="9"/>
        <v>104</v>
      </c>
      <c r="B125" s="1050">
        <v>7000023516</v>
      </c>
      <c r="C125" s="1050">
        <v>1040</v>
      </c>
      <c r="D125" s="1050" t="s">
        <v>797</v>
      </c>
      <c r="E125" s="1050">
        <v>1000003409</v>
      </c>
      <c r="F125" s="1050">
        <v>85371000</v>
      </c>
      <c r="G125" s="1023"/>
      <c r="H125" s="1050">
        <v>18</v>
      </c>
      <c r="I125" s="1024"/>
      <c r="J125" s="1048" t="s">
        <v>582</v>
      </c>
      <c r="K125" s="1050" t="s">
        <v>574</v>
      </c>
      <c r="L125" s="1050">
        <v>2</v>
      </c>
      <c r="M125" s="1025"/>
      <c r="N125" s="1055" t="str">
        <f t="shared" si="3"/>
        <v>Included</v>
      </c>
      <c r="O125" s="1056">
        <f t="shared" si="4"/>
        <v>0</v>
      </c>
      <c r="P125" s="865"/>
      <c r="Q125" s="285">
        <f t="shared" si="5"/>
        <v>0</v>
      </c>
      <c r="R125" s="893">
        <f t="shared" si="8"/>
        <v>0</v>
      </c>
      <c r="S125" s="865"/>
      <c r="T125" s="890"/>
      <c r="U125" s="865"/>
      <c r="V125" s="891"/>
      <c r="W125" s="865"/>
      <c r="X125" s="865"/>
      <c r="Y125" s="865"/>
    </row>
    <row r="126" spans="1:25" s="866" customFormat="1" ht="28.8">
      <c r="A126" s="1050">
        <f t="shared" si="9"/>
        <v>105</v>
      </c>
      <c r="B126" s="1050">
        <v>7000023516</v>
      </c>
      <c r="C126" s="1050">
        <v>1050</v>
      </c>
      <c r="D126" s="1050" t="s">
        <v>798</v>
      </c>
      <c r="E126" s="1050">
        <v>1000001333</v>
      </c>
      <c r="F126" s="1050">
        <v>85371000</v>
      </c>
      <c r="G126" s="1023"/>
      <c r="H126" s="1050">
        <v>18</v>
      </c>
      <c r="I126" s="1024"/>
      <c r="J126" s="1048" t="s">
        <v>663</v>
      </c>
      <c r="K126" s="1050" t="s">
        <v>574</v>
      </c>
      <c r="L126" s="1050">
        <v>8</v>
      </c>
      <c r="M126" s="1025"/>
      <c r="N126" s="1055" t="str">
        <f t="shared" si="3"/>
        <v>Included</v>
      </c>
      <c r="O126" s="1056">
        <f t="shared" si="4"/>
        <v>0</v>
      </c>
      <c r="P126" s="865"/>
      <c r="Q126" s="285">
        <f t="shared" si="5"/>
        <v>0</v>
      </c>
      <c r="R126" s="893">
        <f t="shared" si="8"/>
        <v>0</v>
      </c>
      <c r="S126" s="865"/>
      <c r="T126" s="890"/>
      <c r="U126" s="865"/>
      <c r="V126" s="891"/>
      <c r="W126" s="865"/>
      <c r="X126" s="865"/>
      <c r="Y126" s="865"/>
    </row>
    <row r="127" spans="1:25" s="866" customFormat="1" ht="43.2">
      <c r="A127" s="1050">
        <f t="shared" si="9"/>
        <v>106</v>
      </c>
      <c r="B127" s="1050">
        <v>7000023516</v>
      </c>
      <c r="C127" s="1050">
        <v>1290</v>
      </c>
      <c r="D127" s="1050" t="s">
        <v>799</v>
      </c>
      <c r="E127" s="1050">
        <v>1000012366</v>
      </c>
      <c r="F127" s="1050">
        <v>73082011</v>
      </c>
      <c r="G127" s="1023"/>
      <c r="H127" s="1050">
        <v>18</v>
      </c>
      <c r="I127" s="1024"/>
      <c r="J127" s="1048" t="s">
        <v>591</v>
      </c>
      <c r="K127" s="1050" t="s">
        <v>574</v>
      </c>
      <c r="L127" s="1050">
        <v>1584</v>
      </c>
      <c r="M127" s="1025"/>
      <c r="N127" s="1055" t="str">
        <f t="shared" si="0"/>
        <v>Included</v>
      </c>
      <c r="O127" s="1056">
        <f t="shared" si="1"/>
        <v>0</v>
      </c>
      <c r="P127" s="865"/>
      <c r="Q127" s="285">
        <f t="shared" si="2"/>
        <v>0</v>
      </c>
      <c r="R127" s="893">
        <f t="shared" ref="R127:R147" si="10">IF(I127="", H127*Q127/100,I127*Q127/100)</f>
        <v>0</v>
      </c>
      <c r="S127" s="865"/>
      <c r="T127" s="890"/>
      <c r="U127" s="865"/>
      <c r="V127" s="891"/>
      <c r="W127" s="865"/>
      <c r="X127" s="865"/>
      <c r="Y127" s="865"/>
    </row>
    <row r="128" spans="1:25" s="866" customFormat="1" ht="43.2">
      <c r="A128" s="1050">
        <f t="shared" si="9"/>
        <v>107</v>
      </c>
      <c r="B128" s="1050">
        <v>7000023516</v>
      </c>
      <c r="C128" s="1050">
        <v>1300</v>
      </c>
      <c r="D128" s="1050" t="s">
        <v>799</v>
      </c>
      <c r="E128" s="1050">
        <v>1000012368</v>
      </c>
      <c r="F128" s="1050">
        <v>73082011</v>
      </c>
      <c r="G128" s="1023"/>
      <c r="H128" s="1050">
        <v>18</v>
      </c>
      <c r="I128" s="1024"/>
      <c r="J128" s="1048" t="s">
        <v>657</v>
      </c>
      <c r="K128" s="1050" t="s">
        <v>574</v>
      </c>
      <c r="L128" s="1050">
        <v>256</v>
      </c>
      <c r="M128" s="1025"/>
      <c r="N128" s="1055" t="str">
        <f t="shared" si="0"/>
        <v>Included</v>
      </c>
      <c r="O128" s="1056">
        <f t="shared" si="1"/>
        <v>0</v>
      </c>
      <c r="P128" s="865"/>
      <c r="Q128" s="285">
        <f t="shared" si="2"/>
        <v>0</v>
      </c>
      <c r="R128" s="893">
        <f t="shared" si="10"/>
        <v>0</v>
      </c>
      <c r="S128" s="865"/>
      <c r="T128" s="890"/>
      <c r="U128" s="865"/>
      <c r="V128" s="891"/>
      <c r="W128" s="865"/>
      <c r="X128" s="865"/>
      <c r="Y128" s="865"/>
    </row>
    <row r="129" spans="1:25" s="866" customFormat="1" ht="43.2">
      <c r="A129" s="1050">
        <f t="shared" si="9"/>
        <v>108</v>
      </c>
      <c r="B129" s="1050">
        <v>7000023516</v>
      </c>
      <c r="C129" s="1050">
        <v>1310</v>
      </c>
      <c r="D129" s="1050" t="s">
        <v>799</v>
      </c>
      <c r="E129" s="1050">
        <v>1000012369</v>
      </c>
      <c r="F129" s="1050">
        <v>73082011</v>
      </c>
      <c r="G129" s="1023"/>
      <c r="H129" s="1050">
        <v>18</v>
      </c>
      <c r="I129" s="1024"/>
      <c r="J129" s="1048" t="s">
        <v>592</v>
      </c>
      <c r="K129" s="1050" t="s">
        <v>574</v>
      </c>
      <c r="L129" s="1050">
        <v>396</v>
      </c>
      <c r="M129" s="1025"/>
      <c r="N129" s="1055" t="str">
        <f t="shared" si="0"/>
        <v>Included</v>
      </c>
      <c r="O129" s="1056">
        <f t="shared" si="1"/>
        <v>0</v>
      </c>
      <c r="P129" s="865"/>
      <c r="Q129" s="285">
        <f t="shared" si="2"/>
        <v>0</v>
      </c>
      <c r="R129" s="893">
        <f t="shared" si="10"/>
        <v>0</v>
      </c>
      <c r="S129" s="865"/>
      <c r="T129" s="890"/>
      <c r="U129" s="865"/>
      <c r="V129" s="891"/>
      <c r="W129" s="865"/>
      <c r="X129" s="865"/>
      <c r="Y129" s="865"/>
    </row>
    <row r="130" spans="1:25" s="866" customFormat="1" ht="115.2">
      <c r="A130" s="1050">
        <f t="shared" si="9"/>
        <v>109</v>
      </c>
      <c r="B130" s="1050">
        <v>7000023516</v>
      </c>
      <c r="C130" s="1050">
        <v>1330</v>
      </c>
      <c r="D130" s="1050" t="s">
        <v>800</v>
      </c>
      <c r="E130" s="1050">
        <v>1000031367</v>
      </c>
      <c r="F130" s="1050">
        <v>85176260</v>
      </c>
      <c r="G130" s="1023"/>
      <c r="H130" s="1050">
        <v>18</v>
      </c>
      <c r="I130" s="1024"/>
      <c r="J130" s="1048" t="s">
        <v>816</v>
      </c>
      <c r="K130" s="1050" t="s">
        <v>574</v>
      </c>
      <c r="L130" s="1050">
        <v>1</v>
      </c>
      <c r="M130" s="1025"/>
      <c r="N130" s="1055" t="str">
        <f t="shared" si="0"/>
        <v>Included</v>
      </c>
      <c r="O130" s="1056">
        <f t="shared" si="1"/>
        <v>0</v>
      </c>
      <c r="P130" s="865"/>
      <c r="Q130" s="285">
        <f t="shared" si="2"/>
        <v>0</v>
      </c>
      <c r="R130" s="893">
        <f t="shared" si="10"/>
        <v>0</v>
      </c>
      <c r="S130" s="865"/>
      <c r="T130" s="890"/>
      <c r="U130" s="865"/>
      <c r="V130" s="891"/>
      <c r="W130" s="865"/>
      <c r="X130" s="865"/>
      <c r="Y130" s="865"/>
    </row>
    <row r="131" spans="1:25" s="866" customFormat="1" ht="28.8">
      <c r="A131" s="1050">
        <f t="shared" si="9"/>
        <v>110</v>
      </c>
      <c r="B131" s="1050">
        <v>7000023516</v>
      </c>
      <c r="C131" s="1050">
        <v>1340</v>
      </c>
      <c r="D131" s="1050" t="s">
        <v>800</v>
      </c>
      <c r="E131" s="1050">
        <v>1000018706</v>
      </c>
      <c r="F131" s="1050">
        <v>85176990</v>
      </c>
      <c r="G131" s="1023"/>
      <c r="H131" s="1050">
        <v>18</v>
      </c>
      <c r="I131" s="1024"/>
      <c r="J131" s="1048" t="s">
        <v>817</v>
      </c>
      <c r="K131" s="1050" t="s">
        <v>574</v>
      </c>
      <c r="L131" s="1050">
        <v>4</v>
      </c>
      <c r="M131" s="1025"/>
      <c r="N131" s="1055" t="str">
        <f t="shared" si="0"/>
        <v>Included</v>
      </c>
      <c r="O131" s="1056">
        <f t="shared" si="1"/>
        <v>0</v>
      </c>
      <c r="P131" s="865"/>
      <c r="Q131" s="285">
        <f t="shared" si="2"/>
        <v>0</v>
      </c>
      <c r="R131" s="893">
        <f t="shared" si="10"/>
        <v>0</v>
      </c>
      <c r="S131" s="865"/>
      <c r="T131" s="890"/>
      <c r="U131" s="865"/>
      <c r="V131" s="891"/>
      <c r="W131" s="865"/>
      <c r="X131" s="865"/>
      <c r="Y131" s="865"/>
    </row>
    <row r="132" spans="1:25" s="866" customFormat="1" ht="28.8">
      <c r="A132" s="1050">
        <f t="shared" si="9"/>
        <v>111</v>
      </c>
      <c r="B132" s="1050">
        <v>7000023516</v>
      </c>
      <c r="C132" s="1050">
        <v>1350</v>
      </c>
      <c r="D132" s="1050" t="s">
        <v>800</v>
      </c>
      <c r="E132" s="1050">
        <v>1000014273</v>
      </c>
      <c r="F132" s="1050">
        <v>85176990</v>
      </c>
      <c r="G132" s="1023"/>
      <c r="H132" s="1050">
        <v>18</v>
      </c>
      <c r="I132" s="1024"/>
      <c r="J132" s="1048" t="s">
        <v>818</v>
      </c>
      <c r="K132" s="1050" t="s">
        <v>574</v>
      </c>
      <c r="L132" s="1050">
        <v>2</v>
      </c>
      <c r="M132" s="1025"/>
      <c r="N132" s="1055" t="str">
        <f t="shared" si="0"/>
        <v>Included</v>
      </c>
      <c r="O132" s="1056">
        <f t="shared" si="1"/>
        <v>0</v>
      </c>
      <c r="P132" s="865"/>
      <c r="Q132" s="285">
        <f t="shared" si="2"/>
        <v>0</v>
      </c>
      <c r="R132" s="893">
        <f t="shared" si="10"/>
        <v>0</v>
      </c>
      <c r="S132" s="865"/>
      <c r="T132" s="890"/>
      <c r="U132" s="865"/>
      <c r="V132" s="891"/>
      <c r="W132" s="865"/>
      <c r="X132" s="865"/>
      <c r="Y132" s="865"/>
    </row>
    <row r="133" spans="1:25" s="866" customFormat="1" ht="28.8">
      <c r="A133" s="1050">
        <f t="shared" si="9"/>
        <v>112</v>
      </c>
      <c r="B133" s="1050">
        <v>7000023516</v>
      </c>
      <c r="C133" s="1050">
        <v>1360</v>
      </c>
      <c r="D133" s="1050" t="s">
        <v>800</v>
      </c>
      <c r="E133" s="1050">
        <v>1000031413</v>
      </c>
      <c r="F133" s="1050">
        <v>85176290</v>
      </c>
      <c r="G133" s="1023"/>
      <c r="H133" s="1050">
        <v>18</v>
      </c>
      <c r="I133" s="1024"/>
      <c r="J133" s="1048" t="s">
        <v>819</v>
      </c>
      <c r="K133" s="1050" t="s">
        <v>574</v>
      </c>
      <c r="L133" s="1050">
        <v>2</v>
      </c>
      <c r="M133" s="1025"/>
      <c r="N133" s="1055" t="str">
        <f t="shared" si="0"/>
        <v>Included</v>
      </c>
      <c r="O133" s="1056">
        <f t="shared" si="1"/>
        <v>0</v>
      </c>
      <c r="P133" s="865"/>
      <c r="Q133" s="285">
        <f t="shared" si="2"/>
        <v>0</v>
      </c>
      <c r="R133" s="893">
        <f t="shared" si="10"/>
        <v>0</v>
      </c>
      <c r="S133" s="865"/>
      <c r="T133" s="890"/>
      <c r="U133" s="865"/>
      <c r="V133" s="891"/>
      <c r="W133" s="865"/>
      <c r="X133" s="865"/>
      <c r="Y133" s="865"/>
    </row>
    <row r="134" spans="1:25" s="866" customFormat="1" ht="28.8">
      <c r="A134" s="1050">
        <f t="shared" si="9"/>
        <v>113</v>
      </c>
      <c r="B134" s="1050">
        <v>7000023516</v>
      </c>
      <c r="C134" s="1050">
        <v>1370</v>
      </c>
      <c r="D134" s="1050" t="s">
        <v>800</v>
      </c>
      <c r="E134" s="1050">
        <v>1000031374</v>
      </c>
      <c r="F134" s="1050">
        <v>85176290</v>
      </c>
      <c r="G134" s="1023"/>
      <c r="H134" s="1050">
        <v>18</v>
      </c>
      <c r="I134" s="1024"/>
      <c r="J134" s="1048" t="s">
        <v>820</v>
      </c>
      <c r="K134" s="1050" t="s">
        <v>578</v>
      </c>
      <c r="L134" s="1050">
        <v>2</v>
      </c>
      <c r="M134" s="1025"/>
      <c r="N134" s="1055" t="str">
        <f t="shared" si="0"/>
        <v>Included</v>
      </c>
      <c r="O134" s="1056">
        <f t="shared" si="1"/>
        <v>0</v>
      </c>
      <c r="P134" s="865"/>
      <c r="Q134" s="285">
        <f t="shared" si="2"/>
        <v>0</v>
      </c>
      <c r="R134" s="893">
        <f t="shared" si="10"/>
        <v>0</v>
      </c>
      <c r="S134" s="865"/>
      <c r="T134" s="890"/>
      <c r="U134" s="865"/>
      <c r="V134" s="891"/>
      <c r="W134" s="865"/>
      <c r="X134" s="865"/>
      <c r="Y134" s="865"/>
    </row>
    <row r="135" spans="1:25" s="866" customFormat="1" ht="28.8">
      <c r="A135" s="1050">
        <f t="shared" si="9"/>
        <v>114</v>
      </c>
      <c r="B135" s="1050">
        <v>7000023516</v>
      </c>
      <c r="C135" s="1050">
        <v>1380</v>
      </c>
      <c r="D135" s="1050" t="s">
        <v>800</v>
      </c>
      <c r="E135" s="1050">
        <v>1000034950</v>
      </c>
      <c r="F135" s="1050">
        <v>85176990</v>
      </c>
      <c r="G135" s="1023"/>
      <c r="H135" s="1050">
        <v>18</v>
      </c>
      <c r="I135" s="1024"/>
      <c r="J135" s="1048" t="s">
        <v>821</v>
      </c>
      <c r="K135" s="1050" t="s">
        <v>574</v>
      </c>
      <c r="L135" s="1050">
        <v>2</v>
      </c>
      <c r="M135" s="1025"/>
      <c r="N135" s="1055" t="str">
        <f t="shared" si="0"/>
        <v>Included</v>
      </c>
      <c r="O135" s="1056">
        <f t="shared" si="1"/>
        <v>0</v>
      </c>
      <c r="P135" s="865"/>
      <c r="Q135" s="285">
        <f t="shared" si="2"/>
        <v>0</v>
      </c>
      <c r="R135" s="893">
        <f t="shared" si="10"/>
        <v>0</v>
      </c>
      <c r="S135" s="865"/>
      <c r="T135" s="890"/>
      <c r="U135" s="865"/>
      <c r="V135" s="891"/>
      <c r="W135" s="865"/>
      <c r="X135" s="865"/>
      <c r="Y135" s="865"/>
    </row>
    <row r="136" spans="1:25" s="866" customFormat="1" ht="43.2">
      <c r="A136" s="1050">
        <f t="shared" si="9"/>
        <v>115</v>
      </c>
      <c r="B136" s="1050">
        <v>7000023516</v>
      </c>
      <c r="C136" s="1050">
        <v>1390</v>
      </c>
      <c r="D136" s="1050" t="s">
        <v>800</v>
      </c>
      <c r="E136" s="1050">
        <v>1000031381</v>
      </c>
      <c r="F136" s="1050">
        <v>85176290</v>
      </c>
      <c r="G136" s="1023"/>
      <c r="H136" s="1050">
        <v>18</v>
      </c>
      <c r="I136" s="1024"/>
      <c r="J136" s="1048" t="s">
        <v>822</v>
      </c>
      <c r="K136" s="1050" t="s">
        <v>578</v>
      </c>
      <c r="L136" s="1050">
        <v>1</v>
      </c>
      <c r="M136" s="1025"/>
      <c r="N136" s="1055" t="str">
        <f t="shared" si="0"/>
        <v>Included</v>
      </c>
      <c r="O136" s="1056">
        <f t="shared" si="1"/>
        <v>0</v>
      </c>
      <c r="P136" s="865"/>
      <c r="Q136" s="285">
        <f t="shared" si="2"/>
        <v>0</v>
      </c>
      <c r="R136" s="893">
        <f t="shared" si="10"/>
        <v>0</v>
      </c>
      <c r="S136" s="865"/>
      <c r="T136" s="890"/>
      <c r="U136" s="865"/>
      <c r="V136" s="891"/>
      <c r="W136" s="865"/>
      <c r="X136" s="865"/>
      <c r="Y136" s="865"/>
    </row>
    <row r="137" spans="1:25" s="866" customFormat="1" ht="28.8">
      <c r="A137" s="1050">
        <f t="shared" si="9"/>
        <v>116</v>
      </c>
      <c r="B137" s="1050">
        <v>7000023516</v>
      </c>
      <c r="C137" s="1050">
        <v>1400</v>
      </c>
      <c r="D137" s="1050" t="s">
        <v>800</v>
      </c>
      <c r="E137" s="1050">
        <v>1000026228</v>
      </c>
      <c r="F137" s="1050">
        <v>85176290</v>
      </c>
      <c r="G137" s="1023"/>
      <c r="H137" s="1050">
        <v>18</v>
      </c>
      <c r="I137" s="1024"/>
      <c r="J137" s="1048" t="s">
        <v>823</v>
      </c>
      <c r="K137" s="1050" t="s">
        <v>574</v>
      </c>
      <c r="L137" s="1050">
        <v>1</v>
      </c>
      <c r="M137" s="1025"/>
      <c r="N137" s="1055" t="str">
        <f t="shared" si="0"/>
        <v>Included</v>
      </c>
      <c r="O137" s="1056">
        <f t="shared" si="1"/>
        <v>0</v>
      </c>
      <c r="P137" s="865"/>
      <c r="Q137" s="285">
        <f t="shared" si="2"/>
        <v>0</v>
      </c>
      <c r="R137" s="893">
        <f t="shared" si="10"/>
        <v>0</v>
      </c>
      <c r="S137" s="865"/>
      <c r="T137" s="890"/>
      <c r="U137" s="865"/>
      <c r="V137" s="891"/>
      <c r="W137" s="865"/>
      <c r="X137" s="865"/>
      <c r="Y137" s="865"/>
    </row>
    <row r="138" spans="1:25" s="866" customFormat="1" ht="28.8">
      <c r="A138" s="1050">
        <f t="shared" si="9"/>
        <v>117</v>
      </c>
      <c r="B138" s="1050">
        <v>7000023516</v>
      </c>
      <c r="C138" s="1050">
        <v>1410</v>
      </c>
      <c r="D138" s="1050" t="s">
        <v>800</v>
      </c>
      <c r="E138" s="1050">
        <v>1000030942</v>
      </c>
      <c r="F138" s="1050">
        <v>85447090</v>
      </c>
      <c r="G138" s="1023"/>
      <c r="H138" s="1050">
        <v>18</v>
      </c>
      <c r="I138" s="1024"/>
      <c r="J138" s="1048" t="s">
        <v>824</v>
      </c>
      <c r="K138" s="1050" t="s">
        <v>594</v>
      </c>
      <c r="L138" s="1050">
        <v>2</v>
      </c>
      <c r="M138" s="1025"/>
      <c r="N138" s="1055" t="str">
        <f t="shared" si="0"/>
        <v>Included</v>
      </c>
      <c r="O138" s="1056">
        <f t="shared" si="1"/>
        <v>0</v>
      </c>
      <c r="P138" s="865"/>
      <c r="Q138" s="285">
        <f t="shared" si="2"/>
        <v>0</v>
      </c>
      <c r="R138" s="893">
        <f t="shared" si="10"/>
        <v>0</v>
      </c>
      <c r="S138" s="865"/>
      <c r="T138" s="890"/>
      <c r="U138" s="865"/>
      <c r="V138" s="891"/>
      <c r="W138" s="865"/>
      <c r="X138" s="865"/>
      <c r="Y138" s="865"/>
    </row>
    <row r="139" spans="1:25" s="866" customFormat="1" ht="28.8">
      <c r="A139" s="1050">
        <f t="shared" si="9"/>
        <v>118</v>
      </c>
      <c r="B139" s="1050">
        <v>7000023516</v>
      </c>
      <c r="C139" s="1050">
        <v>1420</v>
      </c>
      <c r="D139" s="1050" t="s">
        <v>800</v>
      </c>
      <c r="E139" s="1050">
        <v>1000023471</v>
      </c>
      <c r="F139" s="1050">
        <v>85372000</v>
      </c>
      <c r="G139" s="1023"/>
      <c r="H139" s="1050">
        <v>18</v>
      </c>
      <c r="I139" s="1024"/>
      <c r="J139" s="1048" t="s">
        <v>825</v>
      </c>
      <c r="K139" s="1050" t="s">
        <v>574</v>
      </c>
      <c r="L139" s="1050">
        <v>2</v>
      </c>
      <c r="M139" s="1025"/>
      <c r="N139" s="1055" t="str">
        <f t="shared" si="0"/>
        <v>Included</v>
      </c>
      <c r="O139" s="1056">
        <f t="shared" si="1"/>
        <v>0</v>
      </c>
      <c r="P139" s="865"/>
      <c r="Q139" s="285">
        <f t="shared" si="2"/>
        <v>0</v>
      </c>
      <c r="R139" s="893">
        <f t="shared" si="10"/>
        <v>0</v>
      </c>
      <c r="S139" s="865"/>
      <c r="T139" s="890"/>
      <c r="U139" s="865"/>
      <c r="V139" s="891"/>
      <c r="W139" s="865"/>
      <c r="X139" s="865"/>
      <c r="Y139" s="865"/>
    </row>
    <row r="140" spans="1:25" s="866" customFormat="1" ht="72">
      <c r="A140" s="1050">
        <f t="shared" si="9"/>
        <v>119</v>
      </c>
      <c r="B140" s="1050">
        <v>7000023516</v>
      </c>
      <c r="C140" s="1050">
        <v>1440</v>
      </c>
      <c r="D140" s="1050" t="s">
        <v>801</v>
      </c>
      <c r="E140" s="1050">
        <v>1000031369</v>
      </c>
      <c r="F140" s="1050">
        <v>85176260</v>
      </c>
      <c r="G140" s="1023"/>
      <c r="H140" s="1050">
        <v>18</v>
      </c>
      <c r="I140" s="1024"/>
      <c r="J140" s="1048" t="s">
        <v>826</v>
      </c>
      <c r="K140" s="1050" t="s">
        <v>578</v>
      </c>
      <c r="L140" s="1050">
        <v>1</v>
      </c>
      <c r="M140" s="1025"/>
      <c r="N140" s="1055" t="str">
        <f t="shared" si="0"/>
        <v>Included</v>
      </c>
      <c r="O140" s="1056">
        <f t="shared" si="1"/>
        <v>0</v>
      </c>
      <c r="P140" s="865"/>
      <c r="Q140" s="285">
        <f t="shared" si="2"/>
        <v>0</v>
      </c>
      <c r="R140" s="893">
        <f t="shared" si="10"/>
        <v>0</v>
      </c>
      <c r="S140" s="865"/>
      <c r="T140" s="890"/>
      <c r="U140" s="865"/>
      <c r="V140" s="891"/>
      <c r="W140" s="865"/>
      <c r="X140" s="865"/>
      <c r="Y140" s="865"/>
    </row>
    <row r="141" spans="1:25" s="866" customFormat="1" ht="28.8">
      <c r="A141" s="1050">
        <f t="shared" si="9"/>
        <v>120</v>
      </c>
      <c r="B141" s="1050">
        <v>7000023516</v>
      </c>
      <c r="C141" s="1050">
        <v>1450</v>
      </c>
      <c r="D141" s="1050" t="s">
        <v>801</v>
      </c>
      <c r="E141" s="1050">
        <v>1000018706</v>
      </c>
      <c r="F141" s="1050">
        <v>85176990</v>
      </c>
      <c r="G141" s="1023"/>
      <c r="H141" s="1050">
        <v>18</v>
      </c>
      <c r="I141" s="1024"/>
      <c r="J141" s="1048" t="s">
        <v>817</v>
      </c>
      <c r="K141" s="1050" t="s">
        <v>574</v>
      </c>
      <c r="L141" s="1050">
        <v>1</v>
      </c>
      <c r="M141" s="1025"/>
      <c r="N141" s="1055" t="str">
        <f t="shared" si="0"/>
        <v>Included</v>
      </c>
      <c r="O141" s="1056">
        <f t="shared" si="1"/>
        <v>0</v>
      </c>
      <c r="P141" s="865"/>
      <c r="Q141" s="285">
        <f t="shared" si="2"/>
        <v>0</v>
      </c>
      <c r="R141" s="893">
        <f t="shared" si="10"/>
        <v>0</v>
      </c>
      <c r="S141" s="865"/>
      <c r="T141" s="890"/>
      <c r="U141" s="865"/>
      <c r="V141" s="891"/>
      <c r="W141" s="865"/>
      <c r="X141" s="865"/>
      <c r="Y141" s="865"/>
    </row>
    <row r="142" spans="1:25" s="866" customFormat="1" ht="28.8">
      <c r="A142" s="1050">
        <f t="shared" si="9"/>
        <v>121</v>
      </c>
      <c r="B142" s="1050">
        <v>7000023516</v>
      </c>
      <c r="C142" s="1050">
        <v>1460</v>
      </c>
      <c r="D142" s="1050" t="s">
        <v>801</v>
      </c>
      <c r="E142" s="1050">
        <v>1000014273</v>
      </c>
      <c r="F142" s="1050">
        <v>85176990</v>
      </c>
      <c r="G142" s="1023"/>
      <c r="H142" s="1050">
        <v>18</v>
      </c>
      <c r="I142" s="1024"/>
      <c r="J142" s="1048" t="s">
        <v>818</v>
      </c>
      <c r="K142" s="1050" t="s">
        <v>574</v>
      </c>
      <c r="L142" s="1050">
        <v>1</v>
      </c>
      <c r="M142" s="1025"/>
      <c r="N142" s="1055" t="str">
        <f t="shared" si="0"/>
        <v>Included</v>
      </c>
      <c r="O142" s="1056">
        <f t="shared" si="1"/>
        <v>0</v>
      </c>
      <c r="P142" s="865"/>
      <c r="Q142" s="285">
        <f t="shared" si="2"/>
        <v>0</v>
      </c>
      <c r="R142" s="893">
        <f t="shared" si="10"/>
        <v>0</v>
      </c>
      <c r="S142" s="865"/>
      <c r="T142" s="890"/>
      <c r="U142" s="865"/>
      <c r="V142" s="891"/>
      <c r="W142" s="865"/>
      <c r="X142" s="865"/>
      <c r="Y142" s="865"/>
    </row>
    <row r="143" spans="1:25" s="866" customFormat="1" ht="28.8">
      <c r="A143" s="1050">
        <f t="shared" si="9"/>
        <v>122</v>
      </c>
      <c r="B143" s="1050">
        <v>7000023516</v>
      </c>
      <c r="C143" s="1050">
        <v>1470</v>
      </c>
      <c r="D143" s="1050" t="s">
        <v>801</v>
      </c>
      <c r="E143" s="1050">
        <v>1000031413</v>
      </c>
      <c r="F143" s="1050">
        <v>85176290</v>
      </c>
      <c r="G143" s="1023"/>
      <c r="H143" s="1050">
        <v>18</v>
      </c>
      <c r="I143" s="1024"/>
      <c r="J143" s="1048" t="s">
        <v>819</v>
      </c>
      <c r="K143" s="1050" t="s">
        <v>574</v>
      </c>
      <c r="L143" s="1050">
        <v>1</v>
      </c>
      <c r="M143" s="1025"/>
      <c r="N143" s="1055" t="str">
        <f t="shared" si="0"/>
        <v>Included</v>
      </c>
      <c r="O143" s="1056">
        <f t="shared" si="1"/>
        <v>0</v>
      </c>
      <c r="P143" s="865"/>
      <c r="Q143" s="285">
        <f t="shared" si="2"/>
        <v>0</v>
      </c>
      <c r="R143" s="893">
        <f t="shared" si="10"/>
        <v>0</v>
      </c>
      <c r="S143" s="865"/>
      <c r="T143" s="890"/>
      <c r="U143" s="865"/>
      <c r="V143" s="891"/>
      <c r="W143" s="865"/>
      <c r="X143" s="865"/>
      <c r="Y143" s="865"/>
    </row>
    <row r="144" spans="1:25" s="866" customFormat="1" ht="28.8">
      <c r="A144" s="1050">
        <f t="shared" si="9"/>
        <v>123</v>
      </c>
      <c r="B144" s="1050">
        <v>7000023516</v>
      </c>
      <c r="C144" s="1050">
        <v>1480</v>
      </c>
      <c r="D144" s="1050" t="s">
        <v>801</v>
      </c>
      <c r="E144" s="1050">
        <v>1000031374</v>
      </c>
      <c r="F144" s="1050">
        <v>85176290</v>
      </c>
      <c r="G144" s="1023"/>
      <c r="H144" s="1050">
        <v>18</v>
      </c>
      <c r="I144" s="1024"/>
      <c r="J144" s="1048" t="s">
        <v>820</v>
      </c>
      <c r="K144" s="1050" t="s">
        <v>578</v>
      </c>
      <c r="L144" s="1050">
        <v>1</v>
      </c>
      <c r="M144" s="1025"/>
      <c r="N144" s="1055" t="str">
        <f t="shared" si="0"/>
        <v>Included</v>
      </c>
      <c r="O144" s="1056">
        <f t="shared" si="1"/>
        <v>0</v>
      </c>
      <c r="P144" s="865"/>
      <c r="Q144" s="285">
        <f t="shared" si="2"/>
        <v>0</v>
      </c>
      <c r="R144" s="893">
        <f t="shared" si="10"/>
        <v>0</v>
      </c>
      <c r="S144" s="865"/>
      <c r="T144" s="890"/>
      <c r="U144" s="865"/>
      <c r="V144" s="891"/>
      <c r="W144" s="865"/>
      <c r="X144" s="865"/>
      <c r="Y144" s="865"/>
    </row>
    <row r="145" spans="1:51" ht="28.8">
      <c r="A145" s="1050">
        <f t="shared" si="9"/>
        <v>124</v>
      </c>
      <c r="B145" s="1050">
        <v>7000023516</v>
      </c>
      <c r="C145" s="1050">
        <v>1490</v>
      </c>
      <c r="D145" s="1050" t="s">
        <v>801</v>
      </c>
      <c r="E145" s="1050">
        <v>1000034950</v>
      </c>
      <c r="F145" s="1050">
        <v>85176990</v>
      </c>
      <c r="G145" s="1023"/>
      <c r="H145" s="1050">
        <v>18</v>
      </c>
      <c r="I145" s="1024"/>
      <c r="J145" s="1048" t="s">
        <v>821</v>
      </c>
      <c r="K145" s="1050" t="s">
        <v>574</v>
      </c>
      <c r="L145" s="1050">
        <v>1</v>
      </c>
      <c r="M145" s="1025"/>
      <c r="N145" s="1055" t="str">
        <f t="shared" si="0"/>
        <v>Included</v>
      </c>
      <c r="O145" s="1056">
        <f t="shared" si="1"/>
        <v>0</v>
      </c>
      <c r="P145" s="865"/>
      <c r="Q145" s="285">
        <f t="shared" si="2"/>
        <v>0</v>
      </c>
      <c r="R145" s="893">
        <f t="shared" si="10"/>
        <v>0</v>
      </c>
      <c r="S145" s="865"/>
      <c r="T145" s="890"/>
      <c r="V145" s="891"/>
      <c r="AB145" s="866"/>
      <c r="AL145" s="866"/>
      <c r="AM145" s="866"/>
      <c r="AN145" s="866"/>
      <c r="AO145" s="866"/>
      <c r="AP145" s="866"/>
      <c r="AQ145" s="866"/>
      <c r="AR145" s="866"/>
      <c r="AS145" s="866"/>
      <c r="AT145" s="866"/>
      <c r="AU145" s="866"/>
      <c r="AV145" s="866"/>
      <c r="AW145" s="866"/>
      <c r="AX145" s="866"/>
      <c r="AY145" s="866"/>
    </row>
    <row r="146" spans="1:51" ht="43.2">
      <c r="A146" s="1050">
        <f t="shared" si="9"/>
        <v>125</v>
      </c>
      <c r="B146" s="1050">
        <v>7000023516</v>
      </c>
      <c r="C146" s="1050">
        <v>1500</v>
      </c>
      <c r="D146" s="1050" t="s">
        <v>801</v>
      </c>
      <c r="E146" s="1050">
        <v>1000031381</v>
      </c>
      <c r="F146" s="1050">
        <v>85176290</v>
      </c>
      <c r="G146" s="1023"/>
      <c r="H146" s="1050">
        <v>18</v>
      </c>
      <c r="I146" s="1024"/>
      <c r="J146" s="1048" t="s">
        <v>822</v>
      </c>
      <c r="K146" s="1050" t="s">
        <v>578</v>
      </c>
      <c r="L146" s="1050">
        <v>1</v>
      </c>
      <c r="M146" s="1025"/>
      <c r="N146" s="1055" t="str">
        <f t="shared" si="0"/>
        <v>Included</v>
      </c>
      <c r="O146" s="1056">
        <f t="shared" si="1"/>
        <v>0</v>
      </c>
      <c r="P146" s="865"/>
      <c r="Q146" s="285">
        <f t="shared" si="2"/>
        <v>0</v>
      </c>
      <c r="R146" s="893">
        <f t="shared" si="10"/>
        <v>0</v>
      </c>
      <c r="S146" s="865"/>
      <c r="T146" s="890"/>
      <c r="V146" s="891"/>
      <c r="AB146" s="866"/>
      <c r="AL146" s="866"/>
      <c r="AM146" s="866"/>
      <c r="AN146" s="866"/>
      <c r="AO146" s="866"/>
      <c r="AP146" s="866"/>
      <c r="AQ146" s="866"/>
      <c r="AR146" s="866"/>
      <c r="AS146" s="866"/>
      <c r="AT146" s="866"/>
      <c r="AU146" s="866"/>
      <c r="AV146" s="866"/>
      <c r="AW146" s="866"/>
      <c r="AX146" s="866"/>
      <c r="AY146" s="866"/>
    </row>
    <row r="147" spans="1:51" ht="28.8">
      <c r="A147" s="1050">
        <f t="shared" si="9"/>
        <v>126</v>
      </c>
      <c r="B147" s="1050">
        <v>7000023516</v>
      </c>
      <c r="C147" s="1050">
        <v>1510</v>
      </c>
      <c r="D147" s="1050" t="s">
        <v>801</v>
      </c>
      <c r="E147" s="1050">
        <v>1000031398</v>
      </c>
      <c r="F147" s="1050">
        <v>85171890</v>
      </c>
      <c r="G147" s="1023"/>
      <c r="H147" s="1050">
        <v>18</v>
      </c>
      <c r="I147" s="1024"/>
      <c r="J147" s="1048" t="s">
        <v>827</v>
      </c>
      <c r="K147" s="1050" t="s">
        <v>578</v>
      </c>
      <c r="L147" s="1050">
        <v>1</v>
      </c>
      <c r="M147" s="1025"/>
      <c r="N147" s="1055" t="str">
        <f t="shared" si="0"/>
        <v>Included</v>
      </c>
      <c r="O147" s="1056">
        <f t="shared" si="1"/>
        <v>0</v>
      </c>
      <c r="P147" s="865"/>
      <c r="Q147" s="285">
        <f t="shared" si="2"/>
        <v>0</v>
      </c>
      <c r="R147" s="893">
        <f t="shared" si="10"/>
        <v>0</v>
      </c>
      <c r="S147" s="865"/>
      <c r="T147" s="890"/>
      <c r="V147" s="891"/>
      <c r="AB147" s="866"/>
      <c r="AL147" s="866"/>
      <c r="AM147" s="866"/>
      <c r="AN147" s="866"/>
      <c r="AO147" s="866"/>
      <c r="AP147" s="866"/>
      <c r="AQ147" s="866"/>
      <c r="AR147" s="866"/>
      <c r="AS147" s="866"/>
      <c r="AT147" s="866"/>
      <c r="AU147" s="866"/>
      <c r="AV147" s="866"/>
      <c r="AW147" s="866"/>
      <c r="AX147" s="866"/>
      <c r="AY147" s="866"/>
    </row>
    <row r="148" spans="1:51" ht="28.8">
      <c r="A148" s="1050">
        <f t="shared" si="9"/>
        <v>127</v>
      </c>
      <c r="B148" s="1050">
        <v>7000023516</v>
      </c>
      <c r="C148" s="1050">
        <v>1520</v>
      </c>
      <c r="D148" s="1050" t="s">
        <v>801</v>
      </c>
      <c r="E148" s="1050">
        <v>1000030942</v>
      </c>
      <c r="F148" s="1050">
        <v>85447090</v>
      </c>
      <c r="G148" s="1023"/>
      <c r="H148" s="1050">
        <v>18</v>
      </c>
      <c r="I148" s="1024"/>
      <c r="J148" s="894" t="s">
        <v>824</v>
      </c>
      <c r="K148" s="1050" t="s">
        <v>594</v>
      </c>
      <c r="L148" s="1050">
        <v>1</v>
      </c>
      <c r="M148" s="1025"/>
      <c r="N148" s="1055" t="str">
        <f t="shared" ref="N148" si="11">IF(M148=0, "Included",IF(ISERROR(L148*M148), M148, L148*M148))</f>
        <v>Included</v>
      </c>
      <c r="O148" s="1056">
        <f t="shared" ref="O148" si="12">R148</f>
        <v>0</v>
      </c>
      <c r="P148" s="865"/>
      <c r="Q148" s="285">
        <f t="shared" ref="Q148" si="13">IF(N148="Included",0,N148)</f>
        <v>0</v>
      </c>
      <c r="R148" s="893">
        <f t="shared" ref="R148" si="14">IF(I148="", H148*Q148/100,I148*Q148/100)</f>
        <v>0</v>
      </c>
      <c r="S148" s="865"/>
      <c r="T148" s="890"/>
      <c r="V148" s="891"/>
      <c r="AB148" s="866"/>
      <c r="AL148" s="866"/>
      <c r="AM148" s="866"/>
      <c r="AN148" s="866"/>
      <c r="AO148" s="866"/>
      <c r="AP148" s="866"/>
      <c r="AQ148" s="866"/>
      <c r="AR148" s="866"/>
      <c r="AS148" s="866"/>
      <c r="AT148" s="866"/>
      <c r="AU148" s="866"/>
      <c r="AV148" s="866"/>
      <c r="AW148" s="866"/>
      <c r="AX148" s="866"/>
      <c r="AY148" s="866"/>
    </row>
    <row r="149" spans="1:51" ht="86.4">
      <c r="A149" s="1050">
        <f t="shared" si="9"/>
        <v>128</v>
      </c>
      <c r="B149" s="1050">
        <v>7000023516</v>
      </c>
      <c r="C149" s="1050">
        <v>1530</v>
      </c>
      <c r="D149" s="1050" t="s">
        <v>802</v>
      </c>
      <c r="E149" s="1050">
        <v>1000065639</v>
      </c>
      <c r="F149" s="1050">
        <v>73082011</v>
      </c>
      <c r="G149" s="1023"/>
      <c r="H149" s="1050">
        <v>18</v>
      </c>
      <c r="I149" s="1024"/>
      <c r="J149" s="894" t="s">
        <v>828</v>
      </c>
      <c r="K149" s="1050" t="s">
        <v>574</v>
      </c>
      <c r="L149" s="1050">
        <v>2</v>
      </c>
      <c r="M149" s="1025"/>
      <c r="N149" s="1055" t="str">
        <f t="shared" ref="N149" si="15">IF(M149=0, "Included",IF(ISERROR(L149*M149), M149, L149*M149))</f>
        <v>Included</v>
      </c>
      <c r="O149" s="1056">
        <f t="shared" ref="O149" si="16">R149</f>
        <v>0</v>
      </c>
      <c r="P149" s="865"/>
      <c r="Q149" s="285">
        <f t="shared" ref="Q149" si="17">IF(N149="Included",0,N149)</f>
        <v>0</v>
      </c>
      <c r="R149" s="893">
        <f t="shared" ref="R149" si="18">IF(I149="", H149*Q149/100,I149*Q149/100)</f>
        <v>0</v>
      </c>
      <c r="S149" s="865"/>
      <c r="T149" s="890"/>
      <c r="V149" s="891"/>
      <c r="AB149" s="866"/>
      <c r="AL149" s="866"/>
      <c r="AM149" s="866"/>
      <c r="AN149" s="866"/>
      <c r="AO149" s="866"/>
      <c r="AP149" s="866"/>
      <c r="AQ149" s="866"/>
      <c r="AR149" s="866"/>
      <c r="AS149" s="866"/>
      <c r="AT149" s="866"/>
      <c r="AU149" s="866"/>
      <c r="AV149" s="866"/>
      <c r="AW149" s="866"/>
      <c r="AX149" s="866"/>
      <c r="AY149" s="866"/>
    </row>
    <row r="150" spans="1:51" s="285" customFormat="1" ht="14.4">
      <c r="A150" s="1140"/>
      <c r="B150" s="1141"/>
      <c r="C150" s="1141"/>
      <c r="D150" s="1141"/>
      <c r="E150" s="1141"/>
      <c r="F150" s="1141"/>
      <c r="G150" s="1141"/>
      <c r="H150" s="1250" t="s">
        <v>597</v>
      </c>
      <c r="I150" s="1250"/>
      <c r="J150" s="1250"/>
      <c r="K150" s="1250"/>
      <c r="L150" s="1250"/>
      <c r="M150" s="1251"/>
      <c r="N150" s="1142">
        <f>SUM(N22:N149)</f>
        <v>0</v>
      </c>
      <c r="O150" s="1143">
        <f>SUM(O22:O149)</f>
        <v>0</v>
      </c>
      <c r="P150" s="1098"/>
      <c r="Q150" s="1098"/>
      <c r="R150" s="1098"/>
      <c r="S150" s="1098"/>
      <c r="T150" s="955"/>
      <c r="U150" s="955"/>
      <c r="V150" s="955"/>
      <c r="W150" s="955"/>
      <c r="X150" s="955"/>
      <c r="Y150" s="955"/>
      <c r="Z150" s="893"/>
      <c r="AA150" s="893"/>
      <c r="AB150" s="956"/>
      <c r="AC150" s="893"/>
      <c r="AD150" s="893"/>
      <c r="AF150" s="956"/>
    </row>
    <row r="151" spans="1:51" s="285" customFormat="1" ht="14.4">
      <c r="A151" s="1144"/>
      <c r="B151" s="1145"/>
      <c r="C151" s="1145"/>
      <c r="D151" s="1145"/>
      <c r="E151" s="1145"/>
      <c r="F151" s="1145"/>
      <c r="G151" s="1145"/>
      <c r="H151" s="1245" t="s">
        <v>506</v>
      </c>
      <c r="I151" s="1245"/>
      <c r="J151" s="1245"/>
      <c r="K151" s="1245"/>
      <c r="L151" s="1245"/>
      <c r="M151" s="1246"/>
      <c r="N151" s="1146">
        <f>'Sch-7'!M20</f>
        <v>0</v>
      </c>
      <c r="O151" s="1147"/>
      <c r="P151" s="1098"/>
      <c r="Q151" s="1098"/>
      <c r="R151" s="1098"/>
      <c r="S151" s="960"/>
      <c r="T151" s="955"/>
      <c r="U151" s="955"/>
      <c r="V151" s="955"/>
      <c r="W151" s="955"/>
      <c r="X151" s="955"/>
      <c r="Y151" s="955"/>
      <c r="Z151" s="956"/>
      <c r="AA151" s="893"/>
      <c r="AB151" s="956"/>
      <c r="AC151" s="956"/>
      <c r="AD151" s="893"/>
    </row>
    <row r="152" spans="1:51" s="285" customFormat="1" ht="15" thickBot="1">
      <c r="A152" s="1148"/>
      <c r="B152" s="1149"/>
      <c r="C152" s="1149"/>
      <c r="D152" s="1149"/>
      <c r="E152" s="1149"/>
      <c r="F152" s="1149"/>
      <c r="G152" s="1149"/>
      <c r="H152" s="1247" t="s">
        <v>423</v>
      </c>
      <c r="I152" s="1247"/>
      <c r="J152" s="1247"/>
      <c r="K152" s="1247"/>
      <c r="L152" s="1247"/>
      <c r="M152" s="1247"/>
      <c r="N152" s="1150">
        <f>N151+N150</f>
        <v>0</v>
      </c>
      <c r="O152" s="1151"/>
      <c r="P152" s="1098"/>
      <c r="Q152" s="1098"/>
      <c r="R152" s="1098"/>
      <c r="S152" s="960"/>
      <c r="T152" s="955"/>
      <c r="U152" s="955"/>
      <c r="V152" s="955"/>
      <c r="W152" s="955"/>
      <c r="X152" s="955"/>
      <c r="Y152" s="955"/>
      <c r="Z152" s="956"/>
      <c r="AA152" s="1152"/>
      <c r="AB152" s="991"/>
      <c r="AC152" s="991"/>
      <c r="AD152" s="1152"/>
      <c r="AF152" s="1153"/>
    </row>
    <row r="153" spans="1:51" s="285" customFormat="1" ht="15" thickBot="1">
      <c r="A153" s="1154"/>
      <c r="B153" s="1154"/>
      <c r="C153" s="1154"/>
      <c r="D153" s="1154"/>
      <c r="E153" s="1154"/>
      <c r="F153" s="1154"/>
      <c r="G153" s="1154"/>
      <c r="H153" s="1254" t="s">
        <v>511</v>
      </c>
      <c r="I153" s="1255"/>
      <c r="J153" s="1255"/>
      <c r="K153" s="1255"/>
      <c r="L153" s="1255"/>
      <c r="M153" s="1256"/>
      <c r="N153" s="1155">
        <f>O150</f>
        <v>0</v>
      </c>
      <c r="O153" s="1151"/>
      <c r="P153" s="1098"/>
      <c r="Q153" s="1098"/>
      <c r="R153" s="1098"/>
      <c r="S153" s="960"/>
      <c r="T153" s="955"/>
      <c r="U153" s="955"/>
      <c r="V153" s="955"/>
      <c r="W153" s="955"/>
      <c r="X153" s="955"/>
      <c r="Y153" s="955"/>
      <c r="Z153" s="956"/>
      <c r="AA153" s="1152"/>
      <c r="AB153" s="991"/>
      <c r="AC153" s="991"/>
      <c r="AD153" s="1152"/>
      <c r="AF153" s="1153"/>
    </row>
    <row r="154" spans="1:51" ht="14.4">
      <c r="A154" s="1252"/>
      <c r="B154" s="1252"/>
      <c r="C154" s="1252"/>
      <c r="D154" s="1252"/>
      <c r="E154" s="1252"/>
      <c r="F154" s="1252"/>
      <c r="G154" s="1252"/>
      <c r="H154" s="1253"/>
      <c r="I154" s="1253"/>
      <c r="J154" s="1253"/>
      <c r="K154" s="1253"/>
      <c r="L154" s="1253"/>
      <c r="M154" s="1253"/>
      <c r="N154" s="1253"/>
      <c r="O154" s="1253"/>
      <c r="Z154" s="896"/>
      <c r="AA154" s="873"/>
      <c r="AC154" s="896"/>
      <c r="AD154" s="873"/>
      <c r="AL154" s="866"/>
      <c r="AM154" s="866"/>
      <c r="AN154" s="866"/>
      <c r="AO154" s="866"/>
      <c r="AP154" s="866"/>
      <c r="AQ154" s="866"/>
      <c r="AR154" s="866"/>
      <c r="AS154" s="866"/>
      <c r="AT154" s="866"/>
      <c r="AU154" s="866"/>
      <c r="AV154" s="866"/>
      <c r="AW154" s="866"/>
      <c r="AX154" s="866"/>
      <c r="AY154" s="866"/>
    </row>
    <row r="155" spans="1:51">
      <c r="A155" s="897" t="s">
        <v>410</v>
      </c>
      <c r="B155" s="1257" t="s">
        <v>487</v>
      </c>
      <c r="C155" s="1257"/>
      <c r="D155" s="1257"/>
      <c r="E155" s="1257"/>
      <c r="F155" s="1257"/>
      <c r="G155" s="1257"/>
      <c r="H155" s="1257"/>
      <c r="I155" s="1257"/>
      <c r="J155" s="1257"/>
      <c r="K155" s="1257"/>
      <c r="L155" s="1257"/>
      <c r="M155" s="1257"/>
      <c r="N155" s="1257"/>
      <c r="O155" s="1257"/>
      <c r="AL155" s="866"/>
      <c r="AM155" s="866"/>
      <c r="AN155" s="866"/>
      <c r="AO155" s="866"/>
      <c r="AP155" s="866"/>
      <c r="AQ155" s="866"/>
      <c r="AR155" s="866"/>
      <c r="AS155" s="866"/>
      <c r="AT155" s="866"/>
      <c r="AU155" s="866"/>
      <c r="AV155" s="866"/>
      <c r="AW155" s="866"/>
      <c r="AX155" s="866"/>
      <c r="AY155" s="866"/>
    </row>
    <row r="156" spans="1:51">
      <c r="A156" s="896" t="s">
        <v>489</v>
      </c>
      <c r="B156" s="1257" t="s">
        <v>488</v>
      </c>
      <c r="C156" s="1257"/>
      <c r="D156" s="1257"/>
      <c r="E156" s="1257"/>
      <c r="F156" s="1257"/>
      <c r="G156" s="1257"/>
      <c r="H156" s="1257"/>
      <c r="I156" s="1257"/>
      <c r="J156" s="1257"/>
      <c r="K156" s="1257"/>
      <c r="L156" s="1257"/>
      <c r="M156" s="1257"/>
      <c r="N156" s="1257"/>
      <c r="O156" s="1257"/>
      <c r="AL156" s="866"/>
      <c r="AM156" s="866"/>
      <c r="AN156" s="866"/>
      <c r="AO156" s="866"/>
      <c r="AP156" s="866"/>
      <c r="AQ156" s="866"/>
      <c r="AR156" s="866"/>
      <c r="AS156" s="866"/>
      <c r="AT156" s="866"/>
      <c r="AU156" s="866"/>
      <c r="AV156" s="866"/>
      <c r="AW156" s="866"/>
      <c r="AX156" s="866"/>
      <c r="AY156" s="866"/>
    </row>
    <row r="157" spans="1:51">
      <c r="A157" s="896"/>
      <c r="B157" s="896"/>
      <c r="C157" s="896"/>
      <c r="D157" s="896"/>
      <c r="E157" s="896"/>
      <c r="F157" s="1257"/>
      <c r="G157" s="1257"/>
      <c r="H157" s="1257"/>
      <c r="I157" s="1257"/>
      <c r="J157" s="1257"/>
      <c r="K157" s="1257"/>
      <c r="L157" s="1257"/>
      <c r="M157" s="1257"/>
      <c r="N157" s="1257"/>
      <c r="O157" s="1257"/>
      <c r="AL157" s="866"/>
      <c r="AM157" s="866"/>
      <c r="AN157" s="866"/>
      <c r="AO157" s="866"/>
      <c r="AP157" s="866"/>
      <c r="AQ157" s="866"/>
      <c r="AR157" s="866"/>
      <c r="AS157" s="866"/>
      <c r="AT157" s="866"/>
      <c r="AU157" s="866"/>
      <c r="AV157" s="866"/>
      <c r="AW157" s="866"/>
      <c r="AX157" s="866"/>
      <c r="AY157" s="866"/>
    </row>
    <row r="158" spans="1:51" s="1131" customFormat="1" ht="25.8" customHeight="1">
      <c r="A158" s="1129" t="s">
        <v>785</v>
      </c>
      <c r="B158" s="1130" t="str">
        <f>'Names of Bidder'!D31&amp;"-"&amp; 'Names of Bidder'!E31&amp;"-" &amp;'Names of Bidder'!F31</f>
        <v>--</v>
      </c>
      <c r="C158" s="1129"/>
      <c r="D158" s="1129"/>
      <c r="E158" s="1129"/>
      <c r="G158" s="1129"/>
      <c r="H158" s="1129"/>
      <c r="I158" s="1132"/>
      <c r="K158" s="1133"/>
      <c r="L158" s="1134"/>
      <c r="N158" s="1135"/>
      <c r="O158" s="1135"/>
      <c r="P158" s="1136"/>
      <c r="Q158" s="1136"/>
      <c r="R158" s="1136"/>
      <c r="S158" s="1137"/>
      <c r="T158" s="1138"/>
      <c r="U158" s="1138"/>
      <c r="V158" s="1138"/>
      <c r="W158" s="1138"/>
      <c r="X158" s="1138"/>
      <c r="Y158" s="1138"/>
      <c r="AB158" s="1135"/>
    </row>
    <row r="159" spans="1:51" s="1131" customFormat="1" ht="25.8" customHeight="1">
      <c r="A159" s="1129" t="s">
        <v>786</v>
      </c>
      <c r="B159" s="1130" t="str">
        <f>IF('Names of Bidder'!D32=0, "", 'Names of Bidder'!D32)</f>
        <v/>
      </c>
      <c r="C159" s="1129"/>
      <c r="D159" s="1129"/>
      <c r="E159" s="1129"/>
      <c r="G159" s="1129"/>
      <c r="H159" s="1129"/>
      <c r="I159" s="1132"/>
      <c r="K159" s="1264" t="s">
        <v>408</v>
      </c>
      <c r="L159" s="1264"/>
      <c r="M159" s="1265" t="str">
        <f>IF('Names of Bidder'!D24=0, "", 'Names of Bidder'!D24)</f>
        <v/>
      </c>
      <c r="N159" s="1265"/>
      <c r="O159" s="1135"/>
      <c r="P159" s="1136"/>
      <c r="Q159" s="1136"/>
      <c r="R159" s="1136"/>
      <c r="S159" s="1137"/>
      <c r="T159" s="1138"/>
      <c r="U159" s="1138"/>
      <c r="V159" s="1138"/>
      <c r="W159" s="1138"/>
      <c r="X159" s="1138"/>
      <c r="Y159" s="1138"/>
      <c r="AB159" s="1135"/>
    </row>
    <row r="160" spans="1:51" s="1131" customFormat="1" ht="25.8" customHeight="1">
      <c r="A160" s="1137"/>
      <c r="B160" s="1137"/>
      <c r="C160" s="1137"/>
      <c r="D160" s="1137"/>
      <c r="E160" s="1137"/>
      <c r="F160" s="1137"/>
      <c r="G160" s="1137"/>
      <c r="H160" s="1137"/>
      <c r="I160" s="1139"/>
      <c r="J160" s="1138"/>
      <c r="K160" s="1264" t="s">
        <v>409</v>
      </c>
      <c r="L160" s="1264"/>
      <c r="M160" s="1265" t="str">
        <f>IF('Names of Bidder'!D25=0, "", 'Names of Bidder'!D25)</f>
        <v/>
      </c>
      <c r="N160" s="1265"/>
      <c r="O160" s="1135"/>
      <c r="P160" s="1136"/>
      <c r="Q160" s="1136"/>
      <c r="R160" s="1136"/>
      <c r="S160" s="1137"/>
      <c r="T160" s="1138"/>
      <c r="U160" s="1138"/>
      <c r="V160" s="1138"/>
      <c r="W160" s="1138"/>
      <c r="X160" s="1138"/>
      <c r="Y160" s="1138"/>
      <c r="AB160" s="1135"/>
    </row>
    <row r="161" spans="1:51">
      <c r="A161" s="898"/>
      <c r="B161" s="898"/>
      <c r="C161" s="898"/>
      <c r="D161" s="898"/>
      <c r="E161" s="898"/>
      <c r="F161" s="898"/>
      <c r="G161" s="898"/>
      <c r="H161" s="898"/>
      <c r="I161" s="899"/>
      <c r="J161" s="891"/>
      <c r="K161" s="898"/>
      <c r="L161" s="887"/>
      <c r="M161" s="900"/>
      <c r="N161" s="898"/>
      <c r="O161" s="920"/>
      <c r="AL161" s="866"/>
      <c r="AM161" s="866"/>
      <c r="AN161" s="866"/>
      <c r="AO161" s="866"/>
      <c r="AP161" s="866"/>
      <c r="AQ161" s="866"/>
      <c r="AR161" s="866"/>
      <c r="AS161" s="866"/>
      <c r="AT161" s="866"/>
      <c r="AU161" s="866"/>
      <c r="AV161" s="866"/>
      <c r="AW161" s="866"/>
      <c r="AX161" s="866"/>
      <c r="AY161" s="866"/>
    </row>
    <row r="162" spans="1:51">
      <c r="A162" s="898"/>
      <c r="B162" s="898"/>
      <c r="C162" s="898"/>
      <c r="D162" s="898"/>
      <c r="E162" s="898"/>
      <c r="F162" s="898"/>
      <c r="G162" s="898"/>
      <c r="H162" s="898"/>
      <c r="I162" s="899"/>
      <c r="J162" s="891"/>
      <c r="K162" s="898"/>
      <c r="L162" s="898"/>
      <c r="M162" s="891"/>
      <c r="N162" s="898"/>
      <c r="O162" s="920"/>
      <c r="AL162" s="866"/>
      <c r="AM162" s="866"/>
      <c r="AN162" s="866"/>
      <c r="AO162" s="866"/>
      <c r="AP162" s="866"/>
      <c r="AQ162" s="866"/>
      <c r="AR162" s="866"/>
      <c r="AS162" s="866"/>
      <c r="AT162" s="866"/>
      <c r="AU162" s="866"/>
      <c r="AV162" s="866"/>
      <c r="AW162" s="866"/>
      <c r="AX162" s="866"/>
      <c r="AY162" s="866"/>
    </row>
    <row r="163" spans="1:51">
      <c r="A163" s="898"/>
      <c r="B163" s="898"/>
      <c r="C163" s="898"/>
      <c r="D163" s="898"/>
      <c r="E163" s="898"/>
      <c r="F163" s="898"/>
      <c r="G163" s="898"/>
      <c r="H163" s="898"/>
      <c r="I163" s="899"/>
      <c r="J163" s="891"/>
      <c r="K163" s="898"/>
      <c r="L163" s="898"/>
      <c r="M163" s="891"/>
      <c r="N163" s="898"/>
      <c r="O163" s="920"/>
      <c r="AL163" s="866"/>
      <c r="AM163" s="866"/>
      <c r="AN163" s="866"/>
      <c r="AO163" s="866"/>
      <c r="AP163" s="866"/>
      <c r="AQ163" s="866"/>
      <c r="AR163" s="866"/>
      <c r="AS163" s="866"/>
      <c r="AT163" s="866"/>
      <c r="AU163" s="866"/>
      <c r="AV163" s="866"/>
      <c r="AW163" s="866"/>
      <c r="AX163" s="866"/>
      <c r="AY163" s="866"/>
    </row>
    <row r="164" spans="1:51">
      <c r="A164" s="898"/>
      <c r="B164" s="898"/>
      <c r="C164" s="898"/>
      <c r="D164" s="898"/>
      <c r="E164" s="898"/>
      <c r="F164" s="898"/>
      <c r="G164" s="898"/>
      <c r="H164" s="898"/>
      <c r="I164" s="899"/>
      <c r="J164" s="891"/>
      <c r="K164" s="898"/>
      <c r="L164" s="898"/>
      <c r="M164" s="891"/>
      <c r="N164" s="898"/>
      <c r="O164" s="920"/>
      <c r="AL164" s="866"/>
      <c r="AM164" s="866"/>
      <c r="AN164" s="866"/>
      <c r="AO164" s="866"/>
      <c r="AP164" s="866"/>
      <c r="AQ164" s="866"/>
      <c r="AR164" s="866"/>
      <c r="AS164" s="866"/>
      <c r="AT164" s="866"/>
      <c r="AU164" s="866"/>
      <c r="AV164" s="866"/>
      <c r="AW164" s="866"/>
      <c r="AX164" s="866"/>
      <c r="AY164" s="866"/>
    </row>
    <row r="165" spans="1:51">
      <c r="A165" s="898"/>
      <c r="B165" s="898"/>
      <c r="C165" s="898"/>
      <c r="D165" s="898"/>
      <c r="E165" s="898"/>
      <c r="F165" s="898"/>
      <c r="G165" s="898"/>
      <c r="H165" s="898"/>
      <c r="I165" s="899"/>
      <c r="J165" s="891"/>
      <c r="K165" s="898"/>
      <c r="L165" s="898"/>
      <c r="M165" s="891"/>
      <c r="N165" s="898"/>
      <c r="O165" s="920"/>
      <c r="AL165" s="866"/>
      <c r="AM165" s="866"/>
      <c r="AN165" s="866"/>
      <c r="AO165" s="866"/>
      <c r="AP165" s="866"/>
      <c r="AQ165" s="866"/>
      <c r="AR165" s="866"/>
      <c r="AS165" s="866"/>
      <c r="AT165" s="866"/>
      <c r="AU165" s="866"/>
      <c r="AV165" s="866"/>
      <c r="AW165" s="866"/>
      <c r="AX165" s="866"/>
      <c r="AY165" s="866"/>
    </row>
    <row r="166" spans="1:51">
      <c r="A166" s="898"/>
      <c r="B166" s="898"/>
      <c r="C166" s="898"/>
      <c r="D166" s="898"/>
      <c r="E166" s="898"/>
      <c r="F166" s="898"/>
      <c r="G166" s="898"/>
      <c r="H166" s="898"/>
      <c r="I166" s="899"/>
      <c r="J166" s="891"/>
      <c r="K166" s="898"/>
      <c r="L166" s="898"/>
      <c r="M166" s="891"/>
      <c r="N166" s="898"/>
      <c r="O166" s="920"/>
      <c r="AL166" s="866"/>
      <c r="AM166" s="866"/>
      <c r="AN166" s="866"/>
      <c r="AO166" s="866"/>
      <c r="AP166" s="866"/>
      <c r="AQ166" s="866"/>
      <c r="AR166" s="866"/>
      <c r="AS166" s="866"/>
      <c r="AT166" s="866"/>
      <c r="AU166" s="866"/>
      <c r="AV166" s="866"/>
      <c r="AW166" s="866"/>
      <c r="AX166" s="866"/>
      <c r="AY166" s="866"/>
    </row>
    <row r="167" spans="1:51">
      <c r="A167" s="898"/>
      <c r="B167" s="898"/>
      <c r="C167" s="898"/>
      <c r="D167" s="898"/>
      <c r="E167" s="898"/>
      <c r="F167" s="898"/>
      <c r="G167" s="898"/>
      <c r="H167" s="898"/>
      <c r="I167" s="899"/>
      <c r="J167" s="891"/>
      <c r="K167" s="898"/>
      <c r="L167" s="898"/>
      <c r="M167" s="891"/>
      <c r="N167" s="898"/>
      <c r="O167" s="920"/>
      <c r="AL167" s="866"/>
      <c r="AM167" s="866"/>
      <c r="AN167" s="866"/>
      <c r="AO167" s="866"/>
      <c r="AP167" s="866"/>
      <c r="AQ167" s="866"/>
      <c r="AR167" s="866"/>
      <c r="AS167" s="866"/>
      <c r="AT167" s="866"/>
      <c r="AU167" s="866"/>
      <c r="AV167" s="866"/>
      <c r="AW167" s="866"/>
      <c r="AX167" s="866"/>
      <c r="AY167" s="866"/>
    </row>
    <row r="168" spans="1:51">
      <c r="A168" s="898"/>
      <c r="B168" s="898"/>
      <c r="C168" s="898"/>
      <c r="D168" s="898"/>
      <c r="E168" s="898"/>
      <c r="F168" s="898"/>
      <c r="G168" s="898"/>
      <c r="H168" s="898"/>
      <c r="I168" s="899"/>
      <c r="J168" s="891"/>
      <c r="K168" s="898"/>
      <c r="L168" s="898"/>
      <c r="M168" s="891"/>
      <c r="N168" s="898"/>
      <c r="O168" s="920"/>
      <c r="P168" s="866"/>
      <c r="Q168" s="866"/>
      <c r="R168" s="866"/>
      <c r="S168" s="866"/>
      <c r="T168" s="866"/>
      <c r="U168" s="866"/>
      <c r="V168" s="866"/>
      <c r="W168" s="866"/>
      <c r="X168" s="866"/>
      <c r="Y168" s="866"/>
      <c r="AB168" s="866"/>
      <c r="AL168" s="866"/>
      <c r="AM168" s="866"/>
      <c r="AN168" s="866"/>
      <c r="AO168" s="866"/>
      <c r="AP168" s="866"/>
      <c r="AQ168" s="866"/>
      <c r="AR168" s="866"/>
      <c r="AS168" s="866"/>
      <c r="AT168" s="866"/>
      <c r="AU168" s="866"/>
      <c r="AV168" s="866"/>
      <c r="AW168" s="866"/>
      <c r="AX168" s="866"/>
      <c r="AY168" s="866"/>
    </row>
    <row r="169" spans="1:51">
      <c r="A169" s="898"/>
      <c r="B169" s="898"/>
      <c r="C169" s="898"/>
      <c r="D169" s="898"/>
      <c r="E169" s="898"/>
      <c r="F169" s="898"/>
      <c r="G169" s="898"/>
      <c r="H169" s="898"/>
      <c r="I169" s="899"/>
      <c r="J169" s="891"/>
      <c r="K169" s="898"/>
      <c r="L169" s="898"/>
      <c r="M169" s="891"/>
      <c r="N169" s="898"/>
      <c r="O169" s="920"/>
      <c r="P169" s="866"/>
      <c r="Q169" s="866"/>
      <c r="R169" s="866"/>
      <c r="S169" s="866"/>
      <c r="T169" s="866"/>
      <c r="U169" s="866"/>
      <c r="V169" s="866"/>
      <c r="W169" s="866"/>
      <c r="X169" s="866"/>
      <c r="Y169" s="866"/>
      <c r="AB169" s="866"/>
      <c r="AL169" s="866"/>
      <c r="AM169" s="866"/>
      <c r="AN169" s="866"/>
      <c r="AO169" s="866"/>
      <c r="AP169" s="866"/>
      <c r="AQ169" s="866"/>
      <c r="AR169" s="866"/>
      <c r="AS169" s="866"/>
      <c r="AT169" s="866"/>
      <c r="AU169" s="866"/>
      <c r="AV169" s="866"/>
      <c r="AW169" s="866"/>
      <c r="AX169" s="866"/>
      <c r="AY169" s="866"/>
    </row>
    <row r="170" spans="1:51">
      <c r="A170" s="898"/>
      <c r="B170" s="898"/>
      <c r="C170" s="898"/>
      <c r="D170" s="898"/>
      <c r="E170" s="898"/>
      <c r="F170" s="898"/>
      <c r="G170" s="898"/>
      <c r="H170" s="898"/>
      <c r="I170" s="899"/>
      <c r="J170" s="891"/>
      <c r="K170" s="898"/>
      <c r="L170" s="898"/>
      <c r="M170" s="891"/>
      <c r="N170" s="898"/>
      <c r="O170" s="920"/>
      <c r="P170" s="866"/>
      <c r="Q170" s="866"/>
      <c r="R170" s="866"/>
      <c r="S170" s="866"/>
      <c r="T170" s="866"/>
      <c r="U170" s="866"/>
      <c r="V170" s="866"/>
      <c r="W170" s="866"/>
      <c r="X170" s="866"/>
      <c r="Y170" s="866"/>
      <c r="AB170" s="866"/>
      <c r="AL170" s="866"/>
      <c r="AM170" s="866"/>
      <c r="AN170" s="866"/>
      <c r="AO170" s="866"/>
      <c r="AP170" s="866"/>
      <c r="AQ170" s="866"/>
      <c r="AR170" s="866"/>
      <c r="AS170" s="866"/>
      <c r="AT170" s="866"/>
      <c r="AU170" s="866"/>
      <c r="AV170" s="866"/>
      <c r="AW170" s="866"/>
      <c r="AX170" s="866"/>
      <c r="AY170" s="866"/>
    </row>
    <row r="171" spans="1:51">
      <c r="A171" s="898"/>
      <c r="B171" s="898"/>
      <c r="C171" s="898"/>
      <c r="D171" s="898"/>
      <c r="E171" s="898"/>
      <c r="F171" s="898"/>
      <c r="G171" s="898"/>
      <c r="H171" s="898"/>
      <c r="I171" s="899"/>
      <c r="J171" s="891"/>
      <c r="K171" s="898"/>
      <c r="L171" s="898"/>
      <c r="M171" s="891"/>
      <c r="N171" s="898"/>
      <c r="O171" s="920"/>
      <c r="P171" s="866"/>
      <c r="Q171" s="866"/>
      <c r="R171" s="866"/>
      <c r="S171" s="866"/>
      <c r="T171" s="866"/>
      <c r="U171" s="866"/>
      <c r="V171" s="866"/>
      <c r="W171" s="866"/>
      <c r="X171" s="866"/>
      <c r="Y171" s="866"/>
      <c r="AB171" s="866"/>
      <c r="AL171" s="866"/>
      <c r="AM171" s="866"/>
      <c r="AN171" s="866"/>
      <c r="AO171" s="866"/>
      <c r="AP171" s="866"/>
      <c r="AQ171" s="866"/>
      <c r="AR171" s="866"/>
      <c r="AS171" s="866"/>
      <c r="AT171" s="866"/>
      <c r="AU171" s="866"/>
      <c r="AV171" s="866"/>
      <c r="AW171" s="866"/>
      <c r="AX171" s="866"/>
      <c r="AY171" s="866"/>
    </row>
    <row r="172" spans="1:51">
      <c r="A172" s="898"/>
      <c r="B172" s="898"/>
      <c r="C172" s="898"/>
      <c r="D172" s="898"/>
      <c r="E172" s="898"/>
      <c r="F172" s="898"/>
      <c r="G172" s="898"/>
      <c r="H172" s="898"/>
      <c r="I172" s="899"/>
      <c r="J172" s="891"/>
      <c r="K172" s="898"/>
      <c r="L172" s="898"/>
      <c r="M172" s="891"/>
      <c r="N172" s="898"/>
      <c r="O172" s="920"/>
      <c r="P172" s="866"/>
      <c r="Q172" s="866"/>
      <c r="R172" s="866"/>
      <c r="S172" s="866"/>
      <c r="T172" s="866"/>
      <c r="U172" s="866"/>
      <c r="V172" s="866"/>
      <c r="W172" s="866"/>
      <c r="X172" s="866"/>
      <c r="Y172" s="866"/>
      <c r="AB172" s="866"/>
      <c r="AL172" s="866"/>
      <c r="AM172" s="866"/>
      <c r="AN172" s="866"/>
      <c r="AO172" s="866"/>
      <c r="AP172" s="866"/>
      <c r="AQ172" s="866"/>
      <c r="AR172" s="866"/>
      <c r="AS172" s="866"/>
      <c r="AT172" s="866"/>
      <c r="AU172" s="866"/>
      <c r="AV172" s="866"/>
      <c r="AW172" s="866"/>
      <c r="AX172" s="866"/>
      <c r="AY172" s="866"/>
    </row>
    <row r="173" spans="1:51">
      <c r="A173" s="898"/>
      <c r="B173" s="898"/>
      <c r="C173" s="898"/>
      <c r="D173" s="898"/>
      <c r="E173" s="898"/>
      <c r="F173" s="898"/>
      <c r="G173" s="898"/>
      <c r="H173" s="898"/>
      <c r="I173" s="899"/>
      <c r="J173" s="891"/>
      <c r="K173" s="898"/>
      <c r="L173" s="898"/>
      <c r="M173" s="891"/>
      <c r="N173" s="898"/>
      <c r="O173" s="920"/>
      <c r="P173" s="866"/>
      <c r="Q173" s="866"/>
      <c r="R173" s="866"/>
      <c r="S173" s="866"/>
      <c r="T173" s="866"/>
      <c r="U173" s="866"/>
      <c r="V173" s="866"/>
      <c r="W173" s="866"/>
      <c r="X173" s="866"/>
      <c r="Y173" s="866"/>
      <c r="AB173" s="866"/>
      <c r="AL173" s="866"/>
      <c r="AM173" s="866"/>
      <c r="AN173" s="866"/>
      <c r="AO173" s="866"/>
      <c r="AP173" s="866"/>
      <c r="AQ173" s="866"/>
      <c r="AR173" s="866"/>
      <c r="AS173" s="866"/>
      <c r="AT173" s="866"/>
      <c r="AU173" s="866"/>
      <c r="AV173" s="866"/>
      <c r="AW173" s="866"/>
      <c r="AX173" s="866"/>
      <c r="AY173" s="866"/>
    </row>
    <row r="174" spans="1:51">
      <c r="A174" s="898"/>
      <c r="B174" s="898"/>
      <c r="C174" s="898"/>
      <c r="D174" s="898"/>
      <c r="E174" s="898"/>
      <c r="F174" s="898"/>
      <c r="G174" s="898"/>
      <c r="H174" s="898"/>
      <c r="I174" s="899"/>
      <c r="J174" s="891"/>
      <c r="K174" s="898"/>
      <c r="L174" s="898"/>
      <c r="M174" s="891"/>
      <c r="N174" s="898"/>
      <c r="O174" s="920"/>
      <c r="P174" s="866"/>
      <c r="Q174" s="866"/>
      <c r="R174" s="866"/>
      <c r="S174" s="866"/>
      <c r="T174" s="866"/>
      <c r="U174" s="866"/>
      <c r="V174" s="866"/>
      <c r="W174" s="866"/>
      <c r="X174" s="866"/>
      <c r="Y174" s="866"/>
      <c r="AB174" s="866"/>
      <c r="AL174" s="866"/>
      <c r="AM174" s="866"/>
      <c r="AN174" s="866"/>
      <c r="AO174" s="866"/>
      <c r="AP174" s="866"/>
      <c r="AQ174" s="866"/>
      <c r="AR174" s="866"/>
      <c r="AS174" s="866"/>
      <c r="AT174" s="866"/>
      <c r="AU174" s="866"/>
      <c r="AV174" s="866"/>
      <c r="AW174" s="866"/>
      <c r="AX174" s="866"/>
      <c r="AY174" s="866"/>
    </row>
    <row r="175" spans="1:51">
      <c r="A175" s="898"/>
      <c r="B175" s="898"/>
      <c r="C175" s="898"/>
      <c r="D175" s="898"/>
      <c r="E175" s="898"/>
      <c r="F175" s="898"/>
      <c r="G175" s="898"/>
      <c r="H175" s="898"/>
      <c r="I175" s="899"/>
      <c r="J175" s="891"/>
      <c r="K175" s="898"/>
      <c r="L175" s="898"/>
      <c r="M175" s="891"/>
      <c r="N175" s="898"/>
      <c r="O175" s="920"/>
      <c r="P175" s="866"/>
      <c r="Q175" s="866"/>
      <c r="R175" s="866"/>
      <c r="S175" s="866"/>
      <c r="T175" s="866"/>
      <c r="U175" s="866"/>
      <c r="V175" s="866"/>
      <c r="W175" s="866"/>
      <c r="X175" s="866"/>
      <c r="Y175" s="866"/>
      <c r="AB175" s="866"/>
      <c r="AL175" s="866"/>
      <c r="AM175" s="866"/>
      <c r="AN175" s="866"/>
      <c r="AO175" s="866"/>
      <c r="AP175" s="866"/>
      <c r="AQ175" s="866"/>
      <c r="AR175" s="866"/>
      <c r="AS175" s="866"/>
      <c r="AT175" s="866"/>
      <c r="AU175" s="866"/>
      <c r="AV175" s="866"/>
      <c r="AW175" s="866"/>
      <c r="AX175" s="866"/>
      <c r="AY175" s="866"/>
    </row>
    <row r="176" spans="1:51">
      <c r="A176" s="898"/>
      <c r="B176" s="898"/>
      <c r="C176" s="898"/>
      <c r="D176" s="898"/>
      <c r="E176" s="898"/>
      <c r="F176" s="898"/>
      <c r="G176" s="898"/>
      <c r="H176" s="898"/>
      <c r="I176" s="899"/>
      <c r="J176" s="891"/>
      <c r="K176" s="898"/>
      <c r="L176" s="898"/>
      <c r="M176" s="891"/>
      <c r="N176" s="898"/>
      <c r="O176" s="920"/>
      <c r="P176" s="866"/>
      <c r="Q176" s="866"/>
      <c r="R176" s="866"/>
      <c r="S176" s="866"/>
      <c r="T176" s="866"/>
      <c r="U176" s="866"/>
      <c r="V176" s="866"/>
      <c r="W176" s="866"/>
      <c r="X176" s="866"/>
      <c r="Y176" s="866"/>
      <c r="AB176" s="866"/>
      <c r="AL176" s="866"/>
      <c r="AM176" s="866"/>
      <c r="AN176" s="866"/>
      <c r="AO176" s="866"/>
      <c r="AP176" s="866"/>
      <c r="AQ176" s="866"/>
      <c r="AR176" s="866"/>
      <c r="AS176" s="866"/>
      <c r="AT176" s="866"/>
      <c r="AU176" s="866"/>
      <c r="AV176" s="866"/>
      <c r="AW176" s="866"/>
      <c r="AX176" s="866"/>
      <c r="AY176" s="866"/>
    </row>
    <row r="177" spans="1:51">
      <c r="A177" s="898"/>
      <c r="B177" s="898"/>
      <c r="C177" s="898"/>
      <c r="D177" s="898"/>
      <c r="E177" s="898"/>
      <c r="F177" s="898"/>
      <c r="G177" s="898"/>
      <c r="H177" s="898"/>
      <c r="I177" s="899"/>
      <c r="J177" s="891"/>
      <c r="K177" s="898"/>
      <c r="L177" s="898"/>
      <c r="M177" s="891"/>
      <c r="N177" s="898"/>
      <c r="O177" s="920"/>
      <c r="P177" s="866"/>
      <c r="Q177" s="866"/>
      <c r="R177" s="866"/>
      <c r="S177" s="866"/>
      <c r="T177" s="866"/>
      <c r="U177" s="866"/>
      <c r="V177" s="866"/>
      <c r="W177" s="866"/>
      <c r="X177" s="866"/>
      <c r="Y177" s="866"/>
      <c r="AB177" s="866"/>
      <c r="AL177" s="866"/>
      <c r="AM177" s="866"/>
      <c r="AN177" s="866"/>
      <c r="AO177" s="866"/>
      <c r="AP177" s="866"/>
      <c r="AQ177" s="866"/>
      <c r="AR177" s="866"/>
      <c r="AS177" s="866"/>
      <c r="AT177" s="866"/>
      <c r="AU177" s="866"/>
      <c r="AV177" s="866"/>
      <c r="AW177" s="866"/>
      <c r="AX177" s="866"/>
      <c r="AY177" s="866"/>
    </row>
    <row r="178" spans="1:51">
      <c r="A178" s="898"/>
      <c r="B178" s="898"/>
      <c r="C178" s="898"/>
      <c r="D178" s="898"/>
      <c r="E178" s="898"/>
      <c r="F178" s="898"/>
      <c r="G178" s="898"/>
      <c r="H178" s="898"/>
      <c r="I178" s="899"/>
      <c r="J178" s="891"/>
      <c r="K178" s="898"/>
      <c r="L178" s="898"/>
      <c r="M178" s="891"/>
      <c r="N178" s="898"/>
      <c r="O178" s="920"/>
      <c r="P178" s="866"/>
      <c r="Q178" s="866"/>
      <c r="R178" s="866"/>
      <c r="S178" s="866"/>
      <c r="T178" s="866"/>
      <c r="U178" s="866"/>
      <c r="V178" s="866"/>
      <c r="W178" s="866"/>
      <c r="X178" s="866"/>
      <c r="Y178" s="866"/>
      <c r="AB178" s="866"/>
      <c r="AL178" s="866"/>
      <c r="AM178" s="866"/>
      <c r="AN178" s="866"/>
      <c r="AO178" s="866"/>
      <c r="AP178" s="866"/>
      <c r="AQ178" s="866"/>
      <c r="AR178" s="866"/>
      <c r="AS178" s="866"/>
      <c r="AT178" s="866"/>
      <c r="AU178" s="866"/>
      <c r="AV178" s="866"/>
      <c r="AW178" s="866"/>
      <c r="AX178" s="866"/>
      <c r="AY178" s="866"/>
    </row>
    <row r="179" spans="1:51">
      <c r="A179" s="898"/>
      <c r="B179" s="898"/>
      <c r="C179" s="898"/>
      <c r="D179" s="898"/>
      <c r="E179" s="898"/>
      <c r="F179" s="898"/>
      <c r="G179" s="898"/>
      <c r="H179" s="898"/>
      <c r="I179" s="899"/>
      <c r="J179" s="891"/>
      <c r="K179" s="898"/>
      <c r="L179" s="898"/>
      <c r="M179" s="891"/>
      <c r="N179" s="898"/>
      <c r="O179" s="920"/>
      <c r="P179" s="866"/>
      <c r="Q179" s="866"/>
      <c r="R179" s="866"/>
      <c r="S179" s="866"/>
      <c r="T179" s="866"/>
      <c r="U179" s="866"/>
      <c r="V179" s="866"/>
      <c r="W179" s="866"/>
      <c r="X179" s="866"/>
      <c r="Y179" s="866"/>
      <c r="AB179" s="866"/>
      <c r="AL179" s="866"/>
      <c r="AM179" s="866"/>
      <c r="AN179" s="866"/>
      <c r="AO179" s="866"/>
      <c r="AP179" s="866"/>
      <c r="AQ179" s="866"/>
      <c r="AR179" s="866"/>
      <c r="AS179" s="866"/>
      <c r="AT179" s="866"/>
      <c r="AU179" s="866"/>
      <c r="AV179" s="866"/>
      <c r="AW179" s="866"/>
      <c r="AX179" s="866"/>
      <c r="AY179" s="866"/>
    </row>
    <row r="180" spans="1:51">
      <c r="A180" s="898"/>
      <c r="B180" s="898"/>
      <c r="C180" s="898"/>
      <c r="D180" s="898"/>
      <c r="E180" s="898"/>
      <c r="F180" s="898"/>
      <c r="G180" s="898"/>
      <c r="H180" s="898"/>
      <c r="I180" s="899"/>
      <c r="J180" s="891"/>
      <c r="K180" s="898"/>
      <c r="L180" s="898"/>
      <c r="M180" s="891"/>
      <c r="N180" s="898"/>
      <c r="O180" s="920"/>
      <c r="P180" s="866"/>
      <c r="Q180" s="866"/>
      <c r="R180" s="866"/>
      <c r="S180" s="866"/>
      <c r="T180" s="866"/>
      <c r="U180" s="866"/>
      <c r="V180" s="866"/>
      <c r="W180" s="866"/>
      <c r="X180" s="866"/>
      <c r="Y180" s="866"/>
      <c r="AB180" s="866"/>
      <c r="AL180" s="866"/>
      <c r="AM180" s="866"/>
      <c r="AN180" s="866"/>
      <c r="AO180" s="866"/>
      <c r="AP180" s="866"/>
      <c r="AQ180" s="866"/>
      <c r="AR180" s="866"/>
      <c r="AS180" s="866"/>
      <c r="AT180" s="866"/>
      <c r="AU180" s="866"/>
      <c r="AV180" s="866"/>
      <c r="AW180" s="866"/>
      <c r="AX180" s="866"/>
      <c r="AY180" s="866"/>
    </row>
    <row r="181" spans="1:51">
      <c r="A181" s="898"/>
      <c r="B181" s="898"/>
      <c r="C181" s="898"/>
      <c r="D181" s="898"/>
      <c r="E181" s="898"/>
      <c r="F181" s="898"/>
      <c r="G181" s="898"/>
      <c r="H181" s="898"/>
      <c r="I181" s="899"/>
      <c r="J181" s="891"/>
      <c r="K181" s="898"/>
      <c r="L181" s="898"/>
      <c r="M181" s="891"/>
      <c r="N181" s="898"/>
      <c r="O181" s="920"/>
      <c r="P181" s="866"/>
      <c r="Q181" s="866"/>
      <c r="R181" s="866"/>
      <c r="S181" s="866"/>
      <c r="T181" s="866"/>
      <c r="U181" s="866"/>
      <c r="V181" s="866"/>
      <c r="W181" s="866"/>
      <c r="X181" s="866"/>
      <c r="Y181" s="866"/>
      <c r="AB181" s="866"/>
      <c r="AL181" s="866"/>
      <c r="AM181" s="866"/>
      <c r="AN181" s="866"/>
      <c r="AO181" s="866"/>
      <c r="AP181" s="866"/>
      <c r="AQ181" s="866"/>
      <c r="AR181" s="866"/>
      <c r="AS181" s="866"/>
      <c r="AT181" s="866"/>
      <c r="AU181" s="866"/>
      <c r="AV181" s="866"/>
      <c r="AW181" s="866"/>
      <c r="AX181" s="866"/>
      <c r="AY181" s="866"/>
    </row>
    <row r="182" spans="1:51">
      <c r="A182" s="898"/>
      <c r="B182" s="898"/>
      <c r="C182" s="898"/>
      <c r="D182" s="898"/>
      <c r="E182" s="898"/>
      <c r="F182" s="898"/>
      <c r="G182" s="898"/>
      <c r="H182" s="898"/>
      <c r="I182" s="899"/>
      <c r="J182" s="891"/>
      <c r="K182" s="898"/>
      <c r="L182" s="898"/>
      <c r="M182" s="891"/>
      <c r="N182" s="898"/>
      <c r="O182" s="920"/>
      <c r="P182" s="866"/>
      <c r="Q182" s="866"/>
      <c r="R182" s="866"/>
      <c r="S182" s="866"/>
      <c r="T182" s="866"/>
      <c r="U182" s="866"/>
      <c r="V182" s="866"/>
      <c r="W182" s="866"/>
      <c r="X182" s="866"/>
      <c r="Y182" s="866"/>
      <c r="AB182" s="866"/>
      <c r="AL182" s="866"/>
      <c r="AM182" s="866"/>
      <c r="AN182" s="866"/>
      <c r="AO182" s="866"/>
      <c r="AP182" s="866"/>
      <c r="AQ182" s="866"/>
      <c r="AR182" s="866"/>
      <c r="AS182" s="866"/>
      <c r="AT182" s="866"/>
      <c r="AU182" s="866"/>
      <c r="AV182" s="866"/>
      <c r="AW182" s="866"/>
      <c r="AX182" s="866"/>
      <c r="AY182" s="866"/>
    </row>
    <row r="183" spans="1:51">
      <c r="A183" s="898"/>
      <c r="B183" s="898"/>
      <c r="C183" s="898"/>
      <c r="D183" s="898"/>
      <c r="E183" s="898"/>
      <c r="F183" s="898"/>
      <c r="G183" s="898"/>
      <c r="H183" s="898"/>
      <c r="I183" s="899"/>
      <c r="J183" s="891"/>
      <c r="K183" s="898"/>
      <c r="L183" s="898"/>
      <c r="M183" s="891"/>
      <c r="N183" s="898"/>
      <c r="O183" s="920"/>
      <c r="P183" s="866"/>
      <c r="Q183" s="866"/>
      <c r="R183" s="866"/>
      <c r="S183" s="866"/>
      <c r="T183" s="866"/>
      <c r="U183" s="866"/>
      <c r="V183" s="866"/>
      <c r="W183" s="866"/>
      <c r="X183" s="866"/>
      <c r="Y183" s="866"/>
      <c r="AB183" s="866"/>
      <c r="AL183" s="866"/>
      <c r="AM183" s="866"/>
      <c r="AN183" s="866"/>
      <c r="AO183" s="866"/>
      <c r="AP183" s="866"/>
      <c r="AQ183" s="866"/>
      <c r="AR183" s="866"/>
      <c r="AS183" s="866"/>
      <c r="AT183" s="866"/>
      <c r="AU183" s="866"/>
      <c r="AV183" s="866"/>
      <c r="AW183" s="866"/>
      <c r="AX183" s="866"/>
      <c r="AY183" s="866"/>
    </row>
    <row r="184" spans="1:51">
      <c r="A184" s="898"/>
      <c r="B184" s="898"/>
      <c r="C184" s="898"/>
      <c r="D184" s="898"/>
      <c r="E184" s="898"/>
      <c r="F184" s="898"/>
      <c r="G184" s="898"/>
      <c r="H184" s="898"/>
      <c r="I184" s="899"/>
      <c r="J184" s="891"/>
      <c r="K184" s="898"/>
      <c r="L184" s="898"/>
      <c r="M184" s="891"/>
      <c r="N184" s="898"/>
      <c r="O184" s="920"/>
      <c r="AL184" s="866"/>
      <c r="AM184" s="866"/>
      <c r="AN184" s="866"/>
      <c r="AO184" s="866"/>
      <c r="AP184" s="866"/>
      <c r="AQ184" s="866"/>
      <c r="AR184" s="866"/>
      <c r="AS184" s="866"/>
      <c r="AT184" s="866"/>
      <c r="AU184" s="866"/>
      <c r="AV184" s="866"/>
      <c r="AW184" s="866"/>
      <c r="AX184" s="866"/>
      <c r="AY184" s="866"/>
    </row>
    <row r="185" spans="1:51">
      <c r="A185" s="898"/>
      <c r="B185" s="898"/>
      <c r="C185" s="898"/>
      <c r="D185" s="898"/>
      <c r="E185" s="898"/>
      <c r="F185" s="898"/>
      <c r="G185" s="898"/>
      <c r="H185" s="898"/>
      <c r="I185" s="899"/>
      <c r="J185" s="891"/>
      <c r="K185" s="898"/>
      <c r="L185" s="898"/>
      <c r="M185" s="891"/>
      <c r="N185" s="898"/>
      <c r="O185" s="920"/>
      <c r="AL185" s="866"/>
      <c r="AM185" s="866"/>
      <c r="AN185" s="866"/>
      <c r="AO185" s="866"/>
      <c r="AP185" s="866"/>
      <c r="AQ185" s="866"/>
      <c r="AR185" s="866"/>
      <c r="AS185" s="866"/>
      <c r="AT185" s="866"/>
      <c r="AU185" s="866"/>
      <c r="AV185" s="866"/>
      <c r="AW185" s="866"/>
      <c r="AX185" s="866"/>
      <c r="AY185" s="866"/>
    </row>
    <row r="186" spans="1:51">
      <c r="A186" s="901"/>
      <c r="B186" s="901"/>
      <c r="C186" s="901"/>
      <c r="D186" s="901"/>
      <c r="E186" s="901"/>
      <c r="F186" s="901"/>
      <c r="G186" s="901"/>
      <c r="H186" s="901"/>
      <c r="I186" s="902"/>
      <c r="J186" s="891"/>
      <c r="K186" s="903"/>
      <c r="L186" s="903"/>
      <c r="M186" s="904"/>
      <c r="N186" s="903"/>
      <c r="O186" s="920"/>
      <c r="AD186" s="870"/>
      <c r="AL186" s="866"/>
      <c r="AM186" s="866"/>
      <c r="AN186" s="866"/>
      <c r="AO186" s="866"/>
      <c r="AP186" s="866"/>
      <c r="AQ186" s="866"/>
      <c r="AR186" s="866"/>
      <c r="AS186" s="866"/>
      <c r="AT186" s="866"/>
      <c r="AU186" s="866"/>
      <c r="AV186" s="866"/>
      <c r="AW186" s="866"/>
      <c r="AX186" s="866"/>
      <c r="AY186" s="866"/>
    </row>
    <row r="187" spans="1:51">
      <c r="A187" s="905"/>
      <c r="B187" s="905"/>
      <c r="C187" s="905"/>
      <c r="D187" s="905"/>
      <c r="E187" s="905"/>
      <c r="F187" s="905"/>
      <c r="G187" s="905"/>
      <c r="H187" s="905"/>
      <c r="I187" s="906"/>
      <c r="J187" s="891"/>
      <c r="K187" s="898"/>
      <c r="L187" s="898"/>
      <c r="M187" s="891"/>
      <c r="N187" s="898"/>
      <c r="O187" s="920"/>
      <c r="AA187" s="867"/>
      <c r="AD187" s="870"/>
      <c r="AL187" s="866"/>
      <c r="AM187" s="866"/>
      <c r="AN187" s="866"/>
      <c r="AO187" s="866"/>
      <c r="AP187" s="866"/>
      <c r="AQ187" s="866"/>
      <c r="AR187" s="866"/>
      <c r="AS187" s="866"/>
      <c r="AT187" s="866"/>
      <c r="AU187" s="866"/>
      <c r="AV187" s="866"/>
      <c r="AW187" s="866"/>
      <c r="AX187" s="866"/>
      <c r="AY187" s="866"/>
    </row>
    <row r="188" spans="1:51">
      <c r="A188" s="1249"/>
      <c r="B188" s="1249"/>
      <c r="C188" s="1249"/>
      <c r="D188" s="1249"/>
      <c r="E188" s="1249"/>
      <c r="F188" s="1249"/>
      <c r="G188" s="1249"/>
      <c r="H188" s="1249"/>
      <c r="I188" s="1249"/>
      <c r="J188" s="1249"/>
      <c r="K188" s="1249"/>
      <c r="L188" s="1249"/>
      <c r="M188" s="1249"/>
      <c r="N188" s="1249"/>
      <c r="O188" s="1249"/>
      <c r="Y188" s="874"/>
      <c r="Z188" s="875"/>
      <c r="AA188" s="875"/>
      <c r="AB188" s="875"/>
      <c r="AD188" s="870"/>
      <c r="AG188" s="1241"/>
      <c r="AH188" s="1241"/>
      <c r="AL188" s="866"/>
      <c r="AM188" s="866"/>
      <c r="AN188" s="866"/>
      <c r="AO188" s="866"/>
      <c r="AP188" s="866"/>
      <c r="AQ188" s="866"/>
      <c r="AR188" s="866"/>
      <c r="AS188" s="866"/>
      <c r="AT188" s="866"/>
      <c r="AU188" s="866"/>
      <c r="AV188" s="866"/>
      <c r="AW188" s="866"/>
      <c r="AX188" s="866"/>
      <c r="AY188" s="866"/>
    </row>
    <row r="189" spans="1:51">
      <c r="A189" s="1259"/>
      <c r="B189" s="1259"/>
      <c r="C189" s="1259"/>
      <c r="D189" s="1259"/>
      <c r="E189" s="1259"/>
      <c r="F189" s="1259"/>
      <c r="G189" s="1259"/>
      <c r="H189" s="1259"/>
      <c r="I189" s="1259"/>
      <c r="J189" s="1259"/>
      <c r="K189" s="1259"/>
      <c r="L189" s="1259"/>
      <c r="M189" s="1259"/>
      <c r="N189" s="1259"/>
      <c r="O189" s="1259"/>
      <c r="Y189" s="874"/>
      <c r="Z189" s="875"/>
      <c r="AA189" s="875"/>
      <c r="AB189" s="875"/>
      <c r="AD189" s="870"/>
      <c r="AL189" s="866"/>
      <c r="AM189" s="866"/>
      <c r="AN189" s="866"/>
      <c r="AO189" s="866"/>
      <c r="AP189" s="866"/>
      <c r="AQ189" s="866"/>
      <c r="AR189" s="866"/>
      <c r="AS189" s="866"/>
      <c r="AT189" s="866"/>
      <c r="AU189" s="866"/>
      <c r="AV189" s="866"/>
      <c r="AW189" s="866"/>
      <c r="AX189" s="866"/>
      <c r="AY189" s="866"/>
    </row>
    <row r="190" spans="1:51">
      <c r="A190" s="898"/>
      <c r="B190" s="898"/>
      <c r="C190" s="898"/>
      <c r="D190" s="898"/>
      <c r="E190" s="898"/>
      <c r="F190" s="898"/>
      <c r="G190" s="898"/>
      <c r="H190" s="898"/>
      <c r="I190" s="899"/>
      <c r="J190" s="891"/>
      <c r="K190" s="898"/>
      <c r="L190" s="898"/>
      <c r="M190" s="891"/>
      <c r="N190" s="898"/>
      <c r="O190" s="920"/>
      <c r="Y190" s="874"/>
      <c r="Z190" s="875"/>
      <c r="AA190" s="875"/>
      <c r="AB190" s="875"/>
      <c r="AL190" s="866"/>
      <c r="AM190" s="866"/>
      <c r="AN190" s="866"/>
      <c r="AO190" s="866"/>
      <c r="AP190" s="866"/>
      <c r="AQ190" s="866"/>
      <c r="AR190" s="866"/>
      <c r="AS190" s="866"/>
      <c r="AT190" s="866"/>
      <c r="AU190" s="866"/>
      <c r="AV190" s="866"/>
      <c r="AW190" s="866"/>
      <c r="AX190" s="866"/>
      <c r="AY190" s="866"/>
    </row>
    <row r="191" spans="1:51">
      <c r="A191" s="908"/>
      <c r="B191" s="908"/>
      <c r="C191" s="908"/>
      <c r="D191" s="908"/>
      <c r="E191" s="908"/>
      <c r="F191" s="908"/>
      <c r="G191" s="908"/>
      <c r="H191" s="908"/>
      <c r="I191" s="909"/>
      <c r="J191" s="910"/>
      <c r="K191" s="911"/>
      <c r="L191" s="911"/>
      <c r="M191" s="905"/>
      <c r="N191" s="898"/>
      <c r="O191" s="880"/>
      <c r="Y191" s="874"/>
      <c r="Z191" s="875"/>
      <c r="AA191" s="875"/>
      <c r="AB191" s="875"/>
      <c r="AL191" s="866"/>
      <c r="AM191" s="866"/>
      <c r="AN191" s="866"/>
      <c r="AO191" s="866"/>
      <c r="AP191" s="866"/>
      <c r="AQ191" s="866"/>
      <c r="AR191" s="866"/>
      <c r="AS191" s="866"/>
      <c r="AT191" s="866"/>
      <c r="AU191" s="866"/>
      <c r="AV191" s="866"/>
      <c r="AW191" s="866"/>
      <c r="AX191" s="866"/>
      <c r="AY191" s="866"/>
    </row>
    <row r="192" spans="1:51">
      <c r="A192" s="1248"/>
      <c r="B192" s="1248"/>
      <c r="C192" s="1248"/>
      <c r="D192" s="1248"/>
      <c r="E192" s="1248"/>
      <c r="F192" s="1248"/>
      <c r="G192" s="1248"/>
      <c r="H192" s="1248"/>
      <c r="I192" s="1248"/>
      <c r="J192" s="1248"/>
      <c r="K192" s="1248"/>
      <c r="L192" s="1248"/>
      <c r="M192" s="912"/>
      <c r="N192" s="898"/>
      <c r="O192" s="880"/>
      <c r="Y192" s="863"/>
      <c r="Z192" s="877"/>
      <c r="AA192" s="877"/>
      <c r="AB192" s="877"/>
      <c r="AG192" s="1241"/>
      <c r="AH192" s="1241"/>
      <c r="AL192" s="866"/>
      <c r="AM192" s="866"/>
      <c r="AN192" s="866"/>
      <c r="AO192" s="866"/>
      <c r="AP192" s="866"/>
      <c r="AQ192" s="866"/>
      <c r="AR192" s="866"/>
      <c r="AS192" s="866"/>
      <c r="AT192" s="866"/>
      <c r="AU192" s="866"/>
      <c r="AV192" s="866"/>
      <c r="AW192" s="866"/>
      <c r="AX192" s="866"/>
      <c r="AY192" s="866"/>
    </row>
    <row r="193" spans="1:51">
      <c r="A193" s="908"/>
      <c r="B193" s="908"/>
      <c r="C193" s="908"/>
      <c r="D193" s="908"/>
      <c r="E193" s="908"/>
      <c r="F193" s="908"/>
      <c r="G193" s="908"/>
      <c r="H193" s="908"/>
      <c r="I193" s="909"/>
      <c r="J193" s="1261"/>
      <c r="K193" s="1261"/>
      <c r="L193" s="1261"/>
      <c r="M193" s="912"/>
      <c r="N193" s="898"/>
      <c r="O193" s="880"/>
      <c r="Y193" s="874"/>
      <c r="Z193" s="878"/>
      <c r="AA193" s="878"/>
      <c r="AB193" s="878"/>
      <c r="AL193" s="866"/>
      <c r="AM193" s="866"/>
      <c r="AN193" s="866"/>
      <c r="AO193" s="866"/>
      <c r="AP193" s="866"/>
      <c r="AQ193" s="866"/>
      <c r="AR193" s="866"/>
      <c r="AS193" s="866"/>
      <c r="AT193" s="866"/>
      <c r="AU193" s="866"/>
      <c r="AV193" s="866"/>
      <c r="AW193" s="866"/>
      <c r="AX193" s="866"/>
      <c r="AY193" s="866"/>
    </row>
    <row r="194" spans="1:51">
      <c r="A194" s="908"/>
      <c r="B194" s="908"/>
      <c r="C194" s="908"/>
      <c r="D194" s="908"/>
      <c r="E194" s="908"/>
      <c r="F194" s="908"/>
      <c r="G194" s="908"/>
      <c r="H194" s="908"/>
      <c r="I194" s="909"/>
      <c r="J194" s="1261"/>
      <c r="K194" s="1261"/>
      <c r="L194" s="1261"/>
      <c r="M194" s="912"/>
      <c r="N194" s="898"/>
      <c r="O194" s="880"/>
      <c r="Y194" s="874"/>
      <c r="Z194" s="878"/>
      <c r="AA194" s="878"/>
      <c r="AB194" s="878"/>
      <c r="AL194" s="866"/>
      <c r="AM194" s="866"/>
      <c r="AN194" s="866"/>
      <c r="AO194" s="866"/>
      <c r="AP194" s="866"/>
      <c r="AQ194" s="866"/>
      <c r="AR194" s="866"/>
      <c r="AS194" s="866"/>
      <c r="AT194" s="866"/>
      <c r="AU194" s="866"/>
      <c r="AV194" s="866"/>
      <c r="AW194" s="866"/>
      <c r="AX194" s="866"/>
      <c r="AY194" s="866"/>
    </row>
    <row r="195" spans="1:51">
      <c r="A195" s="910"/>
      <c r="B195" s="910"/>
      <c r="C195" s="910"/>
      <c r="D195" s="910"/>
      <c r="E195" s="910"/>
      <c r="F195" s="910"/>
      <c r="G195" s="910"/>
      <c r="H195" s="910"/>
      <c r="I195" s="913"/>
      <c r="J195" s="1261"/>
      <c r="K195" s="1261"/>
      <c r="L195" s="1261"/>
      <c r="M195" s="912"/>
      <c r="N195" s="898"/>
      <c r="O195" s="880"/>
      <c r="Y195" s="863"/>
      <c r="Z195" s="895"/>
      <c r="AA195" s="914"/>
      <c r="AB195" s="879"/>
      <c r="AL195" s="866"/>
      <c r="AM195" s="866"/>
      <c r="AN195" s="866"/>
      <c r="AO195" s="866"/>
      <c r="AP195" s="866"/>
      <c r="AQ195" s="866"/>
      <c r="AR195" s="866"/>
      <c r="AS195" s="866"/>
      <c r="AT195" s="866"/>
      <c r="AU195" s="866"/>
      <c r="AV195" s="866"/>
      <c r="AW195" s="866"/>
      <c r="AX195" s="866"/>
      <c r="AY195" s="866"/>
    </row>
    <row r="196" spans="1:51">
      <c r="A196" s="910"/>
      <c r="B196" s="910"/>
      <c r="C196" s="910"/>
      <c r="D196" s="910"/>
      <c r="E196" s="910"/>
      <c r="F196" s="910"/>
      <c r="G196" s="910"/>
      <c r="H196" s="910"/>
      <c r="I196" s="913"/>
      <c r="J196" s="1261"/>
      <c r="K196" s="1261"/>
      <c r="L196" s="1261"/>
      <c r="M196" s="912"/>
      <c r="N196" s="898"/>
      <c r="O196" s="880"/>
      <c r="AG196" s="1241"/>
      <c r="AH196" s="1241"/>
      <c r="AL196" s="866"/>
      <c r="AM196" s="866"/>
      <c r="AN196" s="866"/>
      <c r="AO196" s="866"/>
      <c r="AP196" s="866"/>
      <c r="AQ196" s="866"/>
      <c r="AR196" s="866"/>
      <c r="AS196" s="866"/>
      <c r="AT196" s="866"/>
      <c r="AU196" s="866"/>
      <c r="AV196" s="866"/>
      <c r="AW196" s="866"/>
      <c r="AX196" s="866"/>
      <c r="AY196" s="866"/>
    </row>
    <row r="197" spans="1:51">
      <c r="A197" s="910"/>
      <c r="B197" s="910"/>
      <c r="C197" s="910"/>
      <c r="D197" s="910"/>
      <c r="E197" s="910"/>
      <c r="F197" s="910"/>
      <c r="G197" s="910"/>
      <c r="H197" s="910"/>
      <c r="I197" s="913"/>
      <c r="J197" s="910"/>
      <c r="K197" s="915"/>
      <c r="L197" s="915"/>
      <c r="M197" s="908"/>
      <c r="N197" s="898"/>
      <c r="O197" s="920"/>
      <c r="AI197" s="881"/>
      <c r="AL197" s="866"/>
      <c r="AM197" s="866"/>
      <c r="AN197" s="866"/>
      <c r="AO197" s="866"/>
      <c r="AP197" s="866"/>
      <c r="AQ197" s="866"/>
      <c r="AR197" s="866"/>
      <c r="AS197" s="866"/>
      <c r="AT197" s="866"/>
      <c r="AU197" s="866"/>
      <c r="AV197" s="866"/>
      <c r="AW197" s="866"/>
      <c r="AX197" s="866"/>
      <c r="AY197" s="866"/>
    </row>
    <row r="198" spans="1:51">
      <c r="A198" s="1263"/>
      <c r="B198" s="1263"/>
      <c r="C198" s="1263"/>
      <c r="D198" s="1263"/>
      <c r="E198" s="1263"/>
      <c r="F198" s="1263"/>
      <c r="G198" s="1263"/>
      <c r="H198" s="1263"/>
      <c r="I198" s="1263"/>
      <c r="J198" s="1263"/>
      <c r="K198" s="1263"/>
      <c r="L198" s="1263"/>
      <c r="M198" s="1263"/>
      <c r="N198" s="1263"/>
      <c r="O198" s="1263"/>
      <c r="P198" s="882"/>
      <c r="Q198" s="882"/>
      <c r="R198" s="882"/>
      <c r="S198" s="883"/>
      <c r="T198" s="884"/>
      <c r="U198" s="884"/>
      <c r="V198" s="884"/>
      <c r="W198" s="884"/>
      <c r="AA198" s="867"/>
      <c r="AI198" s="881"/>
      <c r="AL198" s="866"/>
      <c r="AM198" s="866"/>
      <c r="AN198" s="866"/>
      <c r="AO198" s="866"/>
      <c r="AP198" s="866"/>
      <c r="AQ198" s="866"/>
      <c r="AR198" s="866"/>
      <c r="AS198" s="866"/>
      <c r="AT198" s="866"/>
      <c r="AU198" s="866"/>
      <c r="AV198" s="866"/>
      <c r="AW198" s="866"/>
      <c r="AX198" s="866"/>
      <c r="AY198" s="866"/>
    </row>
    <row r="199" spans="1:51">
      <c r="A199" s="898"/>
      <c r="B199" s="898"/>
      <c r="C199" s="898"/>
      <c r="D199" s="898"/>
      <c r="E199" s="898"/>
      <c r="F199" s="898"/>
      <c r="G199" s="898"/>
      <c r="H199" s="898"/>
      <c r="I199" s="899"/>
      <c r="J199" s="891"/>
      <c r="K199" s="898"/>
      <c r="L199" s="898"/>
      <c r="M199" s="904"/>
      <c r="N199" s="903"/>
      <c r="O199" s="920"/>
      <c r="Z199" s="1239"/>
      <c r="AA199" s="1239"/>
      <c r="AC199" s="1240"/>
      <c r="AD199" s="1240"/>
      <c r="AG199" s="1241"/>
      <c r="AH199" s="1241"/>
      <c r="AL199" s="866"/>
      <c r="AM199" s="866"/>
      <c r="AN199" s="866"/>
      <c r="AO199" s="866"/>
      <c r="AP199" s="866"/>
      <c r="AQ199" s="866"/>
      <c r="AR199" s="866"/>
      <c r="AS199" s="866"/>
      <c r="AT199" s="866"/>
      <c r="AU199" s="866"/>
      <c r="AV199" s="866"/>
      <c r="AW199" s="866"/>
      <c r="AX199" s="866"/>
      <c r="AY199" s="866"/>
    </row>
    <row r="200" spans="1:51">
      <c r="A200" s="907"/>
      <c r="B200" s="907"/>
      <c r="C200" s="907"/>
      <c r="D200" s="907"/>
      <c r="E200" s="907"/>
      <c r="F200" s="907"/>
      <c r="G200" s="907"/>
      <c r="H200" s="907"/>
      <c r="I200" s="916"/>
      <c r="J200" s="917"/>
      <c r="K200" s="903"/>
      <c r="L200" s="903"/>
      <c r="M200" s="907"/>
      <c r="N200" s="907"/>
      <c r="O200" s="918"/>
      <c r="Z200" s="888"/>
      <c r="AA200" s="888"/>
      <c r="AC200" s="888"/>
      <c r="AD200" s="888"/>
      <c r="AL200" s="866"/>
      <c r="AM200" s="866"/>
      <c r="AN200" s="866"/>
      <c r="AO200" s="866"/>
      <c r="AP200" s="866"/>
      <c r="AQ200" s="866"/>
      <c r="AR200" s="866"/>
      <c r="AS200" s="866"/>
      <c r="AT200" s="866"/>
      <c r="AU200" s="866"/>
      <c r="AV200" s="866"/>
      <c r="AW200" s="866"/>
      <c r="AX200" s="866"/>
      <c r="AY200" s="866"/>
    </row>
    <row r="201" spans="1:51">
      <c r="A201" s="903"/>
      <c r="B201" s="903"/>
      <c r="C201" s="903"/>
      <c r="D201" s="903"/>
      <c r="E201" s="903"/>
      <c r="F201" s="903"/>
      <c r="G201" s="903"/>
      <c r="H201" s="903"/>
      <c r="I201" s="919"/>
      <c r="J201" s="904"/>
      <c r="K201" s="903"/>
      <c r="L201" s="903"/>
      <c r="M201" s="903"/>
      <c r="N201" s="903"/>
      <c r="O201" s="920"/>
      <c r="Z201" s="889"/>
      <c r="AA201" s="889"/>
      <c r="AC201" s="889"/>
      <c r="AD201" s="889"/>
      <c r="AL201" s="866"/>
      <c r="AM201" s="866"/>
      <c r="AN201" s="866"/>
      <c r="AO201" s="866"/>
      <c r="AP201" s="866"/>
      <c r="AQ201" s="866"/>
      <c r="AR201" s="866"/>
      <c r="AS201" s="866"/>
      <c r="AT201" s="866"/>
      <c r="AU201" s="866"/>
      <c r="AV201" s="866"/>
      <c r="AW201" s="866"/>
      <c r="AX201" s="866"/>
      <c r="AY201" s="866"/>
    </row>
    <row r="202" spans="1:51">
      <c r="A202" s="921"/>
      <c r="B202" s="921"/>
      <c r="C202" s="921"/>
      <c r="D202" s="921"/>
      <c r="E202" s="921"/>
      <c r="F202" s="921"/>
      <c r="G202" s="921"/>
      <c r="H202" s="921"/>
      <c r="I202" s="922"/>
      <c r="J202" s="923"/>
      <c r="K202" s="924"/>
      <c r="L202" s="924"/>
      <c r="M202" s="925"/>
      <c r="N202" s="1057"/>
      <c r="O202" s="920"/>
      <c r="Z202" s="889"/>
      <c r="AA202" s="927"/>
      <c r="AC202" s="889"/>
      <c r="AD202" s="927"/>
      <c r="AL202" s="866"/>
      <c r="AM202" s="866"/>
      <c r="AN202" s="866"/>
      <c r="AO202" s="866"/>
      <c r="AP202" s="866"/>
      <c r="AQ202" s="866"/>
      <c r="AR202" s="866"/>
      <c r="AS202" s="866"/>
      <c r="AT202" s="866"/>
      <c r="AU202" s="866"/>
      <c r="AV202" s="866"/>
      <c r="AW202" s="866"/>
      <c r="AX202" s="866"/>
      <c r="AY202" s="866"/>
    </row>
    <row r="203" spans="1:51">
      <c r="A203" s="928"/>
      <c r="B203" s="928"/>
      <c r="C203" s="928"/>
      <c r="D203" s="928"/>
      <c r="E203" s="928"/>
      <c r="F203" s="928"/>
      <c r="G203" s="928"/>
      <c r="H203" s="928"/>
      <c r="I203" s="929"/>
      <c r="J203" s="930"/>
      <c r="K203" s="924"/>
      <c r="L203" s="924"/>
      <c r="M203" s="931"/>
      <c r="N203" s="1058"/>
      <c r="O203" s="918"/>
      <c r="Z203" s="932"/>
      <c r="AA203" s="933"/>
      <c r="AC203" s="932"/>
      <c r="AD203" s="933"/>
      <c r="AG203" s="1241"/>
      <c r="AH203" s="1241"/>
      <c r="AL203" s="866"/>
      <c r="AM203" s="866"/>
      <c r="AN203" s="866"/>
      <c r="AO203" s="866"/>
      <c r="AP203" s="866"/>
      <c r="AQ203" s="866"/>
      <c r="AR203" s="866"/>
      <c r="AS203" s="866"/>
      <c r="AT203" s="866"/>
      <c r="AU203" s="866"/>
      <c r="AV203" s="866"/>
      <c r="AW203" s="866"/>
      <c r="AX203" s="866"/>
      <c r="AY203" s="866"/>
    </row>
    <row r="204" spans="1:51">
      <c r="A204" s="928"/>
      <c r="B204" s="928"/>
      <c r="C204" s="928"/>
      <c r="D204" s="928"/>
      <c r="E204" s="928"/>
      <c r="F204" s="928"/>
      <c r="G204" s="928"/>
      <c r="H204" s="928"/>
      <c r="I204" s="929"/>
      <c r="J204" s="934"/>
      <c r="K204" s="924"/>
      <c r="L204" s="924"/>
      <c r="M204" s="935"/>
      <c r="N204" s="1057"/>
      <c r="O204" s="920"/>
      <c r="Z204" s="873"/>
      <c r="AA204" s="936"/>
      <c r="AC204" s="873"/>
      <c r="AD204" s="936"/>
      <c r="AL204" s="866"/>
      <c r="AM204" s="866"/>
      <c r="AN204" s="866"/>
      <c r="AO204" s="866"/>
      <c r="AP204" s="866"/>
      <c r="AQ204" s="866"/>
      <c r="AR204" s="866"/>
      <c r="AS204" s="866"/>
      <c r="AT204" s="866"/>
      <c r="AU204" s="866"/>
      <c r="AV204" s="866"/>
      <c r="AW204" s="866"/>
      <c r="AX204" s="866"/>
      <c r="AY204" s="866"/>
    </row>
    <row r="205" spans="1:51">
      <c r="A205" s="937"/>
      <c r="B205" s="937"/>
      <c r="C205" s="937"/>
      <c r="D205" s="937"/>
      <c r="E205" s="937"/>
      <c r="F205" s="937"/>
      <c r="G205" s="937"/>
      <c r="H205" s="937"/>
      <c r="I205" s="929"/>
      <c r="J205" s="930"/>
      <c r="K205" s="924"/>
      <c r="L205" s="924"/>
      <c r="M205" s="925"/>
      <c r="N205" s="1057"/>
      <c r="O205" s="920"/>
      <c r="Z205" s="873"/>
      <c r="AA205" s="936"/>
      <c r="AC205" s="873"/>
      <c r="AD205" s="936"/>
      <c r="AF205" s="867"/>
      <c r="AL205" s="866"/>
      <c r="AM205" s="866"/>
      <c r="AN205" s="866"/>
      <c r="AO205" s="866"/>
      <c r="AP205" s="866"/>
      <c r="AQ205" s="866"/>
      <c r="AR205" s="866"/>
      <c r="AS205" s="866"/>
      <c r="AT205" s="866"/>
      <c r="AU205" s="866"/>
      <c r="AV205" s="866"/>
      <c r="AW205" s="866"/>
      <c r="AX205" s="866"/>
      <c r="AY205" s="866"/>
    </row>
    <row r="206" spans="1:51">
      <c r="A206" s="937"/>
      <c r="B206" s="937"/>
      <c r="C206" s="937"/>
      <c r="D206" s="937"/>
      <c r="E206" s="937"/>
      <c r="F206" s="937"/>
      <c r="G206" s="937"/>
      <c r="H206" s="937"/>
      <c r="I206" s="929"/>
      <c r="J206" s="930"/>
      <c r="K206" s="924"/>
      <c r="L206" s="924"/>
      <c r="M206" s="925"/>
      <c r="N206" s="1057"/>
      <c r="O206" s="920"/>
      <c r="Z206" s="873"/>
      <c r="AA206" s="936"/>
      <c r="AC206" s="873"/>
      <c r="AD206" s="936"/>
      <c r="AF206" s="867"/>
      <c r="AL206" s="866"/>
      <c r="AM206" s="866"/>
      <c r="AN206" s="866"/>
      <c r="AO206" s="866"/>
      <c r="AP206" s="866"/>
      <c r="AQ206" s="866"/>
      <c r="AR206" s="866"/>
      <c r="AS206" s="866"/>
      <c r="AT206" s="866"/>
      <c r="AU206" s="866"/>
      <c r="AV206" s="866"/>
      <c r="AW206" s="866"/>
      <c r="AX206" s="866"/>
      <c r="AY206" s="866"/>
    </row>
    <row r="207" spans="1:51">
      <c r="A207" s="928"/>
      <c r="B207" s="928"/>
      <c r="C207" s="928"/>
      <c r="D207" s="928"/>
      <c r="E207" s="928"/>
      <c r="F207" s="928"/>
      <c r="G207" s="928"/>
      <c r="H207" s="928"/>
      <c r="I207" s="929"/>
      <c r="J207" s="930"/>
      <c r="K207" s="924"/>
      <c r="L207" s="924"/>
      <c r="M207" s="925"/>
      <c r="N207" s="1057"/>
      <c r="O207" s="920"/>
      <c r="Z207" s="873"/>
      <c r="AA207" s="936"/>
      <c r="AC207" s="873"/>
      <c r="AD207" s="936"/>
      <c r="AF207" s="867"/>
      <c r="AG207" s="1241"/>
      <c r="AH207" s="1241"/>
      <c r="AL207" s="866"/>
      <c r="AM207" s="866"/>
      <c r="AN207" s="866"/>
      <c r="AO207" s="866"/>
      <c r="AP207" s="866"/>
      <c r="AQ207" s="866"/>
      <c r="AR207" s="866"/>
      <c r="AS207" s="866"/>
      <c r="AT207" s="866"/>
      <c r="AU207" s="866"/>
      <c r="AV207" s="866"/>
      <c r="AW207" s="866"/>
      <c r="AX207" s="866"/>
      <c r="AY207" s="866"/>
    </row>
    <row r="208" spans="1:51">
      <c r="A208" s="928"/>
      <c r="B208" s="928"/>
      <c r="C208" s="928"/>
      <c r="D208" s="928"/>
      <c r="E208" s="928"/>
      <c r="F208" s="928"/>
      <c r="G208" s="928"/>
      <c r="H208" s="928"/>
      <c r="I208" s="929"/>
      <c r="J208" s="934"/>
      <c r="K208" s="924"/>
      <c r="L208" s="924"/>
      <c r="M208" s="925"/>
      <c r="N208" s="1057"/>
      <c r="O208" s="918"/>
      <c r="Z208" s="873"/>
      <c r="AA208" s="936"/>
      <c r="AC208" s="873"/>
      <c r="AD208" s="936"/>
      <c r="AF208" s="867"/>
      <c r="AL208" s="866"/>
      <c r="AM208" s="866"/>
      <c r="AN208" s="866"/>
      <c r="AO208" s="866"/>
      <c r="AP208" s="866"/>
      <c r="AQ208" s="866"/>
      <c r="AR208" s="866"/>
      <c r="AS208" s="866"/>
      <c r="AT208" s="866"/>
      <c r="AU208" s="866"/>
      <c r="AV208" s="866"/>
      <c r="AW208" s="866"/>
      <c r="AX208" s="866"/>
      <c r="AY208" s="866"/>
    </row>
    <row r="209" spans="1:51">
      <c r="A209" s="928"/>
      <c r="B209" s="928"/>
      <c r="C209" s="928"/>
      <c r="D209" s="928"/>
      <c r="E209" s="928"/>
      <c r="F209" s="928"/>
      <c r="G209" s="928"/>
      <c r="H209" s="928"/>
      <c r="I209" s="929"/>
      <c r="J209" s="930"/>
      <c r="K209" s="924"/>
      <c r="L209" s="924"/>
      <c r="M209" s="925"/>
      <c r="N209" s="1057"/>
      <c r="O209" s="920"/>
      <c r="Z209" s="873"/>
      <c r="AA209" s="936"/>
      <c r="AC209" s="873"/>
      <c r="AD209" s="936"/>
      <c r="AF209" s="867"/>
      <c r="AL209" s="866"/>
      <c r="AM209" s="866"/>
      <c r="AN209" s="866"/>
      <c r="AO209" s="866"/>
      <c r="AP209" s="866"/>
      <c r="AQ209" s="866"/>
      <c r="AR209" s="866"/>
      <c r="AS209" s="866"/>
      <c r="AT209" s="866"/>
      <c r="AU209" s="866"/>
      <c r="AV209" s="866"/>
      <c r="AW209" s="866"/>
      <c r="AX209" s="866"/>
      <c r="AY209" s="866"/>
    </row>
    <row r="210" spans="1:51">
      <c r="A210" s="928"/>
      <c r="B210" s="928"/>
      <c r="C210" s="928"/>
      <c r="D210" s="928"/>
      <c r="E210" s="928"/>
      <c r="F210" s="928"/>
      <c r="G210" s="928"/>
      <c r="H210" s="928"/>
      <c r="I210" s="929"/>
      <c r="J210" s="930"/>
      <c r="K210" s="924"/>
      <c r="L210" s="924"/>
      <c r="M210" s="925"/>
      <c r="N210" s="1057"/>
      <c r="O210" s="920"/>
      <c r="Z210" s="873"/>
      <c r="AA210" s="936"/>
      <c r="AC210" s="873"/>
      <c r="AD210" s="936"/>
      <c r="AF210" s="867"/>
      <c r="AL210" s="866"/>
      <c r="AM210" s="866"/>
      <c r="AN210" s="866"/>
      <c r="AO210" s="866"/>
      <c r="AP210" s="866"/>
      <c r="AQ210" s="866"/>
      <c r="AR210" s="866"/>
      <c r="AS210" s="866"/>
      <c r="AT210" s="866"/>
      <c r="AU210" s="866"/>
      <c r="AV210" s="866"/>
      <c r="AW210" s="866"/>
      <c r="AX210" s="866"/>
      <c r="AY210" s="866"/>
    </row>
    <row r="211" spans="1:51">
      <c r="A211" s="928"/>
      <c r="B211" s="928"/>
      <c r="C211" s="928"/>
      <c r="D211" s="928"/>
      <c r="E211" s="928"/>
      <c r="F211" s="928"/>
      <c r="G211" s="928"/>
      <c r="H211" s="928"/>
      <c r="I211" s="929"/>
      <c r="J211" s="930"/>
      <c r="K211" s="924"/>
      <c r="L211" s="924"/>
      <c r="M211" s="925"/>
      <c r="N211" s="1057"/>
      <c r="O211" s="918"/>
      <c r="Z211" s="873"/>
      <c r="AA211" s="936"/>
      <c r="AC211" s="873"/>
      <c r="AD211" s="936"/>
      <c r="AF211" s="867"/>
      <c r="AL211" s="866"/>
      <c r="AM211" s="866"/>
      <c r="AN211" s="866"/>
      <c r="AO211" s="866"/>
      <c r="AP211" s="866"/>
      <c r="AQ211" s="866"/>
      <c r="AR211" s="866"/>
      <c r="AS211" s="866"/>
      <c r="AT211" s="866"/>
      <c r="AU211" s="866"/>
      <c r="AV211" s="866"/>
      <c r="AW211" s="866"/>
      <c r="AX211" s="866"/>
      <c r="AY211" s="866"/>
    </row>
    <row r="212" spans="1:51">
      <c r="A212" s="928"/>
      <c r="B212" s="928"/>
      <c r="C212" s="928"/>
      <c r="D212" s="928"/>
      <c r="E212" s="928"/>
      <c r="F212" s="928"/>
      <c r="G212" s="928"/>
      <c r="H212" s="928"/>
      <c r="I212" s="929"/>
      <c r="J212" s="934"/>
      <c r="K212" s="924"/>
      <c r="L212" s="924"/>
      <c r="M212" s="938"/>
      <c r="N212" s="1057"/>
      <c r="O212" s="939"/>
      <c r="Z212" s="873"/>
      <c r="AA212" s="936"/>
      <c r="AC212" s="873"/>
      <c r="AD212" s="936"/>
      <c r="AF212" s="867"/>
      <c r="AL212" s="866"/>
      <c r="AM212" s="866"/>
      <c r="AN212" s="866"/>
      <c r="AO212" s="866"/>
      <c r="AP212" s="866"/>
      <c r="AQ212" s="866"/>
      <c r="AR212" s="866"/>
      <c r="AS212" s="866"/>
      <c r="AT212" s="866"/>
      <c r="AU212" s="866"/>
      <c r="AV212" s="866"/>
      <c r="AW212" s="866"/>
      <c r="AX212" s="866"/>
      <c r="AY212" s="866"/>
    </row>
    <row r="213" spans="1:51">
      <c r="A213" s="937"/>
      <c r="B213" s="937"/>
      <c r="C213" s="937"/>
      <c r="D213" s="937"/>
      <c r="E213" s="937"/>
      <c r="F213" s="937"/>
      <c r="G213" s="937"/>
      <c r="H213" s="937"/>
      <c r="I213" s="929"/>
      <c r="J213" s="940"/>
      <c r="K213" s="924"/>
      <c r="L213" s="924"/>
      <c r="M213" s="925"/>
      <c r="N213" s="1057"/>
      <c r="O213" s="920"/>
      <c r="X213" s="874"/>
      <c r="Z213" s="873"/>
      <c r="AA213" s="936"/>
      <c r="AC213" s="873"/>
      <c r="AD213" s="936"/>
      <c r="AF213" s="867"/>
      <c r="AL213" s="866"/>
      <c r="AM213" s="866"/>
      <c r="AN213" s="866"/>
      <c r="AO213" s="866"/>
      <c r="AP213" s="866"/>
      <c r="AQ213" s="866"/>
      <c r="AR213" s="866"/>
      <c r="AS213" s="866"/>
      <c r="AT213" s="866"/>
      <c r="AU213" s="866"/>
      <c r="AV213" s="866"/>
      <c r="AW213" s="866"/>
      <c r="AX213" s="866"/>
      <c r="AY213" s="866"/>
    </row>
    <row r="214" spans="1:51">
      <c r="A214" s="937"/>
      <c r="B214" s="937"/>
      <c r="C214" s="937"/>
      <c r="D214" s="937"/>
      <c r="E214" s="937"/>
      <c r="F214" s="937"/>
      <c r="G214" s="937"/>
      <c r="H214" s="937"/>
      <c r="I214" s="929"/>
      <c r="J214" s="941"/>
      <c r="K214" s="924"/>
      <c r="L214" s="924"/>
      <c r="M214" s="938"/>
      <c r="N214" s="1057"/>
      <c r="O214" s="920"/>
      <c r="X214" s="874"/>
      <c r="Z214" s="873"/>
      <c r="AA214" s="936"/>
      <c r="AC214" s="873"/>
      <c r="AD214" s="936"/>
      <c r="AF214" s="867"/>
      <c r="AL214" s="866"/>
      <c r="AM214" s="866"/>
      <c r="AN214" s="866"/>
      <c r="AO214" s="866"/>
      <c r="AP214" s="866"/>
      <c r="AQ214" s="866"/>
      <c r="AR214" s="866"/>
      <c r="AS214" s="866"/>
      <c r="AT214" s="866"/>
      <c r="AU214" s="866"/>
      <c r="AV214" s="866"/>
      <c r="AW214" s="866"/>
      <c r="AX214" s="866"/>
      <c r="AY214" s="866"/>
    </row>
    <row r="215" spans="1:51">
      <c r="A215" s="937"/>
      <c r="B215" s="937"/>
      <c r="C215" s="937"/>
      <c r="D215" s="937"/>
      <c r="E215" s="937"/>
      <c r="F215" s="937"/>
      <c r="G215" s="937"/>
      <c r="H215" s="937"/>
      <c r="I215" s="929"/>
      <c r="J215" s="941"/>
      <c r="K215" s="924"/>
      <c r="L215" s="924"/>
      <c r="M215" s="938"/>
      <c r="N215" s="1057"/>
      <c r="O215" s="920"/>
      <c r="X215" s="874"/>
      <c r="Z215" s="873"/>
      <c r="AA215" s="936"/>
      <c r="AC215" s="873"/>
      <c r="AD215" s="936"/>
      <c r="AF215" s="867"/>
      <c r="AL215" s="866"/>
      <c r="AM215" s="866"/>
      <c r="AN215" s="866"/>
      <c r="AO215" s="866"/>
      <c r="AP215" s="866"/>
      <c r="AQ215" s="866"/>
      <c r="AR215" s="866"/>
      <c r="AS215" s="866"/>
      <c r="AT215" s="866"/>
      <c r="AU215" s="866"/>
      <c r="AV215" s="866"/>
      <c r="AW215" s="866"/>
      <c r="AX215" s="866"/>
      <c r="AY215" s="866"/>
    </row>
    <row r="216" spans="1:51">
      <c r="A216" s="921"/>
      <c r="B216" s="921"/>
      <c r="C216" s="921"/>
      <c r="D216" s="921"/>
      <c r="E216" s="921"/>
      <c r="F216" s="921"/>
      <c r="G216" s="921"/>
      <c r="H216" s="921"/>
      <c r="I216" s="922"/>
      <c r="J216" s="942"/>
      <c r="K216" s="924"/>
      <c r="L216" s="924"/>
      <c r="M216" s="925"/>
      <c r="N216" s="1057"/>
      <c r="O216" s="920"/>
      <c r="Z216" s="873"/>
      <c r="AA216" s="936"/>
      <c r="AC216" s="873"/>
      <c r="AD216" s="936"/>
      <c r="AF216" s="867"/>
      <c r="AL216" s="866"/>
      <c r="AM216" s="866"/>
      <c r="AN216" s="866"/>
      <c r="AO216" s="866"/>
      <c r="AP216" s="866"/>
      <c r="AQ216" s="866"/>
      <c r="AR216" s="866"/>
      <c r="AS216" s="866"/>
      <c r="AT216" s="866"/>
      <c r="AU216" s="866"/>
      <c r="AV216" s="866"/>
      <c r="AW216" s="866"/>
      <c r="AX216" s="866"/>
      <c r="AY216" s="866"/>
    </row>
    <row r="217" spans="1:51">
      <c r="A217" s="937"/>
      <c r="B217" s="937"/>
      <c r="C217" s="937"/>
      <c r="D217" s="937"/>
      <c r="E217" s="937"/>
      <c r="F217" s="937"/>
      <c r="G217" s="937"/>
      <c r="H217" s="937"/>
      <c r="I217" s="929"/>
      <c r="J217" s="943"/>
      <c r="K217" s="924"/>
      <c r="L217" s="924"/>
      <c r="M217" s="925"/>
      <c r="N217" s="1057"/>
      <c r="O217" s="920"/>
      <c r="Z217" s="873"/>
      <c r="AA217" s="936"/>
      <c r="AC217" s="873"/>
      <c r="AD217" s="936"/>
      <c r="AF217" s="867"/>
      <c r="AL217" s="866"/>
      <c r="AM217" s="866"/>
      <c r="AN217" s="866"/>
      <c r="AO217" s="866"/>
      <c r="AP217" s="866"/>
      <c r="AQ217" s="866"/>
      <c r="AR217" s="866"/>
      <c r="AS217" s="866"/>
      <c r="AT217" s="866"/>
      <c r="AU217" s="866"/>
      <c r="AV217" s="866"/>
      <c r="AW217" s="866"/>
      <c r="AX217" s="866"/>
      <c r="AY217" s="866"/>
    </row>
    <row r="218" spans="1:51">
      <c r="A218" s="928"/>
      <c r="B218" s="928"/>
      <c r="C218" s="928"/>
      <c r="D218" s="928"/>
      <c r="E218" s="928"/>
      <c r="F218" s="928"/>
      <c r="G218" s="928"/>
      <c r="H218" s="928"/>
      <c r="I218" s="929"/>
      <c r="J218" s="930"/>
      <c r="K218" s="924"/>
      <c r="L218" s="924"/>
      <c r="M218" s="925"/>
      <c r="N218" s="1057"/>
      <c r="O218" s="920"/>
      <c r="Z218" s="873"/>
      <c r="AA218" s="936"/>
      <c r="AC218" s="873"/>
      <c r="AD218" s="936"/>
      <c r="AF218" s="867"/>
      <c r="AL218" s="866"/>
      <c r="AM218" s="866"/>
      <c r="AN218" s="866"/>
      <c r="AO218" s="866"/>
      <c r="AP218" s="866"/>
      <c r="AQ218" s="866"/>
      <c r="AR218" s="866"/>
      <c r="AS218" s="866"/>
      <c r="AT218" s="866"/>
      <c r="AU218" s="866"/>
      <c r="AV218" s="866"/>
      <c r="AW218" s="866"/>
      <c r="AX218" s="866"/>
      <c r="AY218" s="866"/>
    </row>
    <row r="219" spans="1:51">
      <c r="A219" s="937"/>
      <c r="B219" s="937"/>
      <c r="C219" s="937"/>
      <c r="D219" s="937"/>
      <c r="E219" s="937"/>
      <c r="F219" s="937"/>
      <c r="G219" s="937"/>
      <c r="H219" s="937"/>
      <c r="I219" s="929"/>
      <c r="J219" s="941"/>
      <c r="K219" s="924"/>
      <c r="L219" s="924"/>
      <c r="M219" s="938"/>
      <c r="N219" s="1057"/>
      <c r="O219" s="920"/>
      <c r="Z219" s="873"/>
      <c r="AA219" s="936"/>
      <c r="AC219" s="873"/>
      <c r="AD219" s="936"/>
      <c r="AF219" s="867"/>
      <c r="AL219" s="866"/>
      <c r="AM219" s="866"/>
      <c r="AN219" s="866"/>
      <c r="AO219" s="866"/>
      <c r="AP219" s="866"/>
      <c r="AQ219" s="866"/>
      <c r="AR219" s="866"/>
      <c r="AS219" s="866"/>
      <c r="AT219" s="866"/>
      <c r="AU219" s="866"/>
      <c r="AV219" s="866"/>
      <c r="AW219" s="866"/>
      <c r="AX219" s="866"/>
      <c r="AY219" s="866"/>
    </row>
    <row r="220" spans="1:51">
      <c r="A220" s="921"/>
      <c r="B220" s="921"/>
      <c r="C220" s="921"/>
      <c r="D220" s="921"/>
      <c r="E220" s="921"/>
      <c r="F220" s="921"/>
      <c r="G220" s="921"/>
      <c r="H220" s="921"/>
      <c r="I220" s="922"/>
      <c r="J220" s="923"/>
      <c r="K220" s="924"/>
      <c r="L220" s="924"/>
      <c r="M220" s="925"/>
      <c r="N220" s="1057"/>
      <c r="O220" s="920"/>
      <c r="Z220" s="873"/>
      <c r="AA220" s="944"/>
      <c r="AC220" s="873"/>
      <c r="AD220" s="944"/>
      <c r="AF220" s="867"/>
      <c r="AL220" s="866"/>
      <c r="AM220" s="866"/>
      <c r="AN220" s="866"/>
      <c r="AO220" s="866"/>
      <c r="AP220" s="866"/>
      <c r="AQ220" s="866"/>
      <c r="AR220" s="866"/>
      <c r="AS220" s="866"/>
      <c r="AT220" s="866"/>
      <c r="AU220" s="866"/>
      <c r="AV220" s="866"/>
      <c r="AW220" s="866"/>
      <c r="AX220" s="866"/>
      <c r="AY220" s="866"/>
    </row>
    <row r="221" spans="1:51">
      <c r="A221" s="928"/>
      <c r="B221" s="928"/>
      <c r="C221" s="928"/>
      <c r="D221" s="928"/>
      <c r="E221" s="928"/>
      <c r="F221" s="928"/>
      <c r="G221" s="928"/>
      <c r="H221" s="928"/>
      <c r="I221" s="929"/>
      <c r="J221" s="930"/>
      <c r="K221" s="924"/>
      <c r="L221" s="924"/>
      <c r="M221" s="938"/>
      <c r="N221" s="1057"/>
      <c r="O221" s="939"/>
      <c r="Z221" s="873"/>
      <c r="AA221" s="944"/>
      <c r="AC221" s="873"/>
      <c r="AD221" s="944"/>
      <c r="AF221" s="867"/>
      <c r="AL221" s="866"/>
      <c r="AM221" s="866"/>
      <c r="AN221" s="866"/>
      <c r="AO221" s="866"/>
      <c r="AP221" s="866"/>
      <c r="AQ221" s="866"/>
      <c r="AR221" s="866"/>
      <c r="AS221" s="866"/>
      <c r="AT221" s="866"/>
      <c r="AU221" s="866"/>
      <c r="AV221" s="866"/>
      <c r="AW221" s="866"/>
      <c r="AX221" s="866"/>
      <c r="AY221" s="866"/>
    </row>
    <row r="222" spans="1:51">
      <c r="A222" s="928"/>
      <c r="B222" s="928"/>
      <c r="C222" s="928"/>
      <c r="D222" s="928"/>
      <c r="E222" s="928"/>
      <c r="F222" s="928"/>
      <c r="G222" s="928"/>
      <c r="H222" s="928"/>
      <c r="I222" s="929"/>
      <c r="J222" s="930"/>
      <c r="K222" s="937"/>
      <c r="L222" s="924"/>
      <c r="M222" s="938"/>
      <c r="N222" s="1057"/>
      <c r="O222" s="920"/>
      <c r="Z222" s="873"/>
      <c r="AA222" s="936"/>
      <c r="AC222" s="873"/>
      <c r="AD222" s="936"/>
      <c r="AF222" s="867"/>
      <c r="AL222" s="866"/>
      <c r="AM222" s="866"/>
      <c r="AN222" s="866"/>
      <c r="AO222" s="866"/>
      <c r="AP222" s="866"/>
      <c r="AQ222" s="866"/>
      <c r="AR222" s="866"/>
      <c r="AS222" s="866"/>
      <c r="AT222" s="866"/>
      <c r="AU222" s="866"/>
      <c r="AV222" s="866"/>
      <c r="AW222" s="866"/>
      <c r="AX222" s="866"/>
      <c r="AY222" s="866"/>
    </row>
    <row r="223" spans="1:51">
      <c r="A223" s="937"/>
      <c r="B223" s="937"/>
      <c r="C223" s="937"/>
      <c r="D223" s="937"/>
      <c r="E223" s="937"/>
      <c r="F223" s="937"/>
      <c r="G223" s="937"/>
      <c r="H223" s="937"/>
      <c r="I223" s="929"/>
      <c r="J223" s="930"/>
      <c r="K223" s="937"/>
      <c r="L223" s="924"/>
      <c r="M223" s="938"/>
      <c r="N223" s="1057"/>
      <c r="O223" s="920"/>
      <c r="Z223" s="873"/>
      <c r="AA223" s="936"/>
      <c r="AC223" s="873"/>
      <c r="AD223" s="936"/>
      <c r="AF223" s="867"/>
      <c r="AL223" s="866"/>
      <c r="AM223" s="866"/>
      <c r="AN223" s="866"/>
      <c r="AO223" s="866"/>
      <c r="AP223" s="866"/>
      <c r="AQ223" s="866"/>
      <c r="AR223" s="866"/>
      <c r="AS223" s="866"/>
      <c r="AT223" s="866"/>
      <c r="AU223" s="866"/>
      <c r="AV223" s="866"/>
      <c r="AW223" s="866"/>
      <c r="AX223" s="866"/>
      <c r="AY223" s="866"/>
    </row>
    <row r="224" spans="1:51">
      <c r="A224" s="937"/>
      <c r="B224" s="937"/>
      <c r="C224" s="937"/>
      <c r="D224" s="937"/>
      <c r="E224" s="937"/>
      <c r="F224" s="937"/>
      <c r="G224" s="937"/>
      <c r="H224" s="937"/>
      <c r="I224" s="929"/>
      <c r="J224" s="930"/>
      <c r="K224" s="937"/>
      <c r="L224" s="924"/>
      <c r="M224" s="938"/>
      <c r="N224" s="1057"/>
      <c r="O224" s="920"/>
      <c r="Z224" s="873"/>
      <c r="AA224" s="936"/>
      <c r="AC224" s="873"/>
      <c r="AD224" s="936"/>
      <c r="AF224" s="867"/>
      <c r="AL224" s="866"/>
      <c r="AM224" s="866"/>
      <c r="AN224" s="866"/>
      <c r="AO224" s="866"/>
      <c r="AP224" s="866"/>
      <c r="AQ224" s="866"/>
      <c r="AR224" s="866"/>
      <c r="AS224" s="866"/>
      <c r="AT224" s="866"/>
      <c r="AU224" s="866"/>
      <c r="AV224" s="866"/>
      <c r="AW224" s="866"/>
      <c r="AX224" s="866"/>
      <c r="AY224" s="866"/>
    </row>
    <row r="225" spans="1:51">
      <c r="A225" s="937"/>
      <c r="B225" s="937"/>
      <c r="C225" s="937"/>
      <c r="D225" s="937"/>
      <c r="E225" s="937"/>
      <c r="F225" s="937"/>
      <c r="G225" s="937"/>
      <c r="H225" s="937"/>
      <c r="I225" s="929"/>
      <c r="J225" s="930"/>
      <c r="K225" s="937"/>
      <c r="L225" s="924"/>
      <c r="M225" s="938"/>
      <c r="N225" s="1057"/>
      <c r="O225" s="920"/>
      <c r="Z225" s="873"/>
      <c r="AA225" s="936"/>
      <c r="AC225" s="873"/>
      <c r="AD225" s="936"/>
      <c r="AF225" s="867"/>
      <c r="AL225" s="866"/>
      <c r="AM225" s="866"/>
      <c r="AN225" s="866"/>
      <c r="AO225" s="866"/>
      <c r="AP225" s="866"/>
      <c r="AQ225" s="866"/>
      <c r="AR225" s="866"/>
      <c r="AS225" s="866"/>
      <c r="AT225" s="866"/>
      <c r="AU225" s="866"/>
      <c r="AV225" s="866"/>
      <c r="AW225" s="866"/>
      <c r="AX225" s="866"/>
      <c r="AY225" s="866"/>
    </row>
    <row r="226" spans="1:51">
      <c r="A226" s="937"/>
      <c r="B226" s="937"/>
      <c r="C226" s="937"/>
      <c r="D226" s="937"/>
      <c r="E226" s="937"/>
      <c r="F226" s="937"/>
      <c r="G226" s="937"/>
      <c r="H226" s="937"/>
      <c r="I226" s="929"/>
      <c r="J226" s="930"/>
      <c r="K226" s="937"/>
      <c r="L226" s="924"/>
      <c r="M226" s="938"/>
      <c r="N226" s="1057"/>
      <c r="O226" s="920"/>
      <c r="Z226" s="873"/>
      <c r="AA226" s="936"/>
      <c r="AC226" s="873"/>
      <c r="AD226" s="936"/>
      <c r="AF226" s="867"/>
      <c r="AL226" s="866"/>
      <c r="AM226" s="866"/>
      <c r="AN226" s="866"/>
      <c r="AO226" s="866"/>
      <c r="AP226" s="866"/>
      <c r="AQ226" s="866"/>
      <c r="AR226" s="866"/>
      <c r="AS226" s="866"/>
      <c r="AT226" s="866"/>
      <c r="AU226" s="866"/>
      <c r="AV226" s="866"/>
      <c r="AW226" s="866"/>
      <c r="AX226" s="866"/>
      <c r="AY226" s="866"/>
    </row>
    <row r="227" spans="1:51">
      <c r="A227" s="937"/>
      <c r="B227" s="937"/>
      <c r="C227" s="937"/>
      <c r="D227" s="937"/>
      <c r="E227" s="937"/>
      <c r="F227" s="937"/>
      <c r="G227" s="937"/>
      <c r="H227" s="937"/>
      <c r="I227" s="929"/>
      <c r="J227" s="930"/>
      <c r="K227" s="937"/>
      <c r="L227" s="924"/>
      <c r="M227" s="938"/>
      <c r="N227" s="1057"/>
      <c r="O227" s="920"/>
      <c r="Z227" s="873"/>
      <c r="AA227" s="936"/>
      <c r="AC227" s="873"/>
      <c r="AD227" s="936"/>
      <c r="AF227" s="867"/>
      <c r="AL227" s="866"/>
      <c r="AM227" s="866"/>
      <c r="AN227" s="866"/>
      <c r="AO227" s="866"/>
      <c r="AP227" s="866"/>
      <c r="AQ227" s="866"/>
      <c r="AR227" s="866"/>
      <c r="AS227" s="866"/>
      <c r="AT227" s="866"/>
      <c r="AU227" s="866"/>
      <c r="AV227" s="866"/>
      <c r="AW227" s="866"/>
      <c r="AX227" s="866"/>
      <c r="AY227" s="866"/>
    </row>
    <row r="228" spans="1:51">
      <c r="A228" s="937"/>
      <c r="B228" s="937"/>
      <c r="C228" s="937"/>
      <c r="D228" s="937"/>
      <c r="E228" s="937"/>
      <c r="F228" s="937"/>
      <c r="G228" s="937"/>
      <c r="H228" s="937"/>
      <c r="I228" s="929"/>
      <c r="J228" s="930"/>
      <c r="K228" s="937"/>
      <c r="L228" s="924"/>
      <c r="M228" s="938"/>
      <c r="N228" s="1057"/>
      <c r="O228" s="920"/>
      <c r="Z228" s="873"/>
      <c r="AA228" s="936"/>
      <c r="AC228" s="873"/>
      <c r="AD228" s="936"/>
      <c r="AF228" s="867"/>
      <c r="AL228" s="866"/>
      <c r="AM228" s="866"/>
      <c r="AN228" s="866"/>
      <c r="AO228" s="866"/>
      <c r="AP228" s="866"/>
      <c r="AQ228" s="866"/>
      <c r="AR228" s="866"/>
      <c r="AS228" s="866"/>
      <c r="AT228" s="866"/>
      <c r="AU228" s="866"/>
      <c r="AV228" s="866"/>
      <c r="AW228" s="866"/>
      <c r="AX228" s="866"/>
      <c r="AY228" s="866"/>
    </row>
    <row r="229" spans="1:51">
      <c r="A229" s="921"/>
      <c r="B229" s="921"/>
      <c r="C229" s="921"/>
      <c r="D229" s="921"/>
      <c r="E229" s="921"/>
      <c r="F229" s="921"/>
      <c r="G229" s="921"/>
      <c r="H229" s="921"/>
      <c r="I229" s="922"/>
      <c r="J229" s="923"/>
      <c r="K229" s="924"/>
      <c r="L229" s="924"/>
      <c r="M229" s="925"/>
      <c r="N229" s="1057"/>
      <c r="O229" s="920"/>
      <c r="Z229" s="873"/>
      <c r="AA229" s="944"/>
      <c r="AC229" s="873"/>
      <c r="AD229" s="944"/>
      <c r="AF229" s="867"/>
      <c r="AL229" s="866"/>
      <c r="AM229" s="866"/>
      <c r="AN229" s="866"/>
      <c r="AO229" s="866"/>
      <c r="AP229" s="866"/>
      <c r="AQ229" s="866"/>
      <c r="AR229" s="866"/>
      <c r="AS229" s="866"/>
      <c r="AT229" s="866"/>
      <c r="AU229" s="866"/>
      <c r="AV229" s="866"/>
      <c r="AW229" s="866"/>
      <c r="AX229" s="866"/>
      <c r="AY229" s="866"/>
    </row>
    <row r="230" spans="1:51">
      <c r="A230" s="928"/>
      <c r="B230" s="928"/>
      <c r="C230" s="928"/>
      <c r="D230" s="928"/>
      <c r="E230" s="928"/>
      <c r="F230" s="928"/>
      <c r="G230" s="928"/>
      <c r="H230" s="928"/>
      <c r="I230" s="929"/>
      <c r="J230" s="945"/>
      <c r="K230" s="924"/>
      <c r="L230" s="924"/>
      <c r="M230" s="938"/>
      <c r="N230" s="1057"/>
      <c r="O230" s="939"/>
      <c r="Z230" s="873"/>
      <c r="AA230" s="944"/>
      <c r="AC230" s="873"/>
      <c r="AD230" s="944"/>
      <c r="AF230" s="867"/>
      <c r="AL230" s="866"/>
      <c r="AM230" s="866"/>
      <c r="AN230" s="866"/>
      <c r="AO230" s="866"/>
      <c r="AP230" s="866"/>
      <c r="AQ230" s="866"/>
      <c r="AR230" s="866"/>
      <c r="AS230" s="866"/>
      <c r="AT230" s="866"/>
      <c r="AU230" s="866"/>
      <c r="AV230" s="866"/>
      <c r="AW230" s="866"/>
      <c r="AX230" s="866"/>
      <c r="AY230" s="866"/>
    </row>
    <row r="231" spans="1:51">
      <c r="A231" s="928"/>
      <c r="B231" s="928"/>
      <c r="C231" s="928"/>
      <c r="D231" s="928"/>
      <c r="E231" s="928"/>
      <c r="F231" s="928"/>
      <c r="G231" s="928"/>
      <c r="H231" s="928"/>
      <c r="I231" s="929"/>
      <c r="J231" s="930"/>
      <c r="K231" s="937"/>
      <c r="L231" s="924"/>
      <c r="M231" s="938"/>
      <c r="N231" s="1057"/>
      <c r="O231" s="920"/>
      <c r="Z231" s="873"/>
      <c r="AA231" s="936"/>
      <c r="AC231" s="873"/>
      <c r="AD231" s="936"/>
      <c r="AF231" s="867"/>
      <c r="AL231" s="866"/>
      <c r="AM231" s="866"/>
      <c r="AN231" s="866"/>
      <c r="AO231" s="866"/>
      <c r="AP231" s="866"/>
      <c r="AQ231" s="866"/>
      <c r="AR231" s="866"/>
      <c r="AS231" s="866"/>
      <c r="AT231" s="866"/>
      <c r="AU231" s="866"/>
      <c r="AV231" s="866"/>
      <c r="AW231" s="866"/>
      <c r="AX231" s="866"/>
      <c r="AY231" s="866"/>
    </row>
    <row r="232" spans="1:51">
      <c r="A232" s="928"/>
      <c r="B232" s="928"/>
      <c r="C232" s="928"/>
      <c r="D232" s="928"/>
      <c r="E232" s="928"/>
      <c r="F232" s="928"/>
      <c r="G232" s="928"/>
      <c r="H232" s="928"/>
      <c r="I232" s="929"/>
      <c r="J232" s="923"/>
      <c r="K232" s="924"/>
      <c r="L232" s="924"/>
      <c r="M232" s="925"/>
      <c r="N232" s="1057"/>
      <c r="O232" s="920"/>
      <c r="Z232" s="873"/>
      <c r="AA232" s="936"/>
      <c r="AC232" s="873"/>
      <c r="AD232" s="936"/>
      <c r="AF232" s="867"/>
      <c r="AL232" s="866"/>
      <c r="AM232" s="866"/>
      <c r="AN232" s="866"/>
      <c r="AO232" s="866"/>
      <c r="AP232" s="866"/>
      <c r="AQ232" s="866"/>
      <c r="AR232" s="866"/>
      <c r="AS232" s="866"/>
      <c r="AT232" s="866"/>
      <c r="AU232" s="866"/>
      <c r="AV232" s="866"/>
      <c r="AW232" s="866"/>
      <c r="AX232" s="866"/>
      <c r="AY232" s="866"/>
    </row>
    <row r="233" spans="1:51">
      <c r="A233" s="921"/>
      <c r="B233" s="921"/>
      <c r="C233" s="921"/>
      <c r="D233" s="921"/>
      <c r="E233" s="921"/>
      <c r="F233" s="921"/>
      <c r="G233" s="921"/>
      <c r="H233" s="921"/>
      <c r="I233" s="922"/>
      <c r="J233" s="946"/>
      <c r="K233" s="937"/>
      <c r="L233" s="924"/>
      <c r="M233" s="926"/>
      <c r="N233" s="1057"/>
      <c r="O233" s="920"/>
      <c r="Z233" s="873"/>
      <c r="AA233" s="936"/>
      <c r="AC233" s="873"/>
      <c r="AD233" s="936"/>
      <c r="AF233" s="867"/>
      <c r="AL233" s="866"/>
      <c r="AM233" s="866"/>
      <c r="AN233" s="866"/>
      <c r="AO233" s="866"/>
      <c r="AP233" s="866"/>
      <c r="AQ233" s="866"/>
      <c r="AR233" s="866"/>
      <c r="AS233" s="866"/>
      <c r="AT233" s="866"/>
      <c r="AU233" s="866"/>
      <c r="AV233" s="866"/>
      <c r="AW233" s="866"/>
      <c r="AX233" s="866"/>
      <c r="AY233" s="866"/>
    </row>
    <row r="234" spans="1:51">
      <c r="A234" s="921"/>
      <c r="B234" s="921"/>
      <c r="C234" s="921"/>
      <c r="D234" s="921"/>
      <c r="E234" s="921"/>
      <c r="F234" s="921"/>
      <c r="G234" s="921"/>
      <c r="H234" s="921"/>
      <c r="I234" s="922"/>
      <c r="J234" s="946"/>
      <c r="K234" s="937"/>
      <c r="L234" s="924"/>
      <c r="M234" s="925"/>
      <c r="N234" s="1057"/>
      <c r="O234" s="920"/>
      <c r="Z234" s="873"/>
      <c r="AA234" s="936"/>
      <c r="AC234" s="873"/>
      <c r="AD234" s="936"/>
      <c r="AF234" s="867"/>
      <c r="AL234" s="866"/>
      <c r="AM234" s="866"/>
      <c r="AN234" s="866"/>
      <c r="AO234" s="866"/>
      <c r="AP234" s="866"/>
      <c r="AQ234" s="866"/>
      <c r="AR234" s="866"/>
      <c r="AS234" s="866"/>
      <c r="AT234" s="866"/>
      <c r="AU234" s="866"/>
      <c r="AV234" s="866"/>
      <c r="AW234" s="866"/>
      <c r="AX234" s="866"/>
      <c r="AY234" s="866"/>
    </row>
    <row r="235" spans="1:51">
      <c r="A235" s="921"/>
      <c r="B235" s="921"/>
      <c r="C235" s="921"/>
      <c r="D235" s="921"/>
      <c r="E235" s="921"/>
      <c r="F235" s="921"/>
      <c r="G235" s="921"/>
      <c r="H235" s="921"/>
      <c r="I235" s="922"/>
      <c r="J235" s="946"/>
      <c r="K235" s="937"/>
      <c r="L235" s="924"/>
      <c r="M235" s="926"/>
      <c r="N235" s="1057"/>
      <c r="O235" s="920"/>
      <c r="Z235" s="873"/>
      <c r="AA235" s="936"/>
      <c r="AC235" s="873"/>
      <c r="AD235" s="936"/>
      <c r="AF235" s="867"/>
      <c r="AL235" s="866"/>
      <c r="AM235" s="866"/>
      <c r="AN235" s="866"/>
      <c r="AO235" s="866"/>
      <c r="AP235" s="866"/>
      <c r="AQ235" s="866"/>
      <c r="AR235" s="866"/>
      <c r="AS235" s="866"/>
      <c r="AT235" s="866"/>
      <c r="AU235" s="866"/>
      <c r="AV235" s="866"/>
      <c r="AW235" s="866"/>
      <c r="AX235" s="866"/>
      <c r="AY235" s="866"/>
    </row>
    <row r="236" spans="1:51">
      <c r="A236" s="921"/>
      <c r="B236" s="921"/>
      <c r="C236" s="921"/>
      <c r="D236" s="921"/>
      <c r="E236" s="921"/>
      <c r="F236" s="921"/>
      <c r="G236" s="921"/>
      <c r="H236" s="921"/>
      <c r="I236" s="922"/>
      <c r="J236" s="946"/>
      <c r="K236" s="937"/>
      <c r="L236" s="924"/>
      <c r="M236" s="926"/>
      <c r="N236" s="1057"/>
      <c r="O236" s="920"/>
      <c r="Z236" s="873"/>
      <c r="AA236" s="936"/>
      <c r="AC236" s="873"/>
      <c r="AD236" s="936"/>
      <c r="AF236" s="867"/>
      <c r="AL236" s="866"/>
      <c r="AM236" s="866"/>
      <c r="AN236" s="866"/>
      <c r="AO236" s="866"/>
      <c r="AP236" s="866"/>
      <c r="AQ236" s="866"/>
      <c r="AR236" s="866"/>
      <c r="AS236" s="866"/>
      <c r="AT236" s="866"/>
      <c r="AU236" s="866"/>
      <c r="AV236" s="866"/>
      <c r="AW236" s="866"/>
      <c r="AX236" s="866"/>
      <c r="AY236" s="866"/>
    </row>
    <row r="237" spans="1:51">
      <c r="A237" s="921"/>
      <c r="B237" s="921"/>
      <c r="C237" s="921"/>
      <c r="D237" s="921"/>
      <c r="E237" s="921"/>
      <c r="F237" s="921"/>
      <c r="G237" s="921"/>
      <c r="H237" s="921"/>
      <c r="I237" s="922"/>
      <c r="J237" s="930"/>
      <c r="K237" s="937"/>
      <c r="L237" s="924"/>
      <c r="M237" s="926"/>
      <c r="N237" s="1057"/>
      <c r="O237" s="920"/>
      <c r="Z237" s="873"/>
      <c r="AA237" s="936"/>
      <c r="AC237" s="873"/>
      <c r="AD237" s="936"/>
      <c r="AF237" s="867"/>
      <c r="AL237" s="866"/>
      <c r="AM237" s="866"/>
      <c r="AN237" s="866"/>
      <c r="AO237" s="866"/>
      <c r="AP237" s="866"/>
      <c r="AQ237" s="866"/>
      <c r="AR237" s="866"/>
      <c r="AS237" s="866"/>
      <c r="AT237" s="866"/>
      <c r="AU237" s="866"/>
      <c r="AV237" s="866"/>
      <c r="AW237" s="866"/>
      <c r="AX237" s="866"/>
      <c r="AY237" s="866"/>
    </row>
    <row r="238" spans="1:51">
      <c r="A238" s="921"/>
      <c r="B238" s="921"/>
      <c r="C238" s="921"/>
      <c r="D238" s="921"/>
      <c r="E238" s="921"/>
      <c r="F238" s="921"/>
      <c r="G238" s="921"/>
      <c r="H238" s="921"/>
      <c r="I238" s="922"/>
      <c r="J238" s="930"/>
      <c r="K238" s="937"/>
      <c r="L238" s="924"/>
      <c r="M238" s="926"/>
      <c r="N238" s="1057"/>
      <c r="O238" s="920"/>
      <c r="Z238" s="873"/>
      <c r="AA238" s="936"/>
      <c r="AC238" s="873"/>
      <c r="AD238" s="936"/>
      <c r="AF238" s="867"/>
      <c r="AL238" s="866"/>
      <c r="AM238" s="866"/>
      <c r="AN238" s="866"/>
      <c r="AO238" s="866"/>
      <c r="AP238" s="866"/>
      <c r="AQ238" s="866"/>
      <c r="AR238" s="866"/>
      <c r="AS238" s="866"/>
      <c r="AT238" s="866"/>
      <c r="AU238" s="866"/>
      <c r="AV238" s="866"/>
      <c r="AW238" s="866"/>
      <c r="AX238" s="866"/>
      <c r="AY238" s="866"/>
    </row>
    <row r="239" spans="1:51">
      <c r="A239" s="921"/>
      <c r="B239" s="921"/>
      <c r="C239" s="921"/>
      <c r="D239" s="921"/>
      <c r="E239" s="921"/>
      <c r="F239" s="921"/>
      <c r="G239" s="921"/>
      <c r="H239" s="921"/>
      <c r="I239" s="922"/>
      <c r="J239" s="923"/>
      <c r="K239" s="924"/>
      <c r="L239" s="924"/>
      <c r="M239" s="925"/>
      <c r="N239" s="1057"/>
      <c r="O239" s="920"/>
      <c r="Z239" s="873"/>
      <c r="AA239" s="936"/>
      <c r="AC239" s="873"/>
      <c r="AD239" s="936"/>
      <c r="AF239" s="867"/>
      <c r="AL239" s="866"/>
      <c r="AM239" s="866"/>
      <c r="AN239" s="866"/>
      <c r="AO239" s="866"/>
      <c r="AP239" s="866"/>
      <c r="AQ239" s="866"/>
      <c r="AR239" s="866"/>
      <c r="AS239" s="866"/>
      <c r="AT239" s="866"/>
      <c r="AU239" s="866"/>
      <c r="AV239" s="866"/>
      <c r="AW239" s="866"/>
      <c r="AX239" s="866"/>
      <c r="AY239" s="866"/>
    </row>
    <row r="240" spans="1:51">
      <c r="A240" s="928"/>
      <c r="B240" s="928"/>
      <c r="C240" s="928"/>
      <c r="D240" s="928"/>
      <c r="E240" s="928"/>
      <c r="F240" s="928"/>
      <c r="G240" s="928"/>
      <c r="H240" s="928"/>
      <c r="I240" s="929"/>
      <c r="J240" s="946"/>
      <c r="K240" s="937"/>
      <c r="L240" s="937"/>
      <c r="M240" s="926"/>
      <c r="N240" s="1057"/>
      <c r="O240" s="920"/>
      <c r="Z240" s="873"/>
      <c r="AA240" s="936"/>
      <c r="AC240" s="873"/>
      <c r="AD240" s="936"/>
      <c r="AF240" s="867"/>
      <c r="AL240" s="866"/>
      <c r="AM240" s="866"/>
      <c r="AN240" s="866"/>
      <c r="AO240" s="866"/>
      <c r="AP240" s="866"/>
      <c r="AQ240" s="866"/>
      <c r="AR240" s="866"/>
      <c r="AS240" s="866"/>
      <c r="AT240" s="866"/>
      <c r="AU240" s="866"/>
      <c r="AV240" s="866"/>
      <c r="AW240" s="866"/>
      <c r="AX240" s="866"/>
      <c r="AY240" s="866"/>
    </row>
    <row r="241" spans="1:51">
      <c r="A241" s="928"/>
      <c r="B241" s="928"/>
      <c r="C241" s="928"/>
      <c r="D241" s="928"/>
      <c r="E241" s="928"/>
      <c r="F241" s="928"/>
      <c r="G241" s="928"/>
      <c r="H241" s="928"/>
      <c r="I241" s="929"/>
      <c r="J241" s="946"/>
      <c r="K241" s="937"/>
      <c r="L241" s="937"/>
      <c r="M241" s="926"/>
      <c r="N241" s="1057"/>
      <c r="O241" s="920"/>
      <c r="Z241" s="873"/>
      <c r="AA241" s="936"/>
      <c r="AC241" s="873"/>
      <c r="AD241" s="936"/>
      <c r="AF241" s="867"/>
      <c r="AL241" s="866"/>
      <c r="AM241" s="866"/>
      <c r="AN241" s="866"/>
      <c r="AO241" s="866"/>
      <c r="AP241" s="866"/>
      <c r="AQ241" s="866"/>
      <c r="AR241" s="866"/>
      <c r="AS241" s="866"/>
      <c r="AT241" s="866"/>
      <c r="AU241" s="866"/>
      <c r="AV241" s="866"/>
      <c r="AW241" s="866"/>
      <c r="AX241" s="866"/>
      <c r="AY241" s="866"/>
    </row>
    <row r="242" spans="1:51">
      <c r="A242" s="928"/>
      <c r="B242" s="928"/>
      <c r="C242" s="928"/>
      <c r="D242" s="928"/>
      <c r="E242" s="928"/>
      <c r="F242" s="928"/>
      <c r="G242" s="928"/>
      <c r="H242" s="928"/>
      <c r="I242" s="929"/>
      <c r="J242" s="946"/>
      <c r="K242" s="937"/>
      <c r="L242" s="937"/>
      <c r="M242" s="926"/>
      <c r="N242" s="1057"/>
      <c r="O242" s="920"/>
      <c r="Z242" s="873"/>
      <c r="AA242" s="936"/>
      <c r="AC242" s="873"/>
      <c r="AD242" s="936"/>
      <c r="AF242" s="867"/>
      <c r="AL242" s="866"/>
      <c r="AM242" s="866"/>
      <c r="AN242" s="866"/>
      <c r="AO242" s="866"/>
      <c r="AP242" s="866"/>
      <c r="AQ242" s="866"/>
      <c r="AR242" s="866"/>
      <c r="AS242" s="866"/>
      <c r="AT242" s="866"/>
      <c r="AU242" s="866"/>
      <c r="AV242" s="866"/>
      <c r="AW242" s="866"/>
      <c r="AX242" s="866"/>
      <c r="AY242" s="866"/>
    </row>
    <row r="243" spans="1:51">
      <c r="A243" s="928"/>
      <c r="B243" s="928"/>
      <c r="C243" s="928"/>
      <c r="D243" s="928"/>
      <c r="E243" s="928"/>
      <c r="F243" s="928"/>
      <c r="G243" s="928"/>
      <c r="H243" s="928"/>
      <c r="I243" s="929"/>
      <c r="J243" s="946"/>
      <c r="K243" s="937"/>
      <c r="L243" s="937"/>
      <c r="M243" s="926"/>
      <c r="N243" s="1057"/>
      <c r="O243" s="920"/>
      <c r="Z243" s="873"/>
      <c r="AA243" s="936"/>
      <c r="AC243" s="873"/>
      <c r="AD243" s="936"/>
      <c r="AF243" s="867"/>
      <c r="AL243" s="866"/>
      <c r="AM243" s="866"/>
      <c r="AN243" s="866"/>
      <c r="AO243" s="866"/>
      <c r="AP243" s="866"/>
      <c r="AQ243" s="866"/>
      <c r="AR243" s="866"/>
      <c r="AS243" s="866"/>
      <c r="AT243" s="866"/>
      <c r="AU243" s="866"/>
      <c r="AV243" s="866"/>
      <c r="AW243" s="866"/>
      <c r="AX243" s="866"/>
      <c r="AY243" s="866"/>
    </row>
    <row r="244" spans="1:51">
      <c r="A244" s="947"/>
      <c r="B244" s="947"/>
      <c r="C244" s="947"/>
      <c r="D244" s="947"/>
      <c r="E244" s="947"/>
      <c r="F244" s="947"/>
      <c r="G244" s="947"/>
      <c r="H244" s="947"/>
      <c r="I244" s="922"/>
      <c r="J244" s="923"/>
      <c r="K244" s="924"/>
      <c r="L244" s="924"/>
      <c r="M244" s="925"/>
      <c r="N244" s="1057"/>
      <c r="O244" s="920"/>
      <c r="Z244" s="873"/>
      <c r="AA244" s="936"/>
      <c r="AC244" s="873"/>
      <c r="AD244" s="936"/>
      <c r="AF244" s="867"/>
      <c r="AL244" s="866"/>
      <c r="AM244" s="866"/>
      <c r="AN244" s="866"/>
      <c r="AO244" s="866"/>
      <c r="AP244" s="866"/>
      <c r="AQ244" s="866"/>
      <c r="AR244" s="866"/>
      <c r="AS244" s="866"/>
      <c r="AT244" s="866"/>
      <c r="AU244" s="866"/>
      <c r="AV244" s="866"/>
      <c r="AW244" s="866"/>
      <c r="AX244" s="866"/>
      <c r="AY244" s="866"/>
    </row>
    <row r="245" spans="1:51">
      <c r="A245" s="948"/>
      <c r="B245" s="948"/>
      <c r="C245" s="948"/>
      <c r="D245" s="948"/>
      <c r="E245" s="948"/>
      <c r="F245" s="948"/>
      <c r="G245" s="948"/>
      <c r="H245" s="948"/>
      <c r="I245" s="949"/>
      <c r="J245" s="946"/>
      <c r="K245" s="948"/>
      <c r="L245" s="948"/>
      <c r="M245" s="926"/>
      <c r="N245" s="1057"/>
      <c r="O245" s="920"/>
      <c r="Z245" s="873"/>
      <c r="AA245" s="936"/>
      <c r="AC245" s="873"/>
      <c r="AD245" s="936"/>
      <c r="AF245" s="867"/>
      <c r="AL245" s="866"/>
      <c r="AM245" s="866"/>
      <c r="AN245" s="866"/>
      <c r="AO245" s="866"/>
      <c r="AP245" s="866"/>
      <c r="AQ245" s="866"/>
      <c r="AR245" s="866"/>
      <c r="AS245" s="866"/>
      <c r="AT245" s="866"/>
      <c r="AU245" s="866"/>
      <c r="AV245" s="866"/>
      <c r="AW245" s="866"/>
      <c r="AX245" s="866"/>
      <c r="AY245" s="866"/>
    </row>
    <row r="246" spans="1:51">
      <c r="A246" s="948"/>
      <c r="B246" s="948"/>
      <c r="C246" s="948"/>
      <c r="D246" s="948"/>
      <c r="E246" s="948"/>
      <c r="F246" s="948"/>
      <c r="G246" s="948"/>
      <c r="H246" s="948"/>
      <c r="I246" s="949"/>
      <c r="J246" s="946"/>
      <c r="K246" s="948"/>
      <c r="L246" s="948"/>
      <c r="M246" s="926"/>
      <c r="N246" s="1057"/>
      <c r="O246" s="920"/>
      <c r="Z246" s="873"/>
      <c r="AA246" s="936"/>
      <c r="AC246" s="873"/>
      <c r="AD246" s="936"/>
      <c r="AF246" s="867"/>
      <c r="AL246" s="866"/>
      <c r="AM246" s="866"/>
      <c r="AN246" s="866"/>
      <c r="AO246" s="866"/>
      <c r="AP246" s="866"/>
      <c r="AQ246" s="866"/>
      <c r="AR246" s="866"/>
      <c r="AS246" s="866"/>
      <c r="AT246" s="866"/>
      <c r="AU246" s="866"/>
      <c r="AV246" s="866"/>
      <c r="AW246" s="866"/>
      <c r="AX246" s="866"/>
      <c r="AY246" s="866"/>
    </row>
    <row r="247" spans="1:51">
      <c r="A247" s="948"/>
      <c r="B247" s="948"/>
      <c r="C247" s="948"/>
      <c r="D247" s="948"/>
      <c r="E247" s="948"/>
      <c r="F247" s="948"/>
      <c r="G247" s="948"/>
      <c r="H247" s="948"/>
      <c r="I247" s="949"/>
      <c r="J247" s="946"/>
      <c r="K247" s="948"/>
      <c r="L247" s="948"/>
      <c r="M247" s="926"/>
      <c r="N247" s="1057"/>
      <c r="O247" s="920"/>
      <c r="Z247" s="873"/>
      <c r="AA247" s="936"/>
      <c r="AC247" s="873"/>
      <c r="AD247" s="936"/>
      <c r="AF247" s="867"/>
      <c r="AL247" s="866"/>
      <c r="AM247" s="866"/>
      <c r="AN247" s="866"/>
      <c r="AO247" s="866"/>
      <c r="AP247" s="866"/>
      <c r="AQ247" s="866"/>
      <c r="AR247" s="866"/>
      <c r="AS247" s="866"/>
      <c r="AT247" s="866"/>
      <c r="AU247" s="866"/>
      <c r="AV247" s="866"/>
      <c r="AW247" s="866"/>
      <c r="AX247" s="866"/>
      <c r="AY247" s="866"/>
    </row>
    <row r="248" spans="1:51">
      <c r="A248" s="948"/>
      <c r="B248" s="948"/>
      <c r="C248" s="948"/>
      <c r="D248" s="948"/>
      <c r="E248" s="948"/>
      <c r="F248" s="948"/>
      <c r="G248" s="948"/>
      <c r="H248" s="948"/>
      <c r="I248" s="949"/>
      <c r="J248" s="946"/>
      <c r="K248" s="948"/>
      <c r="L248" s="948"/>
      <c r="M248" s="926"/>
      <c r="N248" s="1057"/>
      <c r="O248" s="920"/>
      <c r="Z248" s="873"/>
      <c r="AA248" s="936"/>
      <c r="AC248" s="873"/>
      <c r="AD248" s="936"/>
      <c r="AF248" s="867"/>
      <c r="AL248" s="866"/>
      <c r="AM248" s="866"/>
      <c r="AN248" s="866"/>
      <c r="AO248" s="866"/>
      <c r="AP248" s="866"/>
      <c r="AQ248" s="866"/>
      <c r="AR248" s="866"/>
      <c r="AS248" s="866"/>
      <c r="AT248" s="866"/>
      <c r="AU248" s="866"/>
      <c r="AV248" s="866"/>
      <c r="AW248" s="866"/>
      <c r="AX248" s="866"/>
      <c r="AY248" s="866"/>
    </row>
    <row r="249" spans="1:51">
      <c r="A249" s="948"/>
      <c r="B249" s="948"/>
      <c r="C249" s="948"/>
      <c r="D249" s="948"/>
      <c r="E249" s="948"/>
      <c r="F249" s="948"/>
      <c r="G249" s="948"/>
      <c r="H249" s="948"/>
      <c r="I249" s="949"/>
      <c r="J249" s="946"/>
      <c r="K249" s="948"/>
      <c r="L249" s="948"/>
      <c r="M249" s="926"/>
      <c r="N249" s="1057"/>
      <c r="O249" s="920"/>
      <c r="Z249" s="873"/>
      <c r="AA249" s="936"/>
      <c r="AC249" s="873"/>
      <c r="AD249" s="936"/>
      <c r="AF249" s="867"/>
      <c r="AL249" s="866"/>
      <c r="AM249" s="866"/>
      <c r="AN249" s="866"/>
      <c r="AO249" s="866"/>
      <c r="AP249" s="866"/>
      <c r="AQ249" s="866"/>
      <c r="AR249" s="866"/>
      <c r="AS249" s="866"/>
      <c r="AT249" s="866"/>
      <c r="AU249" s="866"/>
      <c r="AV249" s="866"/>
      <c r="AW249" s="866"/>
      <c r="AX249" s="866"/>
      <c r="AY249" s="866"/>
    </row>
    <row r="250" spans="1:51">
      <c r="A250" s="937"/>
      <c r="B250" s="937"/>
      <c r="C250" s="937"/>
      <c r="D250" s="937"/>
      <c r="E250" s="937"/>
      <c r="F250" s="937"/>
      <c r="G250" s="937"/>
      <c r="H250" s="937"/>
      <c r="I250" s="929"/>
      <c r="J250" s="1262"/>
      <c r="K250" s="1262"/>
      <c r="L250" s="1262"/>
      <c r="M250" s="926"/>
      <c r="N250" s="1057"/>
      <c r="O250" s="920"/>
      <c r="Z250" s="920"/>
      <c r="AA250" s="936"/>
      <c r="AC250" s="920"/>
      <c r="AD250" s="936"/>
      <c r="AF250" s="867"/>
      <c r="AL250" s="866"/>
      <c r="AM250" s="866"/>
      <c r="AN250" s="866"/>
      <c r="AO250" s="866"/>
      <c r="AP250" s="866"/>
      <c r="AQ250" s="866"/>
      <c r="AR250" s="866"/>
      <c r="AS250" s="866"/>
      <c r="AT250" s="866"/>
      <c r="AU250" s="866"/>
      <c r="AV250" s="866"/>
      <c r="AW250" s="866"/>
      <c r="AX250" s="866"/>
      <c r="AY250" s="866"/>
    </row>
    <row r="251" spans="1:51">
      <c r="A251" s="948"/>
      <c r="B251" s="948"/>
      <c r="C251" s="948"/>
      <c r="D251" s="948"/>
      <c r="E251" s="948"/>
      <c r="F251" s="948"/>
      <c r="G251" s="948"/>
      <c r="H251" s="948"/>
      <c r="I251" s="949"/>
      <c r="J251" s="1258"/>
      <c r="K251" s="1258"/>
      <c r="L251" s="1258"/>
      <c r="M251" s="926"/>
      <c r="N251" s="1057"/>
      <c r="O251" s="920"/>
      <c r="Z251" s="920"/>
      <c r="AA251" s="936"/>
      <c r="AC251" s="920"/>
      <c r="AD251" s="936"/>
      <c r="AL251" s="866"/>
      <c r="AM251" s="866"/>
      <c r="AN251" s="866"/>
      <c r="AO251" s="866"/>
      <c r="AP251" s="866"/>
      <c r="AQ251" s="866"/>
      <c r="AR251" s="866"/>
      <c r="AS251" s="866"/>
      <c r="AT251" s="866"/>
      <c r="AU251" s="866"/>
      <c r="AV251" s="866"/>
      <c r="AW251" s="866"/>
      <c r="AX251" s="866"/>
      <c r="AY251" s="866"/>
    </row>
    <row r="252" spans="1:51">
      <c r="A252" s="948"/>
      <c r="B252" s="948"/>
      <c r="C252" s="948"/>
      <c r="D252" s="948"/>
      <c r="E252" s="948"/>
      <c r="F252" s="948"/>
      <c r="G252" s="948"/>
      <c r="H252" s="948"/>
      <c r="I252" s="949"/>
      <c r="J252" s="1260"/>
      <c r="K252" s="1260"/>
      <c r="L252" s="1260"/>
      <c r="M252" s="926"/>
      <c r="N252" s="1057"/>
      <c r="O252" s="920"/>
      <c r="Z252" s="920"/>
      <c r="AA252" s="936"/>
      <c r="AC252" s="920"/>
      <c r="AD252" s="936"/>
      <c r="AF252" s="896"/>
      <c r="AL252" s="866"/>
      <c r="AM252" s="866"/>
      <c r="AN252" s="866"/>
      <c r="AO252" s="866"/>
      <c r="AP252" s="866"/>
      <c r="AQ252" s="866"/>
      <c r="AR252" s="866"/>
      <c r="AS252" s="866"/>
      <c r="AT252" s="866"/>
      <c r="AU252" s="866"/>
      <c r="AV252" s="866"/>
      <c r="AW252" s="866"/>
      <c r="AX252" s="866"/>
      <c r="AY252" s="866"/>
    </row>
    <row r="253" spans="1:51">
      <c r="A253" s="898"/>
      <c r="B253" s="898"/>
      <c r="C253" s="898"/>
      <c r="D253" s="898"/>
      <c r="E253" s="898"/>
      <c r="F253" s="898"/>
      <c r="G253" s="898"/>
      <c r="H253" s="898"/>
      <c r="I253" s="899"/>
      <c r="J253" s="891"/>
      <c r="K253" s="898"/>
      <c r="L253" s="898"/>
      <c r="M253" s="891"/>
      <c r="N253" s="898"/>
      <c r="O253" s="920"/>
      <c r="AL253" s="866"/>
      <c r="AM253" s="866"/>
      <c r="AN253" s="866"/>
      <c r="AO253" s="866"/>
      <c r="AP253" s="866"/>
      <c r="AQ253" s="866"/>
      <c r="AR253" s="866"/>
      <c r="AS253" s="866"/>
      <c r="AT253" s="866"/>
      <c r="AU253" s="866"/>
      <c r="AV253" s="866"/>
      <c r="AW253" s="866"/>
      <c r="AX253" s="866"/>
      <c r="AY253" s="866"/>
    </row>
    <row r="254" spans="1:51">
      <c r="A254" s="898"/>
      <c r="B254" s="898"/>
      <c r="C254" s="898"/>
      <c r="D254" s="898"/>
      <c r="E254" s="898"/>
      <c r="F254" s="898"/>
      <c r="G254" s="898"/>
      <c r="H254" s="898"/>
      <c r="I254" s="899"/>
      <c r="J254" s="891"/>
      <c r="K254" s="898"/>
      <c r="L254" s="898"/>
      <c r="M254" s="891"/>
      <c r="N254" s="898"/>
      <c r="O254" s="920"/>
      <c r="AL254" s="866"/>
      <c r="AM254" s="866"/>
      <c r="AN254" s="866"/>
      <c r="AO254" s="866"/>
      <c r="AP254" s="866"/>
      <c r="AQ254" s="866"/>
      <c r="AR254" s="866"/>
      <c r="AS254" s="866"/>
      <c r="AT254" s="866"/>
      <c r="AU254" s="866"/>
      <c r="AV254" s="866"/>
      <c r="AW254" s="866"/>
      <c r="AX254" s="866"/>
      <c r="AY254" s="866"/>
    </row>
    <row r="255" spans="1:51">
      <c r="A255" s="898"/>
      <c r="B255" s="898"/>
      <c r="C255" s="898"/>
      <c r="D255" s="898"/>
      <c r="E255" s="898"/>
      <c r="F255" s="898"/>
      <c r="G255" s="898"/>
      <c r="H255" s="898"/>
      <c r="I255" s="899"/>
      <c r="J255" s="891"/>
      <c r="K255" s="898"/>
      <c r="L255" s="898"/>
      <c r="M255" s="891"/>
      <c r="N255" s="898"/>
      <c r="O255" s="920"/>
      <c r="AL255" s="866"/>
      <c r="AM255" s="866"/>
      <c r="AN255" s="866"/>
      <c r="AO255" s="866"/>
      <c r="AP255" s="866"/>
      <c r="AQ255" s="866"/>
      <c r="AR255" s="866"/>
      <c r="AS255" s="866"/>
      <c r="AT255" s="866"/>
      <c r="AU255" s="866"/>
      <c r="AV255" s="866"/>
      <c r="AW255" s="866"/>
      <c r="AX255" s="866"/>
      <c r="AY255" s="866"/>
    </row>
    <row r="256" spans="1:51">
      <c r="A256" s="898"/>
      <c r="B256" s="898"/>
      <c r="C256" s="898"/>
      <c r="D256" s="898"/>
      <c r="E256" s="898"/>
      <c r="F256" s="898"/>
      <c r="G256" s="898"/>
      <c r="H256" s="898"/>
      <c r="I256" s="899"/>
      <c r="J256" s="891"/>
      <c r="K256" s="898"/>
      <c r="L256" s="898"/>
      <c r="M256" s="891"/>
      <c r="N256" s="898"/>
      <c r="O256" s="920"/>
      <c r="AL256" s="866"/>
      <c r="AM256" s="866"/>
      <c r="AN256" s="866"/>
      <c r="AO256" s="866"/>
      <c r="AP256" s="866"/>
      <c r="AQ256" s="866"/>
      <c r="AR256" s="866"/>
      <c r="AS256" s="866"/>
      <c r="AT256" s="866"/>
      <c r="AU256" s="866"/>
      <c r="AV256" s="866"/>
      <c r="AW256" s="866"/>
      <c r="AX256" s="866"/>
      <c r="AY256" s="866"/>
    </row>
    <row r="257" spans="1:51">
      <c r="A257" s="898"/>
      <c r="B257" s="898"/>
      <c r="C257" s="898"/>
      <c r="D257" s="898"/>
      <c r="E257" s="898"/>
      <c r="F257" s="898"/>
      <c r="G257" s="898"/>
      <c r="H257" s="898"/>
      <c r="I257" s="899"/>
      <c r="J257" s="891"/>
      <c r="K257" s="898"/>
      <c r="L257" s="898"/>
      <c r="M257" s="891"/>
      <c r="N257" s="898"/>
      <c r="O257" s="920"/>
      <c r="AL257" s="866"/>
      <c r="AM257" s="866"/>
      <c r="AN257" s="866"/>
      <c r="AO257" s="866"/>
      <c r="AP257" s="866"/>
      <c r="AQ257" s="866"/>
      <c r="AR257" s="866"/>
      <c r="AS257" s="866"/>
      <c r="AT257" s="866"/>
      <c r="AU257" s="866"/>
      <c r="AV257" s="866"/>
      <c r="AW257" s="866"/>
      <c r="AX257" s="866"/>
      <c r="AY257" s="866"/>
    </row>
    <row r="258" spans="1:51">
      <c r="A258" s="898"/>
      <c r="B258" s="898"/>
      <c r="C258" s="898"/>
      <c r="D258" s="898"/>
      <c r="E258" s="898"/>
      <c r="F258" s="898"/>
      <c r="G258" s="898"/>
      <c r="H258" s="898"/>
      <c r="I258" s="899"/>
      <c r="J258" s="891"/>
      <c r="K258" s="898"/>
      <c r="L258" s="898"/>
      <c r="M258" s="891"/>
      <c r="N258" s="898"/>
      <c r="O258" s="920"/>
      <c r="AL258" s="866"/>
      <c r="AM258" s="866"/>
      <c r="AN258" s="866"/>
      <c r="AO258" s="866"/>
      <c r="AP258" s="866"/>
      <c r="AQ258" s="866"/>
      <c r="AR258" s="866"/>
      <c r="AS258" s="866"/>
      <c r="AT258" s="866"/>
      <c r="AU258" s="866"/>
      <c r="AV258" s="866"/>
      <c r="AW258" s="866"/>
      <c r="AX258" s="866"/>
      <c r="AY258" s="866"/>
    </row>
    <row r="259" spans="1:51">
      <c r="A259" s="898"/>
      <c r="B259" s="898"/>
      <c r="C259" s="898"/>
      <c r="D259" s="898"/>
      <c r="E259" s="898"/>
      <c r="F259" s="898"/>
      <c r="G259" s="898"/>
      <c r="H259" s="898"/>
      <c r="I259" s="899"/>
      <c r="J259" s="891"/>
      <c r="K259" s="898"/>
      <c r="L259" s="898"/>
      <c r="M259" s="891"/>
      <c r="N259" s="898"/>
      <c r="O259" s="920"/>
      <c r="AL259" s="866"/>
      <c r="AM259" s="866"/>
      <c r="AN259" s="866"/>
      <c r="AO259" s="866"/>
      <c r="AP259" s="866"/>
      <c r="AQ259" s="866"/>
      <c r="AR259" s="866"/>
      <c r="AS259" s="866"/>
      <c r="AT259" s="866"/>
      <c r="AU259" s="866"/>
      <c r="AV259" s="866"/>
      <c r="AW259" s="866"/>
      <c r="AX259" s="866"/>
      <c r="AY259" s="866"/>
    </row>
    <row r="260" spans="1:51">
      <c r="A260" s="898"/>
      <c r="B260" s="898"/>
      <c r="C260" s="898"/>
      <c r="D260" s="898"/>
      <c r="E260" s="898"/>
      <c r="F260" s="898"/>
      <c r="G260" s="898"/>
      <c r="H260" s="898"/>
      <c r="I260" s="899"/>
      <c r="J260" s="891"/>
      <c r="K260" s="898"/>
      <c r="L260" s="898"/>
      <c r="M260" s="891"/>
      <c r="N260" s="898"/>
      <c r="O260" s="920"/>
      <c r="AL260" s="866"/>
      <c r="AM260" s="866"/>
      <c r="AN260" s="866"/>
      <c r="AO260" s="866"/>
      <c r="AP260" s="866"/>
      <c r="AQ260" s="866"/>
      <c r="AR260" s="866"/>
      <c r="AS260" s="866"/>
      <c r="AT260" s="866"/>
      <c r="AU260" s="866"/>
      <c r="AV260" s="866"/>
      <c r="AW260" s="866"/>
      <c r="AX260" s="866"/>
      <c r="AY260" s="866"/>
    </row>
  </sheetData>
  <sheetProtection algorithmName="SHA-512" hashValue="tfruYRwWcDDIssLjHn2nSA4Ke39SPE9z2tpNQJ2P6AH6vhSKWhJMkgv1GlXMBzBzRjPfc5EX9vOVX9CLAuNMLg==" saltValue="3HLqYB4JEeeyeyPa+4UdGg==" spinCount="100000" sheet="1" formatColumns="0" formatRows="0" selectLockedCells="1"/>
  <customSheetViews>
    <customSheetView guid="{9AC181BA-F443-4EA7-A647-328174FE3004}" printArea="1" hiddenRows="1" hiddenColumns="1" view="pageBreakPreview">
      <selection activeCell="G22" sqref="G22"/>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5"/>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6"/>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7"/>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1"/>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2"/>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22"/>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23"/>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2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25"/>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26"/>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D5F8AD2D-F014-4A7B-9CE7-589273BD9F11}" scale="70" printArea="1" hiddenRows="1" hiddenColumns="1" view="pageBreakPreview" topLeftCell="A286">
      <selection activeCell="G105" sqref="G105"/>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43">
    <mergeCell ref="A3:O3"/>
    <mergeCell ref="A4:O4"/>
    <mergeCell ref="A7:L7"/>
    <mergeCell ref="AG3:AH3"/>
    <mergeCell ref="AG7:AH7"/>
    <mergeCell ref="AG11:AH11"/>
    <mergeCell ref="AG15:AH15"/>
    <mergeCell ref="Z15:AA15"/>
    <mergeCell ref="AC15:AD15"/>
    <mergeCell ref="C11:E11"/>
    <mergeCell ref="A13:O13"/>
    <mergeCell ref="J251:L251"/>
    <mergeCell ref="B155:O155"/>
    <mergeCell ref="B156:O156"/>
    <mergeCell ref="A189:O189"/>
    <mergeCell ref="J252:L252"/>
    <mergeCell ref="J193:L193"/>
    <mergeCell ref="J194:L194"/>
    <mergeCell ref="J195:L195"/>
    <mergeCell ref="J196:L196"/>
    <mergeCell ref="J250:L250"/>
    <mergeCell ref="A198:O198"/>
    <mergeCell ref="K159:L159"/>
    <mergeCell ref="K160:L160"/>
    <mergeCell ref="M159:N159"/>
    <mergeCell ref="M160:N160"/>
    <mergeCell ref="AG188:AH188"/>
    <mergeCell ref="AG192:AH192"/>
    <mergeCell ref="AG196:AH196"/>
    <mergeCell ref="B20:J20"/>
    <mergeCell ref="H151:M151"/>
    <mergeCell ref="H152:M152"/>
    <mergeCell ref="A192:L192"/>
    <mergeCell ref="A188:O188"/>
    <mergeCell ref="H150:M150"/>
    <mergeCell ref="A154:O154"/>
    <mergeCell ref="H153:M153"/>
    <mergeCell ref="F157:O157"/>
    <mergeCell ref="Z199:AA199"/>
    <mergeCell ref="AC199:AD199"/>
    <mergeCell ref="AG199:AH199"/>
    <mergeCell ref="AG203:AH203"/>
    <mergeCell ref="AG207:AH207"/>
  </mergeCells>
  <phoneticPr fontId="2" type="noConversion"/>
  <conditionalFormatting sqref="O218:O219 O245:O249 O209:O210 O213:O215 O205:O206 O222:O228 O231 O233:O238 O240:O243 O18:O19">
    <cfRule type="expression" dxfId="356" priority="6856" stopIfTrue="1">
      <formula>M18=""</formula>
    </cfRule>
  </conditionalFormatting>
  <conditionalFormatting sqref="AA229:AA230 AA220:AA221 AD220:AD221 AD229:AD230 O212 O221 M212 M230:M231 M219 M221:M228 O230">
    <cfRule type="cellIs" dxfId="355" priority="6857" stopIfTrue="1" operator="equal">
      <formula>"a"</formula>
    </cfRule>
  </conditionalFormatting>
  <conditionalFormatting sqref="AD245:AD249 AA245:AA249 AA204:AA215 AA233:AA243 AA231 AA218:AA219 AA222:AA228 AD233:AD243 AD218:AD219 AD231 AD222:AD228 AD204:AD215 AD18:AD21 AA18:AA21 AA148:AA150 AD148:AD150">
    <cfRule type="cellIs" dxfId="354" priority="6858" stopIfTrue="1" operator="equal">
      <formula>#REF!</formula>
    </cfRule>
  </conditionalFormatting>
  <conditionalFormatting sqref="M18:M20 M148:M149 I22:I149">
    <cfRule type="cellIs" dxfId="353" priority="6855" stopIfTrue="1" operator="equal">
      <formula>"a"</formula>
    </cfRule>
  </conditionalFormatting>
  <conditionalFormatting sqref="M18:M20 M145:M149 I22:I149 G22:G149">
    <cfRule type="expression" dxfId="352" priority="6854" stopIfTrue="1">
      <formula>F18&gt;0</formula>
    </cfRule>
  </conditionalFormatting>
  <conditionalFormatting sqref="AA22 AD22">
    <cfRule type="cellIs" dxfId="351" priority="5251" stopIfTrue="1" operator="equal">
      <formula>#REF!</formula>
    </cfRule>
  </conditionalFormatting>
  <conditionalFormatting sqref="M22">
    <cfRule type="cellIs" dxfId="350" priority="5071" stopIfTrue="1" operator="equal">
      <formula>"a"</formula>
    </cfRule>
  </conditionalFormatting>
  <conditionalFormatting sqref="M22">
    <cfRule type="expression" dxfId="349" priority="5053" stopIfTrue="1">
      <formula>L22&gt;0</formula>
    </cfRule>
  </conditionalFormatting>
  <conditionalFormatting sqref="G22">
    <cfRule type="expression" dxfId="348" priority="4639" stopIfTrue="1">
      <formula>F22&gt;0</formula>
    </cfRule>
  </conditionalFormatting>
  <conditionalFormatting sqref="I22:I149">
    <cfRule type="expression" dxfId="347" priority="4092" stopIfTrue="1">
      <formula>F22&gt;0</formula>
    </cfRule>
  </conditionalFormatting>
  <conditionalFormatting sqref="I22">
    <cfRule type="cellIs" dxfId="346" priority="953" stopIfTrue="1" operator="equal">
      <formula>"a"</formula>
    </cfRule>
  </conditionalFormatting>
  <conditionalFormatting sqref="I22">
    <cfRule type="expression" dxfId="345" priority="952" stopIfTrue="1">
      <formula>H22&gt;0</formula>
    </cfRule>
  </conditionalFormatting>
  <conditionalFormatting sqref="I22">
    <cfRule type="expression" dxfId="344" priority="951" stopIfTrue="1">
      <formula>F22&gt;0</formula>
    </cfRule>
  </conditionalFormatting>
  <conditionalFormatting sqref="AA127:AA130 AD127:AD130 AD142:AD144 AA142:AA144">
    <cfRule type="cellIs" dxfId="343" priority="131" stopIfTrue="1" operator="equal">
      <formula>#REF!</formula>
    </cfRule>
  </conditionalFormatting>
  <conditionalFormatting sqref="I142:I144">
    <cfRule type="cellIs" dxfId="342" priority="130" stopIfTrue="1" operator="equal">
      <formula>"a"</formula>
    </cfRule>
  </conditionalFormatting>
  <conditionalFormatting sqref="G127:G130 I127:I130 I142:I144 G142:G144">
    <cfRule type="expression" dxfId="341" priority="129" stopIfTrue="1">
      <formula>F127&gt;0</formula>
    </cfRule>
  </conditionalFormatting>
  <conditionalFormatting sqref="M142:M144 M127:M130">
    <cfRule type="cellIs" dxfId="340" priority="128" stopIfTrue="1" operator="equal">
      <formula>"a"</formula>
    </cfRule>
  </conditionalFormatting>
  <conditionalFormatting sqref="M142:M144 M127:M130">
    <cfRule type="expression" dxfId="339" priority="127" stopIfTrue="1">
      <formula>L127&gt;0</formula>
    </cfRule>
  </conditionalFormatting>
  <conditionalFormatting sqref="I127:I130 I142:I144">
    <cfRule type="expression" dxfId="338" priority="126" stopIfTrue="1">
      <formula>F127&gt;0</formula>
    </cfRule>
  </conditionalFormatting>
  <conditionalFormatting sqref="I127:I130">
    <cfRule type="cellIs" dxfId="337" priority="125" stopIfTrue="1" operator="equal">
      <formula>"a"</formula>
    </cfRule>
  </conditionalFormatting>
  <conditionalFormatting sqref="AD145:AD147 AA145:AA147">
    <cfRule type="cellIs" dxfId="336" priority="124" stopIfTrue="1" operator="equal">
      <formula>#REF!</formula>
    </cfRule>
  </conditionalFormatting>
  <conditionalFormatting sqref="I145:I147">
    <cfRule type="cellIs" dxfId="335" priority="123" stopIfTrue="1" operator="equal">
      <formula>"a"</formula>
    </cfRule>
  </conditionalFormatting>
  <conditionalFormatting sqref="M145:M147">
    <cfRule type="cellIs" dxfId="334" priority="121" stopIfTrue="1" operator="equal">
      <formula>"a"</formula>
    </cfRule>
  </conditionalFormatting>
  <conditionalFormatting sqref="AD138:AD141 AA138:AA141 AD131:AD133 AA131:AA133">
    <cfRule type="cellIs" dxfId="333" priority="118" stopIfTrue="1" operator="equal">
      <formula>#REF!</formula>
    </cfRule>
  </conditionalFormatting>
  <conditionalFormatting sqref="I131:I133 I138:I141">
    <cfRule type="cellIs" dxfId="332" priority="117" stopIfTrue="1" operator="equal">
      <formula>"a"</formula>
    </cfRule>
  </conditionalFormatting>
  <conditionalFormatting sqref="I138:I141 G138:G141 I131:I133 G131:G133">
    <cfRule type="expression" dxfId="331" priority="116" stopIfTrue="1">
      <formula>F131&gt;0</formula>
    </cfRule>
  </conditionalFormatting>
  <conditionalFormatting sqref="M138:M141 M131:M133">
    <cfRule type="cellIs" dxfId="330" priority="115" stopIfTrue="1" operator="equal">
      <formula>"a"</formula>
    </cfRule>
  </conditionalFormatting>
  <conditionalFormatting sqref="M138:M141 M131:M133">
    <cfRule type="expression" dxfId="329" priority="114" stopIfTrue="1">
      <formula>L131&gt;0</formula>
    </cfRule>
  </conditionalFormatting>
  <conditionalFormatting sqref="I138:I141 I131:I133">
    <cfRule type="expression" dxfId="328" priority="113" stopIfTrue="1">
      <formula>F131&gt;0</formula>
    </cfRule>
  </conditionalFormatting>
  <conditionalFormatting sqref="AD134:AD137 AA134:AA137">
    <cfRule type="cellIs" dxfId="327" priority="112" stopIfTrue="1" operator="equal">
      <formula>#REF!</formula>
    </cfRule>
  </conditionalFormatting>
  <conditionalFormatting sqref="I134:I137">
    <cfRule type="cellIs" dxfId="326" priority="111" stopIfTrue="1" operator="equal">
      <formula>"a"</formula>
    </cfRule>
  </conditionalFormatting>
  <conditionalFormatting sqref="I134:I137 G134:G137">
    <cfRule type="expression" dxfId="325" priority="110" stopIfTrue="1">
      <formula>F134&gt;0</formula>
    </cfRule>
  </conditionalFormatting>
  <conditionalFormatting sqref="M134:M137">
    <cfRule type="cellIs" dxfId="324" priority="109" stopIfTrue="1" operator="equal">
      <formula>"a"</formula>
    </cfRule>
  </conditionalFormatting>
  <conditionalFormatting sqref="M134:M137">
    <cfRule type="expression" dxfId="323" priority="108" stopIfTrue="1">
      <formula>L134&gt;0</formula>
    </cfRule>
  </conditionalFormatting>
  <conditionalFormatting sqref="I134:I137">
    <cfRule type="expression" dxfId="322" priority="107" stopIfTrue="1">
      <formula>F134&gt;0</formula>
    </cfRule>
  </conditionalFormatting>
  <conditionalFormatting sqref="AA101:AA104 AD101:AD104 AD123:AD126 AA123:AA126 AD116:AD118 AA116:AA118">
    <cfRule type="cellIs" dxfId="321" priority="106" stopIfTrue="1" operator="equal">
      <formula>#REF!</formula>
    </cfRule>
  </conditionalFormatting>
  <conditionalFormatting sqref="I116:I118 I123:I126">
    <cfRule type="cellIs" dxfId="320" priority="105" stopIfTrue="1" operator="equal">
      <formula>"a"</formula>
    </cfRule>
  </conditionalFormatting>
  <conditionalFormatting sqref="G101:G104 I101:I104 I123:I126 G123:G126 I116:I118 G116:G118">
    <cfRule type="expression" dxfId="319" priority="104" stopIfTrue="1">
      <formula>F101&gt;0</formula>
    </cfRule>
  </conditionalFormatting>
  <conditionalFormatting sqref="M123:M126 M116:M118 M101:M104">
    <cfRule type="cellIs" dxfId="318" priority="103" stopIfTrue="1" operator="equal">
      <formula>"a"</formula>
    </cfRule>
  </conditionalFormatting>
  <conditionalFormatting sqref="M123:M126 M116:M118 M101:M104">
    <cfRule type="expression" dxfId="317" priority="102" stopIfTrue="1">
      <formula>L101&gt;0</formula>
    </cfRule>
  </conditionalFormatting>
  <conditionalFormatting sqref="I101:I104 I123:I126 I116:I118">
    <cfRule type="expression" dxfId="316" priority="101" stopIfTrue="1">
      <formula>F101&gt;0</formula>
    </cfRule>
  </conditionalFormatting>
  <conditionalFormatting sqref="I101:I104">
    <cfRule type="cellIs" dxfId="315" priority="100" stopIfTrue="1" operator="equal">
      <formula>"a"</formula>
    </cfRule>
  </conditionalFormatting>
  <conditionalFormatting sqref="AD119:AD122 AA119:AA122">
    <cfRule type="cellIs" dxfId="314" priority="99" stopIfTrue="1" operator="equal">
      <formula>#REF!</formula>
    </cfRule>
  </conditionalFormatting>
  <conditionalFormatting sqref="I119:I122">
    <cfRule type="cellIs" dxfId="313" priority="98" stopIfTrue="1" operator="equal">
      <formula>"a"</formula>
    </cfRule>
  </conditionalFormatting>
  <conditionalFormatting sqref="I119:I122 G119:G122">
    <cfRule type="expression" dxfId="312" priority="97" stopIfTrue="1">
      <formula>F119&gt;0</formula>
    </cfRule>
  </conditionalFormatting>
  <conditionalFormatting sqref="M119:M122">
    <cfRule type="cellIs" dxfId="311" priority="96" stopIfTrue="1" operator="equal">
      <formula>"a"</formula>
    </cfRule>
  </conditionalFormatting>
  <conditionalFormatting sqref="M119:M122">
    <cfRule type="expression" dxfId="310" priority="95" stopIfTrue="1">
      <formula>L119&gt;0</formula>
    </cfRule>
  </conditionalFormatting>
  <conditionalFormatting sqref="I119:I122">
    <cfRule type="expression" dxfId="309" priority="94" stopIfTrue="1">
      <formula>F119&gt;0</formula>
    </cfRule>
  </conditionalFormatting>
  <conditionalFormatting sqref="AD112:AD115 AA112:AA115 AD105:AD107 AA105:AA107">
    <cfRule type="cellIs" dxfId="308" priority="93" stopIfTrue="1" operator="equal">
      <formula>#REF!</formula>
    </cfRule>
  </conditionalFormatting>
  <conditionalFormatting sqref="I105:I107 I112:I115">
    <cfRule type="cellIs" dxfId="307" priority="92" stopIfTrue="1" operator="equal">
      <formula>"a"</formula>
    </cfRule>
  </conditionalFormatting>
  <conditionalFormatting sqref="I112:I115 G112:G115 I105:I107 G105:G107">
    <cfRule type="expression" dxfId="306" priority="91" stopIfTrue="1">
      <formula>F105&gt;0</formula>
    </cfRule>
  </conditionalFormatting>
  <conditionalFormatting sqref="M112:M115 M105:M107">
    <cfRule type="cellIs" dxfId="305" priority="90" stopIfTrue="1" operator="equal">
      <formula>"a"</formula>
    </cfRule>
  </conditionalFormatting>
  <conditionalFormatting sqref="M112:M115 M105:M107">
    <cfRule type="expression" dxfId="304" priority="89" stopIfTrue="1">
      <formula>L105&gt;0</formula>
    </cfRule>
  </conditionalFormatting>
  <conditionalFormatting sqref="I112:I115 I105:I107">
    <cfRule type="expression" dxfId="303" priority="88" stopIfTrue="1">
      <formula>F105&gt;0</formula>
    </cfRule>
  </conditionalFormatting>
  <conditionalFormatting sqref="AD108:AD111 AA108:AA111">
    <cfRule type="cellIs" dxfId="302" priority="87" stopIfTrue="1" operator="equal">
      <formula>#REF!</formula>
    </cfRule>
  </conditionalFormatting>
  <conditionalFormatting sqref="I108:I111">
    <cfRule type="cellIs" dxfId="301" priority="86" stopIfTrue="1" operator="equal">
      <formula>"a"</formula>
    </cfRule>
  </conditionalFormatting>
  <conditionalFormatting sqref="I108:I111 G108:G111">
    <cfRule type="expression" dxfId="300" priority="85" stopIfTrue="1">
      <formula>F108&gt;0</formula>
    </cfRule>
  </conditionalFormatting>
  <conditionalFormatting sqref="M108:M111">
    <cfRule type="cellIs" dxfId="299" priority="84" stopIfTrue="1" operator="equal">
      <formula>"a"</formula>
    </cfRule>
  </conditionalFormatting>
  <conditionalFormatting sqref="M108:M111">
    <cfRule type="expression" dxfId="298" priority="83" stopIfTrue="1">
      <formula>L108&gt;0</formula>
    </cfRule>
  </conditionalFormatting>
  <conditionalFormatting sqref="I108:I111">
    <cfRule type="expression" dxfId="297" priority="82" stopIfTrue="1">
      <formula>F108&gt;0</formula>
    </cfRule>
  </conditionalFormatting>
  <conditionalFormatting sqref="AA75:AA78 AD75:AD78 AD97:AD100 AA97:AA100 AD90:AD92 AA90:AA92">
    <cfRule type="cellIs" dxfId="296" priority="81" stopIfTrue="1" operator="equal">
      <formula>#REF!</formula>
    </cfRule>
  </conditionalFormatting>
  <conditionalFormatting sqref="I90:I92 I97:I100">
    <cfRule type="cellIs" dxfId="295" priority="80" stopIfTrue="1" operator="equal">
      <formula>"a"</formula>
    </cfRule>
  </conditionalFormatting>
  <conditionalFormatting sqref="G75:G78 I75:I78 I97:I100 G97:G100 I90:I92 G90:G92">
    <cfRule type="expression" dxfId="294" priority="79" stopIfTrue="1">
      <formula>F75&gt;0</formula>
    </cfRule>
  </conditionalFormatting>
  <conditionalFormatting sqref="M97:M100 M90:M92 M75:M78">
    <cfRule type="cellIs" dxfId="293" priority="78" stopIfTrue="1" operator="equal">
      <formula>"a"</formula>
    </cfRule>
  </conditionalFormatting>
  <conditionalFormatting sqref="M97:M100 M90:M92 M75:M78">
    <cfRule type="expression" dxfId="292" priority="77" stopIfTrue="1">
      <formula>L75&gt;0</formula>
    </cfRule>
  </conditionalFormatting>
  <conditionalFormatting sqref="I75:I78 I97:I100 I90:I92">
    <cfRule type="expression" dxfId="291" priority="76" stopIfTrue="1">
      <formula>F75&gt;0</formula>
    </cfRule>
  </conditionalFormatting>
  <conditionalFormatting sqref="I75:I78">
    <cfRule type="cellIs" dxfId="290" priority="75" stopIfTrue="1" operator="equal">
      <formula>"a"</formula>
    </cfRule>
  </conditionalFormatting>
  <conditionalFormatting sqref="AD93:AD96 AA93:AA96">
    <cfRule type="cellIs" dxfId="289" priority="74" stopIfTrue="1" operator="equal">
      <formula>#REF!</formula>
    </cfRule>
  </conditionalFormatting>
  <conditionalFormatting sqref="I93:I96">
    <cfRule type="cellIs" dxfId="288" priority="73" stopIfTrue="1" operator="equal">
      <formula>"a"</formula>
    </cfRule>
  </conditionalFormatting>
  <conditionalFormatting sqref="I93:I96 G93:G96">
    <cfRule type="expression" dxfId="287" priority="72" stopIfTrue="1">
      <formula>F93&gt;0</formula>
    </cfRule>
  </conditionalFormatting>
  <conditionalFormatting sqref="M93:M96">
    <cfRule type="cellIs" dxfId="286" priority="71" stopIfTrue="1" operator="equal">
      <formula>"a"</formula>
    </cfRule>
  </conditionalFormatting>
  <conditionalFormatting sqref="M93:M96">
    <cfRule type="expression" dxfId="285" priority="70" stopIfTrue="1">
      <formula>L93&gt;0</formula>
    </cfRule>
  </conditionalFormatting>
  <conditionalFormatting sqref="I93:I96">
    <cfRule type="expression" dxfId="284" priority="69" stopIfTrue="1">
      <formula>F93&gt;0</formula>
    </cfRule>
  </conditionalFormatting>
  <conditionalFormatting sqref="AD86:AD89 AA86:AA89 AD79:AD81 AA79:AA81">
    <cfRule type="cellIs" dxfId="283" priority="68" stopIfTrue="1" operator="equal">
      <formula>#REF!</formula>
    </cfRule>
  </conditionalFormatting>
  <conditionalFormatting sqref="I79:I81 I86:I89">
    <cfRule type="cellIs" dxfId="282" priority="67" stopIfTrue="1" operator="equal">
      <formula>"a"</formula>
    </cfRule>
  </conditionalFormatting>
  <conditionalFormatting sqref="I86:I89 G86:G89 I79:I81 G79:G81">
    <cfRule type="expression" dxfId="281" priority="66" stopIfTrue="1">
      <formula>F79&gt;0</formula>
    </cfRule>
  </conditionalFormatting>
  <conditionalFormatting sqref="M86:M89 M79:M81">
    <cfRule type="cellIs" dxfId="280" priority="65" stopIfTrue="1" operator="equal">
      <formula>"a"</formula>
    </cfRule>
  </conditionalFormatting>
  <conditionalFormatting sqref="M86:M89 M79:M81">
    <cfRule type="expression" dxfId="279" priority="64" stopIfTrue="1">
      <formula>L79&gt;0</formula>
    </cfRule>
  </conditionalFormatting>
  <conditionalFormatting sqref="I86:I89 I79:I81">
    <cfRule type="expression" dxfId="278" priority="63" stopIfTrue="1">
      <formula>F79&gt;0</formula>
    </cfRule>
  </conditionalFormatting>
  <conditionalFormatting sqref="AD82:AD85 AA82:AA85">
    <cfRule type="cellIs" dxfId="277" priority="62" stopIfTrue="1" operator="equal">
      <formula>#REF!</formula>
    </cfRule>
  </conditionalFormatting>
  <conditionalFormatting sqref="I82:I85">
    <cfRule type="cellIs" dxfId="276" priority="61" stopIfTrue="1" operator="equal">
      <formula>"a"</formula>
    </cfRule>
  </conditionalFormatting>
  <conditionalFormatting sqref="I82:I85 G82:G85">
    <cfRule type="expression" dxfId="275" priority="60" stopIfTrue="1">
      <formula>F82&gt;0</formula>
    </cfRule>
  </conditionalFormatting>
  <conditionalFormatting sqref="M82:M85">
    <cfRule type="cellIs" dxfId="274" priority="59" stopIfTrue="1" operator="equal">
      <formula>"a"</formula>
    </cfRule>
  </conditionalFormatting>
  <conditionalFormatting sqref="M82:M85">
    <cfRule type="expression" dxfId="273" priority="58" stopIfTrue="1">
      <formula>L82&gt;0</formula>
    </cfRule>
  </conditionalFormatting>
  <conditionalFormatting sqref="I82:I85">
    <cfRule type="expression" dxfId="272" priority="57" stopIfTrue="1">
      <formula>F82&gt;0</formula>
    </cfRule>
  </conditionalFormatting>
  <conditionalFormatting sqref="AA49:AA52 AD49:AD52 AD71:AD74 AA71:AA74 AD64:AD66 AA64:AA66">
    <cfRule type="cellIs" dxfId="271" priority="56" stopIfTrue="1" operator="equal">
      <formula>#REF!</formula>
    </cfRule>
  </conditionalFormatting>
  <conditionalFormatting sqref="I64:I66 I71:I74">
    <cfRule type="cellIs" dxfId="270" priority="55" stopIfTrue="1" operator="equal">
      <formula>"a"</formula>
    </cfRule>
  </conditionalFormatting>
  <conditionalFormatting sqref="G49:G52 I49:I52 I71:I74 G71:G74 I64:I66 G64:G66">
    <cfRule type="expression" dxfId="269" priority="54" stopIfTrue="1">
      <formula>F49&gt;0</formula>
    </cfRule>
  </conditionalFormatting>
  <conditionalFormatting sqref="M71:M74 M64:M66 M49:M52">
    <cfRule type="cellIs" dxfId="268" priority="53" stopIfTrue="1" operator="equal">
      <formula>"a"</formula>
    </cfRule>
  </conditionalFormatting>
  <conditionalFormatting sqref="M71:M74 M64:M66 M49:M52">
    <cfRule type="expression" dxfId="267" priority="52" stopIfTrue="1">
      <formula>L49&gt;0</formula>
    </cfRule>
  </conditionalFormatting>
  <conditionalFormatting sqref="I49:I52 I71:I74 I64:I66">
    <cfRule type="expression" dxfId="266" priority="51" stopIfTrue="1">
      <formula>F49&gt;0</formula>
    </cfRule>
  </conditionalFormatting>
  <conditionalFormatting sqref="I49:I52">
    <cfRule type="cellIs" dxfId="265" priority="50" stopIfTrue="1" operator="equal">
      <formula>"a"</formula>
    </cfRule>
  </conditionalFormatting>
  <conditionalFormatting sqref="AD67:AD70 AA67:AA70">
    <cfRule type="cellIs" dxfId="264" priority="49" stopIfTrue="1" operator="equal">
      <formula>#REF!</formula>
    </cfRule>
  </conditionalFormatting>
  <conditionalFormatting sqref="I67:I70">
    <cfRule type="cellIs" dxfId="263" priority="48" stopIfTrue="1" operator="equal">
      <formula>"a"</formula>
    </cfRule>
  </conditionalFormatting>
  <conditionalFormatting sqref="I67:I70 G67:G70">
    <cfRule type="expression" dxfId="262" priority="47" stopIfTrue="1">
      <formula>F67&gt;0</formula>
    </cfRule>
  </conditionalFormatting>
  <conditionalFormatting sqref="M67:M70">
    <cfRule type="cellIs" dxfId="261" priority="46" stopIfTrue="1" operator="equal">
      <formula>"a"</formula>
    </cfRule>
  </conditionalFormatting>
  <conditionalFormatting sqref="M67:M70">
    <cfRule type="expression" dxfId="260" priority="45" stopIfTrue="1">
      <formula>L67&gt;0</formula>
    </cfRule>
  </conditionalFormatting>
  <conditionalFormatting sqref="I67:I70">
    <cfRule type="expression" dxfId="259" priority="44" stopIfTrue="1">
      <formula>F67&gt;0</formula>
    </cfRule>
  </conditionalFormatting>
  <conditionalFormatting sqref="AD60:AD63 AA60:AA63 AD53:AD55 AA53:AA55">
    <cfRule type="cellIs" dxfId="258" priority="43" stopIfTrue="1" operator="equal">
      <formula>#REF!</formula>
    </cfRule>
  </conditionalFormatting>
  <conditionalFormatting sqref="I53:I55 I60:I63">
    <cfRule type="cellIs" dxfId="257" priority="42" stopIfTrue="1" operator="equal">
      <formula>"a"</formula>
    </cfRule>
  </conditionalFormatting>
  <conditionalFormatting sqref="I60:I63 G60:G63 I53:I55 G53:G55">
    <cfRule type="expression" dxfId="256" priority="41" stopIfTrue="1">
      <formula>F53&gt;0</formula>
    </cfRule>
  </conditionalFormatting>
  <conditionalFormatting sqref="M60:M63 M53:M55">
    <cfRule type="cellIs" dxfId="255" priority="40" stopIfTrue="1" operator="equal">
      <formula>"a"</formula>
    </cfRule>
  </conditionalFormatting>
  <conditionalFormatting sqref="M60:M63 M53:M55">
    <cfRule type="expression" dxfId="254" priority="39" stopIfTrue="1">
      <formula>L53&gt;0</formula>
    </cfRule>
  </conditionalFormatting>
  <conditionalFormatting sqref="I60:I63 I53:I55">
    <cfRule type="expression" dxfId="253" priority="38" stopIfTrue="1">
      <formula>F53&gt;0</formula>
    </cfRule>
  </conditionalFormatting>
  <conditionalFormatting sqref="AD56:AD59 AA56:AA59">
    <cfRule type="cellIs" dxfId="252" priority="37" stopIfTrue="1" operator="equal">
      <formula>#REF!</formula>
    </cfRule>
  </conditionalFormatting>
  <conditionalFormatting sqref="I56:I59">
    <cfRule type="cellIs" dxfId="251" priority="36" stopIfTrue="1" operator="equal">
      <formula>"a"</formula>
    </cfRule>
  </conditionalFormatting>
  <conditionalFormatting sqref="I56:I59 G56:G59">
    <cfRule type="expression" dxfId="250" priority="35" stopIfTrue="1">
      <formula>F56&gt;0</formula>
    </cfRule>
  </conditionalFormatting>
  <conditionalFormatting sqref="M56:M59">
    <cfRule type="cellIs" dxfId="249" priority="34" stopIfTrue="1" operator="equal">
      <formula>"a"</formula>
    </cfRule>
  </conditionalFormatting>
  <conditionalFormatting sqref="M56:M59">
    <cfRule type="expression" dxfId="248" priority="33" stopIfTrue="1">
      <formula>L56&gt;0</formula>
    </cfRule>
  </conditionalFormatting>
  <conditionalFormatting sqref="I56:I59">
    <cfRule type="expression" dxfId="247" priority="32" stopIfTrue="1">
      <formula>F56&gt;0</formula>
    </cfRule>
  </conditionalFormatting>
  <conditionalFormatting sqref="AA23:AA26 AD23:AD26 AD45:AD48 AA45:AA48 AD38:AD40 AA38:AA40">
    <cfRule type="cellIs" dxfId="246" priority="31" stopIfTrue="1" operator="equal">
      <formula>#REF!</formula>
    </cfRule>
  </conditionalFormatting>
  <conditionalFormatting sqref="I38:I40 I45:I48">
    <cfRule type="cellIs" dxfId="245" priority="30" stopIfTrue="1" operator="equal">
      <formula>"a"</formula>
    </cfRule>
  </conditionalFormatting>
  <conditionalFormatting sqref="G23:G26 I23:I26 I45:I48 G45:G48 I38:I40 G38:G40">
    <cfRule type="expression" dxfId="244" priority="29" stopIfTrue="1">
      <formula>F23&gt;0</formula>
    </cfRule>
  </conditionalFormatting>
  <conditionalFormatting sqref="M45:M48 M38:M40 M23:M26">
    <cfRule type="cellIs" dxfId="243" priority="28" stopIfTrue="1" operator="equal">
      <formula>"a"</formula>
    </cfRule>
  </conditionalFormatting>
  <conditionalFormatting sqref="M45:M48 M38:M40 M23:M26">
    <cfRule type="expression" dxfId="242" priority="27" stopIfTrue="1">
      <formula>L23&gt;0</formula>
    </cfRule>
  </conditionalFormatting>
  <conditionalFormatting sqref="I23:I26 I45:I48 I38:I40">
    <cfRule type="expression" dxfId="241" priority="26" stopIfTrue="1">
      <formula>F23&gt;0</formula>
    </cfRule>
  </conditionalFormatting>
  <conditionalFormatting sqref="I23:I26">
    <cfRule type="cellIs" dxfId="240" priority="25" stopIfTrue="1" operator="equal">
      <formula>"a"</formula>
    </cfRule>
  </conditionalFormatting>
  <conditionalFormatting sqref="AD41:AD44 AA41:AA44">
    <cfRule type="cellIs" dxfId="239" priority="24" stopIfTrue="1" operator="equal">
      <formula>#REF!</formula>
    </cfRule>
  </conditionalFormatting>
  <conditionalFormatting sqref="I41:I44">
    <cfRule type="cellIs" dxfId="238" priority="23" stopIfTrue="1" operator="equal">
      <formula>"a"</formula>
    </cfRule>
  </conditionalFormatting>
  <conditionalFormatting sqref="I41:I44 G41:G44">
    <cfRule type="expression" dxfId="237" priority="22" stopIfTrue="1">
      <formula>F41&gt;0</formula>
    </cfRule>
  </conditionalFormatting>
  <conditionalFormatting sqref="M41:M44">
    <cfRule type="cellIs" dxfId="236" priority="21" stopIfTrue="1" operator="equal">
      <formula>"a"</formula>
    </cfRule>
  </conditionalFormatting>
  <conditionalFormatting sqref="M41:M44">
    <cfRule type="expression" dxfId="235" priority="20" stopIfTrue="1">
      <formula>L41&gt;0</formula>
    </cfRule>
  </conditionalFormatting>
  <conditionalFormatting sqref="I41:I44">
    <cfRule type="expression" dxfId="234" priority="19" stopIfTrue="1">
      <formula>F41&gt;0</formula>
    </cfRule>
  </conditionalFormatting>
  <conditionalFormatting sqref="AD34:AD37 AA34:AA37 AD27:AD29 AA27:AA29">
    <cfRule type="cellIs" dxfId="233" priority="18" stopIfTrue="1" operator="equal">
      <formula>#REF!</formula>
    </cfRule>
  </conditionalFormatting>
  <conditionalFormatting sqref="I27:I29 I34:I37">
    <cfRule type="cellIs" dxfId="232" priority="17" stopIfTrue="1" operator="equal">
      <formula>"a"</formula>
    </cfRule>
  </conditionalFormatting>
  <conditionalFormatting sqref="I34:I37 G34:G37 I27:I29 G27:G29">
    <cfRule type="expression" dxfId="231" priority="16" stopIfTrue="1">
      <formula>F27&gt;0</formula>
    </cfRule>
  </conditionalFormatting>
  <conditionalFormatting sqref="M34:M37 M27:M29">
    <cfRule type="cellIs" dxfId="230" priority="15" stopIfTrue="1" operator="equal">
      <formula>"a"</formula>
    </cfRule>
  </conditionalFormatting>
  <conditionalFormatting sqref="M34:M37 M27:M29">
    <cfRule type="expression" dxfId="229" priority="14" stopIfTrue="1">
      <formula>L27&gt;0</formula>
    </cfRule>
  </conditionalFormatting>
  <conditionalFormatting sqref="I34:I37 I27:I29">
    <cfRule type="expression" dxfId="228" priority="13" stopIfTrue="1">
      <formula>F27&gt;0</formula>
    </cfRule>
  </conditionalFormatting>
  <conditionalFormatting sqref="AD30:AD33 AA30:AA33">
    <cfRule type="cellIs" dxfId="227" priority="12" stopIfTrue="1" operator="equal">
      <formula>#REF!</formula>
    </cfRule>
  </conditionalFormatting>
  <conditionalFormatting sqref="I30:I33">
    <cfRule type="cellIs" dxfId="226" priority="11" stopIfTrue="1" operator="equal">
      <formula>"a"</formula>
    </cfRule>
  </conditionalFormatting>
  <conditionalFormatting sqref="I30:I33 G30:G33">
    <cfRule type="expression" dxfId="225" priority="10" stopIfTrue="1">
      <formula>F30&gt;0</formula>
    </cfRule>
  </conditionalFormatting>
  <conditionalFormatting sqref="M30:M33">
    <cfRule type="cellIs" dxfId="224" priority="9" stopIfTrue="1" operator="equal">
      <formula>"a"</formula>
    </cfRule>
  </conditionalFormatting>
  <conditionalFormatting sqref="M30:M33">
    <cfRule type="expression" dxfId="223" priority="8" stopIfTrue="1">
      <formula>L30&gt;0</formula>
    </cfRule>
  </conditionalFormatting>
  <conditionalFormatting sqref="I30:I33">
    <cfRule type="expression" dxfId="222" priority="7" stopIfTrue="1">
      <formula>F30&gt;0</formula>
    </cfRule>
  </conditionalFormatting>
  <dataValidations xWindow="884" yWindow="499" count="4">
    <dataValidation allowBlank="1" showInputMessage="1" showErrorMessage="1" error="Enter Direct or Bought-out only" sqref="O157:O65498 O151:O154 L15 O1:O14 O16:O149" xr:uid="{00000000-0002-0000-0400-000000000000}"/>
    <dataValidation type="decimal" operator="greaterThan" allowBlank="1" showInputMessage="1" showErrorMessage="1" sqref="M22:M149" xr:uid="{00000000-0002-0000-0400-000001000000}">
      <formula1>0</formula1>
    </dataValidation>
    <dataValidation type="whole" operator="greaterThan" allowBlank="1" showInputMessage="1" showErrorMessage="1" sqref="G22:G149" xr:uid="{8E3088BF-13C9-4D64-A2F7-8F8DF201455B}">
      <formula1>1</formula1>
    </dataValidation>
    <dataValidation type="list" operator="greaterThan" allowBlank="1" showInputMessage="1" showErrorMessage="1" sqref="I22:I149" xr:uid="{C807C98F-715C-4E96-AE4A-B3A8618F03D8}">
      <formula1>"0%,5%,12%,18%,28%"</formula1>
    </dataValidation>
  </dataValidations>
  <printOptions horizontalCentered="1"/>
  <pageMargins left="0.25" right="0.25" top="0.5" bottom="0.5" header="0.05" footer="0.05"/>
  <pageSetup paperSize="9" scale="57"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4.4"/>
  <cols>
    <col min="1" max="1" width="11.33203125" style="331" customWidth="1"/>
    <col min="2" max="2" width="32.77734375" style="331" customWidth="1"/>
    <col min="3" max="3" width="7.6640625" style="331" customWidth="1"/>
    <col min="4" max="4" width="9.6640625" style="331" customWidth="1"/>
    <col min="5" max="5" width="11.6640625" style="330" customWidth="1"/>
    <col min="6" max="6" width="20" style="330" customWidth="1"/>
    <col min="7" max="7" width="11.6640625" style="330" customWidth="1"/>
    <col min="8" max="8" width="19.77734375" style="365" customWidth="1"/>
    <col min="9" max="9" width="9" style="251"/>
    <col min="10" max="13" width="9" style="80"/>
    <col min="14" max="14" width="14.21875" style="37" customWidth="1"/>
    <col min="15" max="15" width="24.109375" style="37" customWidth="1"/>
    <col min="16" max="16" width="11.109375" style="1" customWidth="1"/>
    <col min="17" max="17" width="12.77734375" style="1" customWidth="1"/>
    <col min="18" max="18" width="11.33203125" style="348" customWidth="1"/>
    <col min="19" max="19" width="10.33203125" style="37" customWidth="1"/>
    <col min="20" max="20" width="17.77734375" style="37" customWidth="1"/>
    <col min="21" max="21" width="10.44140625" style="37" customWidth="1"/>
    <col min="22" max="22" width="12.33203125" style="37" customWidth="1"/>
    <col min="23" max="24" width="9" style="1"/>
    <col min="25" max="25" width="10.88671875" style="37" customWidth="1"/>
    <col min="26" max="26" width="18.77734375" style="37" customWidth="1"/>
    <col min="27" max="27" width="9" style="37"/>
    <col min="28" max="41" width="9" style="80"/>
    <col min="42" max="16384" width="9" style="328"/>
  </cols>
  <sheetData>
    <row r="1" spans="1:27" ht="18" customHeight="1">
      <c r="A1" s="59" t="str">
        <f>Cover!B3</f>
        <v>Specification No.: CC/NT/W-AIS/DOM/A00/23/02698</v>
      </c>
      <c r="B1" s="66"/>
      <c r="C1" s="59"/>
      <c r="D1" s="59"/>
      <c r="E1" s="7"/>
      <c r="F1" s="7"/>
      <c r="G1" s="8" t="s">
        <v>418</v>
      </c>
      <c r="T1" s="382" t="s">
        <v>254</v>
      </c>
      <c r="U1" s="368">
        <f>SUMIF(G17:G70, "Direct",F17:F70)</f>
        <v>0</v>
      </c>
      <c r="Z1" s="368" t="str">
        <f>'Names of Bidder'!D6</f>
        <v>Sole Bidder</v>
      </c>
      <c r="AA1" s="37" t="s">
        <v>255</v>
      </c>
    </row>
    <row r="2" spans="1:27" ht="14.1" customHeight="1">
      <c r="A2" s="329"/>
      <c r="B2" s="329"/>
      <c r="C2" s="329"/>
      <c r="D2" s="329"/>
      <c r="Q2" s="6"/>
      <c r="T2" s="382" t="s">
        <v>256</v>
      </c>
      <c r="U2" s="383" t="e">
        <f>#REF!-U1</f>
        <v>#REF!</v>
      </c>
      <c r="V2" s="350"/>
      <c r="Z2" s="368">
        <f>'Names of Bidder'!L6</f>
        <v>0</v>
      </c>
    </row>
    <row r="3" spans="1:27" ht="49.5" customHeight="1">
      <c r="A3" s="1288" t="str">
        <f>Cover!$B$2</f>
        <v>400kV AIS Substation Extension Package SS-111 for Extension of 400/220 kV Jabalpur Substation associated with Western Region Expansion Scheme-XXXIII (WRES-XXXIII): Part A.</v>
      </c>
      <c r="B3" s="1288"/>
      <c r="C3" s="1288"/>
      <c r="D3" s="1288"/>
      <c r="E3" s="1288"/>
      <c r="F3" s="1288"/>
      <c r="G3" s="1288"/>
      <c r="O3" s="4"/>
      <c r="P3" s="311"/>
      <c r="Q3" s="311"/>
      <c r="R3" s="311"/>
      <c r="T3" s="4"/>
      <c r="U3" s="1"/>
      <c r="W3" s="1274"/>
      <c r="X3" s="1274"/>
    </row>
    <row r="4" spans="1:27" ht="22.2" customHeight="1">
      <c r="A4" s="1289" t="s">
        <v>420</v>
      </c>
      <c r="B4" s="1289"/>
      <c r="C4" s="1289"/>
      <c r="D4" s="1289"/>
      <c r="E4" s="1289"/>
      <c r="F4" s="1289"/>
      <c r="G4" s="1289"/>
      <c r="O4" s="4"/>
      <c r="P4" s="311"/>
      <c r="Q4" s="311"/>
      <c r="R4" s="311"/>
      <c r="T4" s="4"/>
      <c r="U4" s="351"/>
      <c r="V4" s="350"/>
    </row>
    <row r="5" spans="1:27" ht="14.1" customHeight="1">
      <c r="O5" s="4"/>
      <c r="P5" s="311"/>
      <c r="Q5" s="311"/>
      <c r="R5" s="311"/>
      <c r="T5" s="4"/>
    </row>
    <row r="6" spans="1:27" ht="18" customHeight="1">
      <c r="A6" s="31" t="str">
        <f>"Bidder’s Name and Address (" &amp; MID('Names of Bidder'!B9,9, 20) &amp; ") :"</f>
        <v>Bidder’s Name and Address (Sole Bidder) :</v>
      </c>
      <c r="B6" s="32"/>
      <c r="C6" s="31"/>
      <c r="D6" s="31"/>
      <c r="E6" s="63" t="s">
        <v>396</v>
      </c>
      <c r="F6" s="1"/>
      <c r="G6" s="32"/>
      <c r="O6" s="4"/>
      <c r="P6" s="311"/>
      <c r="Q6" s="311"/>
      <c r="R6" s="311"/>
      <c r="T6" s="4"/>
      <c r="U6" s="349"/>
    </row>
    <row r="7" spans="1:27" ht="35.25" customHeight="1">
      <c r="A7" s="1290" t="str">
        <f>IF('Names of Bidder'!D9="", "", IF('Names of Bidder'!D6= "JV (Joint Venture)", "JV of " &amp; Z8, ""))</f>
        <v/>
      </c>
      <c r="B7" s="1290"/>
      <c r="C7" s="1290"/>
      <c r="D7" s="1290"/>
      <c r="E7" s="62" t="s">
        <v>398</v>
      </c>
      <c r="F7" s="1"/>
      <c r="G7" s="32"/>
      <c r="O7" s="365"/>
      <c r="P7" s="352"/>
      <c r="Q7" s="352"/>
      <c r="R7" s="352"/>
      <c r="W7" s="1274"/>
      <c r="X7" s="1274"/>
    </row>
    <row r="8" spans="1:27" ht="18" customHeight="1">
      <c r="A8" s="31" t="s">
        <v>397</v>
      </c>
      <c r="B8" s="1291" t="str">
        <f>IF('Names of Bidder'!D9=0, "", 'Names of Bidder'!D9)</f>
        <v xml:space="preserve">…….. …….. …….. …….. …….. …….. </v>
      </c>
      <c r="C8" s="1291"/>
      <c r="D8" s="1291"/>
      <c r="E8" s="62" t="s">
        <v>400</v>
      </c>
      <c r="F8" s="1"/>
      <c r="G8" s="32"/>
      <c r="O8" s="4"/>
      <c r="P8" s="353"/>
      <c r="Q8" s="353"/>
      <c r="R8" s="353"/>
      <c r="Z8" s="368" t="str">
        <f>IF('Names of Bidder'!D7=1,'Names of Bidder'!D9&amp;" &amp; "&amp;'Names of Bidder'!D14,IF('Names of Bidder'!D7="2 or More",'Names of Bidder'!D9&amp;" , "&amp;'Names of Bidder'!D14&amp;" &amp; "&amp;'Names of Bidder'!D19,""))</f>
        <v xml:space="preserve">…….. …….. …….. …….. …….. ……..  &amp; </v>
      </c>
    </row>
    <row r="9" spans="1:27" ht="18" customHeight="1">
      <c r="A9" s="31" t="s">
        <v>399</v>
      </c>
      <c r="B9" s="1291" t="str">
        <f>IF('Names of Bidder'!D10=0, "", 'Names of Bidder'!D10)</f>
        <v xml:space="preserve">…….. …….. …….. …….. …….. …….. </v>
      </c>
      <c r="C9" s="1291"/>
      <c r="D9" s="1291"/>
      <c r="E9" s="62" t="s">
        <v>401</v>
      </c>
      <c r="F9" s="1"/>
      <c r="G9" s="32"/>
      <c r="O9" s="4"/>
      <c r="P9" s="353"/>
      <c r="Q9" s="353"/>
      <c r="R9" s="353"/>
    </row>
    <row r="10" spans="1:27" ht="18" customHeight="1">
      <c r="A10" s="332"/>
      <c r="B10" s="1292" t="str">
        <f>IF('Names of Bidder'!D11=0, "", 'Names of Bidder'!D11)</f>
        <v xml:space="preserve">…….. …….. …….. …….. …….. …….. </v>
      </c>
      <c r="C10" s="1292"/>
      <c r="D10" s="1292"/>
      <c r="E10" s="333" t="s">
        <v>280</v>
      </c>
      <c r="G10" s="332"/>
      <c r="O10" s="365"/>
      <c r="P10" s="366"/>
      <c r="Q10" s="311"/>
      <c r="R10" s="354"/>
    </row>
    <row r="11" spans="1:27" ht="18" customHeight="1">
      <c r="A11" s="332"/>
      <c r="B11" s="1292" t="str">
        <f>IF('Names of Bidder'!D12=0, "", 'Names of Bidder'!D12)</f>
        <v xml:space="preserve">…….. …….. …….. …….. …….. …….. </v>
      </c>
      <c r="C11" s="1292"/>
      <c r="D11" s="1292"/>
      <c r="E11" s="333" t="s">
        <v>402</v>
      </c>
      <c r="G11" s="332"/>
      <c r="W11" s="1274"/>
      <c r="X11" s="1274"/>
    </row>
    <row r="12" spans="1:27" ht="14.1" customHeight="1">
      <c r="A12" s="332"/>
      <c r="B12" s="332"/>
      <c r="C12" s="332"/>
      <c r="D12" s="332"/>
      <c r="E12" s="31"/>
      <c r="F12" s="34"/>
      <c r="G12" s="34"/>
      <c r="Y12" s="355"/>
    </row>
    <row r="13" spans="1:27" ht="40.5" customHeight="1">
      <c r="A13" s="1293" t="s">
        <v>376</v>
      </c>
      <c r="B13" s="1293"/>
      <c r="C13" s="1293"/>
      <c r="D13" s="1293"/>
      <c r="E13" s="1293"/>
      <c r="F13" s="1293"/>
      <c r="G13" s="1293"/>
      <c r="H13" s="393"/>
      <c r="I13" s="253"/>
      <c r="J13" s="254"/>
      <c r="K13" s="254"/>
      <c r="L13" s="254"/>
      <c r="M13" s="254"/>
      <c r="Q13" s="6"/>
      <c r="U13" t="s">
        <v>424</v>
      </c>
      <c r="Y13" s="355"/>
    </row>
    <row r="14" spans="1:27" ht="14.1" customHeight="1">
      <c r="E14" s="7"/>
      <c r="F14" s="7"/>
      <c r="G14" s="8" t="s">
        <v>273</v>
      </c>
      <c r="P14" s="1276"/>
      <c r="Q14" s="1276"/>
      <c r="S14" s="1279"/>
      <c r="T14" s="1279"/>
      <c r="U14" t="s">
        <v>70</v>
      </c>
      <c r="W14" s="1274"/>
      <c r="X14" s="1274"/>
    </row>
    <row r="15" spans="1:27" ht="66" customHeight="1">
      <c r="A15" s="5" t="s">
        <v>361</v>
      </c>
      <c r="B15" s="5" t="s">
        <v>391</v>
      </c>
      <c r="C15" s="9" t="s">
        <v>353</v>
      </c>
      <c r="D15" s="9" t="s">
        <v>362</v>
      </c>
      <c r="E15" s="5" t="s">
        <v>363</v>
      </c>
      <c r="F15" s="5" t="s">
        <v>364</v>
      </c>
      <c r="G15" s="5" t="s">
        <v>403</v>
      </c>
      <c r="P15" s="312"/>
      <c r="Q15" s="312"/>
      <c r="S15" s="312"/>
      <c r="T15" s="312"/>
    </row>
    <row r="16" spans="1:27" ht="18" customHeight="1">
      <c r="A16" s="9">
        <v>1</v>
      </c>
      <c r="B16" s="9">
        <v>2</v>
      </c>
      <c r="C16" s="9">
        <v>3</v>
      </c>
      <c r="D16" s="9">
        <v>4</v>
      </c>
      <c r="E16" s="9">
        <v>5</v>
      </c>
      <c r="F16" s="9" t="s">
        <v>405</v>
      </c>
      <c r="G16" s="9">
        <v>7</v>
      </c>
      <c r="P16" s="189"/>
      <c r="Q16" s="189"/>
      <c r="S16" s="189"/>
      <c r="T16" s="189"/>
    </row>
    <row r="17" spans="1:10" s="471" customFormat="1" ht="66.75" customHeight="1">
      <c r="A17" s="470">
        <f>'Sch-1'!A18</f>
        <v>0</v>
      </c>
      <c r="B17" s="470">
        <f>'Sch-1'!J18</f>
        <v>0</v>
      </c>
      <c r="C17" s="470"/>
      <c r="D17" s="470"/>
      <c r="E17" s="564"/>
      <c r="F17" s="334"/>
      <c r="G17" s="565"/>
    </row>
    <row r="18" spans="1:10" s="471" customFormat="1" ht="18.75" customHeight="1">
      <c r="A18" s="470" t="e">
        <f>'Sch-1'!#REF!</f>
        <v>#REF!</v>
      </c>
      <c r="B18" s="470" t="e">
        <f>'Sch-1'!#REF!</f>
        <v>#REF!</v>
      </c>
      <c r="C18" s="470"/>
      <c r="D18" s="470"/>
      <c r="E18" s="564"/>
      <c r="F18" s="334"/>
      <c r="G18" s="565"/>
    </row>
    <row r="19" spans="1:10" s="471" customFormat="1" ht="15.75" customHeight="1">
      <c r="A19" s="470">
        <f>'Sch-1'!A18</f>
        <v>0</v>
      </c>
      <c r="B19" s="470">
        <f>'Sch-1'!J18</f>
        <v>0</v>
      </c>
      <c r="C19" s="470"/>
      <c r="D19" s="470"/>
      <c r="E19" s="564"/>
      <c r="F19" s="334"/>
      <c r="G19" s="565"/>
      <c r="J19" s="545"/>
    </row>
    <row r="20" spans="1:10" s="471" customFormat="1" ht="15.75" customHeight="1">
      <c r="A20" s="470" t="e">
        <f>'Sch-1'!#REF!</f>
        <v>#REF!</v>
      </c>
      <c r="B20" s="470" t="e">
        <f>'Sch-1'!#REF!</f>
        <v>#REF!</v>
      </c>
      <c r="C20" s="470" t="e">
        <f>'Sch-1'!#REF!</f>
        <v>#REF!</v>
      </c>
      <c r="D20" s="470" t="e">
        <f>'Sch-1'!#REF!</f>
        <v>#REF!</v>
      </c>
      <c r="E20" s="564" t="e">
        <f>'Sch-1'!#REF!</f>
        <v>#REF!</v>
      </c>
      <c r="F20" s="334" t="e">
        <f>IF(E20=0, "Included",IF(ISERROR(D20*E20), E20, D20*E20))</f>
        <v>#REF!</v>
      </c>
      <c r="G20" s="565" t="e">
        <f>'Sch-1'!#REF!</f>
        <v>#REF!</v>
      </c>
    </row>
    <row r="21" spans="1:10" s="471" customFormat="1" ht="15.75" customHeight="1">
      <c r="A21" s="470" t="e">
        <f>'Sch-1'!#REF!</f>
        <v>#REF!</v>
      </c>
      <c r="B21" s="470" t="e">
        <f>'Sch-1'!#REF!</f>
        <v>#REF!</v>
      </c>
      <c r="C21" s="470" t="e">
        <f>'Sch-1'!#REF!</f>
        <v>#REF!</v>
      </c>
      <c r="D21" s="470" t="e">
        <f>'Sch-1'!#REF!</f>
        <v>#REF!</v>
      </c>
      <c r="E21" s="564" t="e">
        <f>'Sch-1'!#REF!</f>
        <v>#REF!</v>
      </c>
      <c r="F21" s="334" t="e">
        <f>IF(E21=0, "Included",IF(ISERROR(D21*E21), E21, D21*E21))</f>
        <v>#REF!</v>
      </c>
      <c r="G21" s="565" t="e">
        <f>'Sch-1'!#REF!</f>
        <v>#REF!</v>
      </c>
    </row>
    <row r="22" spans="1:10" s="471" customFormat="1" ht="15.75" customHeight="1">
      <c r="A22" s="470"/>
      <c r="B22" s="470"/>
      <c r="C22" s="470"/>
      <c r="D22" s="470"/>
      <c r="E22" s="564"/>
      <c r="F22" s="334"/>
      <c r="G22" s="565"/>
    </row>
    <row r="23" spans="1:10" s="471" customFormat="1" ht="15.75" customHeight="1">
      <c r="A23" s="470" t="e">
        <f>'Sch-1'!#REF!</f>
        <v>#REF!</v>
      </c>
      <c r="B23" s="470" t="e">
        <f>'Sch-1'!#REF!</f>
        <v>#REF!</v>
      </c>
      <c r="C23" s="470"/>
      <c r="D23" s="470"/>
      <c r="E23" s="564"/>
      <c r="F23" s="334"/>
      <c r="G23" s="565"/>
    </row>
    <row r="24" spans="1:10" s="471" customFormat="1" ht="15.75" customHeight="1">
      <c r="A24" s="470" t="e">
        <f>'Sch-1'!#REF!</f>
        <v>#REF!</v>
      </c>
      <c r="B24" s="470" t="e">
        <f>'Sch-1'!#REF!</f>
        <v>#REF!</v>
      </c>
      <c r="C24" s="470" t="e">
        <f>'Sch-1'!#REF!</f>
        <v>#REF!</v>
      </c>
      <c r="D24" s="470" t="e">
        <f>'Sch-1'!#REF!</f>
        <v>#REF!</v>
      </c>
      <c r="E24" s="564" t="e">
        <f>'Sch-1'!#REF!</f>
        <v>#REF!</v>
      </c>
      <c r="F24" s="334" t="e">
        <f>IF(E24=0, "Included",IF(ISERROR(D24*E24), E24, D24*E24))</f>
        <v>#REF!</v>
      </c>
      <c r="G24" s="565" t="e">
        <f>'Sch-1'!#REF!</f>
        <v>#REF!</v>
      </c>
    </row>
    <row r="25" spans="1:10" s="471" customFormat="1" ht="15.75" customHeight="1">
      <c r="A25" s="470" t="e">
        <f>'Sch-1'!#REF!</f>
        <v>#REF!</v>
      </c>
      <c r="B25" s="470" t="e">
        <f>'Sch-1'!#REF!</f>
        <v>#REF!</v>
      </c>
      <c r="C25" s="470" t="e">
        <f>'Sch-1'!#REF!</f>
        <v>#REF!</v>
      </c>
      <c r="D25" s="470" t="e">
        <f>'Sch-1'!#REF!</f>
        <v>#REF!</v>
      </c>
      <c r="E25" s="564" t="e">
        <f>'Sch-1'!#REF!</f>
        <v>#REF!</v>
      </c>
      <c r="F25" s="334" t="e">
        <f>IF(E25=0, "Included",IF(ISERROR(D25*E25), E25, D25*E25))</f>
        <v>#REF!</v>
      </c>
      <c r="G25" s="565" t="e">
        <f>'Sch-1'!#REF!</f>
        <v>#REF!</v>
      </c>
    </row>
    <row r="26" spans="1:10" s="471" customFormat="1" ht="15.75" customHeight="1">
      <c r="A26" s="470"/>
      <c r="B26" s="470"/>
      <c r="C26" s="470"/>
      <c r="D26" s="470"/>
      <c r="E26" s="564"/>
      <c r="F26" s="334"/>
      <c r="G26" s="565"/>
    </row>
    <row r="27" spans="1:10" s="471" customFormat="1" ht="15.75" customHeight="1">
      <c r="A27" s="470" t="e">
        <f>'Sch-1'!#REF!</f>
        <v>#REF!</v>
      </c>
      <c r="B27" s="470" t="e">
        <f>'Sch-1'!#REF!</f>
        <v>#REF!</v>
      </c>
      <c r="C27" s="470"/>
      <c r="D27" s="470"/>
      <c r="E27" s="564"/>
      <c r="F27" s="334"/>
      <c r="G27" s="565"/>
    </row>
    <row r="28" spans="1:10" s="471" customFormat="1" ht="15.75" customHeight="1">
      <c r="A28" s="470" t="e">
        <f>'Sch-1'!#REF!</f>
        <v>#REF!</v>
      </c>
      <c r="B28" s="470" t="e">
        <f>'Sch-1'!#REF!</f>
        <v>#REF!</v>
      </c>
      <c r="C28" s="470" t="e">
        <f>'Sch-1'!#REF!</f>
        <v>#REF!</v>
      </c>
      <c r="D28" s="470" t="e">
        <f>'Sch-1'!#REF!</f>
        <v>#REF!</v>
      </c>
      <c r="E28" s="564" t="e">
        <f>'Sch-1'!#REF!</f>
        <v>#REF!</v>
      </c>
      <c r="F28" s="334" t="e">
        <f>IF(E28=0, "Included",IF(ISERROR(D28*E28), E28, D28*E28))</f>
        <v>#REF!</v>
      </c>
      <c r="G28" s="565" t="e">
        <f>'Sch-1'!#REF!</f>
        <v>#REF!</v>
      </c>
    </row>
    <row r="29" spans="1:10" s="471" customFormat="1" ht="15.75" customHeight="1">
      <c r="A29" s="470" t="e">
        <f>'Sch-1'!#REF!</f>
        <v>#REF!</v>
      </c>
      <c r="B29" s="470" t="e">
        <f>'Sch-1'!#REF!</f>
        <v>#REF!</v>
      </c>
      <c r="C29" s="470" t="e">
        <f>'Sch-1'!#REF!</f>
        <v>#REF!</v>
      </c>
      <c r="D29" s="470" t="e">
        <f>'Sch-1'!#REF!</f>
        <v>#REF!</v>
      </c>
      <c r="E29" s="564" t="e">
        <f>'Sch-1'!#REF!</f>
        <v>#REF!</v>
      </c>
      <c r="F29" s="334" t="e">
        <f>IF(E29=0, "Included",IF(ISERROR(D29*E29), E29, D29*E29))</f>
        <v>#REF!</v>
      </c>
      <c r="G29" s="565" t="e">
        <f>'Sch-1'!#REF!</f>
        <v>#REF!</v>
      </c>
    </row>
    <row r="30" spans="1:10" s="471" customFormat="1" ht="15.75" customHeight="1">
      <c r="A30" s="470"/>
      <c r="B30" s="470"/>
      <c r="C30" s="470"/>
      <c r="D30" s="470"/>
      <c r="E30" s="564"/>
      <c r="F30" s="334"/>
      <c r="G30" s="565"/>
    </row>
    <row r="31" spans="1:10" s="471" customFormat="1" ht="15.75" customHeight="1">
      <c r="A31" s="470" t="e">
        <f>'Sch-1'!#REF!</f>
        <v>#REF!</v>
      </c>
      <c r="B31" s="470" t="e">
        <f>'Sch-1'!#REF!</f>
        <v>#REF!</v>
      </c>
      <c r="C31" s="470"/>
      <c r="D31" s="470"/>
      <c r="E31" s="564"/>
      <c r="F31" s="334"/>
      <c r="G31" s="565"/>
    </row>
    <row r="32" spans="1:10" s="471" customFormat="1" ht="15.75" customHeight="1">
      <c r="A32" s="470" t="e">
        <f>'Sch-1'!#REF!</f>
        <v>#REF!</v>
      </c>
      <c r="B32" s="470" t="e">
        <f>'Sch-1'!#REF!</f>
        <v>#REF!</v>
      </c>
      <c r="C32" s="470"/>
      <c r="D32" s="470"/>
      <c r="E32" s="564"/>
      <c r="F32" s="334"/>
      <c r="G32" s="565"/>
    </row>
    <row r="33" spans="1:7" s="471" customFormat="1" ht="15.75" customHeight="1">
      <c r="A33" s="470" t="e">
        <f>'Sch-1'!#REF!</f>
        <v>#REF!</v>
      </c>
      <c r="B33" s="470" t="e">
        <f>'Sch-1'!#REF!</f>
        <v>#REF!</v>
      </c>
      <c r="C33" s="470" t="e">
        <f>'Sch-1'!#REF!</f>
        <v>#REF!</v>
      </c>
      <c r="D33" s="470" t="e">
        <f>'Sch-1'!#REF!</f>
        <v>#REF!</v>
      </c>
      <c r="E33" s="564" t="e">
        <f>'Sch-1'!#REF!</f>
        <v>#REF!</v>
      </c>
      <c r="F33" s="334" t="e">
        <f t="shared" ref="F33:F68" si="0">IF(E33=0, "Included",IF(ISERROR(D33*E33), E33, D33*E33))</f>
        <v>#REF!</v>
      </c>
      <c r="G33" s="565" t="e">
        <f>'Sch-1'!#REF!</f>
        <v>#REF!</v>
      </c>
    </row>
    <row r="34" spans="1:7" s="471" customFormat="1" ht="15.75" customHeight="1">
      <c r="A34" s="470" t="e">
        <f>'Sch-1'!#REF!</f>
        <v>#REF!</v>
      </c>
      <c r="B34" s="470" t="e">
        <f>'Sch-1'!#REF!</f>
        <v>#REF!</v>
      </c>
      <c r="C34" s="470" t="e">
        <f>'Sch-1'!#REF!</f>
        <v>#REF!</v>
      </c>
      <c r="D34" s="470" t="e">
        <f>'Sch-1'!#REF!</f>
        <v>#REF!</v>
      </c>
      <c r="E34" s="564" t="e">
        <f>'Sch-1'!#REF!</f>
        <v>#REF!</v>
      </c>
      <c r="F34" s="334" t="e">
        <f t="shared" si="0"/>
        <v>#REF!</v>
      </c>
      <c r="G34" s="565" t="e">
        <f>'Sch-1'!#REF!</f>
        <v>#REF!</v>
      </c>
    </row>
    <row r="35" spans="1:7" s="471" customFormat="1" ht="15.75" customHeight="1">
      <c r="A35" s="470"/>
      <c r="B35" s="470"/>
      <c r="C35" s="470"/>
      <c r="D35" s="470"/>
      <c r="E35" s="564"/>
      <c r="F35" s="334"/>
      <c r="G35" s="565"/>
    </row>
    <row r="36" spans="1:7" s="471" customFormat="1" ht="15.75" customHeight="1">
      <c r="A36" s="470" t="e">
        <f>'Sch-1'!#REF!</f>
        <v>#REF!</v>
      </c>
      <c r="B36" s="470" t="e">
        <f>'Sch-1'!#REF!</f>
        <v>#REF!</v>
      </c>
      <c r="C36" s="470"/>
      <c r="D36" s="470"/>
      <c r="E36" s="564"/>
      <c r="F36" s="334"/>
      <c r="G36" s="565"/>
    </row>
    <row r="37" spans="1:7" s="471" customFormat="1" ht="51" customHeight="1">
      <c r="A37" s="470" t="e">
        <f>'Sch-1'!#REF!</f>
        <v>#REF!</v>
      </c>
      <c r="B37" s="470" t="e">
        <f>'Sch-1'!#REF!</f>
        <v>#REF!</v>
      </c>
      <c r="C37" s="470" t="e">
        <f>'Sch-1'!#REF!</f>
        <v>#REF!</v>
      </c>
      <c r="D37" s="470" t="e">
        <f>'Sch-1'!#REF!</f>
        <v>#REF!</v>
      </c>
      <c r="E37" s="564" t="e">
        <f>'Sch-1'!#REF!</f>
        <v>#REF!</v>
      </c>
      <c r="F37" s="334" t="e">
        <f t="shared" si="0"/>
        <v>#REF!</v>
      </c>
      <c r="G37" s="565" t="e">
        <f>'Sch-1'!#REF!</f>
        <v>#REF!</v>
      </c>
    </row>
    <row r="38" spans="1:7" s="471" customFormat="1" ht="17.25" customHeight="1">
      <c r="A38" s="470" t="e">
        <f>'Sch-1'!#REF!</f>
        <v>#REF!</v>
      </c>
      <c r="B38" s="470" t="e">
        <f>'Sch-1'!#REF!</f>
        <v>#REF!</v>
      </c>
      <c r="C38" s="470" t="e">
        <f>'Sch-1'!#REF!</f>
        <v>#REF!</v>
      </c>
      <c r="D38" s="470" t="e">
        <f>'Sch-1'!#REF!</f>
        <v>#REF!</v>
      </c>
      <c r="E38" s="564" t="e">
        <f>'Sch-1'!#REF!</f>
        <v>#REF!</v>
      </c>
      <c r="F38" s="334" t="e">
        <f t="shared" si="0"/>
        <v>#REF!</v>
      </c>
      <c r="G38" s="565" t="e">
        <f>'Sch-1'!#REF!</f>
        <v>#REF!</v>
      </c>
    </row>
    <row r="39" spans="1:7" s="471" customFormat="1" ht="15.75" customHeight="1">
      <c r="A39" s="470" t="e">
        <f>'Sch-1'!#REF!</f>
        <v>#REF!</v>
      </c>
      <c r="B39" s="470" t="e">
        <f>'Sch-1'!#REF!</f>
        <v>#REF!</v>
      </c>
      <c r="C39" s="470" t="e">
        <f>'Sch-1'!#REF!</f>
        <v>#REF!</v>
      </c>
      <c r="D39" s="470" t="e">
        <f>'Sch-1'!#REF!</f>
        <v>#REF!</v>
      </c>
      <c r="E39" s="564" t="e">
        <f>'Sch-1'!#REF!</f>
        <v>#REF!</v>
      </c>
      <c r="F39" s="334" t="e">
        <f t="shared" si="0"/>
        <v>#REF!</v>
      </c>
      <c r="G39" s="565" t="e">
        <f>'Sch-1'!#REF!</f>
        <v>#REF!</v>
      </c>
    </row>
    <row r="40" spans="1:7" s="471" customFormat="1" ht="15.75" customHeight="1">
      <c r="A40" s="470" t="e">
        <f>'Sch-1'!#REF!</f>
        <v>#REF!</v>
      </c>
      <c r="B40" s="470" t="e">
        <f>'Sch-1'!#REF!</f>
        <v>#REF!</v>
      </c>
      <c r="C40" s="470" t="e">
        <f>'Sch-1'!#REF!</f>
        <v>#REF!</v>
      </c>
      <c r="D40" s="470" t="e">
        <f>'Sch-1'!#REF!</f>
        <v>#REF!</v>
      </c>
      <c r="E40" s="564" t="e">
        <f>'Sch-1'!#REF!</f>
        <v>#REF!</v>
      </c>
      <c r="F40" s="334" t="e">
        <f t="shared" si="0"/>
        <v>#REF!</v>
      </c>
      <c r="G40" s="565" t="e">
        <f>'Sch-1'!#REF!</f>
        <v>#REF!</v>
      </c>
    </row>
    <row r="41" spans="1:7" s="471" customFormat="1" ht="15.75" customHeight="1">
      <c r="A41" s="470" t="e">
        <f>'Sch-1'!#REF!</f>
        <v>#REF!</v>
      </c>
      <c r="B41" s="470" t="e">
        <f>'Sch-1'!#REF!</f>
        <v>#REF!</v>
      </c>
      <c r="C41" s="470" t="e">
        <f>'Sch-1'!#REF!</f>
        <v>#REF!</v>
      </c>
      <c r="D41" s="470" t="e">
        <f>'Sch-1'!#REF!</f>
        <v>#REF!</v>
      </c>
      <c r="E41" s="564" t="e">
        <f>'Sch-1'!#REF!</f>
        <v>#REF!</v>
      </c>
      <c r="F41" s="334" t="e">
        <f t="shared" si="0"/>
        <v>#REF!</v>
      </c>
      <c r="G41" s="565" t="e">
        <f>'Sch-1'!#REF!</f>
        <v>#REF!</v>
      </c>
    </row>
    <row r="42" spans="1:7" s="471" customFormat="1" ht="18.75" customHeight="1">
      <c r="A42" s="470" t="e">
        <f>'Sch-1'!#REF!</f>
        <v>#REF!</v>
      </c>
      <c r="B42" s="470" t="e">
        <f>'Sch-1'!#REF!</f>
        <v>#REF!</v>
      </c>
      <c r="C42" s="470" t="e">
        <f>'Sch-1'!#REF!</f>
        <v>#REF!</v>
      </c>
      <c r="D42" s="470" t="e">
        <f>'Sch-1'!#REF!</f>
        <v>#REF!</v>
      </c>
      <c r="E42" s="564" t="e">
        <f>'Sch-1'!#REF!</f>
        <v>#REF!</v>
      </c>
      <c r="F42" s="334" t="e">
        <f t="shared" si="0"/>
        <v>#REF!</v>
      </c>
      <c r="G42" s="565" t="e">
        <f>'Sch-1'!#REF!</f>
        <v>#REF!</v>
      </c>
    </row>
    <row r="43" spans="1:7" s="471" customFormat="1" ht="15.6">
      <c r="A43" s="470"/>
      <c r="B43" s="470"/>
      <c r="C43" s="470"/>
      <c r="D43" s="470"/>
      <c r="E43" s="564"/>
      <c r="F43" s="334"/>
      <c r="G43" s="565"/>
    </row>
    <row r="44" spans="1:7" s="471" customFormat="1" ht="17.25" customHeight="1">
      <c r="A44" s="470" t="e">
        <f>'Sch-1'!#REF!</f>
        <v>#REF!</v>
      </c>
      <c r="B44" s="470" t="e">
        <f>'Sch-1'!#REF!</f>
        <v>#REF!</v>
      </c>
      <c r="C44" s="470"/>
      <c r="D44" s="470"/>
      <c r="E44" s="564"/>
      <c r="F44" s="334"/>
      <c r="G44" s="565"/>
    </row>
    <row r="45" spans="1:7" s="471" customFormat="1" ht="17.25" customHeight="1">
      <c r="A45" s="470" t="e">
        <f>'Sch-1'!#REF!</f>
        <v>#REF!</v>
      </c>
      <c r="B45" s="470" t="e">
        <f>'Sch-1'!#REF!</f>
        <v>#REF!</v>
      </c>
      <c r="C45" s="470" t="e">
        <f>'Sch-1'!#REF!</f>
        <v>#REF!</v>
      </c>
      <c r="D45" s="470" t="e">
        <f>'Sch-1'!#REF!</f>
        <v>#REF!</v>
      </c>
      <c r="E45" s="564" t="e">
        <f>'Sch-1'!#REF!</f>
        <v>#REF!</v>
      </c>
      <c r="F45" s="334" t="e">
        <f t="shared" si="0"/>
        <v>#REF!</v>
      </c>
      <c r="G45" s="565" t="e">
        <f>'Sch-1'!#REF!</f>
        <v>#REF!</v>
      </c>
    </row>
    <row r="46" spans="1:7" s="471" customFormat="1" ht="17.25" customHeight="1">
      <c r="A46" s="470"/>
      <c r="B46" s="470"/>
      <c r="C46" s="470"/>
      <c r="D46" s="470"/>
      <c r="E46" s="564"/>
      <c r="F46" s="334"/>
      <c r="G46" s="565"/>
    </row>
    <row r="47" spans="1:7" s="474" customFormat="1" ht="15.6">
      <c r="A47" s="470" t="e">
        <f>'Sch-1'!#REF!</f>
        <v>#REF!</v>
      </c>
      <c r="B47" s="470" t="e">
        <f>'Sch-1'!#REF!</f>
        <v>#REF!</v>
      </c>
      <c r="C47" s="470"/>
      <c r="D47" s="470"/>
      <c r="E47" s="564"/>
      <c r="F47" s="334"/>
      <c r="G47" s="565"/>
    </row>
    <row r="48" spans="1:7" s="474" customFormat="1" ht="15.6">
      <c r="A48" s="470" t="e">
        <f>'Sch-1'!#REF!</f>
        <v>#REF!</v>
      </c>
      <c r="B48" s="470" t="e">
        <f>'Sch-1'!#REF!</f>
        <v>#REF!</v>
      </c>
      <c r="C48" s="470" t="e">
        <f>'Sch-1'!#REF!</f>
        <v>#REF!</v>
      </c>
      <c r="D48" s="470" t="e">
        <f>'Sch-1'!#REF!</f>
        <v>#REF!</v>
      </c>
      <c r="E48" s="564" t="e">
        <f>'Sch-1'!#REF!</f>
        <v>#REF!</v>
      </c>
      <c r="F48" s="334" t="e">
        <f t="shared" si="0"/>
        <v>#REF!</v>
      </c>
      <c r="G48" s="565" t="e">
        <f>'Sch-1'!#REF!</f>
        <v>#REF!</v>
      </c>
    </row>
    <row r="49" spans="1:7" s="474" customFormat="1" ht="15" customHeight="1">
      <c r="A49" s="470" t="e">
        <f>'Sch-1'!#REF!</f>
        <v>#REF!</v>
      </c>
      <c r="B49" s="470" t="e">
        <f>'Sch-1'!#REF!</f>
        <v>#REF!</v>
      </c>
      <c r="C49" s="470" t="e">
        <f>'Sch-1'!#REF!</f>
        <v>#REF!</v>
      </c>
      <c r="D49" s="470" t="e">
        <f>'Sch-1'!#REF!</f>
        <v>#REF!</v>
      </c>
      <c r="E49" s="564" t="e">
        <f>'Sch-1'!#REF!</f>
        <v>#REF!</v>
      </c>
      <c r="F49" s="334" t="e">
        <f t="shared" si="0"/>
        <v>#REF!</v>
      </c>
      <c r="G49" s="565" t="e">
        <f>'Sch-1'!#REF!</f>
        <v>#REF!</v>
      </c>
    </row>
    <row r="50" spans="1:7" s="474" customFormat="1" ht="15" customHeight="1">
      <c r="A50" s="470" t="e">
        <f>'Sch-1'!#REF!</f>
        <v>#REF!</v>
      </c>
      <c r="B50" s="470" t="e">
        <f>'Sch-1'!#REF!</f>
        <v>#REF!</v>
      </c>
      <c r="C50" s="470" t="e">
        <f>'Sch-1'!#REF!</f>
        <v>#REF!</v>
      </c>
      <c r="D50" s="470" t="e">
        <f>'Sch-1'!#REF!</f>
        <v>#REF!</v>
      </c>
      <c r="E50" s="564" t="e">
        <f>'Sch-1'!#REF!</f>
        <v>#REF!</v>
      </c>
      <c r="F50" s="334" t="e">
        <f t="shared" si="0"/>
        <v>#REF!</v>
      </c>
      <c r="G50" s="565" t="e">
        <f>'Sch-1'!#REF!</f>
        <v>#REF!</v>
      </c>
    </row>
    <row r="51" spans="1:7" s="474" customFormat="1" ht="15.6">
      <c r="A51" s="470" t="e">
        <f>'Sch-1'!#REF!</f>
        <v>#REF!</v>
      </c>
      <c r="B51" s="470" t="e">
        <f>'Sch-1'!#REF!</f>
        <v>#REF!</v>
      </c>
      <c r="C51" s="470" t="e">
        <f>'Sch-1'!#REF!</f>
        <v>#REF!</v>
      </c>
      <c r="D51" s="470" t="e">
        <f>'Sch-1'!#REF!</f>
        <v>#REF!</v>
      </c>
      <c r="E51" s="564" t="e">
        <f>'Sch-1'!#REF!</f>
        <v>#REF!</v>
      </c>
      <c r="F51" s="334" t="e">
        <f t="shared" si="0"/>
        <v>#REF!</v>
      </c>
      <c r="G51" s="565" t="e">
        <f>'Sch-1'!#REF!</f>
        <v>#REF!</v>
      </c>
    </row>
    <row r="52" spans="1:7" s="474" customFormat="1" ht="15.6">
      <c r="A52" s="470"/>
      <c r="B52" s="470"/>
      <c r="C52" s="470"/>
      <c r="D52" s="470"/>
      <c r="E52" s="564"/>
      <c r="F52" s="334"/>
      <c r="G52" s="565"/>
    </row>
    <row r="53" spans="1:7" s="471" customFormat="1" ht="17.25" customHeight="1">
      <c r="A53" s="470" t="e">
        <f>'Sch-1'!#REF!</f>
        <v>#REF!</v>
      </c>
      <c r="B53" s="470" t="e">
        <f>'Sch-1'!#REF!</f>
        <v>#REF!</v>
      </c>
      <c r="C53" s="470"/>
      <c r="D53" s="470"/>
      <c r="E53" s="564"/>
      <c r="F53" s="334"/>
      <c r="G53" s="565"/>
    </row>
    <row r="54" spans="1:7" s="475" customFormat="1" ht="17.399999999999999">
      <c r="A54" s="470" t="e">
        <f>'Sch-1'!#REF!</f>
        <v>#REF!</v>
      </c>
      <c r="B54" s="470" t="e">
        <f>'Sch-1'!#REF!</f>
        <v>#REF!</v>
      </c>
      <c r="C54" s="470" t="e">
        <f>'Sch-1'!#REF!</f>
        <v>#REF!</v>
      </c>
      <c r="D54" s="470" t="e">
        <f>'Sch-1'!#REF!</f>
        <v>#REF!</v>
      </c>
      <c r="E54" s="564" t="e">
        <f>'Sch-1'!#REF!</f>
        <v>#REF!</v>
      </c>
      <c r="F54" s="334" t="e">
        <f t="shared" si="0"/>
        <v>#REF!</v>
      </c>
      <c r="G54" s="565" t="e">
        <f>'Sch-1'!#REF!</f>
        <v>#REF!</v>
      </c>
    </row>
    <row r="55" spans="1:7" s="471" customFormat="1" ht="15.6">
      <c r="A55" s="470" t="e">
        <f>'Sch-1'!#REF!</f>
        <v>#REF!</v>
      </c>
      <c r="B55" s="470" t="e">
        <f>'Sch-1'!#REF!</f>
        <v>#REF!</v>
      </c>
      <c r="C55" s="470" t="e">
        <f>'Sch-1'!#REF!</f>
        <v>#REF!</v>
      </c>
      <c r="D55" s="470" t="e">
        <f>'Sch-1'!#REF!</f>
        <v>#REF!</v>
      </c>
      <c r="E55" s="564" t="e">
        <f>'Sch-1'!#REF!</f>
        <v>#REF!</v>
      </c>
      <c r="F55" s="334" t="e">
        <f t="shared" si="0"/>
        <v>#REF!</v>
      </c>
      <c r="G55" s="565" t="e">
        <f>'Sch-1'!#REF!</f>
        <v>#REF!</v>
      </c>
    </row>
    <row r="56" spans="1:7" s="471" customFormat="1" ht="18" customHeight="1">
      <c r="A56" s="470" t="e">
        <f>'Sch-1'!#REF!</f>
        <v>#REF!</v>
      </c>
      <c r="B56" s="470" t="e">
        <f>'Sch-1'!#REF!</f>
        <v>#REF!</v>
      </c>
      <c r="C56" s="470" t="e">
        <f>'Sch-1'!#REF!</f>
        <v>#REF!</v>
      </c>
      <c r="D56" s="470" t="e">
        <f>'Sch-1'!#REF!</f>
        <v>#REF!</v>
      </c>
      <c r="E56" s="564" t="e">
        <f>'Sch-1'!#REF!</f>
        <v>#REF!</v>
      </c>
      <c r="F56" s="334" t="e">
        <f t="shared" si="0"/>
        <v>#REF!</v>
      </c>
      <c r="G56" s="565" t="e">
        <f>'Sch-1'!#REF!</f>
        <v>#REF!</v>
      </c>
    </row>
    <row r="57" spans="1:7" s="471" customFormat="1" ht="18.75" customHeight="1">
      <c r="A57" s="470" t="e">
        <f>'Sch-1'!#REF!</f>
        <v>#REF!</v>
      </c>
      <c r="B57" s="470" t="e">
        <f>'Sch-1'!#REF!</f>
        <v>#REF!</v>
      </c>
      <c r="C57" s="470"/>
      <c r="D57" s="470"/>
      <c r="E57" s="564"/>
      <c r="F57" s="334"/>
      <c r="G57" s="565"/>
    </row>
    <row r="58" spans="1:7" s="471" customFormat="1" ht="18.75" customHeight="1">
      <c r="A58" s="470" t="e">
        <f>'Sch-1'!#REF!</f>
        <v>#REF!</v>
      </c>
      <c r="B58" s="470" t="e">
        <f>'Sch-1'!#REF!</f>
        <v>#REF!</v>
      </c>
      <c r="C58" s="470" t="e">
        <f>'Sch-1'!#REF!</f>
        <v>#REF!</v>
      </c>
      <c r="D58" s="470" t="e">
        <f>'Sch-1'!#REF!</f>
        <v>#REF!</v>
      </c>
      <c r="E58" s="564" t="e">
        <f>'Sch-1'!#REF!</f>
        <v>#REF!</v>
      </c>
      <c r="F58" s="334" t="e">
        <f t="shared" si="0"/>
        <v>#REF!</v>
      </c>
      <c r="G58" s="565" t="e">
        <f>'Sch-1'!#REF!</f>
        <v>#REF!</v>
      </c>
    </row>
    <row r="59" spans="1:7" s="475" customFormat="1" ht="18.75" customHeight="1">
      <c r="A59" s="470" t="e">
        <f>'Sch-1'!#REF!</f>
        <v>#REF!</v>
      </c>
      <c r="B59" s="470" t="e">
        <f>'Sch-1'!#REF!</f>
        <v>#REF!</v>
      </c>
      <c r="C59" s="470" t="e">
        <f>'Sch-1'!#REF!</f>
        <v>#REF!</v>
      </c>
      <c r="D59" s="470" t="e">
        <f>'Sch-1'!#REF!</f>
        <v>#REF!</v>
      </c>
      <c r="E59" s="564" t="e">
        <f>'Sch-1'!#REF!</f>
        <v>#REF!</v>
      </c>
      <c r="F59" s="334" t="e">
        <f t="shared" si="0"/>
        <v>#REF!</v>
      </c>
      <c r="G59" s="565" t="e">
        <f>'Sch-1'!#REF!</f>
        <v>#REF!</v>
      </c>
    </row>
    <row r="60" spans="1:7" s="471" customFormat="1" ht="18.75" customHeight="1">
      <c r="A60" s="470" t="e">
        <f>'Sch-1'!#REF!</f>
        <v>#REF!</v>
      </c>
      <c r="B60" s="470" t="e">
        <f>'Sch-1'!#REF!</f>
        <v>#REF!</v>
      </c>
      <c r="C60" s="470" t="e">
        <f>'Sch-1'!#REF!</f>
        <v>#REF!</v>
      </c>
      <c r="D60" s="470" t="e">
        <f>'Sch-1'!#REF!</f>
        <v>#REF!</v>
      </c>
      <c r="E60" s="564" t="e">
        <f>'Sch-1'!#REF!</f>
        <v>#REF!</v>
      </c>
      <c r="F60" s="334" t="e">
        <f t="shared" si="0"/>
        <v>#REF!</v>
      </c>
      <c r="G60" s="565" t="e">
        <f>'Sch-1'!#REF!</f>
        <v>#REF!</v>
      </c>
    </row>
    <row r="61" spans="1:7" s="471" customFormat="1" ht="17.25" customHeight="1">
      <c r="A61" s="470" t="e">
        <f>'Sch-1'!#REF!</f>
        <v>#REF!</v>
      </c>
      <c r="B61" s="470" t="e">
        <f>'Sch-1'!#REF!</f>
        <v>#REF!</v>
      </c>
      <c r="C61" s="470" t="e">
        <f>'Sch-1'!#REF!</f>
        <v>#REF!</v>
      </c>
      <c r="D61" s="470" t="e">
        <f>'Sch-1'!#REF!</f>
        <v>#REF!</v>
      </c>
      <c r="E61" s="564" t="e">
        <f>'Sch-1'!#REF!</f>
        <v>#REF!</v>
      </c>
      <c r="F61" s="334" t="e">
        <f t="shared" si="0"/>
        <v>#REF!</v>
      </c>
      <c r="G61" s="565" t="e">
        <f>'Sch-1'!#REF!</f>
        <v>#REF!</v>
      </c>
    </row>
    <row r="62" spans="1:7" s="471" customFormat="1" ht="17.25" customHeight="1">
      <c r="A62" s="470" t="e">
        <f>'Sch-1'!#REF!</f>
        <v>#REF!</v>
      </c>
      <c r="B62" s="470" t="e">
        <f>'Sch-1'!#REF!</f>
        <v>#REF!</v>
      </c>
      <c r="C62" s="470" t="e">
        <f>'Sch-1'!#REF!</f>
        <v>#REF!</v>
      </c>
      <c r="D62" s="470" t="e">
        <f>'Sch-1'!#REF!</f>
        <v>#REF!</v>
      </c>
      <c r="E62" s="564" t="e">
        <f>'Sch-1'!#REF!</f>
        <v>#REF!</v>
      </c>
      <c r="F62" s="334" t="e">
        <f t="shared" si="0"/>
        <v>#REF!</v>
      </c>
      <c r="G62" s="565" t="e">
        <f>'Sch-1'!#REF!</f>
        <v>#REF!</v>
      </c>
    </row>
    <row r="63" spans="1:7" s="471" customFormat="1" ht="17.25" customHeight="1">
      <c r="A63" s="470"/>
      <c r="B63" s="470"/>
      <c r="C63" s="470"/>
      <c r="D63" s="470"/>
      <c r="E63" s="564"/>
      <c r="F63" s="334"/>
      <c r="G63" s="565"/>
    </row>
    <row r="64" spans="1:7" s="471" customFormat="1" ht="17.25" customHeight="1">
      <c r="A64" s="470"/>
      <c r="B64" s="470"/>
      <c r="C64" s="470"/>
      <c r="D64" s="470"/>
      <c r="E64" s="564"/>
      <c r="F64" s="334"/>
      <c r="G64" s="565"/>
    </row>
    <row r="65" spans="1:22" s="471" customFormat="1" ht="17.25" customHeight="1">
      <c r="A65" s="470" t="e">
        <f>'Sch-1'!#REF!</f>
        <v>#REF!</v>
      </c>
      <c r="B65" s="470" t="e">
        <f>'Sch-1'!#REF!</f>
        <v>#REF!</v>
      </c>
      <c r="C65" s="470"/>
      <c r="D65" s="470"/>
      <c r="E65" s="564"/>
      <c r="F65" s="334"/>
      <c r="G65" s="565"/>
    </row>
    <row r="66" spans="1:22" s="471" customFormat="1" ht="17.25" customHeight="1">
      <c r="A66" s="470"/>
      <c r="B66" s="470" t="e">
        <f>'Sch-1'!#REF!</f>
        <v>#REF!</v>
      </c>
      <c r="C66" s="470" t="e">
        <f>'Sch-1'!#REF!</f>
        <v>#REF!</v>
      </c>
      <c r="D66" s="470" t="e">
        <f>'Sch-1'!#REF!</f>
        <v>#REF!</v>
      </c>
      <c r="E66" s="564" t="e">
        <f>'Sch-1'!#REF!</f>
        <v>#REF!</v>
      </c>
      <c r="F66" s="334" t="e">
        <f t="shared" si="0"/>
        <v>#REF!</v>
      </c>
      <c r="G66" s="565" t="e">
        <f>'Sch-1'!#REF!</f>
        <v>#REF!</v>
      </c>
    </row>
    <row r="67" spans="1:22" s="471" customFormat="1" ht="17.25" customHeight="1">
      <c r="A67" s="470"/>
      <c r="B67" s="470" t="e">
        <f>'Sch-1'!#REF!</f>
        <v>#REF!</v>
      </c>
      <c r="C67" s="470"/>
      <c r="D67" s="470"/>
      <c r="E67" s="564"/>
      <c r="F67" s="334"/>
      <c r="G67" s="565"/>
    </row>
    <row r="68" spans="1:22" s="471" customFormat="1" ht="17.25" customHeight="1">
      <c r="A68" s="470"/>
      <c r="B68" s="470" t="e">
        <f>'Sch-1'!#REF!</f>
        <v>#REF!</v>
      </c>
      <c r="C68" s="470" t="e">
        <f>'Sch-1'!#REF!</f>
        <v>#REF!</v>
      </c>
      <c r="D68" s="470" t="e">
        <f>'Sch-1'!#REF!</f>
        <v>#REF!</v>
      </c>
      <c r="E68" s="564" t="e">
        <f>'Sch-1'!#REF!</f>
        <v>#REF!</v>
      </c>
      <c r="F68" s="334" t="e">
        <f t="shared" si="0"/>
        <v>#REF!</v>
      </c>
      <c r="G68" s="565" t="e">
        <f>'Sch-1'!#REF!</f>
        <v>#REF!</v>
      </c>
    </row>
    <row r="69" spans="1:22" s="471" customFormat="1" ht="17.25" customHeight="1">
      <c r="A69" s="470"/>
      <c r="B69" s="470" t="e">
        <f>'Sch-1'!#REF!</f>
        <v>#REF!</v>
      </c>
      <c r="C69" s="470" t="e">
        <f>'Sch-1'!#REF!</f>
        <v>#REF!</v>
      </c>
      <c r="D69" s="470" t="e">
        <f>'Sch-1'!#REF!</f>
        <v>#REF!</v>
      </c>
      <c r="E69" s="564" t="e">
        <f>'Sch-1'!#REF!</f>
        <v>#REF!</v>
      </c>
      <c r="F69" s="334" t="e">
        <f>IF(E69=0, "Included",IF(ISERROR(D69*E69), E69, D69*E69))</f>
        <v>#REF!</v>
      </c>
      <c r="G69" s="565" t="e">
        <f>'Sch-1'!#REF!</f>
        <v>#REF!</v>
      </c>
    </row>
    <row r="70" spans="1:22" s="471" customFormat="1" ht="18" customHeight="1">
      <c r="A70" s="470"/>
      <c r="B70" s="470"/>
      <c r="C70" s="470"/>
      <c r="D70" s="470"/>
      <c r="E70" s="564"/>
      <c r="F70" s="334"/>
      <c r="G70" s="565"/>
    </row>
    <row r="71" spans="1:22" s="471" customFormat="1" ht="18" customHeight="1">
      <c r="A71" s="476"/>
      <c r="B71" s="407" t="s">
        <v>468</v>
      </c>
      <c r="C71" s="477"/>
      <c r="D71" s="478"/>
      <c r="E71" s="472"/>
      <c r="F71" s="334">
        <f>SUMIF(G18:G70,"Direct",F18:F70)</f>
        <v>0</v>
      </c>
      <c r="G71" s="479" t="s">
        <v>424</v>
      </c>
    </row>
    <row r="72" spans="1:22" s="471" customFormat="1" ht="18" customHeight="1">
      <c r="A72" s="476"/>
      <c r="B72" s="407" t="s">
        <v>469</v>
      </c>
      <c r="C72" s="477"/>
      <c r="D72" s="478"/>
      <c r="E72" s="472"/>
      <c r="F72" s="334">
        <f>SUMIF(G18:G70,"Bought-Out",F18:F70)</f>
        <v>0</v>
      </c>
      <c r="G72" s="479"/>
    </row>
    <row r="73" spans="1:22" ht="44.1" customHeight="1">
      <c r="A73" s="406"/>
      <c r="B73" s="407" t="s">
        <v>467</v>
      </c>
      <c r="C73" s="408"/>
      <c r="D73" s="409"/>
      <c r="E73" s="405"/>
      <c r="F73" s="405">
        <f>F71+F72</f>
        <v>0</v>
      </c>
      <c r="G73" s="410"/>
      <c r="I73" s="365"/>
      <c r="P73" s="360"/>
      <c r="Q73" s="359"/>
      <c r="S73" s="360"/>
      <c r="T73" s="359"/>
      <c r="V73" s="348"/>
    </row>
    <row r="74" spans="1:22" ht="26.1" customHeight="1">
      <c r="A74" s="335"/>
      <c r="B74" s="1282" t="s">
        <v>470</v>
      </c>
      <c r="C74" s="1282"/>
      <c r="D74" s="1282"/>
      <c r="E74" s="104"/>
      <c r="F74" s="104" t="e">
        <f>'Sch-7 Dis'!F19</f>
        <v>#REF!</v>
      </c>
      <c r="G74" s="10"/>
      <c r="I74" s="252"/>
      <c r="J74" s="185"/>
      <c r="K74" s="185"/>
      <c r="L74" s="185"/>
      <c r="M74" s="185"/>
      <c r="N74" s="1"/>
      <c r="O74" s="1"/>
      <c r="P74" s="89"/>
      <c r="Q74" s="359" t="e">
        <f>'Sch-7'!#REF!</f>
        <v>#REF!</v>
      </c>
      <c r="R74" s="6"/>
      <c r="S74" s="89"/>
      <c r="T74" s="359" t="e">
        <f>'Sch-7'!#REF!</f>
        <v>#REF!</v>
      </c>
      <c r="U74" s="1"/>
      <c r="V74" s="1"/>
    </row>
    <row r="75" spans="1:22" ht="26.1" customHeight="1">
      <c r="A75" s="411"/>
      <c r="B75" s="1283" t="s">
        <v>423</v>
      </c>
      <c r="C75" s="1283"/>
      <c r="D75" s="1283"/>
      <c r="E75" s="412"/>
      <c r="F75" s="412" t="e">
        <f>F73+F74</f>
        <v>#REF!</v>
      </c>
      <c r="G75" s="413"/>
      <c r="I75" s="252"/>
      <c r="J75" s="185"/>
      <c r="K75" s="185"/>
      <c r="L75" s="185"/>
      <c r="M75" s="185"/>
      <c r="N75" s="1"/>
      <c r="O75" s="1"/>
      <c r="P75" s="89"/>
      <c r="Q75" s="362" t="e">
        <f>SUM(#REF!,Q74)</f>
        <v>#REF!</v>
      </c>
      <c r="R75" s="11"/>
      <c r="S75" s="189"/>
      <c r="T75" s="362" t="e">
        <f>#REF!+T74</f>
        <v>#REF!</v>
      </c>
      <c r="U75" s="1"/>
      <c r="V75" s="363"/>
    </row>
    <row r="76" spans="1:22" ht="16.5" customHeight="1">
      <c r="A76" s="1284"/>
      <c r="B76" s="1284"/>
      <c r="C76" s="1284"/>
      <c r="D76" s="1284"/>
      <c r="E76" s="1284"/>
      <c r="F76" s="1284"/>
      <c r="G76" s="1284"/>
      <c r="P76" s="363" t="s">
        <v>259</v>
      </c>
      <c r="Q76" s="360" t="e">
        <f>F75-Q75</f>
        <v>#REF!</v>
      </c>
      <c r="S76" s="363" t="s">
        <v>275</v>
      </c>
      <c r="T76" s="360" t="e">
        <f>Q75-T75</f>
        <v>#REF!</v>
      </c>
    </row>
    <row r="77" spans="1:22" ht="16.5" customHeight="1">
      <c r="B77" s="1285" t="str">
        <f>IF((18-COUNTA(G17:G70))&gt;0,"Do not leave Mode of Transaction Blank for any item. "&amp;(18-COUNTA(G17:G70))&amp;" item(s) is(are) left blank, if you leave it blank, the same shall be deemed to be 'Bought-out'", " ")</f>
        <v xml:space="preserve"> </v>
      </c>
      <c r="C77" s="1285"/>
      <c r="D77" s="1285"/>
      <c r="E77" s="1285"/>
      <c r="F77" s="1285"/>
      <c r="G77" s="1285"/>
      <c r="P77" s="1" t="s">
        <v>285</v>
      </c>
      <c r="Q77" s="1" t="e">
        <f>IF(#REF!&gt;0,#REF! &amp; " item(s) in Sch-1", "")</f>
        <v>#REF!</v>
      </c>
    </row>
    <row r="78" spans="1:22" ht="24" customHeight="1">
      <c r="A78" s="74"/>
      <c r="B78" s="1285"/>
      <c r="C78" s="1285"/>
      <c r="D78" s="1285"/>
      <c r="E78" s="1285"/>
      <c r="F78" s="1285"/>
      <c r="G78" s="1285"/>
    </row>
    <row r="79" spans="1:22" ht="117.75" customHeight="1">
      <c r="A79" s="75" t="s">
        <v>410</v>
      </c>
      <c r="B79" s="1286" t="s">
        <v>68</v>
      </c>
      <c r="C79" s="1286"/>
      <c r="D79" s="1286"/>
      <c r="E79" s="1286"/>
      <c r="F79" s="1286"/>
      <c r="G79" s="1286"/>
    </row>
    <row r="80" spans="1:22" ht="33.6" customHeight="1">
      <c r="A80" s="11"/>
      <c r="B80" s="2"/>
      <c r="C80" s="2"/>
      <c r="D80" s="6"/>
      <c r="E80" s="1"/>
      <c r="F80" s="1"/>
      <c r="G80" s="1"/>
    </row>
    <row r="81" spans="1:7" ht="33.6" customHeight="1">
      <c r="A81" s="35" t="s">
        <v>406</v>
      </c>
      <c r="B81" s="113" t="str">
        <f>'Names of Bidder'!D31&amp;"-"&amp; 'Names of Bidder'!E31&amp;"-" &amp;'Names of Bidder'!F31</f>
        <v>--</v>
      </c>
      <c r="C81" s="12"/>
      <c r="D81" s="36"/>
      <c r="E81" s="1"/>
      <c r="F81" s="1"/>
      <c r="G81" s="188"/>
    </row>
    <row r="82" spans="1:7" ht="33.6" customHeight="1">
      <c r="A82" s="35" t="s">
        <v>407</v>
      </c>
      <c r="B82" s="113" t="str">
        <f>IF('Names of Bidder'!D32=0, "", 'Names of Bidder'!D32)</f>
        <v/>
      </c>
      <c r="C82" s="1"/>
      <c r="D82" s="36" t="s">
        <v>408</v>
      </c>
      <c r="E82" s="188" t="str">
        <f>IF('Names of Bidder'!D24=0, "", 'Names of Bidder'!D24)</f>
        <v/>
      </c>
      <c r="F82" s="1"/>
      <c r="G82" s="188"/>
    </row>
    <row r="83" spans="1:7" ht="33.6" customHeight="1">
      <c r="A83" s="201"/>
      <c r="B83" s="200"/>
      <c r="C83" s="194"/>
      <c r="D83" s="36" t="s">
        <v>409</v>
      </c>
      <c r="E83" s="188" t="str">
        <f>IF('Names of Bidder'!D25=0, "", 'Names of Bidder'!D25)</f>
        <v/>
      </c>
      <c r="F83" s="194"/>
      <c r="G83" s="194"/>
    </row>
    <row r="84" spans="1:7" ht="33.6" customHeight="1">
      <c r="A84" s="201"/>
      <c r="B84" s="200"/>
      <c r="C84" s="194"/>
      <c r="D84" s="36"/>
      <c r="E84" s="209"/>
      <c r="F84" s="194"/>
      <c r="G84" s="194"/>
    </row>
    <row r="85" spans="1:7">
      <c r="A85" s="201"/>
      <c r="B85" s="201"/>
      <c r="C85" s="201"/>
      <c r="D85" s="201"/>
      <c r="E85" s="194"/>
      <c r="F85" s="194"/>
      <c r="G85" s="194"/>
    </row>
    <row r="86" spans="1:7">
      <c r="A86" s="201"/>
      <c r="B86" s="201"/>
      <c r="C86" s="201"/>
      <c r="D86" s="201"/>
      <c r="E86" s="194"/>
      <c r="F86" s="194"/>
      <c r="G86" s="194"/>
    </row>
    <row r="87" spans="1:7">
      <c r="A87" s="201"/>
      <c r="B87" s="201"/>
      <c r="C87" s="201"/>
      <c r="D87" s="201"/>
      <c r="E87" s="194"/>
      <c r="F87" s="194"/>
      <c r="G87" s="194"/>
    </row>
    <row r="88" spans="1:7">
      <c r="A88" s="201"/>
      <c r="B88" s="201"/>
      <c r="C88" s="201"/>
      <c r="D88" s="201"/>
      <c r="E88" s="194"/>
      <c r="F88" s="194"/>
      <c r="G88" s="194"/>
    </row>
    <row r="89" spans="1:7">
      <c r="A89" s="201"/>
      <c r="B89" s="201"/>
      <c r="C89" s="201"/>
      <c r="D89" s="201"/>
      <c r="E89" s="194"/>
      <c r="F89" s="194"/>
      <c r="G89" s="194"/>
    </row>
    <row r="90" spans="1:7">
      <c r="A90" s="201"/>
      <c r="B90" s="201"/>
      <c r="C90" s="201"/>
      <c r="D90" s="201"/>
      <c r="E90" s="194"/>
      <c r="F90" s="194"/>
      <c r="G90" s="194"/>
    </row>
    <row r="91" spans="1:7">
      <c r="A91" s="201"/>
      <c r="B91" s="201"/>
      <c r="C91" s="201"/>
      <c r="D91" s="201"/>
      <c r="E91" s="194"/>
      <c r="F91" s="194"/>
      <c r="G91" s="194"/>
    </row>
    <row r="92" spans="1:7">
      <c r="A92" s="201"/>
      <c r="B92" s="201"/>
      <c r="C92" s="201"/>
      <c r="D92" s="201"/>
      <c r="E92" s="194"/>
      <c r="F92" s="194"/>
      <c r="G92" s="194"/>
    </row>
    <row r="93" spans="1:7">
      <c r="A93" s="201"/>
      <c r="B93" s="201"/>
      <c r="C93" s="201"/>
      <c r="D93" s="201"/>
      <c r="E93" s="194"/>
      <c r="F93" s="194"/>
      <c r="G93" s="194"/>
    </row>
    <row r="94" spans="1:7">
      <c r="A94" s="201"/>
      <c r="B94" s="201"/>
      <c r="C94" s="201"/>
      <c r="D94" s="201"/>
      <c r="E94" s="194"/>
      <c r="F94" s="194"/>
      <c r="G94" s="194"/>
    </row>
    <row r="95" spans="1:7">
      <c r="A95" s="201"/>
      <c r="B95" s="201"/>
      <c r="C95" s="201"/>
      <c r="D95" s="201"/>
      <c r="E95" s="194"/>
      <c r="F95" s="194"/>
      <c r="G95" s="194"/>
    </row>
    <row r="96" spans="1:7">
      <c r="A96" s="201"/>
      <c r="B96" s="201"/>
      <c r="C96" s="201"/>
      <c r="D96" s="201"/>
      <c r="E96" s="194"/>
      <c r="F96" s="194"/>
      <c r="G96" s="194"/>
    </row>
    <row r="97" spans="1:24">
      <c r="A97" s="201"/>
      <c r="B97" s="201"/>
      <c r="C97" s="201"/>
      <c r="D97" s="201"/>
      <c r="E97" s="194"/>
      <c r="F97" s="194"/>
      <c r="G97" s="194"/>
    </row>
    <row r="98" spans="1:24">
      <c r="A98" s="201"/>
      <c r="B98" s="201"/>
      <c r="C98" s="201"/>
      <c r="D98" s="201"/>
      <c r="E98" s="194"/>
      <c r="F98" s="194"/>
      <c r="G98" s="194"/>
    </row>
    <row r="99" spans="1:24">
      <c r="A99" s="201"/>
      <c r="B99" s="201"/>
      <c r="C99" s="201"/>
      <c r="D99" s="201"/>
      <c r="E99" s="194"/>
      <c r="F99" s="194"/>
      <c r="G99" s="194"/>
    </row>
    <row r="100" spans="1:24">
      <c r="A100" s="201"/>
      <c r="B100" s="201"/>
      <c r="C100" s="201"/>
      <c r="D100" s="201"/>
      <c r="E100" s="194"/>
      <c r="F100" s="194"/>
      <c r="G100" s="194"/>
    </row>
    <row r="101" spans="1:24">
      <c r="A101" s="201"/>
      <c r="B101" s="201"/>
      <c r="C101" s="201"/>
      <c r="D101" s="201"/>
      <c r="E101" s="194"/>
      <c r="F101" s="194"/>
      <c r="G101" s="194"/>
    </row>
    <row r="102" spans="1:24">
      <c r="A102" s="201"/>
      <c r="B102" s="201"/>
      <c r="C102" s="201"/>
      <c r="D102" s="201"/>
      <c r="E102" s="194"/>
      <c r="F102" s="194"/>
      <c r="G102" s="194"/>
    </row>
    <row r="103" spans="1:24">
      <c r="A103" s="201"/>
      <c r="B103" s="201"/>
      <c r="C103" s="201"/>
      <c r="D103" s="201"/>
      <c r="E103" s="194"/>
      <c r="F103" s="194"/>
      <c r="G103" s="194"/>
    </row>
    <row r="104" spans="1:24">
      <c r="A104" s="201"/>
      <c r="B104" s="201"/>
      <c r="C104" s="201"/>
      <c r="D104" s="201"/>
      <c r="E104" s="194"/>
      <c r="F104" s="194"/>
      <c r="G104" s="194"/>
    </row>
    <row r="105" spans="1:24">
      <c r="A105" s="201"/>
      <c r="B105" s="201"/>
      <c r="C105" s="201"/>
      <c r="D105" s="201"/>
      <c r="E105" s="194"/>
      <c r="F105" s="194"/>
      <c r="G105" s="194"/>
    </row>
    <row r="106" spans="1:24">
      <c r="A106" s="201"/>
      <c r="B106" s="201"/>
      <c r="C106" s="201"/>
      <c r="D106" s="201"/>
      <c r="E106" s="194"/>
      <c r="F106" s="194"/>
      <c r="G106" s="194"/>
    </row>
    <row r="107" spans="1:24">
      <c r="A107" s="201"/>
      <c r="B107" s="201"/>
      <c r="C107" s="201"/>
      <c r="D107" s="201"/>
      <c r="E107" s="194"/>
      <c r="F107" s="194"/>
      <c r="G107" s="194"/>
    </row>
    <row r="108" spans="1:24">
      <c r="A108" s="201"/>
      <c r="B108" s="201"/>
      <c r="C108" s="201"/>
      <c r="D108" s="201"/>
      <c r="E108" s="194"/>
      <c r="F108" s="194"/>
      <c r="G108" s="194"/>
    </row>
    <row r="109" spans="1:24" ht="18" customHeight="1">
      <c r="A109" s="207"/>
      <c r="B109" s="199"/>
      <c r="C109" s="207"/>
      <c r="D109" s="207"/>
      <c r="E109" s="208"/>
      <c r="F109" s="208"/>
      <c r="G109" s="209"/>
      <c r="T109" s="4"/>
    </row>
    <row r="110" spans="1:24" ht="18" customHeight="1">
      <c r="A110" s="199"/>
      <c r="B110" s="199"/>
      <c r="C110" s="199"/>
      <c r="D110" s="199"/>
      <c r="E110" s="194"/>
      <c r="F110" s="194"/>
      <c r="G110" s="194"/>
      <c r="Q110" s="6"/>
      <c r="T110" s="4"/>
    </row>
    <row r="111" spans="1:24" ht="40.200000000000003" customHeight="1">
      <c r="A111" s="1287"/>
      <c r="B111" s="1287"/>
      <c r="C111" s="1287"/>
      <c r="D111" s="1287"/>
      <c r="E111" s="1287"/>
      <c r="F111" s="1287"/>
      <c r="G111" s="1287"/>
      <c r="O111" s="4"/>
      <c r="P111" s="311"/>
      <c r="Q111" s="311"/>
      <c r="R111" s="311"/>
      <c r="T111" s="4"/>
      <c r="U111" s="1"/>
      <c r="W111" s="1274"/>
      <c r="X111" s="1274"/>
    </row>
    <row r="112" spans="1:24" ht="22.2" customHeight="1">
      <c r="A112" s="1280"/>
      <c r="B112" s="1280"/>
      <c r="C112" s="1280"/>
      <c r="D112" s="1280"/>
      <c r="E112" s="1280"/>
      <c r="F112" s="1280"/>
      <c r="G112" s="1280"/>
      <c r="O112" s="4"/>
      <c r="P112" s="311"/>
      <c r="Q112" s="311"/>
      <c r="R112" s="311"/>
      <c r="T112" s="4"/>
      <c r="U112" s="1"/>
    </row>
    <row r="113" spans="1:41" ht="18" customHeight="1">
      <c r="A113" s="201"/>
      <c r="B113" s="201"/>
      <c r="C113" s="201"/>
      <c r="D113" s="201"/>
      <c r="E113" s="194"/>
      <c r="F113" s="194"/>
      <c r="G113" s="194"/>
      <c r="O113" s="4"/>
      <c r="P113" s="311"/>
      <c r="Q113" s="311"/>
      <c r="R113" s="311"/>
    </row>
    <row r="114" spans="1:41" ht="18" customHeight="1">
      <c r="A114" s="206"/>
      <c r="B114" s="193"/>
      <c r="C114" s="206"/>
      <c r="D114" s="206"/>
      <c r="E114" s="203"/>
      <c r="F114" s="194"/>
      <c r="G114" s="193"/>
      <c r="O114" s="4"/>
      <c r="P114" s="311"/>
      <c r="Q114" s="311"/>
      <c r="R114" s="311"/>
    </row>
    <row r="115" spans="1:41" ht="35.25" customHeight="1">
      <c r="A115" s="1281"/>
      <c r="B115" s="1281"/>
      <c r="C115" s="1281"/>
      <c r="D115" s="1281"/>
      <c r="E115" s="204"/>
      <c r="F115" s="194"/>
      <c r="G115" s="193"/>
      <c r="O115" s="365"/>
      <c r="P115" s="352"/>
      <c r="Q115" s="352"/>
      <c r="R115" s="352"/>
      <c r="W115" s="1274"/>
      <c r="X115" s="1274"/>
    </row>
    <row r="116" spans="1:41" ht="18" customHeight="1">
      <c r="A116" s="206"/>
      <c r="B116" s="1273"/>
      <c r="C116" s="1273"/>
      <c r="D116" s="1273"/>
      <c r="E116" s="204"/>
      <c r="F116" s="194"/>
      <c r="G116" s="193"/>
      <c r="O116" s="4"/>
      <c r="P116" s="353"/>
      <c r="Q116" s="353"/>
      <c r="R116" s="353"/>
    </row>
    <row r="117" spans="1:41" ht="18" customHeight="1">
      <c r="A117" s="206"/>
      <c r="B117" s="1273"/>
      <c r="C117" s="1273"/>
      <c r="D117" s="1273"/>
      <c r="E117" s="204"/>
      <c r="F117" s="194"/>
      <c r="G117" s="193"/>
      <c r="O117" s="4"/>
      <c r="P117" s="353"/>
      <c r="Q117" s="353"/>
      <c r="R117" s="353"/>
    </row>
    <row r="118" spans="1:41" ht="18" customHeight="1">
      <c r="A118" s="193"/>
      <c r="B118" s="1273"/>
      <c r="C118" s="1273"/>
      <c r="D118" s="1273"/>
      <c r="E118" s="204"/>
      <c r="F118" s="194"/>
      <c r="G118" s="193"/>
      <c r="O118" s="365"/>
      <c r="P118" s="367"/>
      <c r="Q118" s="364"/>
      <c r="R118" s="354"/>
    </row>
    <row r="119" spans="1:41" ht="18" customHeight="1">
      <c r="A119" s="193"/>
      <c r="B119" s="1273"/>
      <c r="C119" s="1273"/>
      <c r="D119" s="1273"/>
      <c r="E119" s="204"/>
      <c r="F119" s="194"/>
      <c r="G119" s="193"/>
      <c r="W119" s="1274"/>
      <c r="X119" s="1274"/>
    </row>
    <row r="120" spans="1:41" ht="18" customHeight="1">
      <c r="A120" s="193"/>
      <c r="B120" s="193"/>
      <c r="C120" s="193"/>
      <c r="D120" s="193"/>
      <c r="E120" s="206"/>
      <c r="F120" s="194"/>
      <c r="G120" s="194"/>
      <c r="Y120" s="355"/>
    </row>
    <row r="121" spans="1:41" ht="40.5" customHeight="1">
      <c r="A121" s="1275"/>
      <c r="B121" s="1275"/>
      <c r="C121" s="1275"/>
      <c r="D121" s="1275"/>
      <c r="E121" s="1275"/>
      <c r="F121" s="1275"/>
      <c r="G121" s="1275"/>
      <c r="H121" s="393"/>
      <c r="I121" s="253"/>
      <c r="J121" s="254"/>
      <c r="K121" s="254"/>
      <c r="L121" s="254"/>
      <c r="M121" s="254"/>
      <c r="Q121" s="6"/>
      <c r="Y121" s="355"/>
    </row>
    <row r="122" spans="1:41" ht="18" customHeight="1">
      <c r="A122" s="201"/>
      <c r="B122" s="201"/>
      <c r="C122" s="201"/>
      <c r="D122" s="201"/>
      <c r="E122" s="208"/>
      <c r="F122" s="208"/>
      <c r="G122" s="209"/>
      <c r="P122" s="1276"/>
      <c r="Q122" s="1276"/>
      <c r="S122" s="1279"/>
      <c r="T122" s="1279"/>
      <c r="W122" s="1274"/>
      <c r="X122" s="1274"/>
    </row>
    <row r="123" spans="1:41" ht="66" customHeight="1">
      <c r="A123" s="223"/>
      <c r="B123" s="223"/>
      <c r="C123" s="197"/>
      <c r="D123" s="197"/>
      <c r="E123" s="223"/>
      <c r="F123" s="223"/>
      <c r="G123" s="223"/>
      <c r="P123" s="312"/>
      <c r="Q123" s="312"/>
      <c r="S123" s="312"/>
      <c r="T123" s="312"/>
    </row>
    <row r="124" spans="1:41" ht="18" customHeight="1">
      <c r="A124" s="197"/>
      <c r="B124" s="197"/>
      <c r="C124" s="197"/>
      <c r="D124" s="197"/>
      <c r="E124" s="197"/>
      <c r="F124" s="197"/>
      <c r="G124" s="197"/>
      <c r="P124" s="189"/>
      <c r="Q124" s="189"/>
      <c r="S124" s="189"/>
      <c r="T124" s="189"/>
    </row>
    <row r="125" spans="1:41" s="330" customFormat="1" ht="18" customHeight="1">
      <c r="A125" s="215"/>
      <c r="B125" s="231"/>
      <c r="C125" s="212"/>
      <c r="D125" s="232"/>
      <c r="E125" s="233"/>
      <c r="F125" s="234"/>
      <c r="G125" s="194"/>
      <c r="H125" s="365"/>
      <c r="I125" s="252"/>
      <c r="J125" s="185"/>
      <c r="K125" s="185"/>
      <c r="L125" s="185"/>
      <c r="M125" s="185"/>
      <c r="N125" s="1"/>
      <c r="O125" s="1"/>
      <c r="P125" s="189"/>
      <c r="Q125" s="356"/>
      <c r="R125" s="6"/>
      <c r="S125" s="189"/>
      <c r="T125" s="356"/>
      <c r="U125" s="1"/>
      <c r="V125" s="1"/>
      <c r="W125" s="1"/>
      <c r="X125" s="1"/>
      <c r="Y125" s="1"/>
      <c r="Z125" s="1"/>
      <c r="AA125" s="1"/>
      <c r="AB125" s="185"/>
      <c r="AC125" s="185"/>
      <c r="AD125" s="185"/>
      <c r="AE125" s="185"/>
      <c r="AF125" s="185"/>
      <c r="AG125" s="185"/>
      <c r="AH125" s="185"/>
      <c r="AI125" s="185"/>
      <c r="AJ125" s="185"/>
      <c r="AK125" s="185"/>
      <c r="AL125" s="185"/>
      <c r="AM125" s="185"/>
      <c r="AN125" s="185"/>
      <c r="AO125" s="185"/>
    </row>
    <row r="126" spans="1:41" ht="111" customHeight="1">
      <c r="A126" s="216"/>
      <c r="B126" s="235"/>
      <c r="C126" s="212"/>
      <c r="D126" s="212"/>
      <c r="E126" s="236"/>
      <c r="F126" s="237"/>
      <c r="G126" s="238"/>
      <c r="P126" s="358"/>
      <c r="Q126" s="357"/>
      <c r="S126" s="358"/>
      <c r="T126" s="357"/>
      <c r="W126" s="1274"/>
      <c r="X126" s="1274"/>
    </row>
    <row r="127" spans="1:41" ht="22.2" customHeight="1">
      <c r="A127" s="216"/>
      <c r="B127" s="239"/>
      <c r="C127" s="212"/>
      <c r="D127" s="212"/>
      <c r="E127" s="240"/>
      <c r="F127" s="241"/>
      <c r="G127" s="194"/>
      <c r="P127" s="360"/>
      <c r="Q127" s="359"/>
      <c r="S127" s="360"/>
      <c r="T127" s="359"/>
    </row>
    <row r="128" spans="1:41" ht="22.2" customHeight="1">
      <c r="A128" s="214"/>
      <c r="B128" s="218"/>
      <c r="C128" s="212"/>
      <c r="D128" s="232"/>
      <c r="E128" s="233"/>
      <c r="F128" s="234"/>
      <c r="G128" s="194"/>
      <c r="P128" s="360"/>
      <c r="Q128" s="359"/>
      <c r="S128" s="360"/>
      <c r="T128" s="359"/>
      <c r="V128" s="348"/>
    </row>
    <row r="129" spans="1:24" ht="22.2" customHeight="1">
      <c r="A129" s="214"/>
      <c r="B129" s="218"/>
      <c r="C129" s="212"/>
      <c r="D129" s="232"/>
      <c r="E129" s="233"/>
      <c r="F129" s="234"/>
      <c r="G129" s="194"/>
      <c r="P129" s="360"/>
      <c r="Q129" s="359"/>
      <c r="S129" s="360"/>
      <c r="T129" s="359"/>
      <c r="V129" s="348"/>
    </row>
    <row r="130" spans="1:24">
      <c r="A130" s="216"/>
      <c r="B130" s="235"/>
      <c r="C130" s="212"/>
      <c r="D130" s="232"/>
      <c r="E130" s="233"/>
      <c r="F130" s="234"/>
      <c r="G130" s="194"/>
      <c r="P130" s="360"/>
      <c r="Q130" s="359"/>
      <c r="S130" s="360"/>
      <c r="T130" s="359"/>
      <c r="V130" s="348"/>
      <c r="W130" s="1274"/>
      <c r="X130" s="1274"/>
    </row>
    <row r="131" spans="1:24" ht="22.2" customHeight="1">
      <c r="A131" s="216"/>
      <c r="B131" s="239"/>
      <c r="C131" s="212"/>
      <c r="D131" s="232"/>
      <c r="E131" s="233"/>
      <c r="F131" s="234"/>
      <c r="G131" s="238"/>
      <c r="P131" s="360"/>
      <c r="Q131" s="359"/>
      <c r="S131" s="360"/>
      <c r="T131" s="359"/>
      <c r="V131" s="348"/>
    </row>
    <row r="132" spans="1:24" ht="22.2" customHeight="1">
      <c r="A132" s="216"/>
      <c r="B132" s="218"/>
      <c r="C132" s="212"/>
      <c r="D132" s="232"/>
      <c r="E132" s="233"/>
      <c r="F132" s="234"/>
      <c r="G132" s="194"/>
      <c r="P132" s="360"/>
      <c r="Q132" s="359"/>
      <c r="S132" s="360"/>
      <c r="T132" s="359"/>
      <c r="V132" s="348"/>
    </row>
    <row r="133" spans="1:24" ht="22.2" customHeight="1">
      <c r="A133" s="216"/>
      <c r="B133" s="218"/>
      <c r="C133" s="212"/>
      <c r="D133" s="232"/>
      <c r="E133" s="233"/>
      <c r="F133" s="234"/>
      <c r="G133" s="194"/>
      <c r="P133" s="360"/>
      <c r="Q133" s="359"/>
      <c r="S133" s="360"/>
      <c r="T133" s="359"/>
      <c r="V133" s="348"/>
    </row>
    <row r="134" spans="1:24">
      <c r="A134" s="216"/>
      <c r="B134" s="235"/>
      <c r="C134" s="212"/>
      <c r="D134" s="212"/>
      <c r="E134" s="233"/>
      <c r="F134" s="234"/>
      <c r="G134" s="238"/>
      <c r="P134" s="360"/>
      <c r="Q134" s="359"/>
      <c r="S134" s="360"/>
      <c r="T134" s="359"/>
      <c r="V134" s="348"/>
    </row>
    <row r="135" spans="1:24" ht="22.2" customHeight="1">
      <c r="A135" s="216"/>
      <c r="B135" s="239"/>
      <c r="C135" s="212"/>
      <c r="D135" s="212"/>
      <c r="E135" s="242"/>
      <c r="F135" s="234"/>
      <c r="G135" s="243"/>
      <c r="P135" s="360"/>
      <c r="Q135" s="359"/>
      <c r="S135" s="360"/>
      <c r="T135" s="359"/>
      <c r="V135" s="348"/>
    </row>
    <row r="136" spans="1:24" ht="35.1" customHeight="1">
      <c r="A136" s="214"/>
      <c r="B136" s="244"/>
      <c r="C136" s="212"/>
      <c r="D136" s="232"/>
      <c r="E136" s="233"/>
      <c r="F136" s="234"/>
      <c r="G136" s="194"/>
      <c r="N136" s="4"/>
      <c r="P136" s="360"/>
      <c r="Q136" s="359"/>
      <c r="S136" s="360"/>
      <c r="T136" s="359"/>
      <c r="V136" s="348"/>
    </row>
    <row r="137" spans="1:24" ht="22.2" customHeight="1">
      <c r="A137" s="214"/>
      <c r="B137" s="245"/>
      <c r="C137" s="212"/>
      <c r="D137" s="232"/>
      <c r="E137" s="242"/>
      <c r="F137" s="234"/>
      <c r="G137" s="194"/>
      <c r="N137" s="4"/>
      <c r="P137" s="360"/>
      <c r="Q137" s="359"/>
      <c r="S137" s="360"/>
      <c r="T137" s="359"/>
      <c r="V137" s="348"/>
    </row>
    <row r="138" spans="1:24" ht="22.2" customHeight="1">
      <c r="A138" s="214"/>
      <c r="B138" s="245"/>
      <c r="C138" s="212"/>
      <c r="D138" s="232"/>
      <c r="E138" s="242"/>
      <c r="F138" s="234"/>
      <c r="G138" s="194"/>
      <c r="N138" s="4"/>
      <c r="P138" s="360"/>
      <c r="Q138" s="359"/>
      <c r="S138" s="360"/>
      <c r="T138" s="359"/>
      <c r="V138" s="348"/>
    </row>
    <row r="139" spans="1:24" ht="24" customHeight="1">
      <c r="A139" s="215"/>
      <c r="B139" s="219"/>
      <c r="C139" s="212"/>
      <c r="D139" s="232"/>
      <c r="E139" s="233"/>
      <c r="F139" s="234"/>
      <c r="G139" s="194"/>
      <c r="J139" s="185"/>
      <c r="K139" s="185"/>
      <c r="L139" s="185"/>
      <c r="M139" s="185"/>
      <c r="N139" s="1"/>
      <c r="O139" s="1"/>
      <c r="P139" s="360"/>
      <c r="Q139" s="359"/>
      <c r="R139" s="6"/>
      <c r="S139" s="360"/>
      <c r="T139" s="359"/>
      <c r="U139" s="1"/>
      <c r="V139" s="6"/>
    </row>
    <row r="140" spans="1:24" ht="24" customHeight="1">
      <c r="A140" s="214"/>
      <c r="B140" s="246"/>
      <c r="C140" s="212"/>
      <c r="D140" s="232"/>
      <c r="E140" s="233"/>
      <c r="F140" s="234"/>
      <c r="G140" s="194"/>
      <c r="P140" s="360"/>
      <c r="Q140" s="359"/>
      <c r="S140" s="360"/>
      <c r="T140" s="359"/>
      <c r="V140" s="348"/>
    </row>
    <row r="141" spans="1:24" ht="24" customHeight="1">
      <c r="A141" s="216"/>
      <c r="B141" s="211"/>
      <c r="C141" s="212"/>
      <c r="D141" s="232"/>
      <c r="E141" s="233"/>
      <c r="F141" s="234"/>
      <c r="G141" s="194"/>
      <c r="P141" s="360"/>
      <c r="Q141" s="359"/>
      <c r="S141" s="360"/>
      <c r="T141" s="359"/>
      <c r="V141" s="348"/>
    </row>
    <row r="142" spans="1:24" ht="24" customHeight="1">
      <c r="A142" s="214"/>
      <c r="B142" s="245"/>
      <c r="C142" s="212"/>
      <c r="D142" s="232"/>
      <c r="E142" s="242"/>
      <c r="F142" s="234"/>
      <c r="G142" s="194"/>
      <c r="P142" s="360"/>
      <c r="Q142" s="359"/>
      <c r="S142" s="360"/>
      <c r="T142" s="359"/>
      <c r="V142" s="348"/>
    </row>
    <row r="143" spans="1:24" ht="24" customHeight="1">
      <c r="A143" s="215"/>
      <c r="B143" s="231"/>
      <c r="C143" s="212"/>
      <c r="D143" s="232"/>
      <c r="E143" s="233"/>
      <c r="F143" s="234"/>
      <c r="G143" s="194"/>
      <c r="J143" s="185"/>
      <c r="K143" s="185"/>
      <c r="L143" s="185"/>
      <c r="M143" s="185"/>
      <c r="N143" s="1"/>
      <c r="O143" s="1"/>
      <c r="P143" s="360"/>
      <c r="Q143" s="361"/>
      <c r="R143" s="6"/>
      <c r="S143" s="360"/>
      <c r="T143" s="361"/>
      <c r="U143" s="1"/>
      <c r="V143" s="6"/>
    </row>
    <row r="144" spans="1:24" ht="35.1" customHeight="1">
      <c r="A144" s="216"/>
      <c r="B144" s="211"/>
      <c r="C144" s="212"/>
      <c r="D144" s="212"/>
      <c r="E144" s="242"/>
      <c r="F144" s="234"/>
      <c r="G144" s="243"/>
      <c r="P144" s="360"/>
      <c r="Q144" s="361"/>
      <c r="S144" s="360"/>
      <c r="T144" s="361"/>
      <c r="V144" s="348"/>
    </row>
    <row r="145" spans="1:22" ht="24" customHeight="1">
      <c r="A145" s="216"/>
      <c r="B145" s="211"/>
      <c r="C145" s="214"/>
      <c r="D145" s="232"/>
      <c r="E145" s="242"/>
      <c r="F145" s="234"/>
      <c r="G145" s="194"/>
      <c r="P145" s="360"/>
      <c r="Q145" s="359"/>
      <c r="S145" s="360"/>
      <c r="T145" s="359"/>
      <c r="V145" s="348"/>
    </row>
    <row r="146" spans="1:22" ht="24" customHeight="1">
      <c r="A146" s="214"/>
      <c r="B146" s="211"/>
      <c r="C146" s="214"/>
      <c r="D146" s="232"/>
      <c r="E146" s="242"/>
      <c r="F146" s="234"/>
      <c r="G146" s="194"/>
      <c r="P146" s="360"/>
      <c r="Q146" s="359"/>
      <c r="S146" s="360"/>
      <c r="T146" s="359"/>
      <c r="V146" s="348"/>
    </row>
    <row r="147" spans="1:22" ht="24" customHeight="1">
      <c r="A147" s="214"/>
      <c r="B147" s="211"/>
      <c r="C147" s="214"/>
      <c r="D147" s="232"/>
      <c r="E147" s="242"/>
      <c r="F147" s="234"/>
      <c r="G147" s="194"/>
      <c r="P147" s="360"/>
      <c r="Q147" s="359"/>
      <c r="S147" s="360"/>
      <c r="T147" s="359"/>
      <c r="V147" s="348"/>
    </row>
    <row r="148" spans="1:22" ht="24" customHeight="1">
      <c r="A148" s="214"/>
      <c r="B148" s="211"/>
      <c r="C148" s="214"/>
      <c r="D148" s="232"/>
      <c r="E148" s="242"/>
      <c r="F148" s="234"/>
      <c r="G148" s="194"/>
      <c r="P148" s="360"/>
      <c r="Q148" s="359"/>
      <c r="S148" s="360"/>
      <c r="T148" s="359"/>
      <c r="V148" s="348"/>
    </row>
    <row r="149" spans="1:22" ht="24" customHeight="1">
      <c r="A149" s="214"/>
      <c r="B149" s="211"/>
      <c r="C149" s="214"/>
      <c r="D149" s="232"/>
      <c r="E149" s="242"/>
      <c r="F149" s="234"/>
      <c r="G149" s="194"/>
      <c r="P149" s="360"/>
      <c r="Q149" s="359"/>
      <c r="S149" s="360"/>
      <c r="T149" s="359"/>
      <c r="V149" s="348"/>
    </row>
    <row r="150" spans="1:22" ht="24" customHeight="1">
      <c r="A150" s="214"/>
      <c r="B150" s="211"/>
      <c r="C150" s="214"/>
      <c r="D150" s="232"/>
      <c r="E150" s="242"/>
      <c r="F150" s="234"/>
      <c r="G150" s="194"/>
      <c r="P150" s="360"/>
      <c r="Q150" s="359"/>
      <c r="S150" s="360"/>
      <c r="T150" s="359"/>
      <c r="V150" s="348"/>
    </row>
    <row r="151" spans="1:22" ht="24" customHeight="1">
      <c r="A151" s="214"/>
      <c r="B151" s="211"/>
      <c r="C151" s="214"/>
      <c r="D151" s="232"/>
      <c r="E151" s="242"/>
      <c r="F151" s="234"/>
      <c r="G151" s="194"/>
      <c r="P151" s="360"/>
      <c r="Q151" s="359"/>
      <c r="S151" s="360"/>
      <c r="T151" s="359"/>
      <c r="V151" s="348"/>
    </row>
    <row r="152" spans="1:22" ht="35.1" customHeight="1">
      <c r="A152" s="215"/>
      <c r="B152" s="231"/>
      <c r="C152" s="212"/>
      <c r="D152" s="232"/>
      <c r="E152" s="233"/>
      <c r="F152" s="234"/>
      <c r="G152" s="194"/>
      <c r="P152" s="360"/>
      <c r="Q152" s="361"/>
      <c r="S152" s="360"/>
      <c r="T152" s="361"/>
      <c r="V152" s="348"/>
    </row>
    <row r="153" spans="1:22" ht="24" customHeight="1">
      <c r="A153" s="216"/>
      <c r="B153" s="217"/>
      <c r="C153" s="212"/>
      <c r="D153" s="232"/>
      <c r="E153" s="242"/>
      <c r="F153" s="234"/>
      <c r="G153" s="243"/>
      <c r="P153" s="360"/>
      <c r="Q153" s="361"/>
      <c r="S153" s="360"/>
      <c r="T153" s="361"/>
      <c r="V153" s="348"/>
    </row>
    <row r="154" spans="1:22" ht="24" customHeight="1">
      <c r="A154" s="216"/>
      <c r="B154" s="211"/>
      <c r="C154" s="214"/>
      <c r="D154" s="217"/>
      <c r="E154" s="242"/>
      <c r="F154" s="234"/>
      <c r="G154" s="194"/>
      <c r="P154" s="360"/>
      <c r="Q154" s="359"/>
      <c r="S154" s="360"/>
      <c r="T154" s="359"/>
      <c r="V154" s="348"/>
    </row>
    <row r="155" spans="1:22" ht="35.1" customHeight="1">
      <c r="A155" s="216"/>
      <c r="B155" s="231"/>
      <c r="C155" s="212"/>
      <c r="D155" s="232"/>
      <c r="E155" s="233"/>
      <c r="F155" s="234"/>
      <c r="G155" s="194"/>
      <c r="P155" s="360"/>
      <c r="Q155" s="359"/>
      <c r="S155" s="360"/>
      <c r="T155" s="359"/>
      <c r="V155" s="348"/>
    </row>
    <row r="156" spans="1:22" ht="24" customHeight="1">
      <c r="A156" s="215"/>
      <c r="B156" s="213"/>
      <c r="C156" s="214"/>
      <c r="D156" s="232"/>
      <c r="E156" s="234"/>
      <c r="F156" s="234"/>
      <c r="G156" s="194"/>
      <c r="P156" s="360"/>
      <c r="Q156" s="359"/>
      <c r="S156" s="360"/>
      <c r="T156" s="359"/>
      <c r="V156" s="348"/>
    </row>
    <row r="157" spans="1:22" ht="24" customHeight="1">
      <c r="A157" s="215"/>
      <c r="B157" s="213"/>
      <c r="C157" s="214"/>
      <c r="D157" s="232"/>
      <c r="E157" s="233"/>
      <c r="F157" s="234"/>
      <c r="G157" s="194"/>
      <c r="P157" s="360"/>
      <c r="Q157" s="359"/>
      <c r="S157" s="360"/>
      <c r="T157" s="359"/>
      <c r="V157" s="348"/>
    </row>
    <row r="158" spans="1:22" ht="24" customHeight="1">
      <c r="A158" s="215"/>
      <c r="B158" s="213"/>
      <c r="C158" s="214"/>
      <c r="D158" s="232"/>
      <c r="E158" s="234"/>
      <c r="F158" s="234"/>
      <c r="G158" s="194"/>
      <c r="P158" s="360"/>
      <c r="Q158" s="359"/>
      <c r="S158" s="360"/>
      <c r="T158" s="359"/>
      <c r="V158" s="348"/>
    </row>
    <row r="159" spans="1:22" ht="24" customHeight="1">
      <c r="A159" s="215"/>
      <c r="B159" s="213"/>
      <c r="C159" s="214"/>
      <c r="D159" s="232"/>
      <c r="E159" s="234"/>
      <c r="F159" s="234"/>
      <c r="G159" s="194"/>
      <c r="P159" s="360"/>
      <c r="Q159" s="359"/>
      <c r="S159" s="360"/>
      <c r="T159" s="359"/>
      <c r="V159" s="348"/>
    </row>
    <row r="160" spans="1:22" ht="35.1" customHeight="1">
      <c r="A160" s="215"/>
      <c r="B160" s="218"/>
      <c r="C160" s="214"/>
      <c r="D160" s="232"/>
      <c r="E160" s="234"/>
      <c r="F160" s="234"/>
      <c r="G160" s="194"/>
      <c r="P160" s="360"/>
      <c r="Q160" s="359"/>
      <c r="S160" s="360"/>
      <c r="T160" s="359"/>
      <c r="V160" s="348"/>
    </row>
    <row r="161" spans="1:22" ht="30" customHeight="1">
      <c r="A161" s="215"/>
      <c r="B161" s="211"/>
      <c r="C161" s="214"/>
      <c r="D161" s="232"/>
      <c r="E161" s="234"/>
      <c r="F161" s="234"/>
      <c r="G161" s="194"/>
      <c r="P161" s="360"/>
      <c r="Q161" s="359"/>
      <c r="S161" s="360"/>
      <c r="T161" s="359"/>
      <c r="V161" s="348"/>
    </row>
    <row r="162" spans="1:22" ht="26.1" customHeight="1">
      <c r="A162" s="215"/>
      <c r="B162" s="231"/>
      <c r="C162" s="212"/>
      <c r="D162" s="232"/>
      <c r="E162" s="233"/>
      <c r="F162" s="234"/>
      <c r="G162" s="194"/>
      <c r="J162" s="185"/>
      <c r="K162" s="185"/>
      <c r="L162" s="185"/>
      <c r="M162" s="185"/>
      <c r="N162" s="1"/>
      <c r="O162" s="1"/>
      <c r="P162" s="360"/>
      <c r="Q162" s="359"/>
      <c r="R162" s="6"/>
      <c r="S162" s="360"/>
      <c r="T162" s="359"/>
      <c r="U162" s="1"/>
      <c r="V162" s="6"/>
    </row>
    <row r="163" spans="1:22" ht="30" customHeight="1">
      <c r="A163" s="216"/>
      <c r="B163" s="213"/>
      <c r="C163" s="214"/>
      <c r="D163" s="247"/>
      <c r="E163" s="234"/>
      <c r="F163" s="234"/>
      <c r="G163" s="194"/>
      <c r="P163" s="360"/>
      <c r="Q163" s="359"/>
      <c r="S163" s="360"/>
      <c r="T163" s="359"/>
      <c r="V163" s="348"/>
    </row>
    <row r="164" spans="1:22" ht="30" customHeight="1">
      <c r="A164" s="216"/>
      <c r="B164" s="213"/>
      <c r="C164" s="214"/>
      <c r="D164" s="247"/>
      <c r="E164" s="234"/>
      <c r="F164" s="234"/>
      <c r="G164" s="194"/>
      <c r="P164" s="360"/>
      <c r="Q164" s="359"/>
      <c r="S164" s="360"/>
      <c r="T164" s="359"/>
      <c r="V164" s="348"/>
    </row>
    <row r="165" spans="1:22" ht="30" customHeight="1">
      <c r="A165" s="216"/>
      <c r="B165" s="213"/>
      <c r="C165" s="214"/>
      <c r="D165" s="247"/>
      <c r="E165" s="234"/>
      <c r="F165" s="234"/>
      <c r="G165" s="194"/>
      <c r="P165" s="360"/>
      <c r="Q165" s="359"/>
      <c r="S165" s="360"/>
      <c r="T165" s="359"/>
      <c r="V165" s="348"/>
    </row>
    <row r="166" spans="1:22" ht="30" customHeight="1">
      <c r="A166" s="216"/>
      <c r="B166" s="213"/>
      <c r="C166" s="214"/>
      <c r="D166" s="247"/>
      <c r="E166" s="234"/>
      <c r="F166" s="234"/>
      <c r="G166" s="194"/>
      <c r="P166" s="360"/>
      <c r="Q166" s="359"/>
      <c r="S166" s="360"/>
      <c r="T166" s="359"/>
      <c r="V166" s="348"/>
    </row>
    <row r="167" spans="1:22" ht="33" customHeight="1">
      <c r="A167" s="248"/>
      <c r="B167" s="231"/>
      <c r="C167" s="212"/>
      <c r="D167" s="232"/>
      <c r="E167" s="233"/>
      <c r="F167" s="234"/>
      <c r="G167" s="194"/>
      <c r="P167" s="360"/>
      <c r="Q167" s="359"/>
      <c r="S167" s="360"/>
      <c r="T167" s="359"/>
      <c r="V167" s="348"/>
    </row>
    <row r="168" spans="1:22" ht="24" customHeight="1">
      <c r="A168" s="249"/>
      <c r="B168" s="213"/>
      <c r="C168" s="249"/>
      <c r="D168" s="250"/>
      <c r="E168" s="234"/>
      <c r="F168" s="234"/>
      <c r="G168" s="194"/>
      <c r="P168" s="360"/>
      <c r="Q168" s="359"/>
      <c r="S168" s="360"/>
      <c r="T168" s="359"/>
      <c r="V168" s="348"/>
    </row>
    <row r="169" spans="1:22" ht="24" customHeight="1">
      <c r="A169" s="249"/>
      <c r="B169" s="213"/>
      <c r="C169" s="249"/>
      <c r="D169" s="250"/>
      <c r="E169" s="234"/>
      <c r="F169" s="234"/>
      <c r="G169" s="194"/>
      <c r="P169" s="360"/>
      <c r="Q169" s="359"/>
      <c r="S169" s="360"/>
      <c r="T169" s="359"/>
      <c r="V169" s="348"/>
    </row>
    <row r="170" spans="1:22" ht="24" customHeight="1">
      <c r="A170" s="249"/>
      <c r="B170" s="213"/>
      <c r="C170" s="249"/>
      <c r="D170" s="250"/>
      <c r="E170" s="234"/>
      <c r="F170" s="234"/>
      <c r="G170" s="194"/>
      <c r="P170" s="360"/>
      <c r="Q170" s="359"/>
      <c r="S170" s="360"/>
      <c r="T170" s="359"/>
      <c r="V170" s="348"/>
    </row>
    <row r="171" spans="1:22" ht="24" customHeight="1">
      <c r="A171" s="249"/>
      <c r="B171" s="213"/>
      <c r="C171" s="249"/>
      <c r="D171" s="250"/>
      <c r="E171" s="234"/>
      <c r="F171" s="234"/>
      <c r="G171" s="194"/>
      <c r="P171" s="360"/>
      <c r="Q171" s="359"/>
      <c r="S171" s="360"/>
      <c r="T171" s="359"/>
      <c r="V171" s="348"/>
    </row>
    <row r="172" spans="1:22" ht="24" customHeight="1">
      <c r="A172" s="249"/>
      <c r="B172" s="213"/>
      <c r="C172" s="249"/>
      <c r="D172" s="250"/>
      <c r="E172" s="234"/>
      <c r="F172" s="234"/>
      <c r="G172" s="194"/>
      <c r="P172" s="360"/>
      <c r="Q172" s="359"/>
      <c r="S172" s="360"/>
      <c r="T172" s="359"/>
      <c r="V172" s="348"/>
    </row>
    <row r="173" spans="1:22" ht="26.1" customHeight="1">
      <c r="A173" s="214"/>
      <c r="B173" s="1277"/>
      <c r="C173" s="1277"/>
      <c r="D173" s="1277"/>
      <c r="E173" s="234"/>
      <c r="F173" s="234"/>
      <c r="G173" s="194"/>
      <c r="I173" s="252"/>
      <c r="J173" s="185"/>
      <c r="K173" s="185"/>
      <c r="L173" s="185"/>
      <c r="M173" s="185"/>
      <c r="N173" s="1"/>
      <c r="O173" s="1"/>
      <c r="P173" s="89"/>
      <c r="Q173" s="359"/>
      <c r="R173" s="6"/>
      <c r="S173" s="89"/>
      <c r="T173" s="359"/>
      <c r="U173" s="1"/>
      <c r="V173" s="6"/>
    </row>
    <row r="174" spans="1:22" ht="26.1" customHeight="1">
      <c r="A174" s="249"/>
      <c r="B174" s="1278"/>
      <c r="C174" s="1278"/>
      <c r="D174" s="1278"/>
      <c r="E174" s="234"/>
      <c r="F174" s="234"/>
      <c r="G174" s="194"/>
      <c r="I174" s="252"/>
      <c r="J174" s="185"/>
      <c r="K174" s="185"/>
      <c r="L174" s="185"/>
      <c r="M174" s="185"/>
      <c r="N174" s="1"/>
      <c r="O174" s="1"/>
      <c r="P174" s="89"/>
      <c r="Q174" s="359"/>
      <c r="R174" s="6"/>
      <c r="S174" s="89"/>
      <c r="T174" s="359"/>
      <c r="U174" s="1"/>
      <c r="V174" s="1"/>
    </row>
    <row r="175" spans="1:22" ht="26.1" customHeight="1">
      <c r="A175" s="249"/>
      <c r="B175" s="1272"/>
      <c r="C175" s="1272"/>
      <c r="D175" s="1272"/>
      <c r="E175" s="234"/>
      <c r="F175" s="234"/>
      <c r="G175" s="194"/>
      <c r="I175" s="252"/>
      <c r="J175" s="185"/>
      <c r="K175" s="185"/>
      <c r="L175" s="185"/>
      <c r="M175" s="185"/>
      <c r="N175" s="1"/>
      <c r="O175" s="1"/>
      <c r="P175" s="89"/>
      <c r="Q175" s="359"/>
      <c r="R175" s="6"/>
      <c r="S175" s="89"/>
      <c r="T175" s="359"/>
      <c r="U175" s="1"/>
      <c r="V175" s="363"/>
    </row>
    <row r="176" spans="1:22">
      <c r="A176" s="201"/>
      <c r="B176" s="201"/>
      <c r="C176" s="201"/>
      <c r="D176" s="201"/>
      <c r="E176" s="194"/>
      <c r="F176" s="194"/>
      <c r="G176" s="194"/>
    </row>
    <row r="177" spans="1:7">
      <c r="A177" s="201"/>
      <c r="B177" s="201"/>
      <c r="C177" s="201"/>
      <c r="D177" s="201"/>
      <c r="E177" s="194"/>
      <c r="F177" s="194"/>
      <c r="G177" s="194"/>
    </row>
    <row r="178" spans="1:7">
      <c r="A178" s="201"/>
      <c r="B178" s="201"/>
      <c r="C178" s="201"/>
      <c r="D178" s="201"/>
      <c r="E178" s="194"/>
      <c r="F178" s="194"/>
      <c r="G178" s="194"/>
    </row>
    <row r="179" spans="1:7">
      <c r="A179" s="201"/>
      <c r="B179" s="201"/>
      <c r="C179" s="201"/>
      <c r="D179" s="201"/>
      <c r="E179" s="194"/>
      <c r="F179" s="194"/>
      <c r="G179" s="194"/>
    </row>
    <row r="180" spans="1:7">
      <c r="A180" s="201"/>
      <c r="B180" s="201"/>
      <c r="C180" s="201"/>
      <c r="D180" s="201"/>
      <c r="E180" s="194"/>
      <c r="F180" s="194"/>
      <c r="G180" s="194"/>
    </row>
    <row r="181" spans="1:7">
      <c r="A181" s="201"/>
      <c r="B181" s="201"/>
      <c r="C181" s="201"/>
      <c r="D181" s="201"/>
      <c r="E181" s="194"/>
      <c r="F181" s="194"/>
      <c r="G181" s="194"/>
    </row>
    <row r="182" spans="1:7">
      <c r="A182" s="201"/>
      <c r="B182" s="201"/>
      <c r="C182" s="201"/>
      <c r="D182" s="201"/>
      <c r="E182" s="194"/>
      <c r="F182" s="194"/>
      <c r="G182" s="194"/>
    </row>
    <row r="183" spans="1:7">
      <c r="A183" s="201"/>
      <c r="B183" s="201"/>
      <c r="C183" s="201"/>
      <c r="D183" s="201"/>
      <c r="E183" s="194"/>
      <c r="F183" s="194"/>
      <c r="G183" s="194"/>
    </row>
  </sheetData>
  <sheetProtection password="CFB5" sheet="1" objects="1" scenarios="1" formatColumns="0" formatRows="0" selectLockedCells="1"/>
  <customSheetViews>
    <customSheetView guid="{9AC181BA-F443-4EA7-A647-328174FE300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30" type="noConversion"/>
  <conditionalFormatting sqref="G141:G142 G168:G172 G132:G133 G136:G138 G128:G129 G145:G151 G154 G156:G161 G163:G166 G17:G72">
    <cfRule type="expression" dxfId="221" priority="5" stopIfTrue="1">
      <formula>E17=""</formula>
    </cfRule>
  </conditionalFormatting>
  <conditionalFormatting sqref="Q152:Q153 Q143:Q144 T143:T144 T152:T153 G135 G144 E135 E153:E154 E142 E144:E151 G153">
    <cfRule type="cellIs" dxfId="220" priority="4" stopIfTrue="1" operator="equal">
      <formula>"a"</formula>
    </cfRule>
  </conditionalFormatting>
  <conditionalFormatting sqref="T168:T172 Q168:Q172 Q127:Q138 Q156:Q166 Q154 Q141:Q142 Q145:Q151 T156:T166 T141:T142 T154 T145:T151 T127:T138 T17:T73 Q17:Q73">
    <cfRule type="cellIs" dxfId="219" priority="3" stopIfTrue="1" operator="equal">
      <formula>#REF!</formula>
    </cfRule>
  </conditionalFormatting>
  <conditionalFormatting sqref="G59:G60 G55 E30:E72">
    <cfRule type="cellIs" dxfId="218" priority="2" stopIfTrue="1" operator="equal">
      <formula>"a"</formula>
    </cfRule>
  </conditionalFormatting>
  <conditionalFormatting sqref="E30:E72">
    <cfRule type="expression" dxfId="217" priority="1" stopIfTrue="1">
      <formula>D30&gt;0</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237"/>
  <sheetViews>
    <sheetView view="pageBreakPreview" topLeftCell="A6" zoomScale="70" zoomScaleNormal="100" zoomScaleSheetLayoutView="70" workbookViewId="0">
      <selection activeCell="I24" sqref="I24"/>
    </sheetView>
  </sheetViews>
  <sheetFormatPr defaultColWidth="9" defaultRowHeight="14.4"/>
  <cols>
    <col min="1" max="1" width="5.6640625" style="963" customWidth="1"/>
    <col min="2" max="2" width="17.109375" style="963" customWidth="1"/>
    <col min="3" max="3" width="8.77734375" style="963" customWidth="1"/>
    <col min="4" max="4" width="29.44140625" style="963" customWidth="1"/>
    <col min="5" max="5" width="13.88671875" style="963" customWidth="1"/>
    <col min="6" max="6" width="74.77734375" style="964" customWidth="1"/>
    <col min="7" max="7" width="6.77734375" style="963" customWidth="1"/>
    <col min="8" max="8" width="10.77734375" style="1060" customWidth="1"/>
    <col min="9" max="9" width="15.109375" style="965" customWidth="1"/>
    <col min="10" max="10" width="19.77734375" style="965" customWidth="1"/>
    <col min="11" max="11" width="9" style="955" customWidth="1"/>
    <col min="12" max="13" width="9" style="285" customWidth="1"/>
    <col min="14" max="20" width="9" style="955" customWidth="1"/>
    <col min="21" max="32" width="9" style="955"/>
    <col min="33" max="16384" width="9" style="285"/>
  </cols>
  <sheetData>
    <row r="1" spans="1:36">
      <c r="A1" s="950" t="str">
        <f>Cover!B3</f>
        <v>Specification No.: CC/NT/W-AIS/DOM/A00/23/02698</v>
      </c>
      <c r="B1" s="950"/>
      <c r="C1" s="950"/>
      <c r="D1" s="950"/>
      <c r="E1" s="950"/>
      <c r="F1" s="951"/>
      <c r="G1" s="952"/>
      <c r="H1" s="61"/>
      <c r="I1" s="953"/>
      <c r="J1" s="954" t="s">
        <v>425</v>
      </c>
    </row>
    <row r="2" spans="1:36">
      <c r="A2" s="956"/>
      <c r="B2" s="956"/>
      <c r="C2" s="956"/>
      <c r="D2" s="956"/>
      <c r="E2" s="956"/>
      <c r="F2" s="957"/>
      <c r="G2" s="956"/>
      <c r="H2" s="1059"/>
      <c r="I2" s="285"/>
      <c r="J2" s="285"/>
    </row>
    <row r="3" spans="1:36" ht="46.2" customHeight="1">
      <c r="A3" s="1297" t="str">
        <f>Cover!$B$2</f>
        <v>400kV AIS Substation Extension Package SS-111 for Extension of 400/220 kV Jabalpur Substation associated with Western Region Expansion Scheme-XXXIII (WRES-XXXIII): Part A.</v>
      </c>
      <c r="B3" s="1297"/>
      <c r="C3" s="1297"/>
      <c r="D3" s="1297"/>
      <c r="E3" s="1297"/>
      <c r="F3" s="1297"/>
      <c r="G3" s="1297"/>
      <c r="H3" s="1297"/>
      <c r="I3" s="1297"/>
      <c r="J3" s="1297"/>
      <c r="K3" s="958"/>
      <c r="L3" s="959"/>
      <c r="M3" s="960"/>
      <c r="O3" s="961"/>
      <c r="R3" s="1298"/>
      <c r="S3" s="1298"/>
      <c r="AG3" s="955"/>
      <c r="AH3" s="955"/>
      <c r="AI3" s="955"/>
      <c r="AJ3" s="955"/>
    </row>
    <row r="4" spans="1:36">
      <c r="A4" s="1299" t="s">
        <v>23</v>
      </c>
      <c r="B4" s="1299"/>
      <c r="C4" s="1299"/>
      <c r="D4" s="1299"/>
      <c r="E4" s="1299"/>
      <c r="F4" s="1299"/>
      <c r="G4" s="1299"/>
      <c r="H4" s="1299"/>
      <c r="I4" s="1299"/>
      <c r="J4" s="1299"/>
      <c r="K4" s="962"/>
    </row>
    <row r="5" spans="1:36">
      <c r="J5" s="285"/>
    </row>
    <row r="6" spans="1:36">
      <c r="A6" s="1294" t="str">
        <f>'Sch-1'!A6</f>
        <v>Bidder’s Name and Address (Sole Bidder) :</v>
      </c>
      <c r="B6" s="1294"/>
      <c r="C6" s="1294"/>
      <c r="D6" s="1294"/>
      <c r="E6" s="966"/>
      <c r="F6" s="967"/>
      <c r="G6" s="968"/>
      <c r="H6" s="1061"/>
      <c r="I6" s="969" t="s">
        <v>396</v>
      </c>
      <c r="J6" s="285"/>
      <c r="K6" s="970"/>
    </row>
    <row r="7" spans="1:36">
      <c r="A7" s="1300" t="str">
        <f>'Sch-1'!A7</f>
        <v/>
      </c>
      <c r="B7" s="1300"/>
      <c r="C7" s="1300"/>
      <c r="D7" s="1300"/>
      <c r="E7" s="1300"/>
      <c r="F7" s="1300"/>
      <c r="G7" s="1300"/>
      <c r="H7" s="1300"/>
      <c r="I7" s="971" t="str">
        <f>'Sch-1'!M7</f>
        <v>Contracts Services, 3rd Floor</v>
      </c>
      <c r="J7" s="285"/>
      <c r="K7" s="970"/>
    </row>
    <row r="8" spans="1:36">
      <c r="A8" s="966" t="s">
        <v>397</v>
      </c>
      <c r="B8" s="966"/>
      <c r="C8" s="1301" t="str">
        <f>IF('Sch-1'!C8=0, "", 'Sch-1'!C8)</f>
        <v xml:space="preserve">…….. …….. …….. …….. …….. …….. </v>
      </c>
      <c r="D8" s="1301"/>
      <c r="E8" s="1301"/>
      <c r="I8" s="971" t="str">
        <f>'Sch-1'!M8</f>
        <v>Power Grid Corporation of India Ltd.,</v>
      </c>
      <c r="J8" s="285"/>
      <c r="K8" s="970"/>
    </row>
    <row r="9" spans="1:36">
      <c r="A9" s="966" t="s">
        <v>399</v>
      </c>
      <c r="B9" s="966"/>
      <c r="C9" s="1301" t="str">
        <f>IF('Sch-1'!C9=0, "", 'Sch-1'!C9)</f>
        <v xml:space="preserve">…….. …….. …….. …….. …….. …….. </v>
      </c>
      <c r="D9" s="1301"/>
      <c r="E9" s="1301"/>
      <c r="I9" s="971" t="str">
        <f>'Sch-1'!M9</f>
        <v>"Saudamini", Plot No.-2</v>
      </c>
      <c r="J9" s="285"/>
      <c r="K9" s="970"/>
    </row>
    <row r="10" spans="1:36">
      <c r="A10" s="968"/>
      <c r="B10" s="968"/>
      <c r="C10" s="1301" t="str">
        <f>IF('Sch-1'!C10=0, "", 'Sch-1'!C10)</f>
        <v xml:space="preserve">…….. …….. …….. …….. …….. …….. </v>
      </c>
      <c r="D10" s="1301"/>
      <c r="E10" s="1301"/>
      <c r="I10" s="971" t="str">
        <f>'Sch-1'!M10</f>
        <v xml:space="preserve">Sector-29, </v>
      </c>
      <c r="J10" s="285"/>
      <c r="K10" s="970"/>
    </row>
    <row r="11" spans="1:36">
      <c r="A11" s="968"/>
      <c r="B11" s="968"/>
      <c r="C11" s="1301" t="str">
        <f>IF('Sch-1'!C11=0, "", 'Sch-1'!C11)</f>
        <v xml:space="preserve">…….. …….. …….. …….. …….. …….. </v>
      </c>
      <c r="D11" s="1301"/>
      <c r="E11" s="1301"/>
      <c r="I11" s="971" t="str">
        <f>'Sch-1'!M11</f>
        <v>Gurgaon (Haryana) - 122001</v>
      </c>
      <c r="J11" s="285"/>
      <c r="K11" s="970"/>
    </row>
    <row r="12" spans="1:36">
      <c r="A12" s="968"/>
      <c r="B12" s="968"/>
      <c r="C12" s="968"/>
      <c r="D12" s="968"/>
      <c r="E12" s="968"/>
      <c r="F12" s="972"/>
      <c r="G12" s="972"/>
      <c r="H12" s="1067"/>
      <c r="I12" s="971"/>
      <c r="J12" s="285"/>
      <c r="K12" s="970"/>
    </row>
    <row r="13" spans="1:36">
      <c r="A13" s="1307" t="s">
        <v>568</v>
      </c>
      <c r="B13" s="1307"/>
      <c r="C13" s="1307"/>
      <c r="D13" s="1307"/>
      <c r="E13" s="1307"/>
      <c r="F13" s="1307"/>
      <c r="G13" s="1307"/>
      <c r="H13" s="1307"/>
      <c r="I13" s="1307"/>
      <c r="J13" s="1307"/>
      <c r="K13" s="970"/>
    </row>
    <row r="14" spans="1:36">
      <c r="A14" s="971"/>
      <c r="B14" s="971"/>
      <c r="C14" s="971"/>
      <c r="D14" s="971"/>
      <c r="E14" s="971"/>
      <c r="F14" s="971"/>
      <c r="G14" s="971"/>
      <c r="H14" s="1061"/>
      <c r="I14" s="971"/>
      <c r="J14" s="971"/>
      <c r="K14" s="970"/>
    </row>
    <row r="15" spans="1:36">
      <c r="A15" s="968"/>
      <c r="B15" s="968"/>
      <c r="C15" s="968"/>
      <c r="D15" s="968"/>
      <c r="E15" s="968"/>
      <c r="F15" s="973"/>
      <c r="G15" s="966"/>
      <c r="H15" s="107"/>
      <c r="I15" s="1303" t="s">
        <v>273</v>
      </c>
      <c r="J15" s="1303"/>
      <c r="K15" s="425"/>
    </row>
    <row r="16" spans="1:36" ht="82.8">
      <c r="A16" s="1006" t="s">
        <v>361</v>
      </c>
      <c r="B16" s="1006" t="s">
        <v>514</v>
      </c>
      <c r="C16" s="1006" t="s">
        <v>515</v>
      </c>
      <c r="D16" s="1006" t="s">
        <v>516</v>
      </c>
      <c r="E16" s="1006" t="s">
        <v>517</v>
      </c>
      <c r="F16" s="1007" t="s">
        <v>368</v>
      </c>
      <c r="G16" s="1008" t="s">
        <v>353</v>
      </c>
      <c r="H16" s="1006" t="s">
        <v>354</v>
      </c>
      <c r="I16" s="1006" t="s">
        <v>519</v>
      </c>
      <c r="J16" s="1006" t="s">
        <v>520</v>
      </c>
    </row>
    <row r="17" spans="1:13">
      <c r="A17" s="1009">
        <v>1</v>
      </c>
      <c r="B17" s="1009">
        <v>2</v>
      </c>
      <c r="C17" s="1009">
        <v>3</v>
      </c>
      <c r="D17" s="1009">
        <v>4</v>
      </c>
      <c r="E17" s="1009">
        <v>5</v>
      </c>
      <c r="F17" s="1009">
        <v>4</v>
      </c>
      <c r="G17" s="1009">
        <v>5</v>
      </c>
      <c r="H17" s="1020">
        <v>6</v>
      </c>
      <c r="I17" s="1009">
        <v>7</v>
      </c>
      <c r="J17" s="1009" t="s">
        <v>551</v>
      </c>
      <c r="K17" s="976"/>
    </row>
    <row r="18" spans="1:13">
      <c r="A18" s="977"/>
      <c r="B18" s="977"/>
      <c r="C18" s="977"/>
      <c r="D18" s="977"/>
      <c r="E18" s="977"/>
      <c r="F18" s="978"/>
      <c r="G18" s="978"/>
      <c r="H18" s="9"/>
      <c r="I18" s="978"/>
      <c r="J18" s="979"/>
      <c r="K18" s="976"/>
    </row>
    <row r="19" spans="1:13">
      <c r="A19" s="977"/>
      <c r="B19" s="977"/>
      <c r="C19" s="977"/>
      <c r="D19" s="977"/>
      <c r="E19" s="977"/>
      <c r="F19" s="978"/>
      <c r="G19" s="978"/>
      <c r="H19" s="9"/>
      <c r="I19" s="978"/>
      <c r="J19" s="979"/>
      <c r="K19" s="976"/>
    </row>
    <row r="20" spans="1:13" ht="21" hidden="1">
      <c r="A20" s="1044"/>
      <c r="B20" s="1304" t="s">
        <v>573</v>
      </c>
      <c r="C20" s="1305"/>
      <c r="D20" s="1305"/>
      <c r="E20" s="1305"/>
      <c r="F20" s="1306"/>
      <c r="G20" s="1044"/>
      <c r="H20" s="1062"/>
      <c r="I20" s="1044"/>
      <c r="J20" s="1045"/>
      <c r="K20" s="976"/>
    </row>
    <row r="21" spans="1:13" s="965" customFormat="1">
      <c r="A21" s="1030" t="str">
        <f>'Sch-1'!A21</f>
        <v>I</v>
      </c>
      <c r="B21" s="1037" t="str">
        <f>'Sch-1'!B21</f>
        <v xml:space="preserve">765/400kV Jabalpur PS Extension        </v>
      </c>
      <c r="C21" s="1038"/>
      <c r="D21" s="1038"/>
      <c r="E21" s="1038"/>
      <c r="F21" s="1039"/>
      <c r="G21" s="892"/>
      <c r="H21" s="1063"/>
      <c r="I21" s="892"/>
      <c r="J21" s="980"/>
      <c r="M21" s="285"/>
    </row>
    <row r="22" spans="1:13" s="965" customFormat="1" ht="28.8">
      <c r="A22" s="1050">
        <v>1</v>
      </c>
      <c r="B22" s="1050">
        <f>+'Sch-1'!B22</f>
        <v>7000023516</v>
      </c>
      <c r="C22" s="1050">
        <f>+'Sch-1'!C22</f>
        <v>10</v>
      </c>
      <c r="D22" s="1050" t="str">
        <f>+'Sch-1'!D22</f>
        <v xml:space="preserve">420kV, 63kA AIS Equipments              </v>
      </c>
      <c r="E22" s="1050">
        <f>+'Sch-1'!E22</f>
        <v>1000004501</v>
      </c>
      <c r="F22" s="1048" t="str">
        <f>+'Sch-1'!J22</f>
        <v>420kV, 3150A, 63kA Circuit Breaker (3-Phase) without closing resistorand with Support Structure</v>
      </c>
      <c r="G22" s="1050" t="str">
        <f>+'Sch-1'!K22</f>
        <v xml:space="preserve">EA </v>
      </c>
      <c r="H22" s="1050">
        <f>+'Sch-1'!L22</f>
        <v>2</v>
      </c>
      <c r="I22" s="1180"/>
      <c r="J22" s="1179" t="str">
        <f>IF(I22=0, "Included",IF(ISERROR(H22*I22), I22, H22*I22))</f>
        <v>Included</v>
      </c>
      <c r="K22" s="981"/>
      <c r="M22" s="285"/>
    </row>
    <row r="23" spans="1:13" s="965" customFormat="1" ht="28.8">
      <c r="A23" s="1050">
        <v>2</v>
      </c>
      <c r="B23" s="1050">
        <f>+'Sch-1'!B23</f>
        <v>7000023516</v>
      </c>
      <c r="C23" s="1050">
        <f>+'Sch-1'!C23</f>
        <v>20</v>
      </c>
      <c r="D23" s="1050" t="str">
        <f>+'Sch-1'!D23</f>
        <v xml:space="preserve">420kV, 63kA AIS Equipments              </v>
      </c>
      <c r="E23" s="1050">
        <f>+'Sch-1'!E23</f>
        <v>1000004463</v>
      </c>
      <c r="F23" s="1048" t="str">
        <f>+'Sch-1'!J23</f>
        <v>420 kV, 3000A, 63KA, 1-Phase CurrentTransformer with 120% extended currentrating</v>
      </c>
      <c r="G23" s="1050" t="str">
        <f>+'Sch-1'!K23</f>
        <v xml:space="preserve">EA </v>
      </c>
      <c r="H23" s="1050">
        <f>+'Sch-1'!L23</f>
        <v>6</v>
      </c>
      <c r="I23" s="1180"/>
      <c r="J23" s="1179" t="str">
        <f t="shared" ref="J23:J38" si="0">IF(I23=0, "Included",IF(ISERROR(H23*I23), I23, H23*I23))</f>
        <v>Included</v>
      </c>
      <c r="K23" s="981"/>
      <c r="M23" s="285"/>
    </row>
    <row r="24" spans="1:13" s="965" customFormat="1">
      <c r="A24" s="1050">
        <f>A23+1</f>
        <v>3</v>
      </c>
      <c r="B24" s="1050">
        <f>+'Sch-1'!B24</f>
        <v>7000023516</v>
      </c>
      <c r="C24" s="1050">
        <f>+'Sch-1'!C24</f>
        <v>30</v>
      </c>
      <c r="D24" s="1050" t="str">
        <f>+'Sch-1'!D24</f>
        <v xml:space="preserve">420kV, 63kA AIS Equipments              </v>
      </c>
      <c r="E24" s="1050">
        <f>+'Sch-1'!E24</f>
        <v>1000004498</v>
      </c>
      <c r="F24" s="1048" t="str">
        <f>+'Sch-1'!J24</f>
        <v>420kV, 3150A, 63KA,  Isolator (3-phase)(Double Break) with one E/S</v>
      </c>
      <c r="G24" s="1050" t="str">
        <f>+'Sch-1'!K24</f>
        <v xml:space="preserve">EA </v>
      </c>
      <c r="H24" s="1050">
        <f>+'Sch-1'!L24</f>
        <v>4</v>
      </c>
      <c r="I24" s="1180"/>
      <c r="J24" s="1179" t="str">
        <f t="shared" si="0"/>
        <v>Included</v>
      </c>
      <c r="K24" s="981"/>
      <c r="M24" s="285"/>
    </row>
    <row r="25" spans="1:13" s="965" customFormat="1">
      <c r="A25" s="1050">
        <f>A24+1</f>
        <v>4</v>
      </c>
      <c r="B25" s="1050">
        <f>+'Sch-1'!B25</f>
        <v>7000023516</v>
      </c>
      <c r="C25" s="1050">
        <f>+'Sch-1'!C25</f>
        <v>40</v>
      </c>
      <c r="D25" s="1050" t="str">
        <f>+'Sch-1'!D25</f>
        <v xml:space="preserve">420kV, 63kA AIS Equipments              </v>
      </c>
      <c r="E25" s="1050">
        <f>+'Sch-1'!E25</f>
        <v>1000020419</v>
      </c>
      <c r="F25" s="1048" t="str">
        <f>+'Sch-1'!J25</f>
        <v>336kV Surge Arrester (1-phase)</v>
      </c>
      <c r="G25" s="1050" t="str">
        <f>+'Sch-1'!K25</f>
        <v xml:space="preserve">EA </v>
      </c>
      <c r="H25" s="1050">
        <f>+'Sch-1'!L25</f>
        <v>6</v>
      </c>
      <c r="I25" s="1180"/>
      <c r="J25" s="1179" t="str">
        <f t="shared" ref="J25:J27" si="1">IF(I25=0, "Included",IF(ISERROR(H25*I25), I25, H25*I25))</f>
        <v>Included</v>
      </c>
      <c r="K25" s="981"/>
      <c r="M25" s="285"/>
    </row>
    <row r="26" spans="1:13" s="965" customFormat="1">
      <c r="A26" s="1050">
        <f t="shared" ref="A26:A34" si="2">A25+1</f>
        <v>5</v>
      </c>
      <c r="B26" s="1050">
        <f>+'Sch-1'!B26</f>
        <v>7000023516</v>
      </c>
      <c r="C26" s="1050">
        <f>+'Sch-1'!C26</f>
        <v>50</v>
      </c>
      <c r="D26" s="1050" t="str">
        <f>+'Sch-1'!D26</f>
        <v xml:space="preserve">420kV, 63kA AIS Equipments              </v>
      </c>
      <c r="E26" s="1050">
        <f>+'Sch-1'!E26</f>
        <v>1000004401</v>
      </c>
      <c r="F26" s="1048" t="str">
        <f>+'Sch-1'!J26</f>
        <v>420 kV, 1 phase Bus Post Insulator (except for Line Traps)</v>
      </c>
      <c r="G26" s="1050" t="str">
        <f>+'Sch-1'!K26</f>
        <v xml:space="preserve">EA </v>
      </c>
      <c r="H26" s="1050">
        <f>+'Sch-1'!L26</f>
        <v>6</v>
      </c>
      <c r="I26" s="1180"/>
      <c r="J26" s="1179" t="str">
        <f t="shared" si="1"/>
        <v>Included</v>
      </c>
      <c r="K26" s="981"/>
      <c r="M26" s="285"/>
    </row>
    <row r="27" spans="1:13" s="965" customFormat="1">
      <c r="A27" s="1050">
        <f t="shared" si="2"/>
        <v>6</v>
      </c>
      <c r="B27" s="1050">
        <f>+'Sch-1'!B27</f>
        <v>7000023516</v>
      </c>
      <c r="C27" s="1050">
        <f>+'Sch-1'!C27</f>
        <v>90</v>
      </c>
      <c r="D27" s="1050" t="str">
        <f>+'Sch-1'!D27</f>
        <v xml:space="preserve">245kV, 50kA AIS Equipments              </v>
      </c>
      <c r="E27" s="1050">
        <f>+'Sch-1'!E27</f>
        <v>1000001683</v>
      </c>
      <c r="F27" s="1048" t="str">
        <f>+'Sch-1'!J27</f>
        <v>245kV, 1600A, 50KA Circuit Breaker(3-Phase) with support structure</v>
      </c>
      <c r="G27" s="1050" t="str">
        <f>+'Sch-1'!K27</f>
        <v xml:space="preserve">EA </v>
      </c>
      <c r="H27" s="1050">
        <f>+'Sch-1'!L27</f>
        <v>7</v>
      </c>
      <c r="I27" s="1180"/>
      <c r="J27" s="1179" t="str">
        <f t="shared" si="1"/>
        <v>Included</v>
      </c>
      <c r="K27" s="981"/>
      <c r="M27" s="285"/>
    </row>
    <row r="28" spans="1:13" s="965" customFormat="1">
      <c r="A28" s="1050">
        <f t="shared" si="2"/>
        <v>7</v>
      </c>
      <c r="B28" s="1050">
        <f>+'Sch-1'!B28</f>
        <v>7000023516</v>
      </c>
      <c r="C28" s="1050">
        <f>+'Sch-1'!C28</f>
        <v>70</v>
      </c>
      <c r="D28" s="1050" t="str">
        <f>+'Sch-1'!D28</f>
        <v xml:space="preserve">245kV, 50kA AIS Equipments              </v>
      </c>
      <c r="E28" s="1050">
        <f>+'Sch-1'!E28</f>
        <v>1000028442</v>
      </c>
      <c r="F28" s="1048" t="str">
        <f>+'Sch-1'!J28</f>
        <v>245kV, 3150A, 50KA Circuit Breaker(3-Phase) with support structure</v>
      </c>
      <c r="G28" s="1050" t="str">
        <f>+'Sch-1'!K28</f>
        <v xml:space="preserve">EA </v>
      </c>
      <c r="H28" s="1050">
        <f>+'Sch-1'!L28</f>
        <v>1</v>
      </c>
      <c r="I28" s="1180"/>
      <c r="J28" s="1179" t="str">
        <f>IF(I28=0, "Included",IF(ISERROR(H28*I28), I28, H28*I28))</f>
        <v>Included</v>
      </c>
      <c r="K28" s="981"/>
      <c r="M28" s="285"/>
    </row>
    <row r="29" spans="1:13" s="965" customFormat="1" ht="28.8">
      <c r="A29" s="1050">
        <f t="shared" si="2"/>
        <v>8</v>
      </c>
      <c r="B29" s="1050">
        <f>+'Sch-1'!B29</f>
        <v>7000023516</v>
      </c>
      <c r="C29" s="1050">
        <f>+'Sch-1'!C29</f>
        <v>100</v>
      </c>
      <c r="D29" s="1050" t="str">
        <f>+'Sch-1'!D29</f>
        <v xml:space="preserve">245kV, 50kA AIS Equipments              </v>
      </c>
      <c r="E29" s="1050">
        <f>+'Sch-1'!E29</f>
        <v>1000001684</v>
      </c>
      <c r="F29" s="1048" t="str">
        <f>+'Sch-1'!J29</f>
        <v>245 kV, 1600A, 50KA, 1-Phase CurrentTransformer with 120% extended currentrating</v>
      </c>
      <c r="G29" s="1050" t="str">
        <f>+'Sch-1'!K29</f>
        <v xml:space="preserve">EA </v>
      </c>
      <c r="H29" s="1050">
        <f>+'Sch-1'!L29</f>
        <v>21</v>
      </c>
      <c r="I29" s="1180"/>
      <c r="J29" s="1179" t="str">
        <f t="shared" ref="J29:J35" si="3">IF(I29=0, "Included",IF(ISERROR(H29*I29), I29, H29*I29))</f>
        <v>Included</v>
      </c>
      <c r="K29" s="981"/>
      <c r="M29" s="285"/>
    </row>
    <row r="30" spans="1:13" s="965" customFormat="1" ht="28.8">
      <c r="A30" s="1050">
        <f t="shared" si="2"/>
        <v>9</v>
      </c>
      <c r="B30" s="1050">
        <f>+'Sch-1'!B30</f>
        <v>7000023516</v>
      </c>
      <c r="C30" s="1050">
        <f>+'Sch-1'!C30</f>
        <v>80</v>
      </c>
      <c r="D30" s="1050" t="str">
        <f>+'Sch-1'!D30</f>
        <v xml:space="preserve">245kV, 50kA AIS Equipments              </v>
      </c>
      <c r="E30" s="1050">
        <f>+'Sch-1'!E30</f>
        <v>1000001739</v>
      </c>
      <c r="F30" s="1048" t="str">
        <f>+'Sch-1'!J30</f>
        <v>245 kV, 2500A, 50KA, 1-Phase CurrentTransformer with 120% extended currentrating</v>
      </c>
      <c r="G30" s="1050" t="str">
        <f>+'Sch-1'!K30</f>
        <v xml:space="preserve">EA </v>
      </c>
      <c r="H30" s="1050">
        <f>+'Sch-1'!L30</f>
        <v>3</v>
      </c>
      <c r="I30" s="1180"/>
      <c r="J30" s="1179" t="str">
        <f t="shared" si="3"/>
        <v>Included</v>
      </c>
      <c r="K30" s="981"/>
      <c r="M30" s="285"/>
    </row>
    <row r="31" spans="1:13" s="965" customFormat="1" ht="28.8">
      <c r="A31" s="1050">
        <f t="shared" si="2"/>
        <v>10</v>
      </c>
      <c r="B31" s="1050">
        <f>+'Sch-1'!B31</f>
        <v>7000023516</v>
      </c>
      <c r="C31" s="1050">
        <f>+'Sch-1'!C31</f>
        <v>140</v>
      </c>
      <c r="D31" s="1050" t="str">
        <f>+'Sch-1'!D31</f>
        <v xml:space="preserve">245kV, 50kA AIS Equipments              </v>
      </c>
      <c r="E31" s="1050">
        <f>+'Sch-1'!E31</f>
        <v>1000032777</v>
      </c>
      <c r="F31" s="1048" t="str">
        <f>+'Sch-1'!J31</f>
        <v>245KV, 1600 A, 50KA, 3-PHASE, DOUBLE BREAK TANDEM ISOLATOR WITHOUT E/S</v>
      </c>
      <c r="G31" s="1050" t="str">
        <f>+'Sch-1'!K31</f>
        <v xml:space="preserve">EA </v>
      </c>
      <c r="H31" s="1050">
        <f>+'Sch-1'!L31</f>
        <v>13</v>
      </c>
      <c r="I31" s="1180"/>
      <c r="J31" s="1179" t="str">
        <f t="shared" si="3"/>
        <v>Included</v>
      </c>
      <c r="K31" s="981"/>
      <c r="M31" s="285"/>
    </row>
    <row r="32" spans="1:13" s="965" customFormat="1">
      <c r="A32" s="1050">
        <f t="shared" si="2"/>
        <v>11</v>
      </c>
      <c r="B32" s="1050">
        <f>+'Sch-1'!B32</f>
        <v>7000023516</v>
      </c>
      <c r="C32" s="1050">
        <f>+'Sch-1'!C32</f>
        <v>120</v>
      </c>
      <c r="D32" s="1050" t="str">
        <f>+'Sch-1'!D32</f>
        <v xml:space="preserve">245kV, 50kA AIS Equipments              </v>
      </c>
      <c r="E32" s="1050">
        <f>+'Sch-1'!E32</f>
        <v>1000001688</v>
      </c>
      <c r="F32" s="1048" t="str">
        <f>+'Sch-1'!J32</f>
        <v>245kV, 1600A, 50 KA, 3-phase DoubleBreak Isolator with one E/S</v>
      </c>
      <c r="G32" s="1050" t="str">
        <f>+'Sch-1'!K32</f>
        <v xml:space="preserve">EA </v>
      </c>
      <c r="H32" s="1050">
        <f>+'Sch-1'!L32</f>
        <v>7</v>
      </c>
      <c r="I32" s="1180"/>
      <c r="J32" s="1179" t="str">
        <f t="shared" si="3"/>
        <v>Included</v>
      </c>
      <c r="K32" s="981"/>
      <c r="M32" s="285"/>
    </row>
    <row r="33" spans="1:13" s="965" customFormat="1">
      <c r="A33" s="1050">
        <f t="shared" si="2"/>
        <v>12</v>
      </c>
      <c r="B33" s="1050">
        <f>+'Sch-1'!B33</f>
        <v>7000023516</v>
      </c>
      <c r="C33" s="1050">
        <f>+'Sch-1'!C33</f>
        <v>130</v>
      </c>
      <c r="D33" s="1050" t="str">
        <f>+'Sch-1'!D33</f>
        <v xml:space="preserve">245kV, 50kA AIS Equipments              </v>
      </c>
      <c r="E33" s="1050">
        <f>+'Sch-1'!E33</f>
        <v>1000001689</v>
      </c>
      <c r="F33" s="1048" t="str">
        <f>+'Sch-1'!J33</f>
        <v>245kV, 1600A, 50 KA, 3-phase DoubleBreak Isolator with two E/S</v>
      </c>
      <c r="G33" s="1050" t="str">
        <f>+'Sch-1'!K33</f>
        <v xml:space="preserve">EA </v>
      </c>
      <c r="H33" s="1050">
        <f>+'Sch-1'!L33</f>
        <v>7</v>
      </c>
      <c r="I33" s="1180"/>
      <c r="J33" s="1179" t="str">
        <f t="shared" si="3"/>
        <v>Included</v>
      </c>
      <c r="K33" s="981"/>
      <c r="M33" s="285"/>
    </row>
    <row r="34" spans="1:13" s="965" customFormat="1">
      <c r="A34" s="1050">
        <f t="shared" si="2"/>
        <v>13</v>
      </c>
      <c r="B34" s="1050">
        <f>+'Sch-1'!B34</f>
        <v>7000023516</v>
      </c>
      <c r="C34" s="1050">
        <f>+'Sch-1'!C34</f>
        <v>60</v>
      </c>
      <c r="D34" s="1050" t="str">
        <f>+'Sch-1'!D34</f>
        <v xml:space="preserve">245kV, 50kA AIS Equipments              </v>
      </c>
      <c r="E34" s="1050">
        <f>+'Sch-1'!E34</f>
        <v>1000051760</v>
      </c>
      <c r="F34" s="1048" t="str">
        <f>+'Sch-1'!J34</f>
        <v>245KV, 3150A, 50KA, 3-PHASE DOUBLE BREAK ISOLATOR WITH TWO E/S</v>
      </c>
      <c r="G34" s="1050" t="str">
        <f>+'Sch-1'!K34</f>
        <v xml:space="preserve">EA </v>
      </c>
      <c r="H34" s="1050">
        <f>+'Sch-1'!L34</f>
        <v>2</v>
      </c>
      <c r="I34" s="1180"/>
      <c r="J34" s="1179" t="str">
        <f t="shared" si="3"/>
        <v>Included</v>
      </c>
      <c r="K34" s="981"/>
      <c r="M34" s="285"/>
    </row>
    <row r="35" spans="1:13" s="965" customFormat="1">
      <c r="A35" s="1050">
        <f>A34+1</f>
        <v>14</v>
      </c>
      <c r="B35" s="1050">
        <f>+'Sch-1'!B35</f>
        <v>7000023516</v>
      </c>
      <c r="C35" s="1050">
        <f>+'Sch-1'!C35</f>
        <v>150</v>
      </c>
      <c r="D35" s="1050" t="str">
        <f>+'Sch-1'!D35</f>
        <v xml:space="preserve">245kV, 50kA AIS Equipments              </v>
      </c>
      <c r="E35" s="1050">
        <f>+'Sch-1'!E35</f>
        <v>1000020417</v>
      </c>
      <c r="F35" s="1048" t="str">
        <f>+'Sch-1'!J35</f>
        <v>216kV Surge Arrester (1-phase)</v>
      </c>
      <c r="G35" s="1050" t="str">
        <f>+'Sch-1'!K35</f>
        <v xml:space="preserve">EA </v>
      </c>
      <c r="H35" s="1050">
        <f>+'Sch-1'!L35</f>
        <v>18</v>
      </c>
      <c r="I35" s="1180"/>
      <c r="J35" s="1179" t="str">
        <f t="shared" si="3"/>
        <v>Included</v>
      </c>
      <c r="K35" s="981"/>
      <c r="M35" s="285"/>
    </row>
    <row r="36" spans="1:13" s="965" customFormat="1">
      <c r="A36" s="1050">
        <f>A35+1</f>
        <v>15</v>
      </c>
      <c r="B36" s="1050">
        <f>+'Sch-1'!B36</f>
        <v>7000023516</v>
      </c>
      <c r="C36" s="1050">
        <f>+'Sch-1'!C36</f>
        <v>110</v>
      </c>
      <c r="D36" s="1050" t="str">
        <f>+'Sch-1'!D36</f>
        <v xml:space="preserve">245kV, 50kA AIS Equipments              </v>
      </c>
      <c r="E36" s="1050">
        <f>+'Sch-1'!E36</f>
        <v>1000001772</v>
      </c>
      <c r="F36" s="1048" t="str">
        <f>+'Sch-1'!J36</f>
        <v>245 kV, 4400pf  Capacitive Voltage Transformer (1- Phase)</v>
      </c>
      <c r="G36" s="1050" t="str">
        <f>+'Sch-1'!K36</f>
        <v xml:space="preserve">EA </v>
      </c>
      <c r="H36" s="1050">
        <f>+'Sch-1'!L36</f>
        <v>18</v>
      </c>
      <c r="I36" s="1180"/>
      <c r="J36" s="1179" t="str">
        <f t="shared" si="0"/>
        <v>Included</v>
      </c>
      <c r="K36" s="981"/>
      <c r="M36" s="285"/>
    </row>
    <row r="37" spans="1:13" s="965" customFormat="1">
      <c r="A37" s="1050">
        <f t="shared" ref="A37:A45" si="4">A36+1</f>
        <v>16</v>
      </c>
      <c r="B37" s="1050">
        <f>+'Sch-1'!B37</f>
        <v>7000023516</v>
      </c>
      <c r="C37" s="1050">
        <f>+'Sch-1'!C37</f>
        <v>160</v>
      </c>
      <c r="D37" s="1050" t="str">
        <f>+'Sch-1'!D37</f>
        <v xml:space="preserve">245kV, 50kA AIS Equipments              </v>
      </c>
      <c r="E37" s="1050">
        <f>+'Sch-1'!E37</f>
        <v>1000001695</v>
      </c>
      <c r="F37" s="1048" t="str">
        <f>+'Sch-1'!J37</f>
        <v>245 kV, 1 phase Bus Post Insulator (except for Line Traps)</v>
      </c>
      <c r="G37" s="1050" t="str">
        <f>+'Sch-1'!K37</f>
        <v xml:space="preserve">EA </v>
      </c>
      <c r="H37" s="1050">
        <f>+'Sch-1'!L37</f>
        <v>92</v>
      </c>
      <c r="I37" s="1180"/>
      <c r="J37" s="1179" t="str">
        <f t="shared" si="0"/>
        <v>Included</v>
      </c>
      <c r="K37" s="981"/>
      <c r="M37" s="285"/>
    </row>
    <row r="38" spans="1:13" s="965" customFormat="1">
      <c r="A38" s="1050">
        <f t="shared" si="4"/>
        <v>17</v>
      </c>
      <c r="B38" s="1050">
        <f>+'Sch-1'!B38</f>
        <v>7000023516</v>
      </c>
      <c r="C38" s="1050">
        <f>+'Sch-1'!C38</f>
        <v>170</v>
      </c>
      <c r="D38" s="1050" t="str">
        <f>+'Sch-1'!D38</f>
        <v xml:space="preserve">245kV, 50kA AIS Equipments              </v>
      </c>
      <c r="E38" s="1050">
        <f>+'Sch-1'!E38</f>
        <v>1000001694</v>
      </c>
      <c r="F38" s="1048" t="str">
        <f>+'Sch-1'!J38</f>
        <v>245 kV ,1 phase Bus Post Insulators for Line Traps</v>
      </c>
      <c r="G38" s="1050" t="str">
        <f>+'Sch-1'!K38</f>
        <v xml:space="preserve">EA </v>
      </c>
      <c r="H38" s="1050">
        <f>+'Sch-1'!L38</f>
        <v>12</v>
      </c>
      <c r="I38" s="1180"/>
      <c r="J38" s="1179" t="str">
        <f t="shared" si="0"/>
        <v>Included</v>
      </c>
      <c r="K38" s="981"/>
      <c r="M38" s="285"/>
    </row>
    <row r="39" spans="1:13" s="965" customFormat="1" ht="28.8">
      <c r="A39" s="1050">
        <f t="shared" si="4"/>
        <v>18</v>
      </c>
      <c r="B39" s="1050">
        <f>+'Sch-1'!B39</f>
        <v>7000023516</v>
      </c>
      <c r="C39" s="1050">
        <f>+'Sch-1'!C39</f>
        <v>180</v>
      </c>
      <c r="D39" s="1050" t="str">
        <f>+'Sch-1'!D39</f>
        <v>Erection Hardware for 420  kV I Type S/Y</v>
      </c>
      <c r="E39" s="1050">
        <f>+'Sch-1'!E39</f>
        <v>1000011320</v>
      </c>
      <c r="F39" s="1048" t="str">
        <f>+'Sch-1'!J39</f>
        <v>Erection Hardware for 400kV I type layout-Any feeder Extn. on existinghalf dia. as per technical specification</v>
      </c>
      <c r="G39" s="1050" t="str">
        <f>+'Sch-1'!K39</f>
        <v>SET</v>
      </c>
      <c r="H39" s="1050">
        <f>+'Sch-1'!L39</f>
        <v>2</v>
      </c>
      <c r="I39" s="1180"/>
      <c r="J39" s="1179" t="str">
        <f>IF(I39=0, "Included",IF(ISERROR(H39*I39), I39, H39*I39))</f>
        <v>Included</v>
      </c>
      <c r="K39" s="981"/>
      <c r="M39" s="285"/>
    </row>
    <row r="40" spans="1:13" s="965" customFormat="1" ht="28.8">
      <c r="A40" s="1050">
        <f t="shared" si="4"/>
        <v>19</v>
      </c>
      <c r="B40" s="1050">
        <f>+'Sch-1'!B40</f>
        <v>7000023516</v>
      </c>
      <c r="C40" s="1050">
        <f>+'Sch-1'!C40</f>
        <v>190</v>
      </c>
      <c r="D40" s="1050" t="str">
        <f>+'Sch-1'!D40</f>
        <v xml:space="preserve">420kV Insulator and Hardware            </v>
      </c>
      <c r="E40" s="1050">
        <f>+'Sch-1'!E40</f>
        <v>1000055986</v>
      </c>
      <c r="F40" s="1048" t="str">
        <f>+'Sch-1'!J40</f>
        <v>400KV SUSPENSION INSULATOR STRING  AND ASSOCIATED HARDWARE FITTINGSWITH DROP CLAMP SUITABLE FOR QUAD CONDUCTOR</v>
      </c>
      <c r="G40" s="1050" t="str">
        <f>+'Sch-1'!K40</f>
        <v xml:space="preserve">EA </v>
      </c>
      <c r="H40" s="1050">
        <f>+'Sch-1'!L40</f>
        <v>6</v>
      </c>
      <c r="I40" s="1180"/>
      <c r="J40" s="1179" t="str">
        <f t="shared" ref="J40:J104" si="5">IF(I40=0, "Included",IF(ISERROR(H40*I40), I40, H40*I40))</f>
        <v>Included</v>
      </c>
      <c r="K40" s="981"/>
      <c r="M40" s="285"/>
    </row>
    <row r="41" spans="1:13" s="965" customFormat="1" ht="28.8">
      <c r="A41" s="1050">
        <f t="shared" si="4"/>
        <v>20</v>
      </c>
      <c r="B41" s="1050">
        <f>+'Sch-1'!B41</f>
        <v>7000023516</v>
      </c>
      <c r="C41" s="1050">
        <f>+'Sch-1'!C41</f>
        <v>200</v>
      </c>
      <c r="D41" s="1050" t="str">
        <f>+'Sch-1'!D41</f>
        <v>Erection Hardware for 220  kV DMT Type S</v>
      </c>
      <c r="E41" s="1050">
        <f>+'Sch-1'!E41</f>
        <v>1000011257</v>
      </c>
      <c r="F41" s="1048" t="str">
        <f>+'Sch-1'!J41</f>
        <v>Erection Hardware for 220kV layout (Double Main and TransferScheme)-Bus work (three Bay) as per technical specification</v>
      </c>
      <c r="G41" s="1050" t="str">
        <f>+'Sch-1'!K41</f>
        <v>SET</v>
      </c>
      <c r="H41" s="1050">
        <f>+'Sch-1'!L41</f>
        <v>3</v>
      </c>
      <c r="I41" s="1180"/>
      <c r="J41" s="1179" t="str">
        <f t="shared" si="5"/>
        <v>Included</v>
      </c>
      <c r="K41" s="981"/>
      <c r="M41" s="285"/>
    </row>
    <row r="42" spans="1:13" s="965" customFormat="1" ht="28.8">
      <c r="A42" s="1050">
        <f t="shared" si="4"/>
        <v>21</v>
      </c>
      <c r="B42" s="1050">
        <f>+'Sch-1'!B42</f>
        <v>7000023516</v>
      </c>
      <c r="C42" s="1050">
        <f>+'Sch-1'!C42</f>
        <v>210</v>
      </c>
      <c r="D42" s="1050" t="str">
        <f>+'Sch-1'!D42</f>
        <v>Erection Hardware for 220  kV DMT Type S</v>
      </c>
      <c r="E42" s="1050">
        <f>+'Sch-1'!E42</f>
        <v>1000011261</v>
      </c>
      <c r="F42" s="1048" t="str">
        <f>+'Sch-1'!J42</f>
        <v>Erection Hardware for 220kV layout (Double Main and TransferScheme)-Line Bay as per technical specification</v>
      </c>
      <c r="G42" s="1050" t="str">
        <f>+'Sch-1'!K42</f>
        <v>SET</v>
      </c>
      <c r="H42" s="1050">
        <f>+'Sch-1'!L42</f>
        <v>4</v>
      </c>
      <c r="I42" s="1180"/>
      <c r="J42" s="1179" t="str">
        <f t="shared" si="5"/>
        <v>Included</v>
      </c>
      <c r="K42" s="981"/>
      <c r="M42" s="285"/>
    </row>
    <row r="43" spans="1:13" s="965" customFormat="1" ht="28.8">
      <c r="A43" s="1050">
        <f t="shared" si="4"/>
        <v>22</v>
      </c>
      <c r="B43" s="1050">
        <f>+'Sch-1'!B43</f>
        <v>7000023516</v>
      </c>
      <c r="C43" s="1050">
        <f>+'Sch-1'!C43</f>
        <v>220</v>
      </c>
      <c r="D43" s="1050" t="str">
        <f>+'Sch-1'!D43</f>
        <v>Erection Hardware for 220  kV DMT Type S</v>
      </c>
      <c r="E43" s="1050">
        <f>+'Sch-1'!E43</f>
        <v>1000011264</v>
      </c>
      <c r="F43" s="1048" t="str">
        <f>+'Sch-1'!J43</f>
        <v>Erection Hardware for 220kV layout (Double Main and TransferScheme)-Transformer Bay as per technical specification</v>
      </c>
      <c r="G43" s="1050" t="str">
        <f>+'Sch-1'!K43</f>
        <v>SET</v>
      </c>
      <c r="H43" s="1050">
        <f>+'Sch-1'!L43</f>
        <v>2</v>
      </c>
      <c r="I43" s="1180"/>
      <c r="J43" s="1179" t="str">
        <f t="shared" si="5"/>
        <v>Included</v>
      </c>
      <c r="K43" s="981"/>
      <c r="M43" s="285"/>
    </row>
    <row r="44" spans="1:13" s="965" customFormat="1" ht="28.8">
      <c r="A44" s="1050">
        <f t="shared" si="4"/>
        <v>23</v>
      </c>
      <c r="B44" s="1050">
        <f>+'Sch-1'!B44</f>
        <v>7000023516</v>
      </c>
      <c r="C44" s="1050">
        <f>+'Sch-1'!C44</f>
        <v>230</v>
      </c>
      <c r="D44" s="1050" t="str">
        <f>+'Sch-1'!D44</f>
        <v>Erection Hardware for 220  kV DMT Type S</v>
      </c>
      <c r="E44" s="1050">
        <f>+'Sch-1'!E44</f>
        <v>1000011253</v>
      </c>
      <c r="F44" s="1048" t="str">
        <f>+'Sch-1'!J44</f>
        <v>Erection Hardware for 220kV layout (Double Main and TransferScheme)-Bus Coupler Bay as per technical specification</v>
      </c>
      <c r="G44" s="1050" t="str">
        <f>+'Sch-1'!K44</f>
        <v>SET</v>
      </c>
      <c r="H44" s="1050">
        <f>+'Sch-1'!L44</f>
        <v>1</v>
      </c>
      <c r="I44" s="1180"/>
      <c r="J44" s="1179" t="str">
        <f t="shared" ref="J44:J49" si="6">IF(I44=0, "Included",IF(ISERROR(H44*I44), I44, H44*I44))</f>
        <v>Included</v>
      </c>
      <c r="K44" s="981"/>
      <c r="M44" s="285"/>
    </row>
    <row r="45" spans="1:13" s="965" customFormat="1" ht="28.8">
      <c r="A45" s="1050">
        <f t="shared" si="4"/>
        <v>24</v>
      </c>
      <c r="B45" s="1050">
        <f>+'Sch-1'!B45</f>
        <v>7000023516</v>
      </c>
      <c r="C45" s="1050">
        <f>+'Sch-1'!C45</f>
        <v>240</v>
      </c>
      <c r="D45" s="1050" t="str">
        <f>+'Sch-1'!D45</f>
        <v>Erection Hardware for 220  kV DMT Type S</v>
      </c>
      <c r="E45" s="1050">
        <f>+'Sch-1'!E45</f>
        <v>1000011265</v>
      </c>
      <c r="F45" s="1048" t="str">
        <f>+'Sch-1'!J45</f>
        <v>Erection Hardware for 220kV layout (Double Main and TransferScheme)-Transfer Bus Coupler Bay as per technical specification</v>
      </c>
      <c r="G45" s="1050" t="str">
        <f>+'Sch-1'!K45</f>
        <v>SET</v>
      </c>
      <c r="H45" s="1050">
        <f>+'Sch-1'!L45</f>
        <v>1</v>
      </c>
      <c r="I45" s="1180"/>
      <c r="J45" s="1179" t="str">
        <f t="shared" si="6"/>
        <v>Included</v>
      </c>
      <c r="K45" s="981"/>
      <c r="M45" s="285"/>
    </row>
    <row r="46" spans="1:13" s="965" customFormat="1" ht="28.8">
      <c r="A46" s="1050">
        <f>A45+1</f>
        <v>25</v>
      </c>
      <c r="B46" s="1050">
        <f>+'Sch-1'!B46</f>
        <v>7000023516</v>
      </c>
      <c r="C46" s="1050">
        <f>+'Sch-1'!C46</f>
        <v>250</v>
      </c>
      <c r="D46" s="1050" t="str">
        <f>+'Sch-1'!D46</f>
        <v xml:space="preserve">220kV Insulator and Hardware            </v>
      </c>
      <c r="E46" s="1050">
        <f>+'Sch-1'!E46</f>
        <v>1000055981</v>
      </c>
      <c r="F46" s="1048" t="str">
        <f>+'Sch-1'!J46</f>
        <v>220KV  TENSION INSULATOR STRING  AND ASSOCIATED HARDWARE FITTINGS WITHTURN BUCKLE SUITABLE FOR QUAD CONDUCTOR</v>
      </c>
      <c r="G46" s="1050" t="str">
        <f>+'Sch-1'!K46</f>
        <v xml:space="preserve">EA </v>
      </c>
      <c r="H46" s="1050">
        <f>+'Sch-1'!L46</f>
        <v>21</v>
      </c>
      <c r="I46" s="1180"/>
      <c r="J46" s="1179" t="str">
        <f t="shared" si="6"/>
        <v>Included</v>
      </c>
      <c r="K46" s="981"/>
      <c r="M46" s="285"/>
    </row>
    <row r="47" spans="1:13" s="965" customFormat="1" ht="28.8">
      <c r="A47" s="1050">
        <f t="shared" ref="A47:A56" si="7">A46+1</f>
        <v>26</v>
      </c>
      <c r="B47" s="1050">
        <f>+'Sch-1'!B47</f>
        <v>7000023516</v>
      </c>
      <c r="C47" s="1050">
        <f>+'Sch-1'!C47</f>
        <v>260</v>
      </c>
      <c r="D47" s="1050" t="str">
        <f>+'Sch-1'!D47</f>
        <v xml:space="preserve">220kV Insulator and Hardware            </v>
      </c>
      <c r="E47" s="1050">
        <f>+'Sch-1'!E47</f>
        <v>1000055978</v>
      </c>
      <c r="F47" s="1048" t="str">
        <f>+'Sch-1'!J47</f>
        <v>220KV  TENSION INSULATOR STRING  AND ASSOCIATED HARDWARE FITTINGSWITHOUT TURN BUCKLE SUITABLE FOR QUAD CONDUCTOR</v>
      </c>
      <c r="G47" s="1050" t="str">
        <f>+'Sch-1'!K47</f>
        <v xml:space="preserve">EA </v>
      </c>
      <c r="H47" s="1050">
        <f>+'Sch-1'!L47</f>
        <v>21</v>
      </c>
      <c r="I47" s="1180"/>
      <c r="J47" s="1179" t="str">
        <f t="shared" si="6"/>
        <v>Included</v>
      </c>
      <c r="K47" s="981"/>
      <c r="M47" s="285"/>
    </row>
    <row r="48" spans="1:13" s="965" customFormat="1" ht="28.8">
      <c r="A48" s="1050">
        <f t="shared" si="7"/>
        <v>27</v>
      </c>
      <c r="B48" s="1050">
        <f>+'Sch-1'!B48</f>
        <v>7000023516</v>
      </c>
      <c r="C48" s="1050">
        <f>+'Sch-1'!C48</f>
        <v>270</v>
      </c>
      <c r="D48" s="1050" t="str">
        <f>+'Sch-1'!D48</f>
        <v xml:space="preserve">220kV Insulator and Hardware            </v>
      </c>
      <c r="E48" s="1050">
        <f>+'Sch-1'!E48</f>
        <v>1000055973</v>
      </c>
      <c r="F48" s="1048" t="str">
        <f>+'Sch-1'!J48</f>
        <v>220KV SUSPENSION INSULATOR STRING  AND ASSOCIATED HARDWARE FITTINGSWITH DROP CLAMP SUITABLE FOR QUAD CONDUCTOR</v>
      </c>
      <c r="G48" s="1050" t="str">
        <f>+'Sch-1'!K48</f>
        <v xml:space="preserve">EA </v>
      </c>
      <c r="H48" s="1050">
        <f>+'Sch-1'!L48</f>
        <v>3</v>
      </c>
      <c r="I48" s="1180"/>
      <c r="J48" s="1179" t="str">
        <f t="shared" si="6"/>
        <v>Included</v>
      </c>
      <c r="K48" s="981"/>
      <c r="M48" s="285"/>
    </row>
    <row r="49" spans="1:13" s="965" customFormat="1" ht="28.8">
      <c r="A49" s="1050">
        <f t="shared" si="7"/>
        <v>28</v>
      </c>
      <c r="B49" s="1050">
        <f>+'Sch-1'!B49</f>
        <v>7000023516</v>
      </c>
      <c r="C49" s="1050">
        <f>+'Sch-1'!C49</f>
        <v>280</v>
      </c>
      <c r="D49" s="1050" t="str">
        <f>+'Sch-1'!D49</f>
        <v xml:space="preserve">220kV Insulator and Hardware            </v>
      </c>
      <c r="E49" s="1050">
        <f>+'Sch-1'!E49</f>
        <v>1000055983</v>
      </c>
      <c r="F49" s="1048" t="str">
        <f>+'Sch-1'!J49</f>
        <v>220KV  TENSION INSULATOR STRING  AND ASSOCIATED HARDWARE FITTINGS WITHTURN BUCKLE SUITABLE FOR TWIN CONDUCTOR</v>
      </c>
      <c r="G49" s="1050" t="str">
        <f>+'Sch-1'!K49</f>
        <v xml:space="preserve">EA </v>
      </c>
      <c r="H49" s="1050">
        <f>+'Sch-1'!L49</f>
        <v>57</v>
      </c>
      <c r="I49" s="1180"/>
      <c r="J49" s="1179" t="str">
        <f t="shared" si="6"/>
        <v>Included</v>
      </c>
      <c r="K49" s="981"/>
      <c r="M49" s="285"/>
    </row>
    <row r="50" spans="1:13" s="965" customFormat="1" ht="28.8">
      <c r="A50" s="1050">
        <f t="shared" si="7"/>
        <v>29</v>
      </c>
      <c r="B50" s="1050">
        <f>+'Sch-1'!B50</f>
        <v>7000023516</v>
      </c>
      <c r="C50" s="1050">
        <f>+'Sch-1'!C50</f>
        <v>290</v>
      </c>
      <c r="D50" s="1050" t="str">
        <f>+'Sch-1'!D50</f>
        <v xml:space="preserve">220kV Insulator and Hardware            </v>
      </c>
      <c r="E50" s="1050">
        <f>+'Sch-1'!E50</f>
        <v>1000055980</v>
      </c>
      <c r="F50" s="1048" t="str">
        <f>+'Sch-1'!J50</f>
        <v>220KV  TENSION INSULATOR STRING  AND ASSOCIATED HARDWARE FITTINGSWITHOUT TURN BUCKLE SUITABLE FOR TWIN CONDUCTOR</v>
      </c>
      <c r="G50" s="1050" t="str">
        <f>+'Sch-1'!K50</f>
        <v xml:space="preserve">EA </v>
      </c>
      <c r="H50" s="1050">
        <f>+'Sch-1'!L50</f>
        <v>45</v>
      </c>
      <c r="I50" s="1180"/>
      <c r="J50" s="1179" t="str">
        <f>IF(I50=0, "Included",IF(ISERROR(H50*I50), I50, H50*I50))</f>
        <v>Included</v>
      </c>
      <c r="K50" s="981"/>
      <c r="M50" s="285"/>
    </row>
    <row r="51" spans="1:13" s="965" customFormat="1" ht="28.8">
      <c r="A51" s="1050">
        <f t="shared" si="7"/>
        <v>30</v>
      </c>
      <c r="B51" s="1050">
        <f>+'Sch-1'!B51</f>
        <v>7000023516</v>
      </c>
      <c r="C51" s="1050">
        <f>+'Sch-1'!C51</f>
        <v>300</v>
      </c>
      <c r="D51" s="1050" t="str">
        <f>+'Sch-1'!D51</f>
        <v xml:space="preserve">220kV Insulator and Hardware            </v>
      </c>
      <c r="E51" s="1050">
        <f>+'Sch-1'!E51</f>
        <v>1000055977</v>
      </c>
      <c r="F51" s="1048" t="str">
        <f>+'Sch-1'!J51</f>
        <v>220KV SUSPENSION INSULATOR STRING  AND ASSOCIATED HARDWARE FITTINGSWITH THROUGH CLAMP SUITABLE FOR TWIN CONDUCTOR</v>
      </c>
      <c r="G51" s="1050" t="str">
        <f>+'Sch-1'!K51</f>
        <v xml:space="preserve">EA </v>
      </c>
      <c r="H51" s="1050">
        <f>+'Sch-1'!L51</f>
        <v>30</v>
      </c>
      <c r="I51" s="1180"/>
      <c r="J51" s="1179" t="str">
        <f t="shared" ref="J51:J60" si="8">IF(I51=0, "Included",IF(ISERROR(H51*I51), I51, H51*I51))</f>
        <v>Included</v>
      </c>
      <c r="K51" s="981"/>
      <c r="M51" s="285"/>
    </row>
    <row r="52" spans="1:13" s="965" customFormat="1" ht="28.8">
      <c r="A52" s="1050">
        <f t="shared" si="7"/>
        <v>31</v>
      </c>
      <c r="B52" s="1050">
        <f>+'Sch-1'!B52</f>
        <v>7000023516</v>
      </c>
      <c r="C52" s="1050">
        <f>+'Sch-1'!C52</f>
        <v>310</v>
      </c>
      <c r="D52" s="1050" t="str">
        <f>+'Sch-1'!D52</f>
        <v xml:space="preserve">220kV Insulator and Hardware            </v>
      </c>
      <c r="E52" s="1050">
        <f>+'Sch-1'!E52</f>
        <v>1000055975</v>
      </c>
      <c r="F52" s="1048" t="str">
        <f>+'Sch-1'!J52</f>
        <v>220KV SUSPENSION INSULATOR STRING  AND ASSOCIATED HARDWARE FITTINGSWITH DROP CLAMP SUITABLE FOR TWIN CONDUCTOR</v>
      </c>
      <c r="G52" s="1050" t="str">
        <f>+'Sch-1'!K52</f>
        <v xml:space="preserve">EA </v>
      </c>
      <c r="H52" s="1050">
        <f>+'Sch-1'!L52</f>
        <v>26</v>
      </c>
      <c r="I52" s="1180"/>
      <c r="J52" s="1179" t="str">
        <f t="shared" si="8"/>
        <v>Included</v>
      </c>
      <c r="K52" s="981"/>
      <c r="M52" s="285"/>
    </row>
    <row r="53" spans="1:13" s="965" customFormat="1">
      <c r="A53" s="1050">
        <f t="shared" si="7"/>
        <v>32</v>
      </c>
      <c r="B53" s="1050">
        <f>+'Sch-1'!B53</f>
        <v>7000023516</v>
      </c>
      <c r="C53" s="1050">
        <f>+'Sch-1'!C53</f>
        <v>320</v>
      </c>
      <c r="D53" s="1050" t="str">
        <f>+'Sch-1'!D53</f>
        <v xml:space="preserve">Earthmat                                </v>
      </c>
      <c r="E53" s="1050">
        <f>+'Sch-1'!E53</f>
        <v>1000032055</v>
      </c>
      <c r="F53" s="1048" t="str">
        <f>+'Sch-1'!J53</f>
        <v>40 MM MS ROD FOR MAIN EARTHMAT</v>
      </c>
      <c r="G53" s="1050" t="str">
        <f>+'Sch-1'!K53</f>
        <v xml:space="preserve">KM </v>
      </c>
      <c r="H53" s="1050">
        <f>+'Sch-1'!L53</f>
        <v>4</v>
      </c>
      <c r="I53" s="1180"/>
      <c r="J53" s="1179" t="str">
        <f t="shared" si="8"/>
        <v>Included</v>
      </c>
      <c r="K53" s="981"/>
      <c r="M53" s="285"/>
    </row>
    <row r="54" spans="1:13" s="965" customFormat="1">
      <c r="A54" s="1050">
        <f t="shared" si="7"/>
        <v>33</v>
      </c>
      <c r="B54" s="1050">
        <f>+'Sch-1'!B54</f>
        <v>7000023516</v>
      </c>
      <c r="C54" s="1050">
        <f>+'Sch-1'!C54</f>
        <v>330</v>
      </c>
      <c r="D54" s="1050" t="str">
        <f>+'Sch-1'!D54</f>
        <v xml:space="preserve">CRP for  420kV Bays with SAS            </v>
      </c>
      <c r="E54" s="1050">
        <f>+'Sch-1'!E54</f>
        <v>1000055446</v>
      </c>
      <c r="F54" s="1048" t="str">
        <f>+'Sch-1'!J54</f>
        <v>400KV CIRCUIT BREAKER RELAY PANEL (WITH AUTOMATION)</v>
      </c>
      <c r="G54" s="1050" t="str">
        <f>+'Sch-1'!K54</f>
        <v xml:space="preserve">EA </v>
      </c>
      <c r="H54" s="1050">
        <f>+'Sch-1'!L54</f>
        <v>2</v>
      </c>
      <c r="I54" s="1180"/>
      <c r="J54" s="1179" t="str">
        <f t="shared" si="8"/>
        <v>Included</v>
      </c>
      <c r="K54" s="981"/>
      <c r="M54" s="285"/>
    </row>
    <row r="55" spans="1:13" s="965" customFormat="1" ht="28.8">
      <c r="A55" s="1050">
        <f t="shared" si="7"/>
        <v>34</v>
      </c>
      <c r="B55" s="1050">
        <f>+'Sch-1'!B55</f>
        <v>7000023516</v>
      </c>
      <c r="C55" s="1050">
        <f>+'Sch-1'!C55</f>
        <v>340</v>
      </c>
      <c r="D55" s="1050" t="str">
        <f>+'Sch-1'!D55</f>
        <v xml:space="preserve">CRP for  420kV Bays with SAS            </v>
      </c>
      <c r="E55" s="1050">
        <f>+'Sch-1'!E55</f>
        <v>1000004274</v>
      </c>
      <c r="F55" s="1048" t="str">
        <f>+'Sch-1'!J55</f>
        <v>400kV Transformer Protection Panel (For both HV &amp; MV side)-(withAutomation)</v>
      </c>
      <c r="G55" s="1050" t="str">
        <f>+'Sch-1'!K55</f>
        <v xml:space="preserve">EA </v>
      </c>
      <c r="H55" s="1050">
        <f>+'Sch-1'!L55</f>
        <v>2</v>
      </c>
      <c r="I55" s="1180"/>
      <c r="J55" s="1179" t="str">
        <f t="shared" si="8"/>
        <v>Included</v>
      </c>
      <c r="K55" s="981"/>
      <c r="M55" s="285"/>
    </row>
    <row r="56" spans="1:13" s="965" customFormat="1">
      <c r="A56" s="1050">
        <f t="shared" si="7"/>
        <v>35</v>
      </c>
      <c r="B56" s="1050">
        <f>+'Sch-1'!B56</f>
        <v>7000023516</v>
      </c>
      <c r="C56" s="1050">
        <f>+'Sch-1'!C56</f>
        <v>350</v>
      </c>
      <c r="D56" s="1050" t="str">
        <f>+'Sch-1'!D56</f>
        <v xml:space="preserve">CRP for 220kV Bays with SAS             </v>
      </c>
      <c r="E56" s="1050">
        <f>+'Sch-1'!E56</f>
        <v>1000001166</v>
      </c>
      <c r="F56" s="1048" t="str">
        <f>+'Sch-1'!J56</f>
        <v>220kV Bus Bar Protection Panel (Single)-(with Automation)</v>
      </c>
      <c r="G56" s="1050" t="str">
        <f>+'Sch-1'!K56</f>
        <v>SET</v>
      </c>
      <c r="H56" s="1050">
        <f>+'Sch-1'!L56</f>
        <v>1</v>
      </c>
      <c r="I56" s="1180"/>
      <c r="J56" s="1179" t="str">
        <f t="shared" si="8"/>
        <v>Included</v>
      </c>
      <c r="K56" s="981"/>
      <c r="M56" s="285"/>
    </row>
    <row r="57" spans="1:13" s="965" customFormat="1">
      <c r="A57" s="1050">
        <f>A56+1</f>
        <v>36</v>
      </c>
      <c r="B57" s="1050">
        <f>+'Sch-1'!B57</f>
        <v>7000023516</v>
      </c>
      <c r="C57" s="1050">
        <f>+'Sch-1'!C57</f>
        <v>360</v>
      </c>
      <c r="D57" s="1050" t="str">
        <f>+'Sch-1'!D57</f>
        <v xml:space="preserve">CRP for 220kV Bays with SAS             </v>
      </c>
      <c r="E57" s="1050">
        <f>+'Sch-1'!E57</f>
        <v>1000001330</v>
      </c>
      <c r="F57" s="1048" t="str">
        <f>+'Sch-1'!J57</f>
        <v>220kV Line Protection Panel (with Automation)</v>
      </c>
      <c r="G57" s="1050" t="str">
        <f>+'Sch-1'!K57</f>
        <v xml:space="preserve">EA </v>
      </c>
      <c r="H57" s="1050">
        <f>+'Sch-1'!L57</f>
        <v>4</v>
      </c>
      <c r="I57" s="1180"/>
      <c r="J57" s="1179" t="str">
        <f t="shared" si="8"/>
        <v>Included</v>
      </c>
      <c r="K57" s="981"/>
      <c r="M57" s="285"/>
    </row>
    <row r="58" spans="1:13" s="965" customFormat="1">
      <c r="A58" s="1050">
        <f t="shared" ref="A58:A67" si="9">A57+1</f>
        <v>37</v>
      </c>
      <c r="B58" s="1050">
        <f>+'Sch-1'!B58</f>
        <v>7000023516</v>
      </c>
      <c r="C58" s="1050">
        <f>+'Sch-1'!C58</f>
        <v>370</v>
      </c>
      <c r="D58" s="1050" t="str">
        <f>+'Sch-1'!D58</f>
        <v xml:space="preserve">CRP for 220kV Bays with SAS             </v>
      </c>
      <c r="E58" s="1050">
        <f>+'Sch-1'!E58</f>
        <v>1000055443</v>
      </c>
      <c r="F58" s="1048" t="str">
        <f>+'Sch-1'!J58</f>
        <v>220KV CIRCUIT BREAKER RELAY PANEL (WITH AUTOMATION)</v>
      </c>
      <c r="G58" s="1050" t="str">
        <f>+'Sch-1'!K58</f>
        <v xml:space="preserve">EA </v>
      </c>
      <c r="H58" s="1050">
        <f>+'Sch-1'!L58</f>
        <v>8</v>
      </c>
      <c r="I58" s="1180"/>
      <c r="J58" s="1179" t="str">
        <f t="shared" si="8"/>
        <v>Included</v>
      </c>
      <c r="K58" s="981"/>
      <c r="M58" s="285"/>
    </row>
    <row r="59" spans="1:13" s="965" customFormat="1" ht="86.4">
      <c r="A59" s="1050">
        <f t="shared" si="9"/>
        <v>38</v>
      </c>
      <c r="B59" s="1050">
        <f>+'Sch-1'!B59</f>
        <v>7000023516</v>
      </c>
      <c r="C59" s="1050">
        <f>+'Sch-1'!C59</f>
        <v>380</v>
      </c>
      <c r="D59" s="1050" t="str">
        <f>+'Sch-1'!D59</f>
        <v xml:space="preserve">VMS                                     </v>
      </c>
      <c r="E59" s="1050">
        <f>+'Sch-1'!E59</f>
        <v>1000030433</v>
      </c>
      <c r="F59" s="1048" t="str">
        <f>+'Sch-1'!J59</f>
        <v>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v>
      </c>
      <c r="G59" s="1050" t="str">
        <f>+'Sch-1'!K59</f>
        <v>SET</v>
      </c>
      <c r="H59" s="1050">
        <f>+'Sch-1'!L59</f>
        <v>1</v>
      </c>
      <c r="I59" s="1180"/>
      <c r="J59" s="1179" t="str">
        <f t="shared" si="8"/>
        <v>Included</v>
      </c>
      <c r="K59" s="981"/>
      <c r="M59" s="285"/>
    </row>
    <row r="60" spans="1:13" s="965" customFormat="1">
      <c r="A60" s="1050">
        <f t="shared" si="9"/>
        <v>39</v>
      </c>
      <c r="B60" s="1050">
        <f>+'Sch-1'!B60</f>
        <v>7000023516</v>
      </c>
      <c r="C60" s="1050">
        <f>+'Sch-1'!C60</f>
        <v>390</v>
      </c>
      <c r="D60" s="1050" t="str">
        <f>+'Sch-1'!D60</f>
        <v xml:space="preserve">PLCC Equipment                          </v>
      </c>
      <c r="E60" s="1050">
        <f>+'Sch-1'!E60</f>
        <v>1000001568</v>
      </c>
      <c r="F60" s="1048" t="str">
        <f>+'Sch-1'!J60</f>
        <v>220kV,1600A,0.5mH ,50kA Line Trap</v>
      </c>
      <c r="G60" s="1050" t="str">
        <f>+'Sch-1'!K60</f>
        <v xml:space="preserve">EA </v>
      </c>
      <c r="H60" s="1050">
        <f>+'Sch-1'!L60</f>
        <v>4</v>
      </c>
      <c r="I60" s="1180"/>
      <c r="J60" s="1179" t="str">
        <f t="shared" si="8"/>
        <v>Included</v>
      </c>
      <c r="K60" s="981"/>
      <c r="M60" s="285"/>
    </row>
    <row r="61" spans="1:13" s="965" customFormat="1">
      <c r="A61" s="1050">
        <f t="shared" si="9"/>
        <v>40</v>
      </c>
      <c r="B61" s="1050">
        <f>+'Sch-1'!B61</f>
        <v>7000023516</v>
      </c>
      <c r="C61" s="1050">
        <f>+'Sch-1'!C61</f>
        <v>400</v>
      </c>
      <c r="D61" s="1050" t="str">
        <f>+'Sch-1'!D61</f>
        <v xml:space="preserve">LT Switchgear                           </v>
      </c>
      <c r="E61" s="1050">
        <f>+'Sch-1'!E61</f>
        <v>1000004304</v>
      </c>
      <c r="F61" s="1048" t="str">
        <f>+'Sch-1'!J61</f>
        <v>415V ACDB (Extn.)</v>
      </c>
      <c r="G61" s="1050" t="str">
        <f>+'Sch-1'!K61</f>
        <v>SET</v>
      </c>
      <c r="H61" s="1050">
        <f>+'Sch-1'!L61</f>
        <v>2</v>
      </c>
      <c r="I61" s="1180"/>
      <c r="J61" s="1179" t="str">
        <f>IF(I61=0, "Included",IF(ISERROR(H61*I61), I61, H61*I61))</f>
        <v>Included</v>
      </c>
      <c r="K61" s="981"/>
      <c r="M61" s="285"/>
    </row>
    <row r="62" spans="1:13" s="965" customFormat="1">
      <c r="A62" s="1050">
        <f t="shared" si="9"/>
        <v>41</v>
      </c>
      <c r="B62" s="1050">
        <f>+'Sch-1'!B62</f>
        <v>7000023516</v>
      </c>
      <c r="C62" s="1050">
        <f>+'Sch-1'!C62</f>
        <v>410</v>
      </c>
      <c r="D62" s="1050" t="str">
        <f>+'Sch-1'!D62</f>
        <v xml:space="preserve">LT Switchgear                           </v>
      </c>
      <c r="E62" s="1050">
        <f>+'Sch-1'!E62</f>
        <v>1000001145</v>
      </c>
      <c r="F62" s="1048" t="str">
        <f>+'Sch-1'!J62</f>
        <v>220V DCDB (Extn.)</v>
      </c>
      <c r="G62" s="1050" t="str">
        <f>+'Sch-1'!K62</f>
        <v>SET</v>
      </c>
      <c r="H62" s="1050">
        <f>+'Sch-1'!L62</f>
        <v>2</v>
      </c>
      <c r="I62" s="1180"/>
      <c r="J62" s="1179" t="str">
        <f t="shared" ref="J62:J71" si="10">IF(I62=0, "Included",IF(ISERROR(H62*I62), I62, H62*I62))</f>
        <v>Included</v>
      </c>
      <c r="K62" s="981"/>
      <c r="M62" s="285"/>
    </row>
    <row r="63" spans="1:13" s="965" customFormat="1">
      <c r="A63" s="1050">
        <f t="shared" si="9"/>
        <v>42</v>
      </c>
      <c r="B63" s="1050">
        <f>+'Sch-1'!B63</f>
        <v>7000023516</v>
      </c>
      <c r="C63" s="1050">
        <f>+'Sch-1'!C63</f>
        <v>420</v>
      </c>
      <c r="D63" s="1050" t="str">
        <f>+'Sch-1'!D63</f>
        <v xml:space="preserve">LT Switchgear                           </v>
      </c>
      <c r="E63" s="1050">
        <f>+'Sch-1'!E63</f>
        <v>1000004755</v>
      </c>
      <c r="F63" s="1048" t="str">
        <f>+'Sch-1'!J63</f>
        <v>48V DCDB (Extn.)</v>
      </c>
      <c r="G63" s="1050" t="str">
        <f>+'Sch-1'!K63</f>
        <v>SET</v>
      </c>
      <c r="H63" s="1050">
        <f>+'Sch-1'!L63</f>
        <v>2</v>
      </c>
      <c r="I63" s="1180"/>
      <c r="J63" s="1179" t="str">
        <f t="shared" si="10"/>
        <v>Included</v>
      </c>
      <c r="K63" s="981"/>
      <c r="M63" s="285"/>
    </row>
    <row r="64" spans="1:13" s="965" customFormat="1">
      <c r="A64" s="1050">
        <f t="shared" si="9"/>
        <v>43</v>
      </c>
      <c r="B64" s="1050">
        <f>+'Sch-1'!B64</f>
        <v>7000023516</v>
      </c>
      <c r="C64" s="1050">
        <f>+'Sch-1'!C64</f>
        <v>500</v>
      </c>
      <c r="D64" s="1050" t="str">
        <f>+'Sch-1'!D64</f>
        <v xml:space="preserve">Power &amp; Control Cables                  </v>
      </c>
      <c r="E64" s="1050">
        <f>+'Sch-1'!E64</f>
        <v>1000031964</v>
      </c>
      <c r="F64" s="1048" t="str">
        <f>+'Sch-1'!J64</f>
        <v>1.1KV GRADE 3CX2.5 SQMM CONTROL CABLE</v>
      </c>
      <c r="G64" s="1050" t="str">
        <f>+'Sch-1'!K64</f>
        <v xml:space="preserve">KM </v>
      </c>
      <c r="H64" s="1050">
        <f>+'Sch-1'!L64</f>
        <v>10.5</v>
      </c>
      <c r="I64" s="1180"/>
      <c r="J64" s="1179" t="str">
        <f t="shared" si="10"/>
        <v>Included</v>
      </c>
      <c r="K64" s="981"/>
      <c r="M64" s="285"/>
    </row>
    <row r="65" spans="1:13" s="965" customFormat="1">
      <c r="A65" s="1050">
        <f t="shared" si="9"/>
        <v>44</v>
      </c>
      <c r="B65" s="1050">
        <f>+'Sch-1'!B65</f>
        <v>7000023516</v>
      </c>
      <c r="C65" s="1050">
        <f>+'Sch-1'!C65</f>
        <v>510</v>
      </c>
      <c r="D65" s="1050" t="str">
        <f>+'Sch-1'!D65</f>
        <v xml:space="preserve">Power &amp; Control Cables                  </v>
      </c>
      <c r="E65" s="1050">
        <f>+'Sch-1'!E65</f>
        <v>1000031987</v>
      </c>
      <c r="F65" s="1048" t="str">
        <f>+'Sch-1'!J65</f>
        <v>1.1KV GRADE 5CX2.5 SQMM CONTROL CABLE</v>
      </c>
      <c r="G65" s="1050" t="str">
        <f>+'Sch-1'!K65</f>
        <v xml:space="preserve">KM </v>
      </c>
      <c r="H65" s="1050">
        <f>+'Sch-1'!L65</f>
        <v>18</v>
      </c>
      <c r="I65" s="1180"/>
      <c r="J65" s="1179" t="str">
        <f t="shared" si="10"/>
        <v>Included</v>
      </c>
      <c r="K65" s="981"/>
      <c r="M65" s="285"/>
    </row>
    <row r="66" spans="1:13" s="965" customFormat="1">
      <c r="A66" s="1050">
        <f t="shared" si="9"/>
        <v>45</v>
      </c>
      <c r="B66" s="1050">
        <f>+'Sch-1'!B66</f>
        <v>7000023516</v>
      </c>
      <c r="C66" s="1050">
        <f>+'Sch-1'!C66</f>
        <v>520</v>
      </c>
      <c r="D66" s="1050" t="str">
        <f>+'Sch-1'!D66</f>
        <v xml:space="preserve">Power &amp; Control Cables                  </v>
      </c>
      <c r="E66" s="1050">
        <f>+'Sch-1'!E66</f>
        <v>1000031887</v>
      </c>
      <c r="F66" s="1048" t="str">
        <f>+'Sch-1'!J66</f>
        <v>1.1KV GRADE 10CX2.5 SQMM CONTROL CABLE</v>
      </c>
      <c r="G66" s="1050" t="str">
        <f>+'Sch-1'!K66</f>
        <v xml:space="preserve">KM </v>
      </c>
      <c r="H66" s="1050">
        <f>+'Sch-1'!L66</f>
        <v>6.5</v>
      </c>
      <c r="I66" s="1180"/>
      <c r="J66" s="1179" t="str">
        <f t="shared" si="10"/>
        <v>Included</v>
      </c>
      <c r="K66" s="981"/>
      <c r="M66" s="285"/>
    </row>
    <row r="67" spans="1:13" s="965" customFormat="1">
      <c r="A67" s="1050">
        <f t="shared" si="9"/>
        <v>46</v>
      </c>
      <c r="B67" s="1050">
        <f>+'Sch-1'!B67</f>
        <v>7000023516</v>
      </c>
      <c r="C67" s="1050">
        <f>+'Sch-1'!C67</f>
        <v>530</v>
      </c>
      <c r="D67" s="1050" t="str">
        <f>+'Sch-1'!D67</f>
        <v xml:space="preserve">Power &amp; Control Cables                  </v>
      </c>
      <c r="E67" s="1050">
        <f>+'Sch-1'!E67</f>
        <v>1000056264</v>
      </c>
      <c r="F67" s="1048" t="str">
        <f>+'Sch-1'!J67</f>
        <v>1.1KV GRADE 19CX1.5 SQMM CONTROL CABLE</v>
      </c>
      <c r="G67" s="1050" t="str">
        <f>+'Sch-1'!K67</f>
        <v xml:space="preserve">KM </v>
      </c>
      <c r="H67" s="1050">
        <f>+'Sch-1'!L67</f>
        <v>7.5</v>
      </c>
      <c r="I67" s="1180"/>
      <c r="J67" s="1179" t="str">
        <f t="shared" si="10"/>
        <v>Included</v>
      </c>
      <c r="K67" s="981"/>
      <c r="M67" s="285"/>
    </row>
    <row r="68" spans="1:13" s="965" customFormat="1">
      <c r="A68" s="1050">
        <f>A67+1</f>
        <v>47</v>
      </c>
      <c r="B68" s="1050">
        <f>+'Sch-1'!B68</f>
        <v>7000023516</v>
      </c>
      <c r="C68" s="1050">
        <f>+'Sch-1'!C68</f>
        <v>540</v>
      </c>
      <c r="D68" s="1050" t="str">
        <f>+'Sch-1'!D68</f>
        <v xml:space="preserve">Power &amp; Control Cables                  </v>
      </c>
      <c r="E68" s="1050">
        <f>+'Sch-1'!E68</f>
        <v>1000056265</v>
      </c>
      <c r="F68" s="1048" t="str">
        <f>+'Sch-1'!J68</f>
        <v>1.1KV GRADE 27CX1.5 SQMM CONTROL CABLE</v>
      </c>
      <c r="G68" s="1050" t="str">
        <f>+'Sch-1'!K68</f>
        <v xml:space="preserve">KM </v>
      </c>
      <c r="H68" s="1050">
        <f>+'Sch-1'!L68</f>
        <v>2</v>
      </c>
      <c r="I68" s="1180"/>
      <c r="J68" s="1179" t="str">
        <f t="shared" si="10"/>
        <v>Included</v>
      </c>
      <c r="K68" s="981"/>
      <c r="M68" s="285"/>
    </row>
    <row r="69" spans="1:13" s="965" customFormat="1">
      <c r="A69" s="1050">
        <f t="shared" ref="A69:A78" si="11">A68+1</f>
        <v>48</v>
      </c>
      <c r="B69" s="1050">
        <f>+'Sch-1'!B69</f>
        <v>7000023516</v>
      </c>
      <c r="C69" s="1050">
        <f>+'Sch-1'!C69</f>
        <v>450</v>
      </c>
      <c r="D69" s="1050" t="str">
        <f>+'Sch-1'!D69</f>
        <v xml:space="preserve">Power &amp; Control Cables                  </v>
      </c>
      <c r="E69" s="1050">
        <f>+'Sch-1'!E69</f>
        <v>1000031943</v>
      </c>
      <c r="F69" s="1048" t="str">
        <f>+'Sch-1'!J69</f>
        <v>1.1KV GRADE 2CX6 SQMM (PVC) POWER CABLE</v>
      </c>
      <c r="G69" s="1050" t="str">
        <f>+'Sch-1'!K69</f>
        <v xml:space="preserve">KM </v>
      </c>
      <c r="H69" s="1050">
        <f>+'Sch-1'!L69</f>
        <v>1.5</v>
      </c>
      <c r="I69" s="1180"/>
      <c r="J69" s="1179" t="str">
        <f t="shared" si="10"/>
        <v>Included</v>
      </c>
      <c r="K69" s="981"/>
      <c r="M69" s="285"/>
    </row>
    <row r="70" spans="1:13" s="965" customFormat="1">
      <c r="A70" s="1050">
        <f t="shared" si="11"/>
        <v>49</v>
      </c>
      <c r="B70" s="1050">
        <f>+'Sch-1'!B70</f>
        <v>7000023516</v>
      </c>
      <c r="C70" s="1050">
        <f>+'Sch-1'!C70</f>
        <v>440</v>
      </c>
      <c r="D70" s="1050" t="str">
        <f>+'Sch-1'!D70</f>
        <v xml:space="preserve">Power &amp; Control Cables                  </v>
      </c>
      <c r="E70" s="1050">
        <f>+'Sch-1'!E70</f>
        <v>1000031985</v>
      </c>
      <c r="F70" s="1048" t="str">
        <f>+'Sch-1'!J70</f>
        <v>1.1KV GRADE 4CX6 SQMM (PVC) POWER CABLE</v>
      </c>
      <c r="G70" s="1050" t="str">
        <f>+'Sch-1'!K70</f>
        <v xml:space="preserve">KM </v>
      </c>
      <c r="H70" s="1050">
        <f>+'Sch-1'!L70</f>
        <v>2.5</v>
      </c>
      <c r="I70" s="1180"/>
      <c r="J70" s="1179" t="str">
        <f t="shared" si="10"/>
        <v>Included</v>
      </c>
      <c r="K70" s="981"/>
      <c r="M70" s="285"/>
    </row>
    <row r="71" spans="1:13" s="965" customFormat="1">
      <c r="A71" s="1050">
        <f t="shared" si="11"/>
        <v>50</v>
      </c>
      <c r="B71" s="1050">
        <f>+'Sch-1'!B71</f>
        <v>7000023516</v>
      </c>
      <c r="C71" s="1050">
        <f>+'Sch-1'!C71</f>
        <v>460</v>
      </c>
      <c r="D71" s="1050" t="str">
        <f>+'Sch-1'!D71</f>
        <v xml:space="preserve">Power &amp; Control Cables                  </v>
      </c>
      <c r="E71" s="1050">
        <f>+'Sch-1'!E71</f>
        <v>1000031976</v>
      </c>
      <c r="F71" s="1048" t="str">
        <f>+'Sch-1'!J71</f>
        <v>1.1KV GRADE 4CX16 SQMM (PVC) POWER CABLE</v>
      </c>
      <c r="G71" s="1050" t="str">
        <f>+'Sch-1'!K71</f>
        <v xml:space="preserve">KM </v>
      </c>
      <c r="H71" s="1050">
        <f>+'Sch-1'!L71</f>
        <v>2.5</v>
      </c>
      <c r="I71" s="1180"/>
      <c r="J71" s="1179" t="str">
        <f t="shared" si="10"/>
        <v>Included</v>
      </c>
      <c r="K71" s="981"/>
      <c r="M71" s="285"/>
    </row>
    <row r="72" spans="1:13" s="965" customFormat="1">
      <c r="A72" s="1050">
        <f t="shared" si="11"/>
        <v>51</v>
      </c>
      <c r="B72" s="1050">
        <f>+'Sch-1'!B72</f>
        <v>7000023516</v>
      </c>
      <c r="C72" s="1050">
        <f>+'Sch-1'!C72</f>
        <v>470</v>
      </c>
      <c r="D72" s="1050" t="str">
        <f>+'Sch-1'!D72</f>
        <v xml:space="preserve">Power &amp; Control Cables                  </v>
      </c>
      <c r="E72" s="1050">
        <f>+'Sch-1'!E72</f>
        <v>1000031953</v>
      </c>
      <c r="F72" s="1048" t="str">
        <f>+'Sch-1'!J72</f>
        <v>1.1KV GRADE 3.5CX35 SQMM (PVC) POWER CABLE</v>
      </c>
      <c r="G72" s="1050" t="str">
        <f>+'Sch-1'!K72</f>
        <v xml:space="preserve">KM </v>
      </c>
      <c r="H72" s="1050">
        <f>+'Sch-1'!L72</f>
        <v>5</v>
      </c>
      <c r="I72" s="1180"/>
      <c r="J72" s="1179" t="str">
        <f>IF(I72=0, "Included",IF(ISERROR(H72*I72), I72, H72*I72))</f>
        <v>Included</v>
      </c>
      <c r="K72" s="981"/>
      <c r="M72" s="285"/>
    </row>
    <row r="73" spans="1:13" s="965" customFormat="1">
      <c r="A73" s="1050">
        <f t="shared" si="11"/>
        <v>52</v>
      </c>
      <c r="B73" s="1050">
        <f>+'Sch-1'!B73</f>
        <v>7000023516</v>
      </c>
      <c r="C73" s="1050">
        <f>+'Sch-1'!C73</f>
        <v>480</v>
      </c>
      <c r="D73" s="1050" t="str">
        <f>+'Sch-1'!D73</f>
        <v xml:space="preserve">Power &amp; Control Cables                  </v>
      </c>
      <c r="E73" s="1050">
        <f>+'Sch-1'!E73</f>
        <v>1000031957</v>
      </c>
      <c r="F73" s="1048" t="str">
        <f>+'Sch-1'!J73</f>
        <v>1.1KV GRADE 3.5CX70 SQMM (PVC) POWER CABLE</v>
      </c>
      <c r="G73" s="1050" t="str">
        <f>+'Sch-1'!K73</f>
        <v xml:space="preserve">KM </v>
      </c>
      <c r="H73" s="1050">
        <f>+'Sch-1'!L73</f>
        <v>2.5</v>
      </c>
      <c r="I73" s="1180"/>
      <c r="J73" s="1179" t="str">
        <f t="shared" ref="J73:J82" si="12">IF(I73=0, "Included",IF(ISERROR(H73*I73), I73, H73*I73))</f>
        <v>Included</v>
      </c>
      <c r="K73" s="981"/>
      <c r="M73" s="285"/>
    </row>
    <row r="74" spans="1:13" s="965" customFormat="1">
      <c r="A74" s="1050">
        <f t="shared" si="11"/>
        <v>53</v>
      </c>
      <c r="B74" s="1050">
        <f>+'Sch-1'!B74</f>
        <v>7000023516</v>
      </c>
      <c r="C74" s="1050">
        <f>+'Sch-1'!C74</f>
        <v>490</v>
      </c>
      <c r="D74" s="1050" t="str">
        <f>+'Sch-1'!D74</f>
        <v xml:space="preserve">Power &amp; Control Cables                  </v>
      </c>
      <c r="E74" s="1050">
        <f>+'Sch-1'!E74</f>
        <v>1000031951</v>
      </c>
      <c r="F74" s="1048" t="str">
        <f>+'Sch-1'!J74</f>
        <v>1.1KV GRADE 3.5CX300 SQMM (XLPE) POWER CABLE</v>
      </c>
      <c r="G74" s="1050" t="str">
        <f>+'Sch-1'!K74</f>
        <v xml:space="preserve">KM </v>
      </c>
      <c r="H74" s="1050">
        <f>+'Sch-1'!L74</f>
        <v>1.5</v>
      </c>
      <c r="I74" s="1180"/>
      <c r="J74" s="1179" t="str">
        <f t="shared" si="12"/>
        <v>Included</v>
      </c>
      <c r="K74" s="981"/>
      <c r="M74" s="285"/>
    </row>
    <row r="75" spans="1:13" s="965" customFormat="1">
      <c r="A75" s="1050">
        <f t="shared" si="11"/>
        <v>54</v>
      </c>
      <c r="B75" s="1050">
        <f>+'Sch-1'!B75</f>
        <v>7000023516</v>
      </c>
      <c r="C75" s="1050">
        <f>+'Sch-1'!C75</f>
        <v>430</v>
      </c>
      <c r="D75" s="1050" t="str">
        <f>+'Sch-1'!D75</f>
        <v xml:space="preserve">Power &amp; Control Cables                  </v>
      </c>
      <c r="E75" s="1050">
        <f>+'Sch-1'!E75</f>
        <v>1000031911</v>
      </c>
      <c r="F75" s="1048" t="str">
        <f>+'Sch-1'!J75</f>
        <v>1.1KV GRADE 1CX150 SQMM (PVC) POWER CABLE</v>
      </c>
      <c r="G75" s="1050" t="str">
        <f>+'Sch-1'!K75</f>
        <v xml:space="preserve">KM </v>
      </c>
      <c r="H75" s="1050">
        <f>+'Sch-1'!L75</f>
        <v>2.5</v>
      </c>
      <c r="I75" s="1180"/>
      <c r="J75" s="1179" t="str">
        <f t="shared" si="12"/>
        <v>Included</v>
      </c>
      <c r="K75" s="981"/>
      <c r="M75" s="285"/>
    </row>
    <row r="76" spans="1:13" s="965" customFormat="1" ht="28.8">
      <c r="A76" s="1050">
        <f t="shared" si="11"/>
        <v>55</v>
      </c>
      <c r="B76" s="1050">
        <f>+'Sch-1'!B76</f>
        <v>7000023516</v>
      </c>
      <c r="C76" s="1050">
        <f>+'Sch-1'!C76</f>
        <v>550</v>
      </c>
      <c r="D76" s="1050" t="str">
        <f>+'Sch-1'!D76</f>
        <v xml:space="preserve">Air Conditioning &amp; Ventilation System   </v>
      </c>
      <c r="E76" s="1050">
        <f>+'Sch-1'!E76</f>
        <v>1000006284</v>
      </c>
      <c r="F76" s="1048" t="str">
        <f>+'Sch-1'!J76</f>
        <v>Air conditioning system  for Switchyard Panel Room of 6m length</v>
      </c>
      <c r="G76" s="1050" t="str">
        <f>+'Sch-1'!K76</f>
        <v>SET</v>
      </c>
      <c r="H76" s="1050">
        <f>+'Sch-1'!L76</f>
        <v>3</v>
      </c>
      <c r="I76" s="1180"/>
      <c r="J76" s="1179" t="str">
        <f t="shared" si="12"/>
        <v>Included</v>
      </c>
      <c r="K76" s="981"/>
      <c r="M76" s="285"/>
    </row>
    <row r="77" spans="1:13" s="965" customFormat="1" ht="28.8">
      <c r="A77" s="1050">
        <f t="shared" si="11"/>
        <v>56</v>
      </c>
      <c r="B77" s="1050">
        <f>+'Sch-1'!B77</f>
        <v>7000023516</v>
      </c>
      <c r="C77" s="1050">
        <f>+'Sch-1'!C77</f>
        <v>560</v>
      </c>
      <c r="D77" s="1050" t="str">
        <f>+'Sch-1'!D77</f>
        <v xml:space="preserve">Air Conditioning &amp; Ventilation System   </v>
      </c>
      <c r="E77" s="1050">
        <f>+'Sch-1'!E77</f>
        <v>1000006285</v>
      </c>
      <c r="F77" s="1048" t="str">
        <f>+'Sch-1'!J77</f>
        <v>Air conditioning system  for Switchyard Panel Room of 9m length</v>
      </c>
      <c r="G77" s="1050" t="str">
        <f>+'Sch-1'!K77</f>
        <v>SET</v>
      </c>
      <c r="H77" s="1050">
        <f>+'Sch-1'!L77</f>
        <v>2</v>
      </c>
      <c r="I77" s="1180"/>
      <c r="J77" s="1179" t="str">
        <f t="shared" si="12"/>
        <v>Included</v>
      </c>
      <c r="K77" s="981"/>
      <c r="M77" s="285"/>
    </row>
    <row r="78" spans="1:13" s="965" customFormat="1" ht="43.2">
      <c r="A78" s="1050">
        <f t="shared" si="11"/>
        <v>57</v>
      </c>
      <c r="B78" s="1050">
        <f>+'Sch-1'!B78</f>
        <v>7000023516</v>
      </c>
      <c r="C78" s="1050">
        <f>+'Sch-1'!C78</f>
        <v>580</v>
      </c>
      <c r="D78" s="1050" t="str">
        <f>+'Sch-1'!D78</f>
        <v xml:space="preserve">Fire Fighting System                    </v>
      </c>
      <c r="E78" s="1050">
        <f>+'Sch-1'!E78</f>
        <v>1000012069</v>
      </c>
      <c r="F78" s="1048" t="str">
        <f>+'Sch-1'!J78</f>
        <v>HVW spray system, Hydrant system and complete U/G &amp; O/G piping andaccessories etc. out side the pump house  for 500MVA , 400KV/220/33kV, 3-phase  Autotransformer</v>
      </c>
      <c r="G78" s="1050" t="str">
        <f>+'Sch-1'!K78</f>
        <v>SET</v>
      </c>
      <c r="H78" s="1050">
        <f>+'Sch-1'!L78</f>
        <v>2</v>
      </c>
      <c r="I78" s="1180"/>
      <c r="J78" s="1179" t="str">
        <f t="shared" si="12"/>
        <v>Included</v>
      </c>
      <c r="K78" s="981"/>
      <c r="M78" s="285"/>
    </row>
    <row r="79" spans="1:13" s="965" customFormat="1">
      <c r="A79" s="1050">
        <f>A78+1</f>
        <v>58</v>
      </c>
      <c r="B79" s="1050">
        <f>+'Sch-1'!B79</f>
        <v>7000023516</v>
      </c>
      <c r="C79" s="1050">
        <f>+'Sch-1'!C79</f>
        <v>570</v>
      </c>
      <c r="D79" s="1050" t="str">
        <f>+'Sch-1'!D79</f>
        <v xml:space="preserve">Fire Fighting System                    </v>
      </c>
      <c r="E79" s="1050">
        <f>+'Sch-1'!E79</f>
        <v>1000012018</v>
      </c>
      <c r="F79" s="1048" t="str">
        <f>+'Sch-1'!J79</f>
        <v>Fire Detection and Alarm System for Switchyard Panel Room of 6 mlength</v>
      </c>
      <c r="G79" s="1050" t="str">
        <f>+'Sch-1'!K79</f>
        <v>SET</v>
      </c>
      <c r="H79" s="1050">
        <f>+'Sch-1'!L79</f>
        <v>3</v>
      </c>
      <c r="I79" s="1180"/>
      <c r="J79" s="1179" t="str">
        <f t="shared" si="12"/>
        <v>Included</v>
      </c>
      <c r="K79" s="981"/>
      <c r="M79" s="285"/>
    </row>
    <row r="80" spans="1:13" s="965" customFormat="1">
      <c r="A80" s="1050">
        <f t="shared" ref="A80:A89" si="13">A79+1</f>
        <v>59</v>
      </c>
      <c r="B80" s="1050">
        <f>+'Sch-1'!B80</f>
        <v>7000023516</v>
      </c>
      <c r="C80" s="1050">
        <f>+'Sch-1'!C80</f>
        <v>590</v>
      </c>
      <c r="D80" s="1050" t="str">
        <f>+'Sch-1'!D80</f>
        <v xml:space="preserve">Fire Fighting System                    </v>
      </c>
      <c r="E80" s="1050">
        <f>+'Sch-1'!E80</f>
        <v>1000012019</v>
      </c>
      <c r="F80" s="1048" t="str">
        <f>+'Sch-1'!J80</f>
        <v>Fire Detection and Alarm System for Switchyard Panel Room of 9 mlength</v>
      </c>
      <c r="G80" s="1050" t="str">
        <f>+'Sch-1'!K80</f>
        <v>SET</v>
      </c>
      <c r="H80" s="1050">
        <f>+'Sch-1'!L80</f>
        <v>2</v>
      </c>
      <c r="I80" s="1180"/>
      <c r="J80" s="1179" t="str">
        <f t="shared" si="12"/>
        <v>Included</v>
      </c>
      <c r="K80" s="981"/>
      <c r="M80" s="285"/>
    </row>
    <row r="81" spans="1:13" s="965" customFormat="1">
      <c r="A81" s="1050">
        <f t="shared" si="13"/>
        <v>60</v>
      </c>
      <c r="B81" s="1050">
        <f>+'Sch-1'!B81</f>
        <v>7000023516</v>
      </c>
      <c r="C81" s="1050">
        <f>+'Sch-1'!C81</f>
        <v>600</v>
      </c>
      <c r="D81" s="1050" t="str">
        <f>+'Sch-1'!D81</f>
        <v xml:space="preserve">Illumination System                     </v>
      </c>
      <c r="E81" s="1050">
        <f>+'Sch-1'!E81</f>
        <v>1000013795</v>
      </c>
      <c r="F81" s="1048" t="str">
        <f>+'Sch-1'!J81</f>
        <v>Illumination System for switchyard panel room of 6 m length</v>
      </c>
      <c r="G81" s="1050" t="str">
        <f>+'Sch-1'!K81</f>
        <v xml:space="preserve">LS </v>
      </c>
      <c r="H81" s="1050">
        <f>+'Sch-1'!L81</f>
        <v>3</v>
      </c>
      <c r="I81" s="1180"/>
      <c r="J81" s="1179" t="str">
        <f t="shared" si="12"/>
        <v>Included</v>
      </c>
      <c r="K81" s="981"/>
      <c r="M81" s="285"/>
    </row>
    <row r="82" spans="1:13" s="965" customFormat="1">
      <c r="A82" s="1050">
        <f t="shared" si="13"/>
        <v>61</v>
      </c>
      <c r="B82" s="1050">
        <f>+'Sch-1'!B82</f>
        <v>7000023516</v>
      </c>
      <c r="C82" s="1050">
        <f>+'Sch-1'!C82</f>
        <v>650</v>
      </c>
      <c r="D82" s="1050" t="str">
        <f>+'Sch-1'!D82</f>
        <v xml:space="preserve">Illumination System                     </v>
      </c>
      <c r="E82" s="1050">
        <f>+'Sch-1'!E82</f>
        <v>1000013796</v>
      </c>
      <c r="F82" s="1048" t="str">
        <f>+'Sch-1'!J82</f>
        <v>Illumination System for switchyard panel room of 9 m length</v>
      </c>
      <c r="G82" s="1050" t="str">
        <f>+'Sch-1'!K82</f>
        <v xml:space="preserve">LS </v>
      </c>
      <c r="H82" s="1050">
        <f>+'Sch-1'!L82</f>
        <v>2</v>
      </c>
      <c r="I82" s="1180"/>
      <c r="J82" s="1179" t="str">
        <f t="shared" si="12"/>
        <v>Included</v>
      </c>
      <c r="K82" s="981"/>
      <c r="M82" s="285"/>
    </row>
    <row r="83" spans="1:13" s="965" customFormat="1" ht="28.8">
      <c r="A83" s="1050">
        <f t="shared" si="13"/>
        <v>62</v>
      </c>
      <c r="B83" s="1050">
        <f>+'Sch-1'!B83</f>
        <v>7000023516</v>
      </c>
      <c r="C83" s="1050">
        <f>+'Sch-1'!C83</f>
        <v>620</v>
      </c>
      <c r="D83" s="1050" t="str">
        <f>+'Sch-1'!D83</f>
        <v xml:space="preserve">Illumination System                     </v>
      </c>
      <c r="E83" s="1050">
        <f>+'Sch-1'!E83</f>
        <v>1000038387</v>
      </c>
      <c r="F83" s="1048" t="str">
        <f>+'Sch-1'!J83</f>
        <v>LED FLOOD LIGHT LUMINARIESTYPE FL-1 (150W) AS PER TECHNICALSPECIFICATION</v>
      </c>
      <c r="G83" s="1050" t="str">
        <f>+'Sch-1'!K83</f>
        <v xml:space="preserve">EA </v>
      </c>
      <c r="H83" s="1050">
        <f>+'Sch-1'!L83</f>
        <v>20</v>
      </c>
      <c r="I83" s="1180"/>
      <c r="J83" s="1179" t="str">
        <f>IF(I83=0, "Included",IF(ISERROR(H83*I83), I83, H83*I83))</f>
        <v>Included</v>
      </c>
      <c r="K83" s="981"/>
      <c r="M83" s="285"/>
    </row>
    <row r="84" spans="1:13" s="965" customFormat="1" ht="28.8">
      <c r="A84" s="1050">
        <f t="shared" si="13"/>
        <v>63</v>
      </c>
      <c r="B84" s="1050">
        <f>+'Sch-1'!B84</f>
        <v>7000023516</v>
      </c>
      <c r="C84" s="1050">
        <f>+'Sch-1'!C84</f>
        <v>610</v>
      </c>
      <c r="D84" s="1050" t="str">
        <f>+'Sch-1'!D84</f>
        <v xml:space="preserve">Illumination System                     </v>
      </c>
      <c r="E84" s="1050">
        <f>+'Sch-1'!E84</f>
        <v>1000038325</v>
      </c>
      <c r="F84" s="1048" t="str">
        <f>+'Sch-1'!J84</f>
        <v>LIGHTING FIXTURE LED LUMINAIRES TYPE FL2 AS PER TECH. SPECIFICATIONS</v>
      </c>
      <c r="G84" s="1050" t="str">
        <f>+'Sch-1'!K84</f>
        <v xml:space="preserve">EA </v>
      </c>
      <c r="H84" s="1050">
        <f>+'Sch-1'!L84</f>
        <v>20</v>
      </c>
      <c r="I84" s="1180"/>
      <c r="J84" s="1179" t="str">
        <f t="shared" ref="J84:J93" si="14">IF(I84=0, "Included",IF(ISERROR(H84*I84), I84, H84*I84))</f>
        <v>Included</v>
      </c>
      <c r="K84" s="981"/>
      <c r="M84" s="285"/>
    </row>
    <row r="85" spans="1:13" s="965" customFormat="1">
      <c r="A85" s="1050">
        <f t="shared" si="13"/>
        <v>64</v>
      </c>
      <c r="B85" s="1050">
        <f>+'Sch-1'!B85</f>
        <v>7000023516</v>
      </c>
      <c r="C85" s="1050">
        <f>+'Sch-1'!C85</f>
        <v>640</v>
      </c>
      <c r="D85" s="1050" t="str">
        <f>+'Sch-1'!D85</f>
        <v xml:space="preserve">Illumination System                     </v>
      </c>
      <c r="E85" s="1050">
        <f>+'Sch-1'!E85</f>
        <v>1000014547</v>
      </c>
      <c r="F85" s="1048" t="str">
        <f>+'Sch-1'!J85</f>
        <v>Lighting Panel type ACP-2 as per technical specification</v>
      </c>
      <c r="G85" s="1050" t="str">
        <f>+'Sch-1'!K85</f>
        <v xml:space="preserve">EA </v>
      </c>
      <c r="H85" s="1050">
        <f>+'Sch-1'!L85</f>
        <v>3</v>
      </c>
      <c r="I85" s="1180"/>
      <c r="J85" s="1179" t="str">
        <f t="shared" si="14"/>
        <v>Included</v>
      </c>
      <c r="K85" s="981"/>
      <c r="M85" s="285"/>
    </row>
    <row r="86" spans="1:13" s="965" customFormat="1" ht="28.8">
      <c r="A86" s="1050">
        <f t="shared" si="13"/>
        <v>65</v>
      </c>
      <c r="B86" s="1050">
        <f>+'Sch-1'!B86</f>
        <v>7000023516</v>
      </c>
      <c r="C86" s="1050">
        <f>+'Sch-1'!C86</f>
        <v>670</v>
      </c>
      <c r="D86" s="1050" t="str">
        <f>+'Sch-1'!D86</f>
        <v xml:space="preserve">Illumination System                     </v>
      </c>
      <c r="E86" s="1050">
        <f>+'Sch-1'!E86</f>
        <v>1000038397</v>
      </c>
      <c r="F86" s="1048" t="str">
        <f>+'Sch-1'!J86</f>
        <v>TYPE L1 STREET LIGHTING POLE OF 6 METER AS PER TECHNICALSPECIFICATION.</v>
      </c>
      <c r="G86" s="1050" t="str">
        <f>+'Sch-1'!K86</f>
        <v xml:space="preserve">EA </v>
      </c>
      <c r="H86" s="1050">
        <f>+'Sch-1'!L86</f>
        <v>16</v>
      </c>
      <c r="I86" s="1180"/>
      <c r="J86" s="1179" t="str">
        <f t="shared" si="14"/>
        <v>Included</v>
      </c>
      <c r="K86" s="981"/>
      <c r="M86" s="285"/>
    </row>
    <row r="87" spans="1:13" s="965" customFormat="1" ht="28.8">
      <c r="A87" s="1050">
        <f t="shared" si="13"/>
        <v>66</v>
      </c>
      <c r="B87" s="1050">
        <f>+'Sch-1'!B87</f>
        <v>7000023516</v>
      </c>
      <c r="C87" s="1050">
        <f>+'Sch-1'!C87</f>
        <v>680</v>
      </c>
      <c r="D87" s="1050" t="str">
        <f>+'Sch-1'!D87</f>
        <v xml:space="preserve">Illumination System                     </v>
      </c>
      <c r="E87" s="1050">
        <f>+'Sch-1'!E87</f>
        <v>1000038389</v>
      </c>
      <c r="F87" s="1048" t="str">
        <f>+'Sch-1'!J87</f>
        <v>LED STREET LIGHT LUMINAIRE TYPE SL-L1 (= 45W)AS PER TECHNICALSPECIFICATION</v>
      </c>
      <c r="G87" s="1050" t="str">
        <f>+'Sch-1'!K87</f>
        <v xml:space="preserve">EA </v>
      </c>
      <c r="H87" s="1050">
        <f>+'Sch-1'!L87</f>
        <v>16</v>
      </c>
      <c r="I87" s="1180"/>
      <c r="J87" s="1179" t="str">
        <f t="shared" si="14"/>
        <v>Included</v>
      </c>
      <c r="K87" s="981"/>
      <c r="M87" s="285"/>
    </row>
    <row r="88" spans="1:13" s="965" customFormat="1">
      <c r="A88" s="1050">
        <f t="shared" si="13"/>
        <v>67</v>
      </c>
      <c r="B88" s="1050">
        <f>+'Sch-1'!B88</f>
        <v>7000023516</v>
      </c>
      <c r="C88" s="1050">
        <f>+'Sch-1'!C88</f>
        <v>660</v>
      </c>
      <c r="D88" s="1050" t="str">
        <f>+'Sch-1'!D88</f>
        <v xml:space="preserve">Illumination System                     </v>
      </c>
      <c r="E88" s="1050">
        <f>+'Sch-1'!E88</f>
        <v>1000038385</v>
      </c>
      <c r="F88" s="1048" t="str">
        <f>+'Sch-1'!J88</f>
        <v>FIRE WALL MOUNTED LED LUMINARIE TYPE FL-2 (250W)</v>
      </c>
      <c r="G88" s="1050" t="str">
        <f>+'Sch-1'!K88</f>
        <v xml:space="preserve">EA </v>
      </c>
      <c r="H88" s="1050">
        <f>+'Sch-1'!L88</f>
        <v>4</v>
      </c>
      <c r="I88" s="1180"/>
      <c r="J88" s="1179" t="str">
        <f t="shared" si="14"/>
        <v>Included</v>
      </c>
      <c r="K88" s="981"/>
      <c r="M88" s="285"/>
    </row>
    <row r="89" spans="1:13" s="965" customFormat="1" ht="28.8">
      <c r="A89" s="1050">
        <f t="shared" si="13"/>
        <v>68</v>
      </c>
      <c r="B89" s="1050">
        <f>+'Sch-1'!B89</f>
        <v>7000023516</v>
      </c>
      <c r="C89" s="1050">
        <f>+'Sch-1'!C89</f>
        <v>690</v>
      </c>
      <c r="D89" s="1050" t="str">
        <f>+'Sch-1'!D89</f>
        <v xml:space="preserve">Illumination System                     </v>
      </c>
      <c r="E89" s="1050">
        <f>+'Sch-1'!E89</f>
        <v>1000004952</v>
      </c>
      <c r="F89" s="1048" t="str">
        <f>+'Sch-1'!J89</f>
        <v>63A, 415V : Interlocked switch socket outdoor Receptacle (type RP) asper technical specifications</v>
      </c>
      <c r="G89" s="1050" t="str">
        <f>+'Sch-1'!K89</f>
        <v xml:space="preserve">EA </v>
      </c>
      <c r="H89" s="1050">
        <f>+'Sch-1'!L89</f>
        <v>2</v>
      </c>
      <c r="I89" s="1180"/>
      <c r="J89" s="1179" t="str">
        <f t="shared" si="14"/>
        <v>Included</v>
      </c>
      <c r="K89" s="981"/>
      <c r="M89" s="285"/>
    </row>
    <row r="90" spans="1:13" s="965" customFormat="1">
      <c r="A90" s="1050">
        <f>A89+1</f>
        <v>69</v>
      </c>
      <c r="B90" s="1050">
        <f>+'Sch-1'!B90</f>
        <v>7000023516</v>
      </c>
      <c r="C90" s="1050">
        <f>+'Sch-1'!C90</f>
        <v>630</v>
      </c>
      <c r="D90" s="1050" t="str">
        <f>+'Sch-1'!D90</f>
        <v xml:space="preserve">Illumination System                     </v>
      </c>
      <c r="E90" s="1050">
        <f>+'Sch-1'!E90</f>
        <v>1000001894</v>
      </c>
      <c r="F90" s="1048" t="str">
        <f>+'Sch-1'!J90</f>
        <v>Outdoor Power Receptacle for oilfiltration unit (250A)</v>
      </c>
      <c r="G90" s="1050" t="str">
        <f>+'Sch-1'!K90</f>
        <v xml:space="preserve">EA </v>
      </c>
      <c r="H90" s="1050">
        <f>+'Sch-1'!L90</f>
        <v>1</v>
      </c>
      <c r="I90" s="1180"/>
      <c r="J90" s="1179" t="str">
        <f t="shared" si="14"/>
        <v>Included</v>
      </c>
      <c r="K90" s="981"/>
      <c r="M90" s="285"/>
    </row>
    <row r="91" spans="1:13" s="965" customFormat="1" ht="43.2">
      <c r="A91" s="1050">
        <f t="shared" ref="A91:A100" si="15">A90+1</f>
        <v>70</v>
      </c>
      <c r="B91" s="1050">
        <f>+'Sch-1'!B91</f>
        <v>7000023516</v>
      </c>
      <c r="C91" s="1050">
        <f>+'Sch-1'!C91</f>
        <v>700</v>
      </c>
      <c r="D91" s="1050" t="str">
        <f>+'Sch-1'!D91</f>
        <v xml:space="preserve">400kV Equipment support structures      </v>
      </c>
      <c r="E91" s="1050">
        <f>+'Sch-1'!E91</f>
        <v>1000020194</v>
      </c>
      <c r="F91" s="1048" t="str">
        <f>+'Sch-1'!J91</f>
        <v>Fabrication, galvanising and supply ofStandard Pipe Structure - 400 kV,3-Phase,  ISOLATOR including nuts,bolts, all type of washers, packplates,step bolts and gusset plates excludingfoundation bolts</v>
      </c>
      <c r="G91" s="1050" t="str">
        <f>+'Sch-1'!K91</f>
        <v xml:space="preserve">EA </v>
      </c>
      <c r="H91" s="1050">
        <f>+'Sch-1'!L91</f>
        <v>4</v>
      </c>
      <c r="I91" s="1180"/>
      <c r="J91" s="1179" t="str">
        <f t="shared" si="14"/>
        <v>Included</v>
      </c>
      <c r="K91" s="981"/>
      <c r="M91" s="285"/>
    </row>
    <row r="92" spans="1:13" s="965" customFormat="1" ht="43.2">
      <c r="A92" s="1050">
        <f t="shared" si="15"/>
        <v>71</v>
      </c>
      <c r="B92" s="1050">
        <f>+'Sch-1'!B92</f>
        <v>7000023516</v>
      </c>
      <c r="C92" s="1050">
        <f>+'Sch-1'!C92</f>
        <v>710</v>
      </c>
      <c r="D92" s="1050" t="str">
        <f>+'Sch-1'!D92</f>
        <v xml:space="preserve">400kV Equipment support structures      </v>
      </c>
      <c r="E92" s="1050">
        <f>+'Sch-1'!E92</f>
        <v>1000020192</v>
      </c>
      <c r="F92" s="1048" t="str">
        <f>+'Sch-1'!J92</f>
        <v>Fabrication, galvanising and supply ofStandard Pipe Structure - 400 kV,1-Phase,  CT including nuts, bolts, alltype of washers, packplates, step boltsand gusset plates excluding foundationbolts</v>
      </c>
      <c r="G92" s="1050" t="str">
        <f>+'Sch-1'!K92</f>
        <v xml:space="preserve">EA </v>
      </c>
      <c r="H92" s="1050">
        <f>+'Sch-1'!L92</f>
        <v>6</v>
      </c>
      <c r="I92" s="1180"/>
      <c r="J92" s="1179" t="str">
        <f t="shared" si="14"/>
        <v>Included</v>
      </c>
      <c r="K92" s="981"/>
      <c r="M92" s="285"/>
    </row>
    <row r="93" spans="1:13" s="965" customFormat="1" ht="43.2">
      <c r="A93" s="1050">
        <f t="shared" si="15"/>
        <v>72</v>
      </c>
      <c r="B93" s="1050">
        <f>+'Sch-1'!B93</f>
        <v>7000023516</v>
      </c>
      <c r="C93" s="1050">
        <f>+'Sch-1'!C93</f>
        <v>720</v>
      </c>
      <c r="D93" s="1050" t="str">
        <f>+'Sch-1'!D93</f>
        <v xml:space="preserve">400kV Equipment support structures      </v>
      </c>
      <c r="E93" s="1050">
        <f>+'Sch-1'!E93</f>
        <v>1000020195</v>
      </c>
      <c r="F93" s="1048" t="str">
        <f>+'Sch-1'!J93</f>
        <v>Fabrication, galvanising and supply ofStandard Pipe Structure - 400 kV,1-Phase,   SA including nuts, bolts,all type of washers, packplates, stepbolts and gusset plates excludingfoundation bolts</v>
      </c>
      <c r="G93" s="1050" t="str">
        <f>+'Sch-1'!K93</f>
        <v xml:space="preserve">EA </v>
      </c>
      <c r="H93" s="1050">
        <f>+'Sch-1'!L93</f>
        <v>6</v>
      </c>
      <c r="I93" s="1180"/>
      <c r="J93" s="1179" t="str">
        <f t="shared" si="14"/>
        <v>Included</v>
      </c>
      <c r="K93" s="981"/>
      <c r="M93" s="285"/>
    </row>
    <row r="94" spans="1:13" s="965" customFormat="1" ht="28.8">
      <c r="A94" s="1050">
        <f t="shared" si="15"/>
        <v>73</v>
      </c>
      <c r="B94" s="1050">
        <f>+'Sch-1'!B94</f>
        <v>7000023516</v>
      </c>
      <c r="C94" s="1050">
        <f>+'Sch-1'!C94</f>
        <v>730</v>
      </c>
      <c r="D94" s="1050" t="str">
        <f>+'Sch-1'!D94</f>
        <v xml:space="preserve">400kV Equipment support structures      </v>
      </c>
      <c r="E94" s="1050">
        <f>+'Sch-1'!E94</f>
        <v>1000017567</v>
      </c>
      <c r="F94" s="1048" t="str">
        <f>+'Sch-1'!J94</f>
        <v>Standard Pipe Structure for 400kV BPI (excluding wave trap)</v>
      </c>
      <c r="G94" s="1050" t="str">
        <f>+'Sch-1'!K94</f>
        <v xml:space="preserve">EA </v>
      </c>
      <c r="H94" s="1050">
        <f>+'Sch-1'!L94</f>
        <v>6</v>
      </c>
      <c r="I94" s="1180"/>
      <c r="J94" s="1179" t="str">
        <f>IF(I94=0, "Included",IF(ISERROR(H94*I94), I94, H94*I94))</f>
        <v>Included</v>
      </c>
      <c r="K94" s="981"/>
      <c r="M94" s="285"/>
    </row>
    <row r="95" spans="1:13" s="965" customFormat="1" ht="43.2">
      <c r="A95" s="1050">
        <f t="shared" si="15"/>
        <v>74</v>
      </c>
      <c r="B95" s="1050">
        <f>+'Sch-1'!B95</f>
        <v>7000023516</v>
      </c>
      <c r="C95" s="1050">
        <f>+'Sch-1'!C95</f>
        <v>740</v>
      </c>
      <c r="D95" s="1050" t="str">
        <f>+'Sch-1'!D95</f>
        <v xml:space="preserve">220kV Gantry Structure                  </v>
      </c>
      <c r="E95" s="1050">
        <f>+'Sch-1'!E95</f>
        <v>1000020086</v>
      </c>
      <c r="F95" s="1048" t="str">
        <f>+'Sch-1'!J95</f>
        <v>Fabrication, galvanising and supply of Standard 220 kV Gantry B1including nuts, bolts, all type of washers, packplates, step bolts andgusset plates excluding foundation bolts</v>
      </c>
      <c r="G95" s="1050" t="str">
        <f>+'Sch-1'!K95</f>
        <v xml:space="preserve">EA </v>
      </c>
      <c r="H95" s="1050">
        <f>+'Sch-1'!L95</f>
        <v>21</v>
      </c>
      <c r="I95" s="1180"/>
      <c r="J95" s="1179" t="str">
        <f t="shared" ref="J95:J98" si="16">IF(I95=0, "Included",IF(ISERROR(H95*I95), I95, H95*I95))</f>
        <v>Included</v>
      </c>
      <c r="K95" s="981"/>
      <c r="M95" s="285"/>
    </row>
    <row r="96" spans="1:13" s="965" customFormat="1" ht="43.2">
      <c r="A96" s="1050">
        <f t="shared" si="15"/>
        <v>75</v>
      </c>
      <c r="B96" s="1050">
        <f>+'Sch-1'!B96</f>
        <v>7000023516</v>
      </c>
      <c r="C96" s="1050">
        <f>+'Sch-1'!C96</f>
        <v>750</v>
      </c>
      <c r="D96" s="1050" t="str">
        <f>+'Sch-1'!D96</f>
        <v xml:space="preserve">220kV Gantry Structure                  </v>
      </c>
      <c r="E96" s="1050">
        <f>+'Sch-1'!E96</f>
        <v>1000020088</v>
      </c>
      <c r="F96" s="1048" t="str">
        <f>+'Sch-1'!J96</f>
        <v>Fabrication, galvanising and supply of Standard 220 kV Gantry BG1including nuts, bolts, all type of washers, packplates, step bolts andgusset plates excluding foundation bolts</v>
      </c>
      <c r="G96" s="1050" t="str">
        <f>+'Sch-1'!K96</f>
        <v xml:space="preserve">EA </v>
      </c>
      <c r="H96" s="1050">
        <f>+'Sch-1'!L96</f>
        <v>14</v>
      </c>
      <c r="I96" s="1180"/>
      <c r="J96" s="1179" t="str">
        <f t="shared" si="16"/>
        <v>Included</v>
      </c>
      <c r="K96" s="981"/>
      <c r="M96" s="285"/>
    </row>
    <row r="97" spans="1:13" s="965" customFormat="1" ht="43.2">
      <c r="A97" s="1050">
        <f t="shared" si="15"/>
        <v>76</v>
      </c>
      <c r="B97" s="1050">
        <f>+'Sch-1'!B97</f>
        <v>7000023516</v>
      </c>
      <c r="C97" s="1050">
        <f>+'Sch-1'!C97</f>
        <v>760</v>
      </c>
      <c r="D97" s="1050" t="str">
        <f>+'Sch-1'!D97</f>
        <v xml:space="preserve">220kV Gantry Structure                  </v>
      </c>
      <c r="E97" s="1050">
        <f>+'Sch-1'!E97</f>
        <v>1000020097</v>
      </c>
      <c r="F97" s="1048" t="str">
        <f>+'Sch-1'!J97</f>
        <v>Fabrication, galvanising and supply of Standard 220 kV Tower CAincluding nuts, bolts, all type of washers, packplates, step bolts andgusset plates excluding foundation bolts</v>
      </c>
      <c r="G97" s="1050" t="str">
        <f>+'Sch-1'!K97</f>
        <v xml:space="preserve">EA </v>
      </c>
      <c r="H97" s="1050">
        <f>+'Sch-1'!L97</f>
        <v>12</v>
      </c>
      <c r="I97" s="1180"/>
      <c r="J97" s="1179" t="str">
        <f t="shared" si="16"/>
        <v>Included</v>
      </c>
      <c r="K97" s="981"/>
      <c r="M97" s="285"/>
    </row>
    <row r="98" spans="1:13" s="965" customFormat="1" ht="43.2">
      <c r="A98" s="1050">
        <f t="shared" si="15"/>
        <v>77</v>
      </c>
      <c r="B98" s="1050">
        <f>+'Sch-1'!B98</f>
        <v>7000023516</v>
      </c>
      <c r="C98" s="1050">
        <f>+'Sch-1'!C98</f>
        <v>770</v>
      </c>
      <c r="D98" s="1050" t="str">
        <f>+'Sch-1'!D98</f>
        <v xml:space="preserve">220kV Gantry Structure                  </v>
      </c>
      <c r="E98" s="1050">
        <f>+'Sch-1'!E98</f>
        <v>1000020098</v>
      </c>
      <c r="F98" s="1048" t="str">
        <f>+'Sch-1'!J98</f>
        <v>Fabrication, galvanising and supply of Standard 220 kV Tower CBincluding nuts, bolts, all type of washers, packplates, step bolts andgusset plates excluding foundation bolts</v>
      </c>
      <c r="G98" s="1050" t="str">
        <f>+'Sch-1'!K98</f>
        <v xml:space="preserve">EA </v>
      </c>
      <c r="H98" s="1050">
        <f>+'Sch-1'!L98</f>
        <v>12</v>
      </c>
      <c r="I98" s="1180"/>
      <c r="J98" s="1179" t="str">
        <f t="shared" si="16"/>
        <v>Included</v>
      </c>
      <c r="K98" s="981"/>
      <c r="M98" s="285"/>
    </row>
    <row r="99" spans="1:13" s="965" customFormat="1" ht="43.2">
      <c r="A99" s="1050">
        <f t="shared" si="15"/>
        <v>78</v>
      </c>
      <c r="B99" s="1050">
        <f>+'Sch-1'!B99</f>
        <v>7000023516</v>
      </c>
      <c r="C99" s="1050">
        <f>+'Sch-1'!C99</f>
        <v>780</v>
      </c>
      <c r="D99" s="1050" t="str">
        <f>+'Sch-1'!D99</f>
        <v xml:space="preserve">220kV Gantry Structure                  </v>
      </c>
      <c r="E99" s="1050">
        <f>+'Sch-1'!E99</f>
        <v>1000020103</v>
      </c>
      <c r="F99" s="1048" t="str">
        <f>+'Sch-1'!J99</f>
        <v>Fabrication, galvanising and supply of Standard 220 kV Tower CTAincluding nuts, bolts, all type of washers, packplates, step bolts andgusset plates excluding foundation bolts</v>
      </c>
      <c r="G99" s="1050" t="str">
        <f>+'Sch-1'!K99</f>
        <v xml:space="preserve">EA </v>
      </c>
      <c r="H99" s="1050">
        <f>+'Sch-1'!L99</f>
        <v>1</v>
      </c>
      <c r="I99" s="1180"/>
      <c r="J99" s="1179" t="str">
        <f t="shared" si="5"/>
        <v>Included</v>
      </c>
      <c r="K99" s="981"/>
      <c r="M99" s="285"/>
    </row>
    <row r="100" spans="1:13" s="965" customFormat="1" ht="43.2">
      <c r="A100" s="1050">
        <f t="shared" si="15"/>
        <v>79</v>
      </c>
      <c r="B100" s="1050">
        <f>+'Sch-1'!B100</f>
        <v>7000023516</v>
      </c>
      <c r="C100" s="1050">
        <f>+'Sch-1'!C100</f>
        <v>790</v>
      </c>
      <c r="D100" s="1050" t="str">
        <f>+'Sch-1'!D100</f>
        <v xml:space="preserve">220kV Gantry Structure                  </v>
      </c>
      <c r="E100" s="1050">
        <f>+'Sch-1'!E100</f>
        <v>1000020109</v>
      </c>
      <c r="F100" s="1048" t="str">
        <f>+'Sch-1'!J100</f>
        <v>Fabrication, galvanising and supply of Standard 220 kV Tower CTGincluding nuts, bolts, all type of washers, packplates, step bolts andgusset plates excluding foundation bolts</v>
      </c>
      <c r="G100" s="1050" t="str">
        <f>+'Sch-1'!K100</f>
        <v xml:space="preserve">EA </v>
      </c>
      <c r="H100" s="1050">
        <f>+'Sch-1'!L100</f>
        <v>4</v>
      </c>
      <c r="I100" s="1180"/>
      <c r="J100" s="1179" t="str">
        <f t="shared" si="5"/>
        <v>Included</v>
      </c>
      <c r="K100" s="981"/>
      <c r="M100" s="285"/>
    </row>
    <row r="101" spans="1:13" s="965" customFormat="1" ht="43.2">
      <c r="A101" s="1050">
        <f>A100+1</f>
        <v>80</v>
      </c>
      <c r="B101" s="1050">
        <f>+'Sch-1'!B101</f>
        <v>7000023516</v>
      </c>
      <c r="C101" s="1050">
        <f>+'Sch-1'!C101</f>
        <v>800</v>
      </c>
      <c r="D101" s="1050" t="str">
        <f>+'Sch-1'!D101</f>
        <v xml:space="preserve">220kV Gantry Structure                  </v>
      </c>
      <c r="E101" s="1050">
        <f>+'Sch-1'!E101</f>
        <v>1000020110</v>
      </c>
      <c r="F101" s="1048" t="str">
        <f>+'Sch-1'!J101</f>
        <v>Fabrication, galvanising and supply of Standard 220 kV Tower CTHincluding nuts, bolts, all type of washers, packplates, step bolts andgusset plates excluding foundation bolts</v>
      </c>
      <c r="G101" s="1050" t="str">
        <f>+'Sch-1'!K101</f>
        <v xml:space="preserve">EA </v>
      </c>
      <c r="H101" s="1050">
        <f>+'Sch-1'!L101</f>
        <v>4</v>
      </c>
      <c r="I101" s="1180"/>
      <c r="J101" s="1179" t="str">
        <f t="shared" si="5"/>
        <v>Included</v>
      </c>
      <c r="K101" s="981"/>
      <c r="M101" s="285"/>
    </row>
    <row r="102" spans="1:13" s="965" customFormat="1" ht="43.2">
      <c r="A102" s="1050">
        <f t="shared" ref="A102:A111" si="17">A101+1</f>
        <v>81</v>
      </c>
      <c r="B102" s="1050">
        <f>+'Sch-1'!B102</f>
        <v>7000023516</v>
      </c>
      <c r="C102" s="1050">
        <f>+'Sch-1'!C102</f>
        <v>810</v>
      </c>
      <c r="D102" s="1050" t="str">
        <f>+'Sch-1'!D102</f>
        <v xml:space="preserve">220kV Gantry Structure                  </v>
      </c>
      <c r="E102" s="1050">
        <f>+'Sch-1'!E102</f>
        <v>1000020111</v>
      </c>
      <c r="F102" s="1048" t="str">
        <f>+'Sch-1'!J102</f>
        <v>Fabrication, galvanising and supply of Standard 220 kV Tower CTIincluding nuts, bolts, all type of washers, packplates, step bolts andgusset plates excluding foundation bolts</v>
      </c>
      <c r="G102" s="1050" t="str">
        <f>+'Sch-1'!K102</f>
        <v xml:space="preserve">EA </v>
      </c>
      <c r="H102" s="1050">
        <f>+'Sch-1'!L102</f>
        <v>8</v>
      </c>
      <c r="I102" s="1180"/>
      <c r="J102" s="1179" t="str">
        <f t="shared" si="5"/>
        <v>Included</v>
      </c>
      <c r="K102" s="981"/>
      <c r="M102" s="285"/>
    </row>
    <row r="103" spans="1:13" s="965" customFormat="1" ht="43.2">
      <c r="A103" s="1050">
        <f t="shared" si="17"/>
        <v>82</v>
      </c>
      <c r="B103" s="1050">
        <f>+'Sch-1'!B103</f>
        <v>7000023516</v>
      </c>
      <c r="C103" s="1050">
        <f>+'Sch-1'!C103</f>
        <v>820</v>
      </c>
      <c r="D103" s="1050" t="str">
        <f>+'Sch-1'!D103</f>
        <v xml:space="preserve">220kV Gantry Structure                  </v>
      </c>
      <c r="E103" s="1050">
        <f>+'Sch-1'!E103</f>
        <v>1000020112</v>
      </c>
      <c r="F103" s="1048" t="str">
        <f>+'Sch-1'!J103</f>
        <v>Fabrication, galvanising and supply of Standard 220 kV Tower CTJincluding nuts, bolts, all type of washers, packplates, step bolts andgusset plates excluding foundation bolts</v>
      </c>
      <c r="G103" s="1050" t="str">
        <f>+'Sch-1'!K103</f>
        <v xml:space="preserve">EA </v>
      </c>
      <c r="H103" s="1050">
        <f>+'Sch-1'!L103</f>
        <v>1</v>
      </c>
      <c r="I103" s="1180"/>
      <c r="J103" s="1179" t="str">
        <f t="shared" si="5"/>
        <v>Included</v>
      </c>
      <c r="K103" s="981"/>
      <c r="M103" s="285"/>
    </row>
    <row r="104" spans="1:13" s="965" customFormat="1" ht="43.2">
      <c r="A104" s="1050">
        <f t="shared" si="17"/>
        <v>83</v>
      </c>
      <c r="B104" s="1050">
        <f>+'Sch-1'!B104</f>
        <v>7000023516</v>
      </c>
      <c r="C104" s="1050">
        <f>+'Sch-1'!C104</f>
        <v>830</v>
      </c>
      <c r="D104" s="1050" t="str">
        <f>+'Sch-1'!D104</f>
        <v xml:space="preserve">220kV Gantry Structure                  </v>
      </c>
      <c r="E104" s="1050">
        <f>+'Sch-1'!E104</f>
        <v>1000020113</v>
      </c>
      <c r="F104" s="1048" t="str">
        <f>+'Sch-1'!J104</f>
        <v>Fabrication, galvanising and supply of Standard 220 kV Tower CTKincluding nuts, bolts, all type of washers, packplates, step bolts andgusset plates excluding foundation bolts</v>
      </c>
      <c r="G104" s="1050" t="str">
        <f>+'Sch-1'!K104</f>
        <v xml:space="preserve">EA </v>
      </c>
      <c r="H104" s="1050">
        <f>+'Sch-1'!L104</f>
        <v>3</v>
      </c>
      <c r="I104" s="1180"/>
      <c r="J104" s="1179" t="str">
        <f t="shared" si="5"/>
        <v>Included</v>
      </c>
      <c r="K104" s="981"/>
      <c r="M104" s="285"/>
    </row>
    <row r="105" spans="1:13" s="965" customFormat="1" ht="43.2">
      <c r="A105" s="1050">
        <f t="shared" si="17"/>
        <v>84</v>
      </c>
      <c r="B105" s="1050">
        <f>+'Sch-1'!B105</f>
        <v>7000023516</v>
      </c>
      <c r="C105" s="1050">
        <f>+'Sch-1'!C105</f>
        <v>840</v>
      </c>
      <c r="D105" s="1050" t="str">
        <f>+'Sch-1'!D105</f>
        <v xml:space="preserve">220kV Equipment support structures      </v>
      </c>
      <c r="E105" s="1050">
        <f>+'Sch-1'!E105</f>
        <v>1000020189</v>
      </c>
      <c r="F105" s="1048" t="str">
        <f>+'Sch-1'!J105</f>
        <v>Fabrication, galvanising and supply of Standard Pipe Structure - 220kV  ISOLATOR including nuts, bolts, all type of washers, packplates,step bolts and gusset plates excluding foundation bolts</v>
      </c>
      <c r="G105" s="1050" t="str">
        <f>+'Sch-1'!K105</f>
        <v xml:space="preserve">EA </v>
      </c>
      <c r="H105" s="1050">
        <f>+'Sch-1'!L105</f>
        <v>29</v>
      </c>
      <c r="I105" s="1180"/>
      <c r="J105" s="1179" t="str">
        <f>IF(I105=0, "Included",IF(ISERROR(H105*I105), I105, H105*I105))</f>
        <v>Included</v>
      </c>
      <c r="K105" s="981"/>
      <c r="M105" s="285"/>
    </row>
    <row r="106" spans="1:13" s="965" customFormat="1" ht="43.2">
      <c r="A106" s="1050">
        <f t="shared" si="17"/>
        <v>85</v>
      </c>
      <c r="B106" s="1050">
        <f>+'Sch-1'!B106</f>
        <v>7000023516</v>
      </c>
      <c r="C106" s="1050">
        <f>+'Sch-1'!C106</f>
        <v>850</v>
      </c>
      <c r="D106" s="1050" t="str">
        <f>+'Sch-1'!D106</f>
        <v xml:space="preserve">220kV Equipment support structures      </v>
      </c>
      <c r="E106" s="1050">
        <f>+'Sch-1'!E106</f>
        <v>1000020187</v>
      </c>
      <c r="F106" s="1048" t="str">
        <f>+'Sch-1'!J106</f>
        <v>Fabrication, galvanising and supply of Standard Pipe Structure - 220kV  CT including nuts, bolts, all type of washers, packplates, stepbolts and gusset plates excluding foundation bolts</v>
      </c>
      <c r="G106" s="1050" t="str">
        <f>+'Sch-1'!K106</f>
        <v xml:space="preserve">EA </v>
      </c>
      <c r="H106" s="1050">
        <f>+'Sch-1'!L106</f>
        <v>24</v>
      </c>
      <c r="I106" s="1180"/>
      <c r="J106" s="1179" t="str">
        <f t="shared" ref="J106:J110" si="18">IF(I106=0, "Included",IF(ISERROR(H106*I106), I106, H106*I106))</f>
        <v>Included</v>
      </c>
      <c r="K106" s="981"/>
      <c r="M106" s="285"/>
    </row>
    <row r="107" spans="1:13" s="965" customFormat="1" ht="43.2">
      <c r="A107" s="1050">
        <f t="shared" si="17"/>
        <v>86</v>
      </c>
      <c r="B107" s="1050">
        <f>+'Sch-1'!B107</f>
        <v>7000023516</v>
      </c>
      <c r="C107" s="1050">
        <f>+'Sch-1'!C107</f>
        <v>860</v>
      </c>
      <c r="D107" s="1050" t="str">
        <f>+'Sch-1'!D107</f>
        <v xml:space="preserve">220kV Equipment support structures      </v>
      </c>
      <c r="E107" s="1050">
        <f>+'Sch-1'!E107</f>
        <v>1000020188</v>
      </c>
      <c r="F107" s="1048" t="str">
        <f>+'Sch-1'!J107</f>
        <v>Fabrication, galvanising and supply of Standard Pipe Structure - 220kV  CVT including nuts, bolts, all type of washers, packplates, stepbolts and gusset plates excluding foundation bolts</v>
      </c>
      <c r="G107" s="1050" t="str">
        <f>+'Sch-1'!K107</f>
        <v xml:space="preserve">EA </v>
      </c>
      <c r="H107" s="1050">
        <f>+'Sch-1'!L107</f>
        <v>18</v>
      </c>
      <c r="I107" s="1180"/>
      <c r="J107" s="1179" t="str">
        <f t="shared" si="18"/>
        <v>Included</v>
      </c>
      <c r="K107" s="981"/>
      <c r="M107" s="285"/>
    </row>
    <row r="108" spans="1:13" s="965" customFormat="1" ht="43.2">
      <c r="A108" s="1050">
        <f t="shared" si="17"/>
        <v>87</v>
      </c>
      <c r="B108" s="1050">
        <f>+'Sch-1'!B108</f>
        <v>7000023516</v>
      </c>
      <c r="C108" s="1050">
        <f>+'Sch-1'!C108</f>
        <v>870</v>
      </c>
      <c r="D108" s="1050" t="str">
        <f>+'Sch-1'!D108</f>
        <v xml:space="preserve">220kV Equipment support structures      </v>
      </c>
      <c r="E108" s="1050">
        <f>+'Sch-1'!E108</f>
        <v>1000020190</v>
      </c>
      <c r="F108" s="1048" t="str">
        <f>+'Sch-1'!J108</f>
        <v>Fabrication, galvanising and supply of Standard Pipe Structure - 220kV  SA including nuts, bolts, all type of washers, packplates, stepbolts and gusset plates excluding foundation bolts</v>
      </c>
      <c r="G108" s="1050" t="str">
        <f>+'Sch-1'!K108</f>
        <v xml:space="preserve">EA </v>
      </c>
      <c r="H108" s="1050">
        <f>+'Sch-1'!L108</f>
        <v>18</v>
      </c>
      <c r="I108" s="1180"/>
      <c r="J108" s="1179" t="str">
        <f t="shared" si="18"/>
        <v>Included</v>
      </c>
      <c r="K108" s="981"/>
      <c r="M108" s="285"/>
    </row>
    <row r="109" spans="1:13" s="965" customFormat="1" ht="28.8">
      <c r="A109" s="1050">
        <f t="shared" si="17"/>
        <v>88</v>
      </c>
      <c r="B109" s="1050">
        <f>+'Sch-1'!B109</f>
        <v>7000023516</v>
      </c>
      <c r="C109" s="1050">
        <f>+'Sch-1'!C109</f>
        <v>880</v>
      </c>
      <c r="D109" s="1050" t="str">
        <f>+'Sch-1'!D109</f>
        <v xml:space="preserve">220kV Equipment support structures      </v>
      </c>
      <c r="E109" s="1050">
        <f>+'Sch-1'!E109</f>
        <v>1000017563</v>
      </c>
      <c r="F109" s="1048" t="str">
        <f>+'Sch-1'!J109</f>
        <v>Standard Pipe Structure for 220kV BPI for WT (1- phase)</v>
      </c>
      <c r="G109" s="1050" t="str">
        <f>+'Sch-1'!K109</f>
        <v xml:space="preserve">EA </v>
      </c>
      <c r="H109" s="1050">
        <f>+'Sch-1'!L109</f>
        <v>12</v>
      </c>
      <c r="I109" s="1180"/>
      <c r="J109" s="1179" t="str">
        <f t="shared" si="18"/>
        <v>Included</v>
      </c>
      <c r="K109" s="981"/>
      <c r="M109" s="285"/>
    </row>
    <row r="110" spans="1:13" s="965" customFormat="1" ht="28.8">
      <c r="A110" s="1050">
        <f t="shared" si="17"/>
        <v>89</v>
      </c>
      <c r="B110" s="1050">
        <f>+'Sch-1'!B110</f>
        <v>7000023516</v>
      </c>
      <c r="C110" s="1050">
        <f>+'Sch-1'!C110</f>
        <v>890</v>
      </c>
      <c r="D110" s="1050" t="str">
        <f>+'Sch-1'!D110</f>
        <v xml:space="preserve">220kV Equipment support structures      </v>
      </c>
      <c r="E110" s="1050">
        <f>+'Sch-1'!E110</f>
        <v>1000017562</v>
      </c>
      <c r="F110" s="1048" t="str">
        <f>+'Sch-1'!J110</f>
        <v>Standard Pipe Structure for 220kV BPI (excluding wave trap)</v>
      </c>
      <c r="G110" s="1050" t="str">
        <f>+'Sch-1'!K110</f>
        <v xml:space="preserve">EA </v>
      </c>
      <c r="H110" s="1050">
        <f>+'Sch-1'!L110</f>
        <v>68</v>
      </c>
      <c r="I110" s="1180"/>
      <c r="J110" s="1179" t="str">
        <f t="shared" si="18"/>
        <v>Included</v>
      </c>
      <c r="K110" s="981"/>
      <c r="M110" s="285"/>
    </row>
    <row r="111" spans="1:13" s="965" customFormat="1" ht="43.2">
      <c r="A111" s="1050">
        <f t="shared" si="17"/>
        <v>90</v>
      </c>
      <c r="B111" s="1050">
        <f>+'Sch-1'!B111</f>
        <v>7000023516</v>
      </c>
      <c r="C111" s="1050">
        <f>+'Sch-1'!C111</f>
        <v>900</v>
      </c>
      <c r="D111" s="1050" t="str">
        <f>+'Sch-1'!D111</f>
        <v xml:space="preserve">220kV Equipment support structures      </v>
      </c>
      <c r="E111" s="1050">
        <f>+'Sch-1'!E111</f>
        <v>1000017565</v>
      </c>
      <c r="F111" s="1048" t="str">
        <f>+'Sch-1'!J111</f>
        <v>Fabrication, galvanising and supply of Std Pipe Structure - 220 kV highBPI including nuts, bolts, all type of washers, packplates, step boltsand gusset plates excluding foundation bolts</v>
      </c>
      <c r="G111" s="1050" t="str">
        <f>+'Sch-1'!K111</f>
        <v xml:space="preserve">EA </v>
      </c>
      <c r="H111" s="1050">
        <f>+'Sch-1'!L111</f>
        <v>24</v>
      </c>
      <c r="I111" s="1180"/>
      <c r="J111" s="1179" t="str">
        <f t="shared" ref="J111:J115" si="19">IF(I111=0, "Included",IF(ISERROR(H111*I111), I111, H111*I111))</f>
        <v>Included</v>
      </c>
      <c r="K111" s="981"/>
      <c r="M111" s="285"/>
    </row>
    <row r="112" spans="1:13" s="965" customFormat="1">
      <c r="A112" s="1050">
        <f>A111+1</f>
        <v>91</v>
      </c>
      <c r="B112" s="1050">
        <f>+'Sch-1'!B112</f>
        <v>7000023516</v>
      </c>
      <c r="C112" s="1050">
        <f>+'Sch-1'!C112</f>
        <v>910</v>
      </c>
      <c r="D112" s="1050" t="str">
        <f>+'Sch-1'!D112</f>
        <v xml:space="preserve">Mandatory Spare LOT                     </v>
      </c>
      <c r="E112" s="1050">
        <f>+'Sch-1'!E112</f>
        <v>1000019918</v>
      </c>
      <c r="F112" s="1048" t="str">
        <f>+'Sch-1'!J112</f>
        <v>Spares for 420kV Circuit Breaker</v>
      </c>
      <c r="G112" s="1050" t="str">
        <f>+'Sch-1'!K112</f>
        <v xml:space="preserve">LS </v>
      </c>
      <c r="H112" s="1050">
        <f>+'Sch-1'!L112</f>
        <v>1</v>
      </c>
      <c r="I112" s="1180"/>
      <c r="J112" s="1179" t="str">
        <f t="shared" si="19"/>
        <v>Included</v>
      </c>
      <c r="K112" s="981"/>
      <c r="M112" s="285"/>
    </row>
    <row r="113" spans="1:13" s="965" customFormat="1">
      <c r="A113" s="1050">
        <f t="shared" ref="A113:A122" si="20">A112+1</f>
        <v>92</v>
      </c>
      <c r="B113" s="1050">
        <f>+'Sch-1'!B113</f>
        <v>7000023516</v>
      </c>
      <c r="C113" s="1050">
        <f>+'Sch-1'!C113</f>
        <v>920</v>
      </c>
      <c r="D113" s="1050" t="str">
        <f>+'Sch-1'!D113</f>
        <v xml:space="preserve">Mandatory Spare LOT                     </v>
      </c>
      <c r="E113" s="1050">
        <f>+'Sch-1'!E113</f>
        <v>1000025935</v>
      </c>
      <c r="F113" s="1048" t="str">
        <f>+'Sch-1'!J113</f>
        <v>Spare-245kV Circuit Breaker</v>
      </c>
      <c r="G113" s="1050" t="str">
        <f>+'Sch-1'!K113</f>
        <v>SET</v>
      </c>
      <c r="H113" s="1050">
        <f>+'Sch-1'!L113</f>
        <v>1</v>
      </c>
      <c r="I113" s="1180"/>
      <c r="J113" s="1179" t="str">
        <f t="shared" si="19"/>
        <v>Included</v>
      </c>
      <c r="K113" s="981"/>
      <c r="M113" s="285"/>
    </row>
    <row r="114" spans="1:13" s="965" customFormat="1">
      <c r="A114" s="1050">
        <f t="shared" si="20"/>
        <v>93</v>
      </c>
      <c r="B114" s="1050">
        <f>+'Sch-1'!B114</f>
        <v>7000023516</v>
      </c>
      <c r="C114" s="1050">
        <f>+'Sch-1'!C114</f>
        <v>930</v>
      </c>
      <c r="D114" s="1050" t="str">
        <f>+'Sch-1'!D114</f>
        <v xml:space="preserve">Mandatory Spare LOT                     </v>
      </c>
      <c r="E114" s="1050">
        <f>+'Sch-1'!E114</f>
        <v>1000019919</v>
      </c>
      <c r="F114" s="1048" t="str">
        <f>+'Sch-1'!J114</f>
        <v>Spares for 420kV Double break Isolator</v>
      </c>
      <c r="G114" s="1050" t="str">
        <f>+'Sch-1'!K114</f>
        <v xml:space="preserve">LS </v>
      </c>
      <c r="H114" s="1050">
        <f>+'Sch-1'!L114</f>
        <v>1</v>
      </c>
      <c r="I114" s="1180"/>
      <c r="J114" s="1179" t="str">
        <f t="shared" si="19"/>
        <v>Included</v>
      </c>
      <c r="K114" s="981"/>
      <c r="M114" s="285"/>
    </row>
    <row r="115" spans="1:13" s="965" customFormat="1">
      <c r="A115" s="1050">
        <f t="shared" si="20"/>
        <v>94</v>
      </c>
      <c r="B115" s="1050">
        <f>+'Sch-1'!B115</f>
        <v>7000023516</v>
      </c>
      <c r="C115" s="1050">
        <f>+'Sch-1'!C115</f>
        <v>940</v>
      </c>
      <c r="D115" s="1050" t="str">
        <f>+'Sch-1'!D115</f>
        <v xml:space="preserve">Mandatory Spare LOT                     </v>
      </c>
      <c r="E115" s="1050">
        <f>+'Sch-1'!E115</f>
        <v>1000025936</v>
      </c>
      <c r="F115" s="1048" t="str">
        <f>+'Sch-1'!J115</f>
        <v>Spare-245kV Isolator</v>
      </c>
      <c r="G115" s="1050" t="str">
        <f>+'Sch-1'!K115</f>
        <v>SET</v>
      </c>
      <c r="H115" s="1050">
        <f>+'Sch-1'!L115</f>
        <v>1</v>
      </c>
      <c r="I115" s="1180"/>
      <c r="J115" s="1179" t="str">
        <f t="shared" si="19"/>
        <v>Included</v>
      </c>
      <c r="K115" s="981"/>
      <c r="M115" s="285"/>
    </row>
    <row r="116" spans="1:13" s="965" customFormat="1">
      <c r="A116" s="1050">
        <f t="shared" si="20"/>
        <v>95</v>
      </c>
      <c r="B116" s="1050">
        <f>+'Sch-1'!B116</f>
        <v>7000023516</v>
      </c>
      <c r="C116" s="1050">
        <f>+'Sch-1'!C116</f>
        <v>950</v>
      </c>
      <c r="D116" s="1050" t="str">
        <f>+'Sch-1'!D116</f>
        <v xml:space="preserve">Mandatory Spare LOT                     </v>
      </c>
      <c r="E116" s="1050">
        <f>+'Sch-1'!E116</f>
        <v>1000025941</v>
      </c>
      <c r="F116" s="1048" t="str">
        <f>+'Sch-1'!J116</f>
        <v>Spare-420kV CT 1</v>
      </c>
      <c r="G116" s="1050" t="str">
        <f>+'Sch-1'!K116</f>
        <v>SET</v>
      </c>
      <c r="H116" s="1050">
        <f>+'Sch-1'!L116</f>
        <v>1</v>
      </c>
      <c r="I116" s="1180"/>
      <c r="J116" s="1179" t="str">
        <f>IF(I116=0, "Included",IF(ISERROR(H116*I116), I116, H116*I116))</f>
        <v>Included</v>
      </c>
      <c r="K116" s="981"/>
      <c r="M116" s="285"/>
    </row>
    <row r="117" spans="1:13" s="965" customFormat="1">
      <c r="A117" s="1050">
        <f t="shared" si="20"/>
        <v>96</v>
      </c>
      <c r="B117" s="1050">
        <f>+'Sch-1'!B117</f>
        <v>7000023516</v>
      </c>
      <c r="C117" s="1050">
        <f>+'Sch-1'!C117</f>
        <v>960</v>
      </c>
      <c r="D117" s="1050" t="str">
        <f>+'Sch-1'!D117</f>
        <v xml:space="preserve">Mandatory Spare LOT                     </v>
      </c>
      <c r="E117" s="1050">
        <f>+'Sch-1'!E117</f>
        <v>1000025933</v>
      </c>
      <c r="F117" s="1048" t="str">
        <f>+'Sch-1'!J117</f>
        <v>Spare-245kV CT</v>
      </c>
      <c r="G117" s="1050" t="str">
        <f>+'Sch-1'!K117</f>
        <v>SET</v>
      </c>
      <c r="H117" s="1050">
        <f>+'Sch-1'!L117</f>
        <v>1</v>
      </c>
      <c r="I117" s="1180"/>
      <c r="J117" s="1179" t="str">
        <f t="shared" ref="J117:J126" si="21">IF(I117=0, "Included",IF(ISERROR(H117*I117), I117, H117*I117))</f>
        <v>Included</v>
      </c>
      <c r="K117" s="981"/>
      <c r="M117" s="285"/>
    </row>
    <row r="118" spans="1:13" s="965" customFormat="1">
      <c r="A118" s="1050">
        <f t="shared" si="20"/>
        <v>97</v>
      </c>
      <c r="B118" s="1050">
        <f>+'Sch-1'!B118</f>
        <v>7000023516</v>
      </c>
      <c r="C118" s="1050">
        <f>+'Sch-1'!C118</f>
        <v>970</v>
      </c>
      <c r="D118" s="1050" t="str">
        <f>+'Sch-1'!D118</f>
        <v xml:space="preserve">Mandatory Spare LOT                     </v>
      </c>
      <c r="E118" s="1050">
        <f>+'Sch-1'!E118</f>
        <v>1000025934</v>
      </c>
      <c r="F118" s="1048" t="str">
        <f>+'Sch-1'!J118</f>
        <v>Spare-245kV CVT</v>
      </c>
      <c r="G118" s="1050" t="str">
        <f>+'Sch-1'!K118</f>
        <v>SET</v>
      </c>
      <c r="H118" s="1050">
        <f>+'Sch-1'!L118</f>
        <v>1</v>
      </c>
      <c r="I118" s="1180"/>
      <c r="J118" s="1179" t="str">
        <f t="shared" si="21"/>
        <v>Included</v>
      </c>
      <c r="K118" s="981"/>
      <c r="M118" s="285"/>
    </row>
    <row r="119" spans="1:13" s="965" customFormat="1">
      <c r="A119" s="1050">
        <f t="shared" si="20"/>
        <v>98</v>
      </c>
      <c r="B119" s="1050">
        <f>+'Sch-1'!B119</f>
        <v>7000023516</v>
      </c>
      <c r="C119" s="1050">
        <f>+'Sch-1'!C119</f>
        <v>980</v>
      </c>
      <c r="D119" s="1050" t="str">
        <f>+'Sch-1'!D119</f>
        <v xml:space="preserve">Mandatory Spare LOT                     </v>
      </c>
      <c r="E119" s="1050">
        <f>+'Sch-1'!E119</f>
        <v>1000024186</v>
      </c>
      <c r="F119" s="1048" t="str">
        <f>+'Sch-1'!J119</f>
        <v>SPARES FOR 336KV SURGE ARRESTER</v>
      </c>
      <c r="G119" s="1050" t="str">
        <f>+'Sch-1'!K119</f>
        <v xml:space="preserve">LS </v>
      </c>
      <c r="H119" s="1050">
        <f>+'Sch-1'!L119</f>
        <v>1</v>
      </c>
      <c r="I119" s="1180"/>
      <c r="J119" s="1179" t="str">
        <f t="shared" si="21"/>
        <v>Included</v>
      </c>
      <c r="K119" s="981"/>
      <c r="M119" s="285"/>
    </row>
    <row r="120" spans="1:13" s="965" customFormat="1">
      <c r="A120" s="1050">
        <f t="shared" si="20"/>
        <v>99</v>
      </c>
      <c r="B120" s="1050">
        <f>+'Sch-1'!B120</f>
        <v>7000023516</v>
      </c>
      <c r="C120" s="1050">
        <f>+'Sch-1'!C120</f>
        <v>990</v>
      </c>
      <c r="D120" s="1050" t="str">
        <f>+'Sch-1'!D120</f>
        <v xml:space="preserve">Mandatory Spare LOT                     </v>
      </c>
      <c r="E120" s="1050">
        <f>+'Sch-1'!E120</f>
        <v>1000025930</v>
      </c>
      <c r="F120" s="1048" t="str">
        <f>+'Sch-1'!J120</f>
        <v>Spare-216kV Surge Arrester</v>
      </c>
      <c r="G120" s="1050" t="str">
        <f>+'Sch-1'!K120</f>
        <v>SET</v>
      </c>
      <c r="H120" s="1050">
        <f>+'Sch-1'!L120</f>
        <v>1</v>
      </c>
      <c r="I120" s="1180"/>
      <c r="J120" s="1179" t="str">
        <f t="shared" si="21"/>
        <v>Included</v>
      </c>
      <c r="K120" s="981"/>
      <c r="M120" s="285"/>
    </row>
    <row r="121" spans="1:13" s="965" customFormat="1">
      <c r="A121" s="1050">
        <f t="shared" si="20"/>
        <v>100</v>
      </c>
      <c r="B121" s="1050">
        <f>+'Sch-1'!B121</f>
        <v>7000023516</v>
      </c>
      <c r="C121" s="1050">
        <f>+'Sch-1'!C121</f>
        <v>1020</v>
      </c>
      <c r="D121" s="1050" t="str">
        <f>+'Sch-1'!D121</f>
        <v xml:space="preserve">Mandatory Spare LOT                     </v>
      </c>
      <c r="E121" s="1050">
        <f>+'Sch-1'!E121</f>
        <v>1000019912</v>
      </c>
      <c r="F121" s="1048" t="str">
        <f>+'Sch-1'!J121</f>
        <v>Relay &amp; protection Panels (with automation)</v>
      </c>
      <c r="G121" s="1050" t="str">
        <f>+'Sch-1'!K121</f>
        <v xml:space="preserve">LS </v>
      </c>
      <c r="H121" s="1050">
        <f>+'Sch-1'!L121</f>
        <v>1</v>
      </c>
      <c r="I121" s="1180"/>
      <c r="J121" s="1179" t="str">
        <f t="shared" si="21"/>
        <v>Included</v>
      </c>
      <c r="K121" s="981"/>
      <c r="M121" s="285"/>
    </row>
    <row r="122" spans="1:13" s="965" customFormat="1">
      <c r="A122" s="1050">
        <f t="shared" si="20"/>
        <v>101</v>
      </c>
      <c r="B122" s="1050">
        <f>+'Sch-1'!B122</f>
        <v>7000023516</v>
      </c>
      <c r="C122" s="1050">
        <f>+'Sch-1'!C122</f>
        <v>1030</v>
      </c>
      <c r="D122" s="1050" t="str">
        <f>+'Sch-1'!D122</f>
        <v xml:space="preserve">Mandatory Spare LOT                     </v>
      </c>
      <c r="E122" s="1050">
        <f>+'Sch-1'!E122</f>
        <v>1000019927</v>
      </c>
      <c r="F122" s="1048" t="str">
        <f>+'Sch-1'!J122</f>
        <v>Spares-Substation Automation System</v>
      </c>
      <c r="G122" s="1050" t="str">
        <f>+'Sch-1'!K122</f>
        <v xml:space="preserve">LS </v>
      </c>
      <c r="H122" s="1050">
        <f>+'Sch-1'!L122</f>
        <v>1</v>
      </c>
      <c r="I122" s="1180"/>
      <c r="J122" s="1179" t="str">
        <f t="shared" si="21"/>
        <v>Included</v>
      </c>
      <c r="K122" s="981"/>
      <c r="M122" s="285"/>
    </row>
    <row r="123" spans="1:13" s="965" customFormat="1">
      <c r="A123" s="1050">
        <f>A122+1</f>
        <v>102</v>
      </c>
      <c r="B123" s="1050">
        <f>+'Sch-1'!B123</f>
        <v>7000023516</v>
      </c>
      <c r="C123" s="1050">
        <f>+'Sch-1'!C123</f>
        <v>1000</v>
      </c>
      <c r="D123" s="1050" t="str">
        <f>+'Sch-1'!D123</f>
        <v xml:space="preserve">Mandatory Spare LOT                     </v>
      </c>
      <c r="E123" s="1050">
        <f>+'Sch-1'!E123</f>
        <v>1000025940</v>
      </c>
      <c r="F123" s="1048" t="str">
        <f>+'Sch-1'!J123</f>
        <v>Spare-420kV BPI</v>
      </c>
      <c r="G123" s="1050" t="str">
        <f>+'Sch-1'!K123</f>
        <v>SET</v>
      </c>
      <c r="H123" s="1050">
        <f>+'Sch-1'!L123</f>
        <v>1</v>
      </c>
      <c r="I123" s="1180"/>
      <c r="J123" s="1179" t="str">
        <f t="shared" si="21"/>
        <v>Included</v>
      </c>
      <c r="K123" s="981"/>
      <c r="M123" s="285"/>
    </row>
    <row r="124" spans="1:13" s="965" customFormat="1">
      <c r="A124" s="1050">
        <f t="shared" ref="A124:A133" si="22">A123+1</f>
        <v>103</v>
      </c>
      <c r="B124" s="1050">
        <f>+'Sch-1'!B124</f>
        <v>7000023516</v>
      </c>
      <c r="C124" s="1050">
        <f>+'Sch-1'!C124</f>
        <v>1010</v>
      </c>
      <c r="D124" s="1050" t="str">
        <f>+'Sch-1'!D124</f>
        <v xml:space="preserve">Mandatory Spare LOT                     </v>
      </c>
      <c r="E124" s="1050">
        <f>+'Sch-1'!E124</f>
        <v>1000025932</v>
      </c>
      <c r="F124" s="1048" t="str">
        <f>+'Sch-1'!J124</f>
        <v>Spare-245kV BPI</v>
      </c>
      <c r="G124" s="1050" t="str">
        <f>+'Sch-1'!K124</f>
        <v>SET</v>
      </c>
      <c r="H124" s="1050">
        <f>+'Sch-1'!L124</f>
        <v>1</v>
      </c>
      <c r="I124" s="1180"/>
      <c r="J124" s="1179" t="str">
        <f t="shared" si="21"/>
        <v>Included</v>
      </c>
      <c r="K124" s="981"/>
      <c r="M124" s="285"/>
    </row>
    <row r="125" spans="1:13" s="965" customFormat="1" ht="28.8">
      <c r="A125" s="1050">
        <f t="shared" si="22"/>
        <v>104</v>
      </c>
      <c r="B125" s="1050">
        <f>+'Sch-1'!B125</f>
        <v>7000023516</v>
      </c>
      <c r="C125" s="1050">
        <f>+'Sch-1'!C125</f>
        <v>1040</v>
      </c>
      <c r="D125" s="1050" t="str">
        <f>+'Sch-1'!D125</f>
        <v xml:space="preserve">SAS 400kV Bays                          </v>
      </c>
      <c r="E125" s="1050">
        <f>+'Sch-1'!E125</f>
        <v>1000003409</v>
      </c>
      <c r="F125" s="1048" t="str">
        <f>+'Sch-1'!J125</f>
        <v>Augmentation of Substation automation System for 400kV Main bay as perTechnical Specification</v>
      </c>
      <c r="G125" s="1050" t="str">
        <f>+'Sch-1'!K125</f>
        <v xml:space="preserve">EA </v>
      </c>
      <c r="H125" s="1050">
        <f>+'Sch-1'!L125</f>
        <v>2</v>
      </c>
      <c r="I125" s="1180"/>
      <c r="J125" s="1179" t="str">
        <f t="shared" si="21"/>
        <v>Included</v>
      </c>
      <c r="K125" s="981"/>
      <c r="M125" s="285"/>
    </row>
    <row r="126" spans="1:13" s="965" customFormat="1" ht="28.8">
      <c r="A126" s="1050">
        <f t="shared" si="22"/>
        <v>105</v>
      </c>
      <c r="B126" s="1050">
        <f>+'Sch-1'!B126</f>
        <v>7000023516</v>
      </c>
      <c r="C126" s="1050">
        <f>+'Sch-1'!C126</f>
        <v>1050</v>
      </c>
      <c r="D126" s="1050" t="str">
        <f>+'Sch-1'!D126</f>
        <v xml:space="preserve">SAS 220kV Bays                          </v>
      </c>
      <c r="E126" s="1050">
        <f>+'Sch-1'!E126</f>
        <v>1000001333</v>
      </c>
      <c r="F126" s="1048" t="str">
        <f>+'Sch-1'!J126</f>
        <v>Augmentation of Substation automation System for 220kV bay as perTechnical Specification</v>
      </c>
      <c r="G126" s="1050" t="str">
        <f>+'Sch-1'!K126</f>
        <v xml:space="preserve">EA </v>
      </c>
      <c r="H126" s="1050">
        <f>+'Sch-1'!L126</f>
        <v>8</v>
      </c>
      <c r="I126" s="1180"/>
      <c r="J126" s="1179" t="str">
        <f t="shared" si="21"/>
        <v>Included</v>
      </c>
      <c r="K126" s="981"/>
      <c r="M126" s="285"/>
    </row>
    <row r="127" spans="1:13" s="965" customFormat="1" ht="28.8">
      <c r="A127" s="1050">
        <f t="shared" si="22"/>
        <v>106</v>
      </c>
      <c r="B127" s="1050">
        <f>+'Sch-1'!B127</f>
        <v>7000023516</v>
      </c>
      <c r="C127" s="1050">
        <f>+'Sch-1'!C127</f>
        <v>1290</v>
      </c>
      <c r="D127" s="1050" t="str">
        <f>+'Sch-1'!D127</f>
        <v xml:space="preserve">Foundation bolts                        </v>
      </c>
      <c r="E127" s="1050">
        <f>+'Sch-1'!E127</f>
        <v>1000012366</v>
      </c>
      <c r="F127" s="1048" t="str">
        <f>+'Sch-1'!J127</f>
        <v>Fabrication, galvanising and supply of 28mm dia foundation boltsincluding nuts, checknuts, washers and packplates.</v>
      </c>
      <c r="G127" s="1050" t="str">
        <f>+'Sch-1'!K127</f>
        <v xml:space="preserve">EA </v>
      </c>
      <c r="H127" s="1050">
        <f>+'Sch-1'!L127</f>
        <v>1584</v>
      </c>
      <c r="I127" s="1180"/>
      <c r="J127" s="1179" t="str">
        <f>IF(I127=0, "Included",IF(ISERROR(H127*I127), I127, H127*I127))</f>
        <v>Included</v>
      </c>
      <c r="K127" s="981"/>
      <c r="M127" s="285"/>
    </row>
    <row r="128" spans="1:13" s="965" customFormat="1" ht="28.8">
      <c r="A128" s="1050">
        <f t="shared" si="22"/>
        <v>107</v>
      </c>
      <c r="B128" s="1050">
        <f>+'Sch-1'!B128</f>
        <v>7000023516</v>
      </c>
      <c r="C128" s="1050">
        <f>+'Sch-1'!C128</f>
        <v>1300</v>
      </c>
      <c r="D128" s="1050" t="str">
        <f>+'Sch-1'!D128</f>
        <v xml:space="preserve">Foundation bolts                        </v>
      </c>
      <c r="E128" s="1050">
        <f>+'Sch-1'!E128</f>
        <v>1000012368</v>
      </c>
      <c r="F128" s="1048" t="str">
        <f>+'Sch-1'!J128</f>
        <v>Fabrication, galvanising and supply of 40mm dia foundation boltsincluding nuts, checknuts, washers and packplates.</v>
      </c>
      <c r="G128" s="1050" t="str">
        <f>+'Sch-1'!K128</f>
        <v xml:space="preserve">EA </v>
      </c>
      <c r="H128" s="1050">
        <f>+'Sch-1'!L128</f>
        <v>256</v>
      </c>
      <c r="I128" s="1180"/>
      <c r="J128" s="1179" t="str">
        <f t="shared" ref="J128:J132" si="23">IF(I128=0, "Included",IF(ISERROR(H128*I128), I128, H128*I128))</f>
        <v>Included</v>
      </c>
      <c r="K128" s="981"/>
      <c r="M128" s="285"/>
    </row>
    <row r="129" spans="1:13" s="965" customFormat="1" ht="28.8">
      <c r="A129" s="1050">
        <f t="shared" si="22"/>
        <v>108</v>
      </c>
      <c r="B129" s="1050">
        <f>+'Sch-1'!B129</f>
        <v>7000023516</v>
      </c>
      <c r="C129" s="1050">
        <f>+'Sch-1'!C129</f>
        <v>1310</v>
      </c>
      <c r="D129" s="1050" t="str">
        <f>+'Sch-1'!D129</f>
        <v xml:space="preserve">Foundation bolts                        </v>
      </c>
      <c r="E129" s="1050">
        <f>+'Sch-1'!E129</f>
        <v>1000012369</v>
      </c>
      <c r="F129" s="1048" t="str">
        <f>+'Sch-1'!J129</f>
        <v>Fabrication, galvanising and supply of 56mm dia foundation boltsincluding nuts, checknuts, washers and packplates</v>
      </c>
      <c r="G129" s="1050" t="str">
        <f>+'Sch-1'!K129</f>
        <v xml:space="preserve">EA </v>
      </c>
      <c r="H129" s="1050">
        <f>+'Sch-1'!L129</f>
        <v>396</v>
      </c>
      <c r="I129" s="1180"/>
      <c r="J129" s="1179" t="str">
        <f t="shared" si="23"/>
        <v>Included</v>
      </c>
      <c r="K129" s="981"/>
      <c r="M129" s="285"/>
    </row>
    <row r="130" spans="1:13" s="965" customFormat="1" ht="86.4">
      <c r="A130" s="1050">
        <f t="shared" si="22"/>
        <v>109</v>
      </c>
      <c r="B130" s="1050">
        <f>+'Sch-1'!B130</f>
        <v>7000023516</v>
      </c>
      <c r="C130" s="1050">
        <f>+'Sch-1'!C130</f>
        <v>1330</v>
      </c>
      <c r="D130" s="1050" t="str">
        <f>+'Sch-1'!D130</f>
        <v xml:space="preserve">BOQ of Comm Equip Supply Jabalpur PS    </v>
      </c>
      <c r="E130" s="1050">
        <f>+'Sch-1'!E130</f>
        <v>1000031367</v>
      </c>
      <c r="F130" s="1048" t="str">
        <f>+'Sch-1'!J130</f>
        <v>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v>
      </c>
      <c r="G130" s="1050" t="str">
        <f>+'Sch-1'!K130</f>
        <v xml:space="preserve">EA </v>
      </c>
      <c r="H130" s="1050">
        <f>+'Sch-1'!L130</f>
        <v>1</v>
      </c>
      <c r="I130" s="1180"/>
      <c r="J130" s="1179" t="str">
        <f t="shared" si="23"/>
        <v>Included</v>
      </c>
      <c r="K130" s="981"/>
      <c r="M130" s="285"/>
    </row>
    <row r="131" spans="1:13" s="965" customFormat="1" ht="28.8">
      <c r="A131" s="1050">
        <f t="shared" si="22"/>
        <v>110</v>
      </c>
      <c r="B131" s="1050">
        <f>+'Sch-1'!B131</f>
        <v>7000023516</v>
      </c>
      <c r="C131" s="1050">
        <f>+'Sch-1'!C131</f>
        <v>1340</v>
      </c>
      <c r="D131" s="1050" t="str">
        <f>+'Sch-1'!D131</f>
        <v xml:space="preserve">BOQ of Comm Equip Supply Jabalpur PS    </v>
      </c>
      <c r="E131" s="1050">
        <f>+'Sch-1'!E131</f>
        <v>1000018706</v>
      </c>
      <c r="F131" s="1048" t="str">
        <f>+'Sch-1'!J131</f>
        <v>S16.1 SFP</v>
      </c>
      <c r="G131" s="1050" t="str">
        <f>+'Sch-1'!K131</f>
        <v xml:space="preserve">EA </v>
      </c>
      <c r="H131" s="1050">
        <f>+'Sch-1'!L131</f>
        <v>4</v>
      </c>
      <c r="I131" s="1180"/>
      <c r="J131" s="1179" t="str">
        <f t="shared" si="23"/>
        <v>Included</v>
      </c>
      <c r="K131" s="981"/>
      <c r="M131" s="285"/>
    </row>
    <row r="132" spans="1:13" s="965" customFormat="1" ht="28.8">
      <c r="A132" s="1050">
        <f t="shared" si="22"/>
        <v>111</v>
      </c>
      <c r="B132" s="1050">
        <f>+'Sch-1'!B132</f>
        <v>7000023516</v>
      </c>
      <c r="C132" s="1050">
        <f>+'Sch-1'!C132</f>
        <v>1350</v>
      </c>
      <c r="D132" s="1050" t="str">
        <f>+'Sch-1'!D132</f>
        <v xml:space="preserve">BOQ of Comm Equip Supply Jabalpur PS    </v>
      </c>
      <c r="E132" s="1050">
        <f>+'Sch-1'!E132</f>
        <v>1000014273</v>
      </c>
      <c r="F132" s="1048" t="str">
        <f>+'Sch-1'!J132</f>
        <v>L16.2 SFP</v>
      </c>
      <c r="G132" s="1050" t="str">
        <f>+'Sch-1'!K132</f>
        <v xml:space="preserve">EA </v>
      </c>
      <c r="H132" s="1050">
        <f>+'Sch-1'!L132</f>
        <v>2</v>
      </c>
      <c r="I132" s="1180"/>
      <c r="J132" s="1179" t="str">
        <f t="shared" si="23"/>
        <v>Included</v>
      </c>
      <c r="K132" s="981"/>
      <c r="M132" s="285"/>
    </row>
    <row r="133" spans="1:13" s="965" customFormat="1" ht="28.8">
      <c r="A133" s="1050">
        <f t="shared" si="22"/>
        <v>112</v>
      </c>
      <c r="B133" s="1050">
        <f>+'Sch-1'!B133</f>
        <v>7000023516</v>
      </c>
      <c r="C133" s="1050">
        <f>+'Sch-1'!C133</f>
        <v>1360</v>
      </c>
      <c r="D133" s="1050" t="str">
        <f>+'Sch-1'!D133</f>
        <v xml:space="preserve">BOQ of Comm Equip Supply Jabalpur PS    </v>
      </c>
      <c r="E133" s="1050">
        <f>+'Sch-1'!E133</f>
        <v>1000031413</v>
      </c>
      <c r="F133" s="1048" t="str">
        <f>+'Sch-1'!J133</f>
        <v>OPTICAL INTERFACE/SFP-V16.2</v>
      </c>
      <c r="G133" s="1050" t="str">
        <f>+'Sch-1'!K133</f>
        <v xml:space="preserve">EA </v>
      </c>
      <c r="H133" s="1050">
        <f>+'Sch-1'!L133</f>
        <v>2</v>
      </c>
      <c r="I133" s="1180"/>
      <c r="J133" s="1179" t="str">
        <f t="shared" ref="J133:J137" si="24">IF(I133=0, "Included",IF(ISERROR(H133*I133), I133, H133*I133))</f>
        <v>Included</v>
      </c>
      <c r="K133" s="981"/>
      <c r="M133" s="285"/>
    </row>
    <row r="134" spans="1:13" s="965" customFormat="1" ht="28.8">
      <c r="A134" s="1050">
        <f>A133+1</f>
        <v>113</v>
      </c>
      <c r="B134" s="1050">
        <f>+'Sch-1'!B134</f>
        <v>7000023516</v>
      </c>
      <c r="C134" s="1050">
        <f>+'Sch-1'!C134</f>
        <v>1370</v>
      </c>
      <c r="D134" s="1050" t="str">
        <f>+'Sch-1'!D134</f>
        <v xml:space="preserve">BOQ of Comm Equip Supply Jabalpur PS    </v>
      </c>
      <c r="E134" s="1050">
        <f>+'Sch-1'!E134</f>
        <v>1000031374</v>
      </c>
      <c r="F134" s="1048" t="str">
        <f>+'Sch-1'!J134</f>
        <v>TRIBUTARY INTERFACE- E1 INTERFACE (MINIMUM 16 NOS.)</v>
      </c>
      <c r="G134" s="1050" t="str">
        <f>+'Sch-1'!K134</f>
        <v>SET</v>
      </c>
      <c r="H134" s="1050">
        <f>+'Sch-1'!L134</f>
        <v>2</v>
      </c>
      <c r="I134" s="1180"/>
      <c r="J134" s="1179" t="str">
        <f t="shared" si="24"/>
        <v>Included</v>
      </c>
      <c r="K134" s="981"/>
      <c r="M134" s="285"/>
    </row>
    <row r="135" spans="1:13" s="965" customFormat="1" ht="28.8">
      <c r="A135" s="1050">
        <f t="shared" ref="A135:A143" si="25">A134+1</f>
        <v>114</v>
      </c>
      <c r="B135" s="1050">
        <f>+'Sch-1'!B135</f>
        <v>7000023516</v>
      </c>
      <c r="C135" s="1050">
        <f>+'Sch-1'!C135</f>
        <v>1380</v>
      </c>
      <c r="D135" s="1050" t="str">
        <f>+'Sch-1'!D135</f>
        <v xml:space="preserve">BOQ of Comm Equip Supply Jabalpur PS    </v>
      </c>
      <c r="E135" s="1050">
        <f>+'Sch-1'!E135</f>
        <v>1000034950</v>
      </c>
      <c r="F135" s="1048" t="str">
        <f>+'Sch-1'!J135</f>
        <v>ETHERNET INTERFACE 10/100 BASE T WITH LAYER-2 SWITCHING (MIN 8INTERFACES PER CARD)</v>
      </c>
      <c r="G135" s="1050" t="str">
        <f>+'Sch-1'!K135</f>
        <v xml:space="preserve">EA </v>
      </c>
      <c r="H135" s="1050">
        <f>+'Sch-1'!L135</f>
        <v>2</v>
      </c>
      <c r="I135" s="1180"/>
      <c r="J135" s="1179" t="str">
        <f t="shared" si="24"/>
        <v>Included</v>
      </c>
      <c r="K135" s="981"/>
      <c r="M135" s="285"/>
    </row>
    <row r="136" spans="1:13" s="965" customFormat="1" ht="28.8">
      <c r="A136" s="1050">
        <f t="shared" si="25"/>
        <v>115</v>
      </c>
      <c r="B136" s="1050">
        <f>+'Sch-1'!B136</f>
        <v>7000023516</v>
      </c>
      <c r="C136" s="1050">
        <f>+'Sch-1'!C136</f>
        <v>1390</v>
      </c>
      <c r="D136" s="1050" t="str">
        <f>+'Sch-1'!D136</f>
        <v xml:space="preserve">BOQ of Comm Equip Supply Jabalpur PS    </v>
      </c>
      <c r="E136" s="1050">
        <f>+'Sch-1'!E136</f>
        <v>1000031381</v>
      </c>
      <c r="F136" s="1048" t="str">
        <f>+'Sch-1'!J136</f>
        <v>TRIBUTARY INTERFACE-GIGABIT ETHERNET INTERFACES 10/100 MBPS WITH LAYER-2 SWITCHING (MINIMUM 2 NOS.)</v>
      </c>
      <c r="G136" s="1050" t="str">
        <f>+'Sch-1'!K136</f>
        <v>SET</v>
      </c>
      <c r="H136" s="1050">
        <f>+'Sch-1'!L136</f>
        <v>1</v>
      </c>
      <c r="I136" s="1180"/>
      <c r="J136" s="1179" t="str">
        <f t="shared" si="24"/>
        <v>Included</v>
      </c>
      <c r="K136" s="981"/>
      <c r="M136" s="285"/>
    </row>
    <row r="137" spans="1:13" s="965" customFormat="1" ht="28.8">
      <c r="A137" s="1050">
        <f t="shared" si="25"/>
        <v>116</v>
      </c>
      <c r="B137" s="1050">
        <f>+'Sch-1'!B137</f>
        <v>7000023516</v>
      </c>
      <c r="C137" s="1050">
        <f>+'Sch-1'!C137</f>
        <v>1400</v>
      </c>
      <c r="D137" s="1050" t="str">
        <f>+'Sch-1'!D137</f>
        <v xml:space="preserve">BOQ of Comm Equip Supply Jabalpur PS    </v>
      </c>
      <c r="E137" s="1050">
        <f>+'Sch-1'!E137</f>
        <v>1000026228</v>
      </c>
      <c r="F137" s="1048" t="str">
        <f>+'Sch-1'!J137</f>
        <v>Equipment Cabinets For SDH</v>
      </c>
      <c r="G137" s="1050" t="str">
        <f>+'Sch-1'!K137</f>
        <v xml:space="preserve">EA </v>
      </c>
      <c r="H137" s="1050">
        <f>+'Sch-1'!L137</f>
        <v>1</v>
      </c>
      <c r="I137" s="1180"/>
      <c r="J137" s="1179" t="str">
        <f t="shared" si="24"/>
        <v>Included</v>
      </c>
      <c r="K137" s="981"/>
      <c r="M137" s="285"/>
    </row>
    <row r="138" spans="1:13" s="965" customFormat="1" ht="28.8">
      <c r="A138" s="1050">
        <f t="shared" si="25"/>
        <v>117</v>
      </c>
      <c r="B138" s="1050">
        <f>+'Sch-1'!B138</f>
        <v>7000023516</v>
      </c>
      <c r="C138" s="1050">
        <f>+'Sch-1'!C138</f>
        <v>1410</v>
      </c>
      <c r="D138" s="1050" t="str">
        <f>+'Sch-1'!D138</f>
        <v xml:space="preserve">BOQ of Comm Equip Supply Jabalpur PS    </v>
      </c>
      <c r="E138" s="1050">
        <f>+'Sch-1'!E138</f>
        <v>1000030942</v>
      </c>
      <c r="F138" s="1048" t="str">
        <f>+'Sch-1'!J138</f>
        <v>24F (DWSM) APPROACH FIBRE OPTIC CABLE  INCLUDING ALL INSTALLATIONHARDWARE SET</v>
      </c>
      <c r="G138" s="1050" t="str">
        <f>+'Sch-1'!K138</f>
        <v xml:space="preserve">KM </v>
      </c>
      <c r="H138" s="1050">
        <f>+'Sch-1'!L138</f>
        <v>2</v>
      </c>
      <c r="I138" s="1180"/>
      <c r="J138" s="1179" t="str">
        <f>IF(I138=0, "Included",IF(ISERROR(H138*I138), I138, H138*I138))</f>
        <v>Included</v>
      </c>
      <c r="K138" s="981"/>
      <c r="M138" s="285"/>
    </row>
    <row r="139" spans="1:13" s="965" customFormat="1" ht="28.8">
      <c r="A139" s="1050">
        <f t="shared" si="25"/>
        <v>118</v>
      </c>
      <c r="B139" s="1050">
        <f>+'Sch-1'!B139</f>
        <v>7000023516</v>
      </c>
      <c r="C139" s="1050">
        <f>+'Sch-1'!C139</f>
        <v>1420</v>
      </c>
      <c r="D139" s="1050" t="str">
        <f>+'Sch-1'!D139</f>
        <v xml:space="preserve">BOQ of Comm Equip Supply Jabalpur PS    </v>
      </c>
      <c r="E139" s="1050">
        <f>+'Sch-1'!E139</f>
        <v>1000023471</v>
      </c>
      <c r="F139" s="1048" t="str">
        <f>+'Sch-1'!J139</f>
        <v>OPGW Fibre Optic Distribution Panel (FODP): Indoor Type: 96F</v>
      </c>
      <c r="G139" s="1050" t="str">
        <f>+'Sch-1'!K139</f>
        <v xml:space="preserve">EA </v>
      </c>
      <c r="H139" s="1050">
        <f>+'Sch-1'!L139</f>
        <v>2</v>
      </c>
      <c r="I139" s="1180"/>
      <c r="J139" s="1179" t="str">
        <f t="shared" ref="J139:J147" si="26">IF(I139=0, "Included",IF(ISERROR(H139*I139), I139, H139*I139))</f>
        <v>Included</v>
      </c>
      <c r="K139" s="981"/>
      <c r="M139" s="285"/>
    </row>
    <row r="140" spans="1:13" s="965" customFormat="1" ht="57.6">
      <c r="A140" s="1050">
        <f t="shared" si="25"/>
        <v>119</v>
      </c>
      <c r="B140" s="1050">
        <f>+'Sch-1'!B140</f>
        <v>7000023516</v>
      </c>
      <c r="C140" s="1050">
        <f>+'Sch-1'!C140</f>
        <v>1440</v>
      </c>
      <c r="D140" s="1050" t="str">
        <f>+'Sch-1'!D140</f>
        <v xml:space="preserve">BoQ of Comm Equip Mandatory Spares      </v>
      </c>
      <c r="E140" s="1050">
        <f>+'Sch-1'!E140</f>
        <v>1000031369</v>
      </c>
      <c r="F140" s="1048" t="str">
        <f>+'Sch-1'!J140</f>
        <v>SDH EQUIPMENT (STM-16 MADM UPTO 5 MSP PROTECTED DIRECTIONS)-COMMONCARDS, CROSS-CONNECT/CONTROL CARDS, OPTICAL BASE CARD, POWER SUPPLYCARDS, POWER CABLING, OTHER HARDWARE &amp; ACCESSORIES (EACH).</v>
      </c>
      <c r="G140" s="1050" t="str">
        <f>+'Sch-1'!K140</f>
        <v>SET</v>
      </c>
      <c r="H140" s="1050">
        <f>+'Sch-1'!L140</f>
        <v>1</v>
      </c>
      <c r="I140" s="1180"/>
      <c r="J140" s="1179" t="str">
        <f t="shared" si="26"/>
        <v>Included</v>
      </c>
      <c r="K140" s="981"/>
      <c r="M140" s="285"/>
    </row>
    <row r="141" spans="1:13" s="965" customFormat="1" ht="28.8">
      <c r="A141" s="1050">
        <f t="shared" si="25"/>
        <v>120</v>
      </c>
      <c r="B141" s="1050">
        <f>+'Sch-1'!B141</f>
        <v>7000023516</v>
      </c>
      <c r="C141" s="1050">
        <f>+'Sch-1'!C141</f>
        <v>1450</v>
      </c>
      <c r="D141" s="1050" t="str">
        <f>+'Sch-1'!D141</f>
        <v xml:space="preserve">BoQ of Comm Equip Mandatory Spares      </v>
      </c>
      <c r="E141" s="1050">
        <f>+'Sch-1'!E141</f>
        <v>1000018706</v>
      </c>
      <c r="F141" s="1048" t="str">
        <f>+'Sch-1'!J141</f>
        <v>S16.1 SFP</v>
      </c>
      <c r="G141" s="1050" t="str">
        <f>+'Sch-1'!K141</f>
        <v xml:space="preserve">EA </v>
      </c>
      <c r="H141" s="1050">
        <f>+'Sch-1'!L141</f>
        <v>1</v>
      </c>
      <c r="I141" s="1180"/>
      <c r="J141" s="1179" t="str">
        <f t="shared" si="26"/>
        <v>Included</v>
      </c>
      <c r="K141" s="981"/>
      <c r="M141" s="285"/>
    </row>
    <row r="142" spans="1:13" s="965" customFormat="1" ht="28.8">
      <c r="A142" s="1050">
        <f t="shared" si="25"/>
        <v>121</v>
      </c>
      <c r="B142" s="1050">
        <f>+'Sch-1'!B142</f>
        <v>7000023516</v>
      </c>
      <c r="C142" s="1050">
        <f>+'Sch-1'!C142</f>
        <v>1460</v>
      </c>
      <c r="D142" s="1050" t="str">
        <f>+'Sch-1'!D142</f>
        <v xml:space="preserve">BoQ of Comm Equip Mandatory Spares      </v>
      </c>
      <c r="E142" s="1050">
        <f>+'Sch-1'!E142</f>
        <v>1000014273</v>
      </c>
      <c r="F142" s="1048" t="str">
        <f>+'Sch-1'!J142</f>
        <v>L16.2 SFP</v>
      </c>
      <c r="G142" s="1050" t="str">
        <f>+'Sch-1'!K142</f>
        <v xml:space="preserve">EA </v>
      </c>
      <c r="H142" s="1050">
        <f>+'Sch-1'!L142</f>
        <v>1</v>
      </c>
      <c r="I142" s="1180"/>
      <c r="J142" s="1179" t="str">
        <f t="shared" si="26"/>
        <v>Included</v>
      </c>
      <c r="K142" s="981"/>
      <c r="M142" s="285"/>
    </row>
    <row r="143" spans="1:13" s="965" customFormat="1" ht="28.8">
      <c r="A143" s="1050">
        <f t="shared" si="25"/>
        <v>122</v>
      </c>
      <c r="B143" s="1050">
        <f>+'Sch-1'!B143</f>
        <v>7000023516</v>
      </c>
      <c r="C143" s="1050">
        <f>+'Sch-1'!C143</f>
        <v>1470</v>
      </c>
      <c r="D143" s="1050" t="str">
        <f>+'Sch-1'!D143</f>
        <v xml:space="preserve">BoQ of Comm Equip Mandatory Spares      </v>
      </c>
      <c r="E143" s="1050">
        <f>+'Sch-1'!E143</f>
        <v>1000031413</v>
      </c>
      <c r="F143" s="1048" t="str">
        <f>+'Sch-1'!J143</f>
        <v>OPTICAL INTERFACE/SFP-V16.2</v>
      </c>
      <c r="G143" s="1050" t="str">
        <f>+'Sch-1'!K143</f>
        <v xml:space="preserve">EA </v>
      </c>
      <c r="H143" s="1050">
        <f>+'Sch-1'!L143</f>
        <v>1</v>
      </c>
      <c r="I143" s="1180"/>
      <c r="J143" s="1179" t="str">
        <f t="shared" si="26"/>
        <v>Included</v>
      </c>
      <c r="K143" s="981"/>
      <c r="M143" s="285"/>
    </row>
    <row r="144" spans="1:13" s="965" customFormat="1" ht="28.8">
      <c r="A144" s="1050">
        <f>A143+1</f>
        <v>123</v>
      </c>
      <c r="B144" s="1050">
        <f>+'Sch-1'!B144</f>
        <v>7000023516</v>
      </c>
      <c r="C144" s="1050">
        <f>+'Sch-1'!C144</f>
        <v>1480</v>
      </c>
      <c r="D144" s="1050" t="str">
        <f>+'Sch-1'!D144</f>
        <v xml:space="preserve">BoQ of Comm Equip Mandatory Spares      </v>
      </c>
      <c r="E144" s="1050">
        <f>+'Sch-1'!E144</f>
        <v>1000031374</v>
      </c>
      <c r="F144" s="1048" t="str">
        <f>+'Sch-1'!J144</f>
        <v>TRIBUTARY INTERFACE- E1 INTERFACE (MINIMUM 16 NOS.)</v>
      </c>
      <c r="G144" s="1050" t="str">
        <f>+'Sch-1'!K144</f>
        <v>SET</v>
      </c>
      <c r="H144" s="1050">
        <f>+'Sch-1'!L144</f>
        <v>1</v>
      </c>
      <c r="I144" s="1180"/>
      <c r="J144" s="1179" t="str">
        <f t="shared" si="26"/>
        <v>Included</v>
      </c>
      <c r="K144" s="981"/>
      <c r="M144" s="285"/>
    </row>
    <row r="145" spans="1:32" s="965" customFormat="1" ht="28.8">
      <c r="A145" s="1050">
        <f t="shared" ref="A145:A149" si="27">A144+1</f>
        <v>124</v>
      </c>
      <c r="B145" s="1050">
        <f>+'Sch-1'!B145</f>
        <v>7000023516</v>
      </c>
      <c r="C145" s="1050">
        <f>+'Sch-1'!C145</f>
        <v>1490</v>
      </c>
      <c r="D145" s="1050" t="str">
        <f>+'Sch-1'!D145</f>
        <v xml:space="preserve">BoQ of Comm Equip Mandatory Spares      </v>
      </c>
      <c r="E145" s="1050">
        <f>+'Sch-1'!E145</f>
        <v>1000034950</v>
      </c>
      <c r="F145" s="1048" t="str">
        <f>+'Sch-1'!J145</f>
        <v>ETHERNET INTERFACE 10/100 BASE T WITH LAYER-2 SWITCHING (MIN 8INTERFACES PER CARD)</v>
      </c>
      <c r="G145" s="1050" t="str">
        <f>+'Sch-1'!K145</f>
        <v xml:space="preserve">EA </v>
      </c>
      <c r="H145" s="1050">
        <f>+'Sch-1'!L145</f>
        <v>1</v>
      </c>
      <c r="I145" s="1180"/>
      <c r="J145" s="1179" t="str">
        <f t="shared" si="26"/>
        <v>Included</v>
      </c>
      <c r="K145" s="981"/>
      <c r="M145" s="285"/>
    </row>
    <row r="146" spans="1:32" s="965" customFormat="1" ht="28.8">
      <c r="A146" s="1050">
        <f t="shared" si="27"/>
        <v>125</v>
      </c>
      <c r="B146" s="1050">
        <f>+'Sch-1'!B146</f>
        <v>7000023516</v>
      </c>
      <c r="C146" s="1050">
        <f>+'Sch-1'!C146</f>
        <v>1500</v>
      </c>
      <c r="D146" s="1050" t="str">
        <f>+'Sch-1'!D146</f>
        <v xml:space="preserve">BoQ of Comm Equip Mandatory Spares      </v>
      </c>
      <c r="E146" s="1050">
        <f>+'Sch-1'!E146</f>
        <v>1000031381</v>
      </c>
      <c r="F146" s="1048" t="str">
        <f>+'Sch-1'!J146</f>
        <v>TRIBUTARY INTERFACE-GIGABIT ETHERNET INTERFACES 10/100 MBPS WITH LAYER-2 SWITCHING (MINIMUM 2 NOS.)</v>
      </c>
      <c r="G146" s="1050" t="str">
        <f>+'Sch-1'!K146</f>
        <v>SET</v>
      </c>
      <c r="H146" s="1050">
        <f>+'Sch-1'!L146</f>
        <v>1</v>
      </c>
      <c r="I146" s="1180"/>
      <c r="J146" s="1179" t="str">
        <f t="shared" si="26"/>
        <v>Included</v>
      </c>
      <c r="K146" s="981"/>
      <c r="M146" s="285"/>
    </row>
    <row r="147" spans="1:32" s="965" customFormat="1" ht="28.8">
      <c r="A147" s="1050">
        <f t="shared" si="27"/>
        <v>126</v>
      </c>
      <c r="B147" s="1050">
        <f>+'Sch-1'!B147</f>
        <v>7000023516</v>
      </c>
      <c r="C147" s="1050">
        <f>+'Sch-1'!C147</f>
        <v>1510</v>
      </c>
      <c r="D147" s="1050" t="str">
        <f>+'Sch-1'!D147</f>
        <v xml:space="preserve">BoQ of Comm Equip Mandatory Spares      </v>
      </c>
      <c r="E147" s="1050">
        <f>+'Sch-1'!E147</f>
        <v>1000031398</v>
      </c>
      <c r="F147" s="1048" t="str">
        <f>+'Sch-1'!J147</f>
        <v>PRE CONNECTORIZED OPTICAL FIBER PATCH CORDS(10 MTRS) â€“ PACK OF SIXPATCH CORDS</v>
      </c>
      <c r="G147" s="1050" t="str">
        <f>+'Sch-1'!K147</f>
        <v>SET</v>
      </c>
      <c r="H147" s="1050">
        <f>+'Sch-1'!L147</f>
        <v>1</v>
      </c>
      <c r="I147" s="1180"/>
      <c r="J147" s="1179" t="str">
        <f t="shared" si="26"/>
        <v>Included</v>
      </c>
      <c r="K147" s="981"/>
      <c r="M147" s="285"/>
    </row>
    <row r="148" spans="1:32" s="965" customFormat="1" ht="28.8">
      <c r="A148" s="1050">
        <f t="shared" si="27"/>
        <v>127</v>
      </c>
      <c r="B148" s="1050">
        <f>+'Sch-1'!B148</f>
        <v>7000023516</v>
      </c>
      <c r="C148" s="1050">
        <f>+'Sch-1'!C148</f>
        <v>1520</v>
      </c>
      <c r="D148" s="1050" t="str">
        <f>+'Sch-1'!D148</f>
        <v xml:space="preserve">BoQ of Comm Equip Mandatory Spares      </v>
      </c>
      <c r="E148" s="1050">
        <f>+'Sch-1'!E148</f>
        <v>1000030942</v>
      </c>
      <c r="F148" s="1048" t="str">
        <f>+'Sch-1'!J148</f>
        <v>24F (DWSM) APPROACH FIBRE OPTIC CABLE  INCLUDING ALL INSTALLATIONHARDWARE SET</v>
      </c>
      <c r="G148" s="1050" t="str">
        <f>+'Sch-1'!K148</f>
        <v xml:space="preserve">KM </v>
      </c>
      <c r="H148" s="1050">
        <f>+'Sch-1'!L148</f>
        <v>1</v>
      </c>
      <c r="I148" s="1180"/>
      <c r="J148" s="1179" t="str">
        <f t="shared" ref="J148" si="28">IF(I148=0, "Included",IF(ISERROR(H148*I148), I148, H148*I148))</f>
        <v>Included</v>
      </c>
      <c r="K148" s="981"/>
      <c r="M148" s="285"/>
    </row>
    <row r="149" spans="1:32" s="965" customFormat="1" ht="72">
      <c r="A149" s="1050">
        <f t="shared" si="27"/>
        <v>128</v>
      </c>
      <c r="B149" s="1050">
        <f>+'Sch-1'!B149</f>
        <v>7000023516</v>
      </c>
      <c r="C149" s="1050">
        <f>+'Sch-1'!C149</f>
        <v>1530</v>
      </c>
      <c r="D149" s="1050" t="str">
        <f>+'Sch-1'!D149</f>
        <v xml:space="preserve">LCLM-40mtr                              </v>
      </c>
      <c r="E149" s="1050">
        <f>+'Sch-1'!E149</f>
        <v>1000065639</v>
      </c>
      <c r="F149" s="1048" t="str">
        <f>+'Sch-1'!J149</f>
        <v>HIGH MAST FOR LIGHTING CUM LIGHTNING PROTECTION (40M HEIGHT &amp; 2.5 MPEAK ), INCLUDING HARDWARE, LANTERN CARRIAGES,PULLEY SYSTEM WITH WIREROPES,NUTS, BOLTS,FOUNDATION BOLTS, ALL TYPE OF WASHERS ETC  COMPLETEIN ALL RESPECT.</v>
      </c>
      <c r="G149" s="1050" t="str">
        <f>+'Sch-1'!K149</f>
        <v xml:space="preserve">EA </v>
      </c>
      <c r="H149" s="1050">
        <f>+'Sch-1'!L149</f>
        <v>2</v>
      </c>
      <c r="I149" s="1180"/>
      <c r="J149" s="1179" t="str">
        <f t="shared" ref="J149" si="29">IF(I149=0, "Included",IF(ISERROR(H149*I149), I149, H149*I149))</f>
        <v>Included</v>
      </c>
      <c r="K149" s="981"/>
      <c r="M149" s="285"/>
    </row>
    <row r="150" spans="1:32" s="965" customFormat="1">
      <c r="A150" s="1302"/>
      <c r="B150" s="1302"/>
      <c r="C150" s="1302"/>
      <c r="D150" s="1302"/>
      <c r="E150" s="1302"/>
      <c r="F150" s="1302"/>
      <c r="G150" s="1302"/>
      <c r="H150" s="1302"/>
      <c r="I150" s="1302"/>
      <c r="J150" s="1302"/>
      <c r="K150" s="981"/>
      <c r="M150" s="285"/>
    </row>
    <row r="151" spans="1:32">
      <c r="A151" s="982"/>
      <c r="B151" s="982"/>
      <c r="C151" s="982"/>
      <c r="D151" s="982"/>
      <c r="E151" s="982"/>
      <c r="F151" s="983" t="s">
        <v>631</v>
      </c>
      <c r="G151" s="984"/>
      <c r="H151" s="1064"/>
      <c r="I151" s="985"/>
      <c r="J151" s="1086">
        <f>SUM(J22:J150)</f>
        <v>0</v>
      </c>
      <c r="N151" s="285"/>
      <c r="O151" s="285"/>
      <c r="P151" s="285"/>
      <c r="Q151" s="285"/>
      <c r="R151" s="285"/>
      <c r="S151" s="285"/>
      <c r="T151" s="285"/>
      <c r="U151" s="285"/>
      <c r="V151" s="285"/>
      <c r="W151" s="285"/>
      <c r="X151" s="285"/>
      <c r="Y151" s="285"/>
      <c r="Z151" s="285"/>
      <c r="AA151" s="285"/>
      <c r="AB151" s="285"/>
      <c r="AC151" s="285"/>
      <c r="AD151" s="285"/>
      <c r="AE151" s="285"/>
      <c r="AF151" s="285"/>
    </row>
    <row r="152" spans="1:32">
      <c r="A152" s="986"/>
      <c r="B152" s="986"/>
      <c r="C152" s="986"/>
      <c r="D152" s="986"/>
      <c r="E152" s="986"/>
      <c r="F152" s="987"/>
      <c r="G152" s="988"/>
      <c r="H152" s="1065"/>
      <c r="I152" s="989"/>
      <c r="J152" s="990"/>
      <c r="N152" s="285"/>
      <c r="O152" s="285"/>
      <c r="P152" s="285"/>
      <c r="Q152" s="285"/>
      <c r="R152" s="285"/>
      <c r="S152" s="285"/>
      <c r="T152" s="285"/>
      <c r="U152" s="285"/>
      <c r="V152" s="285"/>
      <c r="W152" s="285"/>
      <c r="X152" s="285"/>
      <c r="Y152" s="285"/>
      <c r="Z152" s="285"/>
      <c r="AA152" s="285"/>
      <c r="AB152" s="285"/>
      <c r="AC152" s="285"/>
      <c r="AD152" s="285"/>
      <c r="AE152" s="285"/>
      <c r="AF152" s="285"/>
    </row>
    <row r="153" spans="1:32">
      <c r="A153" s="986"/>
      <c r="B153" s="986"/>
      <c r="C153" s="986"/>
      <c r="D153" s="986"/>
      <c r="E153" s="986"/>
      <c r="F153" s="987"/>
      <c r="G153" s="988"/>
      <c r="H153" s="1065"/>
      <c r="I153" s="989"/>
      <c r="J153" s="990"/>
      <c r="N153" s="285"/>
      <c r="O153" s="285"/>
      <c r="P153" s="285"/>
      <c r="Q153" s="285"/>
      <c r="R153" s="285"/>
      <c r="S153" s="285"/>
      <c r="T153" s="285"/>
      <c r="U153" s="285"/>
      <c r="V153" s="285"/>
      <c r="W153" s="285"/>
      <c r="X153" s="285"/>
      <c r="Y153" s="285"/>
      <c r="Z153" s="285"/>
      <c r="AA153" s="285"/>
      <c r="AB153" s="285"/>
      <c r="AC153" s="285"/>
      <c r="AD153" s="285"/>
      <c r="AE153" s="285"/>
      <c r="AF153" s="285"/>
    </row>
    <row r="154" spans="1:32">
      <c r="A154" s="896" t="s">
        <v>484</v>
      </c>
      <c r="B154" s="896"/>
      <c r="C154" s="896"/>
      <c r="D154" s="896"/>
      <c r="E154" s="896"/>
      <c r="F154" s="866"/>
      <c r="G154" s="988"/>
      <c r="H154" s="1065"/>
      <c r="I154" s="989"/>
      <c r="J154" s="990"/>
      <c r="N154" s="285"/>
      <c r="O154" s="285"/>
      <c r="P154" s="285"/>
      <c r="Q154" s="285"/>
      <c r="R154" s="285"/>
      <c r="S154" s="285"/>
      <c r="T154" s="285"/>
      <c r="U154" s="285"/>
      <c r="V154" s="285"/>
      <c r="W154" s="285"/>
      <c r="X154" s="285"/>
      <c r="Y154" s="285"/>
      <c r="Z154" s="285"/>
      <c r="AA154" s="285"/>
      <c r="AB154" s="285"/>
      <c r="AC154" s="285"/>
      <c r="AD154" s="285"/>
      <c r="AE154" s="285"/>
      <c r="AF154" s="285"/>
    </row>
    <row r="155" spans="1:32">
      <c r="A155" s="896"/>
      <c r="B155" s="1295" t="s">
        <v>492</v>
      </c>
      <c r="C155" s="1295"/>
      <c r="D155" s="1295"/>
      <c r="E155" s="1295"/>
      <c r="F155" s="1295"/>
      <c r="G155" s="1295"/>
      <c r="H155" s="1295"/>
      <c r="I155" s="1295"/>
      <c r="J155" s="1295"/>
      <c r="N155" s="285"/>
      <c r="O155" s="285"/>
      <c r="P155" s="285"/>
      <c r="Q155" s="285"/>
      <c r="R155" s="285"/>
      <c r="S155" s="285"/>
      <c r="T155" s="285"/>
      <c r="U155" s="285"/>
      <c r="V155" s="285"/>
      <c r="W155" s="285"/>
      <c r="X155" s="285"/>
      <c r="Y155" s="285"/>
      <c r="Z155" s="285"/>
      <c r="AA155" s="285"/>
      <c r="AB155" s="285"/>
      <c r="AC155" s="285"/>
      <c r="AD155" s="285"/>
      <c r="AE155" s="285"/>
      <c r="AF155" s="285"/>
    </row>
    <row r="156" spans="1:32">
      <c r="A156" s="991" t="s">
        <v>482</v>
      </c>
      <c r="B156" s="992" t="str">
        <f>'Sch-1'!B158</f>
        <v>--</v>
      </c>
      <c r="C156" s="991"/>
      <c r="D156" s="991"/>
      <c r="E156" s="991"/>
      <c r="F156" s="285"/>
      <c r="G156" s="993"/>
      <c r="H156" s="11"/>
      <c r="I156" s="285"/>
      <c r="J156" s="285"/>
      <c r="N156" s="285"/>
      <c r="O156" s="285"/>
      <c r="P156" s="285"/>
      <c r="Q156" s="285"/>
      <c r="R156" s="285"/>
      <c r="S156" s="285"/>
      <c r="T156" s="285"/>
      <c r="U156" s="285"/>
      <c r="V156" s="285"/>
      <c r="W156" s="285"/>
      <c r="X156" s="285"/>
      <c r="Y156" s="285"/>
      <c r="Z156" s="285"/>
      <c r="AA156" s="285"/>
      <c r="AB156" s="285"/>
      <c r="AC156" s="285"/>
      <c r="AD156" s="285"/>
      <c r="AE156" s="285"/>
      <c r="AF156" s="285"/>
    </row>
    <row r="157" spans="1:32">
      <c r="A157" s="991" t="s">
        <v>483</v>
      </c>
      <c r="B157" s="992" t="str">
        <f>'Sch-1'!B159</f>
        <v/>
      </c>
      <c r="C157" s="991"/>
      <c r="D157" s="991"/>
      <c r="E157" s="991"/>
      <c r="F157" s="285"/>
      <c r="G157" s="956"/>
      <c r="H157" s="1296" t="s">
        <v>408</v>
      </c>
      <c r="I157" s="1296"/>
      <c r="J157" s="994" t="str">
        <f>'Sch-1'!M159</f>
        <v/>
      </c>
      <c r="N157" s="285"/>
      <c r="O157" s="285"/>
      <c r="P157" s="285"/>
      <c r="Q157" s="285"/>
      <c r="R157" s="285"/>
      <c r="S157" s="285"/>
      <c r="T157" s="285"/>
      <c r="U157" s="285"/>
      <c r="V157" s="285"/>
      <c r="W157" s="285"/>
      <c r="X157" s="285"/>
      <c r="Y157" s="285"/>
      <c r="Z157" s="285"/>
      <c r="AA157" s="285"/>
      <c r="AB157" s="285"/>
      <c r="AC157" s="285"/>
      <c r="AD157" s="285"/>
      <c r="AE157" s="285"/>
      <c r="AF157" s="285"/>
    </row>
    <row r="158" spans="1:32">
      <c r="A158" s="960"/>
      <c r="B158" s="960"/>
      <c r="C158" s="960"/>
      <c r="D158" s="960"/>
      <c r="E158" s="960"/>
      <c r="F158" s="995"/>
      <c r="G158" s="960"/>
      <c r="H158" s="1296" t="s">
        <v>409</v>
      </c>
      <c r="I158" s="1296"/>
      <c r="J158" s="994" t="str">
        <f>'Sch-1'!M160</f>
        <v/>
      </c>
      <c r="N158" s="285"/>
      <c r="O158" s="285"/>
      <c r="P158" s="285"/>
      <c r="Q158" s="285"/>
      <c r="R158" s="285"/>
      <c r="S158" s="285"/>
      <c r="T158" s="285"/>
      <c r="U158" s="285"/>
      <c r="V158" s="285"/>
      <c r="W158" s="285"/>
      <c r="X158" s="285"/>
      <c r="Y158" s="285"/>
      <c r="Z158" s="285"/>
      <c r="AA158" s="285"/>
      <c r="AB158" s="285"/>
      <c r="AC158" s="285"/>
      <c r="AD158" s="285"/>
      <c r="AE158" s="285"/>
      <c r="AF158" s="285"/>
    </row>
    <row r="159" spans="1:32">
      <c r="A159" s="896"/>
      <c r="B159" s="896"/>
      <c r="C159" s="896"/>
      <c r="D159" s="896"/>
      <c r="E159" s="896"/>
      <c r="F159" s="885"/>
      <c r="G159" s="993"/>
      <c r="H159" s="11"/>
      <c r="I159" s="285"/>
      <c r="J159" s="285"/>
      <c r="N159" s="285"/>
      <c r="O159" s="285"/>
      <c r="P159" s="285"/>
      <c r="Q159" s="285"/>
      <c r="R159" s="285"/>
      <c r="S159" s="285"/>
      <c r="T159" s="285"/>
      <c r="U159" s="285"/>
      <c r="V159" s="285"/>
      <c r="W159" s="285"/>
      <c r="X159" s="285"/>
      <c r="Y159" s="285"/>
      <c r="Z159" s="285"/>
      <c r="AA159" s="285"/>
      <c r="AB159" s="285"/>
      <c r="AC159" s="285"/>
      <c r="AD159" s="285"/>
      <c r="AE159" s="285"/>
      <c r="AF159" s="285"/>
    </row>
    <row r="197" spans="1:32">
      <c r="A197" s="996"/>
      <c r="B197" s="996"/>
      <c r="C197" s="996"/>
      <c r="D197" s="996"/>
      <c r="E197" s="996"/>
      <c r="F197" s="997"/>
      <c r="G197" s="996"/>
      <c r="H197" s="1066"/>
      <c r="I197" s="996"/>
      <c r="J197" s="996"/>
      <c r="K197" s="285"/>
      <c r="N197" s="285"/>
      <c r="O197" s="285"/>
      <c r="P197" s="285"/>
      <c r="Q197" s="285"/>
      <c r="R197" s="285"/>
      <c r="S197" s="285"/>
      <c r="T197" s="285"/>
      <c r="U197" s="285"/>
      <c r="V197" s="285"/>
      <c r="W197" s="285"/>
      <c r="X197" s="285"/>
      <c r="Y197" s="285"/>
      <c r="Z197" s="285"/>
      <c r="AA197" s="285"/>
      <c r="AB197" s="285"/>
      <c r="AC197" s="285"/>
      <c r="AD197" s="285"/>
      <c r="AE197" s="285"/>
      <c r="AF197" s="285"/>
    </row>
    <row r="198" spans="1:32">
      <c r="A198" s="996"/>
      <c r="B198" s="996"/>
      <c r="C198" s="996"/>
      <c r="D198" s="996"/>
      <c r="E198" s="996"/>
      <c r="F198" s="997"/>
      <c r="G198" s="996"/>
      <c r="H198" s="1066"/>
      <c r="I198" s="996"/>
      <c r="J198" s="996"/>
      <c r="K198" s="285"/>
      <c r="N198" s="285"/>
      <c r="O198" s="285"/>
      <c r="P198" s="285"/>
      <c r="Q198" s="285"/>
      <c r="R198" s="285"/>
      <c r="S198" s="285"/>
      <c r="T198" s="285"/>
      <c r="U198" s="285"/>
      <c r="V198" s="285"/>
      <c r="W198" s="285"/>
      <c r="X198" s="285"/>
      <c r="Y198" s="285"/>
      <c r="Z198" s="285"/>
      <c r="AA198" s="285"/>
      <c r="AB198" s="285"/>
      <c r="AC198" s="285"/>
      <c r="AD198" s="285"/>
      <c r="AE198" s="285"/>
      <c r="AF198" s="285"/>
    </row>
    <row r="199" spans="1:32">
      <c r="A199" s="996"/>
      <c r="B199" s="996"/>
      <c r="C199" s="996"/>
      <c r="D199" s="996"/>
      <c r="E199" s="996"/>
      <c r="F199" s="997"/>
      <c r="G199" s="996"/>
      <c r="H199" s="1066"/>
      <c r="I199" s="996"/>
      <c r="J199" s="996"/>
      <c r="K199" s="285"/>
      <c r="N199" s="285"/>
      <c r="O199" s="285"/>
      <c r="P199" s="285"/>
      <c r="Q199" s="285"/>
      <c r="R199" s="285"/>
      <c r="S199" s="285"/>
      <c r="T199" s="285"/>
      <c r="U199" s="285"/>
      <c r="V199" s="285"/>
      <c r="W199" s="285"/>
      <c r="X199" s="285"/>
      <c r="Y199" s="285"/>
      <c r="Z199" s="285"/>
      <c r="AA199" s="285"/>
      <c r="AB199" s="285"/>
      <c r="AC199" s="285"/>
      <c r="AD199" s="285"/>
      <c r="AE199" s="285"/>
      <c r="AF199" s="285"/>
    </row>
    <row r="200" spans="1:32">
      <c r="A200" s="996"/>
      <c r="B200" s="996"/>
      <c r="C200" s="996"/>
      <c r="D200" s="996"/>
      <c r="E200" s="996"/>
      <c r="F200" s="997"/>
      <c r="G200" s="996"/>
      <c r="H200" s="1066"/>
      <c r="I200" s="996"/>
      <c r="J200" s="996"/>
      <c r="K200" s="285"/>
      <c r="N200" s="285"/>
      <c r="O200" s="285"/>
      <c r="P200" s="285"/>
      <c r="Q200" s="285"/>
      <c r="R200" s="285"/>
      <c r="S200" s="285"/>
      <c r="T200" s="285"/>
      <c r="U200" s="285"/>
      <c r="V200" s="285"/>
      <c r="W200" s="285"/>
      <c r="X200" s="285"/>
      <c r="Y200" s="285"/>
      <c r="Z200" s="285"/>
      <c r="AA200" s="285"/>
      <c r="AB200" s="285"/>
      <c r="AC200" s="285"/>
      <c r="AD200" s="285"/>
      <c r="AE200" s="285"/>
      <c r="AF200" s="285"/>
    </row>
    <row r="201" spans="1:32">
      <c r="A201" s="996"/>
      <c r="B201" s="996"/>
      <c r="C201" s="996"/>
      <c r="D201" s="996"/>
      <c r="E201" s="996"/>
      <c r="F201" s="997"/>
      <c r="G201" s="996"/>
      <c r="H201" s="1066"/>
      <c r="I201" s="996"/>
      <c r="J201" s="996"/>
      <c r="K201" s="285"/>
      <c r="N201" s="285"/>
      <c r="O201" s="285"/>
      <c r="P201" s="285"/>
      <c r="Q201" s="285"/>
      <c r="R201" s="285"/>
      <c r="S201" s="285"/>
      <c r="T201" s="285"/>
      <c r="U201" s="285"/>
      <c r="V201" s="285"/>
      <c r="W201" s="285"/>
      <c r="X201" s="285"/>
      <c r="Y201" s="285"/>
      <c r="Z201" s="285"/>
      <c r="AA201" s="285"/>
      <c r="AB201" s="285"/>
      <c r="AC201" s="285"/>
      <c r="AD201" s="285"/>
      <c r="AE201" s="285"/>
      <c r="AF201" s="285"/>
    </row>
    <row r="202" spans="1:32">
      <c r="A202" s="996"/>
      <c r="B202" s="996"/>
      <c r="C202" s="996"/>
      <c r="D202" s="996"/>
      <c r="E202" s="996"/>
      <c r="F202" s="997"/>
      <c r="G202" s="996"/>
      <c r="H202" s="1066"/>
      <c r="I202" s="996"/>
      <c r="J202" s="996"/>
      <c r="K202" s="285"/>
      <c r="N202" s="285"/>
      <c r="O202" s="285"/>
      <c r="P202" s="285"/>
      <c r="Q202" s="285"/>
      <c r="R202" s="285"/>
      <c r="S202" s="285"/>
      <c r="T202" s="285"/>
      <c r="U202" s="285"/>
      <c r="V202" s="285"/>
      <c r="W202" s="285"/>
      <c r="X202" s="285"/>
      <c r="Y202" s="285"/>
      <c r="Z202" s="285"/>
      <c r="AA202" s="285"/>
      <c r="AB202" s="285"/>
      <c r="AC202" s="285"/>
      <c r="AD202" s="285"/>
      <c r="AE202" s="285"/>
      <c r="AF202" s="285"/>
    </row>
    <row r="203" spans="1:32">
      <c r="A203" s="996"/>
      <c r="B203" s="996"/>
      <c r="C203" s="996"/>
      <c r="D203" s="996"/>
      <c r="E203" s="996"/>
      <c r="F203" s="997"/>
      <c r="G203" s="996"/>
      <c r="H203" s="1066"/>
      <c r="I203" s="996"/>
      <c r="J203" s="996"/>
      <c r="K203" s="285"/>
      <c r="N203" s="285"/>
      <c r="O203" s="285"/>
      <c r="P203" s="285"/>
      <c r="Q203" s="285"/>
      <c r="R203" s="285"/>
      <c r="S203" s="285"/>
      <c r="T203" s="285"/>
      <c r="U203" s="285"/>
      <c r="V203" s="285"/>
      <c r="W203" s="285"/>
      <c r="X203" s="285"/>
      <c r="Y203" s="285"/>
      <c r="Z203" s="285"/>
      <c r="AA203" s="285"/>
      <c r="AB203" s="285"/>
      <c r="AC203" s="285"/>
      <c r="AD203" s="285"/>
      <c r="AE203" s="285"/>
      <c r="AF203" s="285"/>
    </row>
    <row r="204" spans="1:32">
      <c r="A204" s="996"/>
      <c r="B204" s="996"/>
      <c r="C204" s="996"/>
      <c r="D204" s="996"/>
      <c r="E204" s="996"/>
      <c r="F204" s="997"/>
      <c r="G204" s="996"/>
      <c r="H204" s="1066"/>
      <c r="I204" s="996"/>
      <c r="J204" s="996"/>
      <c r="K204" s="285"/>
      <c r="N204" s="285"/>
      <c r="O204" s="285"/>
      <c r="P204" s="285"/>
      <c r="Q204" s="285"/>
      <c r="R204" s="285"/>
      <c r="S204" s="285"/>
      <c r="T204" s="285"/>
      <c r="U204" s="285"/>
      <c r="V204" s="285"/>
      <c r="W204" s="285"/>
      <c r="X204" s="285"/>
      <c r="Y204" s="285"/>
      <c r="Z204" s="285"/>
      <c r="AA204" s="285"/>
      <c r="AB204" s="285"/>
      <c r="AC204" s="285"/>
      <c r="AD204" s="285"/>
      <c r="AE204" s="285"/>
      <c r="AF204" s="285"/>
    </row>
    <row r="205" spans="1:32">
      <c r="A205" s="996"/>
      <c r="B205" s="996"/>
      <c r="C205" s="996"/>
      <c r="D205" s="996"/>
      <c r="E205" s="996"/>
      <c r="F205" s="997"/>
      <c r="G205" s="996"/>
      <c r="H205" s="1066"/>
      <c r="I205" s="996"/>
      <c r="J205" s="996"/>
      <c r="K205" s="285"/>
      <c r="N205" s="285"/>
      <c r="O205" s="285"/>
      <c r="P205" s="285"/>
      <c r="Q205" s="285"/>
      <c r="R205" s="285"/>
      <c r="S205" s="285"/>
      <c r="T205" s="285"/>
      <c r="U205" s="285"/>
      <c r="V205" s="285"/>
      <c r="W205" s="285"/>
      <c r="X205" s="285"/>
      <c r="Y205" s="285"/>
      <c r="Z205" s="285"/>
      <c r="AA205" s="285"/>
      <c r="AB205" s="285"/>
      <c r="AC205" s="285"/>
      <c r="AD205" s="285"/>
      <c r="AE205" s="285"/>
      <c r="AF205" s="285"/>
    </row>
    <row r="206" spans="1:32">
      <c r="A206" s="996"/>
      <c r="B206" s="996"/>
      <c r="C206" s="996"/>
      <c r="D206" s="996"/>
      <c r="E206" s="996"/>
      <c r="F206" s="997"/>
      <c r="G206" s="996"/>
      <c r="H206" s="1066"/>
      <c r="I206" s="996"/>
      <c r="J206" s="996"/>
      <c r="K206" s="285"/>
      <c r="N206" s="285"/>
      <c r="O206" s="285"/>
      <c r="P206" s="285"/>
      <c r="Q206" s="285"/>
      <c r="R206" s="285"/>
      <c r="S206" s="285"/>
      <c r="T206" s="285"/>
      <c r="U206" s="285"/>
      <c r="V206" s="285"/>
      <c r="W206" s="285"/>
      <c r="X206" s="285"/>
      <c r="Y206" s="285"/>
      <c r="Z206" s="285"/>
      <c r="AA206" s="285"/>
      <c r="AB206" s="285"/>
      <c r="AC206" s="285"/>
      <c r="AD206" s="285"/>
      <c r="AE206" s="285"/>
      <c r="AF206" s="285"/>
    </row>
    <row r="207" spans="1:32">
      <c r="A207" s="996"/>
      <c r="B207" s="996"/>
      <c r="C207" s="996"/>
      <c r="D207" s="996"/>
      <c r="E207" s="996"/>
      <c r="F207" s="997"/>
      <c r="G207" s="996"/>
      <c r="H207" s="1066"/>
      <c r="I207" s="996"/>
      <c r="J207" s="996"/>
      <c r="K207" s="285"/>
      <c r="N207" s="285"/>
      <c r="O207" s="285"/>
      <c r="P207" s="285"/>
      <c r="Q207" s="285"/>
      <c r="R207" s="285"/>
      <c r="S207" s="285"/>
      <c r="T207" s="285"/>
      <c r="U207" s="285"/>
      <c r="V207" s="285"/>
      <c r="W207" s="285"/>
      <c r="X207" s="285"/>
      <c r="Y207" s="285"/>
      <c r="Z207" s="285"/>
      <c r="AA207" s="285"/>
      <c r="AB207" s="285"/>
      <c r="AC207" s="285"/>
      <c r="AD207" s="285"/>
      <c r="AE207" s="285"/>
      <c r="AF207" s="285"/>
    </row>
    <row r="208" spans="1:32">
      <c r="A208" s="996"/>
      <c r="B208" s="996"/>
      <c r="C208" s="996"/>
      <c r="D208" s="996"/>
      <c r="E208" s="996"/>
      <c r="F208" s="997"/>
      <c r="G208" s="996"/>
      <c r="H208" s="1066"/>
      <c r="I208" s="996"/>
      <c r="J208" s="996"/>
      <c r="K208" s="285"/>
      <c r="N208" s="285"/>
      <c r="O208" s="285"/>
      <c r="P208" s="285"/>
      <c r="Q208" s="285"/>
      <c r="R208" s="285"/>
      <c r="S208" s="285"/>
      <c r="T208" s="285"/>
      <c r="U208" s="285"/>
      <c r="V208" s="285"/>
      <c r="W208" s="285"/>
      <c r="X208" s="285"/>
      <c r="Y208" s="285"/>
      <c r="Z208" s="285"/>
      <c r="AA208" s="285"/>
      <c r="AB208" s="285"/>
      <c r="AC208" s="285"/>
      <c r="AD208" s="285"/>
      <c r="AE208" s="285"/>
      <c r="AF208" s="285"/>
    </row>
    <row r="209" spans="1:32">
      <c r="A209" s="996"/>
      <c r="B209" s="996"/>
      <c r="C209" s="996"/>
      <c r="D209" s="996"/>
      <c r="E209" s="996"/>
      <c r="F209" s="997"/>
      <c r="G209" s="996"/>
      <c r="H209" s="1066"/>
      <c r="I209" s="996"/>
      <c r="J209" s="996"/>
      <c r="K209" s="285"/>
      <c r="N209" s="285"/>
      <c r="O209" s="285"/>
      <c r="P209" s="285"/>
      <c r="Q209" s="285"/>
      <c r="R209" s="285"/>
      <c r="S209" s="285"/>
      <c r="T209" s="285"/>
      <c r="U209" s="285"/>
      <c r="V209" s="285"/>
      <c r="W209" s="285"/>
      <c r="X209" s="285"/>
      <c r="Y209" s="285"/>
      <c r="Z209" s="285"/>
      <c r="AA209" s="285"/>
      <c r="AB209" s="285"/>
      <c r="AC209" s="285"/>
      <c r="AD209" s="285"/>
      <c r="AE209" s="285"/>
      <c r="AF209" s="285"/>
    </row>
    <row r="210" spans="1:32">
      <c r="A210" s="996"/>
      <c r="B210" s="996"/>
      <c r="C210" s="996"/>
      <c r="D210" s="996"/>
      <c r="E210" s="996"/>
      <c r="F210" s="997"/>
      <c r="G210" s="996"/>
      <c r="H210" s="1066"/>
      <c r="I210" s="996"/>
      <c r="J210" s="996"/>
      <c r="K210" s="285"/>
      <c r="N210" s="285"/>
      <c r="O210" s="285"/>
      <c r="P210" s="285"/>
      <c r="Q210" s="285"/>
      <c r="R210" s="285"/>
      <c r="S210" s="285"/>
      <c r="T210" s="285"/>
      <c r="U210" s="285"/>
      <c r="V210" s="285"/>
      <c r="W210" s="285"/>
      <c r="X210" s="285"/>
      <c r="Y210" s="285"/>
      <c r="Z210" s="285"/>
      <c r="AA210" s="285"/>
      <c r="AB210" s="285"/>
      <c r="AC210" s="285"/>
      <c r="AD210" s="285"/>
      <c r="AE210" s="285"/>
      <c r="AF210" s="285"/>
    </row>
    <row r="211" spans="1:32">
      <c r="A211" s="996"/>
      <c r="B211" s="996"/>
      <c r="C211" s="996"/>
      <c r="D211" s="996"/>
      <c r="E211" s="996"/>
      <c r="F211" s="997"/>
      <c r="G211" s="996"/>
      <c r="H211" s="1066"/>
      <c r="I211" s="996"/>
      <c r="J211" s="996"/>
      <c r="K211" s="285"/>
      <c r="N211" s="285"/>
      <c r="O211" s="285"/>
      <c r="P211" s="285"/>
      <c r="Q211" s="285"/>
      <c r="R211" s="285"/>
      <c r="S211" s="285"/>
      <c r="T211" s="285"/>
      <c r="U211" s="285"/>
      <c r="V211" s="285"/>
      <c r="W211" s="285"/>
      <c r="X211" s="285"/>
      <c r="Y211" s="285"/>
      <c r="Z211" s="285"/>
      <c r="AA211" s="285"/>
      <c r="AB211" s="285"/>
      <c r="AC211" s="285"/>
      <c r="AD211" s="285"/>
      <c r="AE211" s="285"/>
      <c r="AF211" s="285"/>
    </row>
    <row r="212" spans="1:32">
      <c r="A212" s="996"/>
      <c r="B212" s="996"/>
      <c r="C212" s="996"/>
      <c r="D212" s="996"/>
      <c r="E212" s="996"/>
      <c r="F212" s="997"/>
      <c r="G212" s="996"/>
      <c r="H212" s="1066"/>
      <c r="I212" s="996"/>
      <c r="J212" s="996"/>
      <c r="K212" s="285"/>
      <c r="N212" s="285"/>
      <c r="O212" s="285"/>
      <c r="P212" s="285"/>
      <c r="Q212" s="285"/>
      <c r="R212" s="285"/>
      <c r="S212" s="285"/>
      <c r="T212" s="285"/>
      <c r="U212" s="285"/>
      <c r="V212" s="285"/>
      <c r="W212" s="285"/>
      <c r="X212" s="285"/>
      <c r="Y212" s="285"/>
      <c r="Z212" s="285"/>
      <c r="AA212" s="285"/>
      <c r="AB212" s="285"/>
      <c r="AC212" s="285"/>
      <c r="AD212" s="285"/>
      <c r="AE212" s="285"/>
      <c r="AF212" s="285"/>
    </row>
    <row r="213" spans="1:32">
      <c r="A213" s="996"/>
      <c r="B213" s="996"/>
      <c r="C213" s="996"/>
      <c r="D213" s="996"/>
      <c r="E213" s="996"/>
      <c r="F213" s="997"/>
      <c r="G213" s="996"/>
      <c r="H213" s="1066"/>
      <c r="I213" s="996"/>
      <c r="J213" s="996"/>
      <c r="K213" s="285"/>
      <c r="N213" s="285"/>
      <c r="O213" s="285"/>
      <c r="P213" s="285"/>
      <c r="Q213" s="285"/>
      <c r="R213" s="285"/>
      <c r="S213" s="285"/>
      <c r="T213" s="285"/>
      <c r="U213" s="285"/>
      <c r="V213" s="285"/>
      <c r="W213" s="285"/>
      <c r="X213" s="285"/>
      <c r="Y213" s="285"/>
      <c r="Z213" s="285"/>
      <c r="AA213" s="285"/>
      <c r="AB213" s="285"/>
      <c r="AC213" s="285"/>
      <c r="AD213" s="285"/>
      <c r="AE213" s="285"/>
      <c r="AF213" s="285"/>
    </row>
    <row r="214" spans="1:32">
      <c r="A214" s="996"/>
      <c r="B214" s="996"/>
      <c r="C214" s="996"/>
      <c r="D214" s="996"/>
      <c r="E214" s="996"/>
      <c r="F214" s="997"/>
      <c r="G214" s="996"/>
      <c r="H214" s="1066"/>
      <c r="I214" s="996"/>
      <c r="J214" s="996"/>
      <c r="K214" s="285"/>
      <c r="N214" s="285"/>
      <c r="O214" s="285"/>
      <c r="P214" s="285"/>
      <c r="Q214" s="285"/>
      <c r="R214" s="285"/>
      <c r="S214" s="285"/>
      <c r="T214" s="285"/>
      <c r="U214" s="285"/>
      <c r="V214" s="285"/>
      <c r="W214" s="285"/>
      <c r="X214" s="285"/>
      <c r="Y214" s="285"/>
      <c r="Z214" s="285"/>
      <c r="AA214" s="285"/>
      <c r="AB214" s="285"/>
      <c r="AC214" s="285"/>
      <c r="AD214" s="285"/>
      <c r="AE214" s="285"/>
      <c r="AF214" s="285"/>
    </row>
    <row r="215" spans="1:32">
      <c r="A215" s="996"/>
      <c r="B215" s="996"/>
      <c r="C215" s="996"/>
      <c r="D215" s="996"/>
      <c r="E215" s="996"/>
      <c r="F215" s="997"/>
      <c r="G215" s="996"/>
      <c r="H215" s="1066"/>
      <c r="I215" s="996"/>
      <c r="J215" s="996"/>
      <c r="K215" s="285"/>
      <c r="N215" s="285"/>
      <c r="O215" s="285"/>
      <c r="P215" s="285"/>
      <c r="Q215" s="285"/>
      <c r="R215" s="285"/>
      <c r="S215" s="285"/>
      <c r="T215" s="285"/>
      <c r="U215" s="285"/>
      <c r="V215" s="285"/>
      <c r="W215" s="285"/>
      <c r="X215" s="285"/>
      <c r="Y215" s="285"/>
      <c r="Z215" s="285"/>
      <c r="AA215" s="285"/>
      <c r="AB215" s="285"/>
      <c r="AC215" s="285"/>
      <c r="AD215" s="285"/>
      <c r="AE215" s="285"/>
      <c r="AF215" s="285"/>
    </row>
    <row r="216" spans="1:32">
      <c r="A216" s="996"/>
      <c r="B216" s="996"/>
      <c r="C216" s="996"/>
      <c r="D216" s="996"/>
      <c r="E216" s="996"/>
      <c r="F216" s="997"/>
      <c r="G216" s="996"/>
      <c r="H216" s="1066"/>
      <c r="I216" s="996"/>
      <c r="J216" s="996"/>
      <c r="K216" s="285"/>
      <c r="N216" s="285"/>
      <c r="O216" s="285"/>
      <c r="P216" s="285"/>
      <c r="Q216" s="285"/>
      <c r="R216" s="285"/>
      <c r="S216" s="285"/>
      <c r="T216" s="285"/>
      <c r="U216" s="285"/>
      <c r="V216" s="285"/>
      <c r="W216" s="285"/>
      <c r="X216" s="285"/>
      <c r="Y216" s="285"/>
      <c r="Z216" s="285"/>
      <c r="AA216" s="285"/>
      <c r="AB216" s="285"/>
      <c r="AC216" s="285"/>
      <c r="AD216" s="285"/>
      <c r="AE216" s="285"/>
      <c r="AF216" s="285"/>
    </row>
    <row r="217" spans="1:32">
      <c r="A217" s="996"/>
      <c r="B217" s="996"/>
      <c r="C217" s="996"/>
      <c r="D217" s="996"/>
      <c r="E217" s="996"/>
      <c r="F217" s="997"/>
      <c r="G217" s="996"/>
      <c r="H217" s="1066"/>
      <c r="I217" s="996"/>
      <c r="J217" s="996"/>
      <c r="K217" s="285"/>
      <c r="N217" s="285"/>
      <c r="O217" s="285"/>
      <c r="P217" s="285"/>
      <c r="Q217" s="285"/>
      <c r="R217" s="285"/>
      <c r="S217" s="285"/>
      <c r="T217" s="285"/>
      <c r="U217" s="285"/>
      <c r="V217" s="285"/>
      <c r="W217" s="285"/>
      <c r="X217" s="285"/>
      <c r="Y217" s="285"/>
      <c r="Z217" s="285"/>
      <c r="AA217" s="285"/>
      <c r="AB217" s="285"/>
      <c r="AC217" s="285"/>
      <c r="AD217" s="285"/>
      <c r="AE217" s="285"/>
      <c r="AF217" s="285"/>
    </row>
    <row r="218" spans="1:32">
      <c r="A218" s="996"/>
      <c r="B218" s="996"/>
      <c r="C218" s="996"/>
      <c r="D218" s="996"/>
      <c r="E218" s="996"/>
      <c r="F218" s="997"/>
      <c r="G218" s="996"/>
      <c r="H218" s="1066"/>
      <c r="I218" s="996"/>
      <c r="J218" s="996"/>
      <c r="K218" s="285"/>
      <c r="N218" s="285"/>
      <c r="O218" s="285"/>
      <c r="P218" s="285"/>
      <c r="Q218" s="285"/>
      <c r="R218" s="285"/>
      <c r="S218" s="285"/>
      <c r="T218" s="285"/>
      <c r="U218" s="285"/>
      <c r="V218" s="285"/>
      <c r="W218" s="285"/>
      <c r="X218" s="285"/>
      <c r="Y218" s="285"/>
      <c r="Z218" s="285"/>
      <c r="AA218" s="285"/>
      <c r="AB218" s="285"/>
      <c r="AC218" s="285"/>
      <c r="AD218" s="285"/>
      <c r="AE218" s="285"/>
      <c r="AF218" s="285"/>
    </row>
    <row r="219" spans="1:32">
      <c r="A219" s="996"/>
      <c r="B219" s="996"/>
      <c r="C219" s="996"/>
      <c r="D219" s="996"/>
      <c r="E219" s="996"/>
      <c r="F219" s="997"/>
      <c r="G219" s="996"/>
      <c r="H219" s="1066"/>
      <c r="I219" s="996"/>
      <c r="J219" s="996"/>
      <c r="K219" s="285"/>
      <c r="N219" s="285"/>
      <c r="O219" s="285"/>
      <c r="P219" s="285"/>
      <c r="Q219" s="285"/>
      <c r="R219" s="285"/>
      <c r="S219" s="285"/>
      <c r="T219" s="285"/>
      <c r="U219" s="285"/>
      <c r="V219" s="285"/>
      <c r="W219" s="285"/>
      <c r="X219" s="285"/>
      <c r="Y219" s="285"/>
      <c r="Z219" s="285"/>
      <c r="AA219" s="285"/>
      <c r="AB219" s="285"/>
      <c r="AC219" s="285"/>
      <c r="AD219" s="285"/>
      <c r="AE219" s="285"/>
      <c r="AF219" s="285"/>
    </row>
    <row r="220" spans="1:32">
      <c r="A220" s="996"/>
      <c r="B220" s="996"/>
      <c r="C220" s="996"/>
      <c r="D220" s="996"/>
      <c r="E220" s="996"/>
      <c r="F220" s="998"/>
      <c r="G220" s="996"/>
      <c r="H220" s="1066"/>
      <c r="I220" s="999"/>
      <c r="J220" s="999"/>
      <c r="K220" s="285"/>
      <c r="N220" s="285"/>
      <c r="O220" s="285"/>
      <c r="P220" s="285"/>
      <c r="Q220" s="285"/>
      <c r="R220" s="285"/>
      <c r="S220" s="285"/>
      <c r="T220" s="285"/>
      <c r="U220" s="285"/>
      <c r="V220" s="285"/>
      <c r="W220" s="285"/>
      <c r="X220" s="285"/>
      <c r="Y220" s="285"/>
      <c r="Z220" s="285"/>
      <c r="AA220" s="285"/>
      <c r="AB220" s="285"/>
      <c r="AC220" s="285"/>
      <c r="AD220" s="285"/>
      <c r="AE220" s="285"/>
      <c r="AF220" s="285"/>
    </row>
    <row r="221" spans="1:32">
      <c r="A221" s="996"/>
      <c r="B221" s="996"/>
      <c r="C221" s="996"/>
      <c r="D221" s="996"/>
      <c r="E221" s="996"/>
      <c r="F221" s="998"/>
      <c r="G221" s="996"/>
      <c r="H221" s="1066"/>
      <c r="I221" s="999"/>
      <c r="J221" s="999"/>
      <c r="K221" s="285"/>
      <c r="N221" s="285"/>
      <c r="O221" s="285"/>
      <c r="P221" s="285"/>
      <c r="Q221" s="285"/>
      <c r="R221" s="285"/>
      <c r="S221" s="285"/>
      <c r="T221" s="285"/>
      <c r="U221" s="285"/>
      <c r="V221" s="285"/>
      <c r="W221" s="285"/>
      <c r="X221" s="285"/>
      <c r="Y221" s="285"/>
      <c r="Z221" s="285"/>
      <c r="AA221" s="285"/>
      <c r="AB221" s="285"/>
      <c r="AC221" s="285"/>
      <c r="AD221" s="285"/>
      <c r="AE221" s="285"/>
      <c r="AF221" s="285"/>
    </row>
    <row r="222" spans="1:32">
      <c r="A222" s="996"/>
      <c r="B222" s="996"/>
      <c r="C222" s="996"/>
      <c r="D222" s="996"/>
      <c r="E222" s="996"/>
      <c r="F222" s="998"/>
      <c r="G222" s="996"/>
      <c r="H222" s="1066"/>
      <c r="I222" s="999"/>
      <c r="J222" s="999"/>
      <c r="K222" s="285"/>
      <c r="N222" s="285"/>
      <c r="O222" s="285"/>
      <c r="P222" s="285"/>
      <c r="Q222" s="285"/>
      <c r="R222" s="285"/>
      <c r="S222" s="285"/>
      <c r="T222" s="285"/>
      <c r="U222" s="285"/>
      <c r="V222" s="285"/>
      <c r="W222" s="285"/>
      <c r="X222" s="285"/>
      <c r="Y222" s="285"/>
      <c r="Z222" s="285"/>
      <c r="AA222" s="285"/>
      <c r="AB222" s="285"/>
      <c r="AC222" s="285"/>
      <c r="AD222" s="285"/>
      <c r="AE222" s="285"/>
      <c r="AF222" s="285"/>
    </row>
    <row r="223" spans="1:32">
      <c r="A223" s="996"/>
      <c r="B223" s="996"/>
      <c r="C223" s="996"/>
      <c r="D223" s="996"/>
      <c r="E223" s="996"/>
      <c r="F223" s="998"/>
      <c r="G223" s="996"/>
      <c r="H223" s="1066"/>
      <c r="I223" s="999"/>
      <c r="J223" s="999"/>
      <c r="K223" s="285"/>
      <c r="N223" s="285"/>
      <c r="O223" s="285"/>
      <c r="P223" s="285"/>
      <c r="Q223" s="285"/>
      <c r="R223" s="285"/>
      <c r="S223" s="285"/>
      <c r="T223" s="285"/>
      <c r="U223" s="285"/>
      <c r="V223" s="285"/>
      <c r="W223" s="285"/>
      <c r="X223" s="285"/>
      <c r="Y223" s="285"/>
      <c r="Z223" s="285"/>
      <c r="AA223" s="285"/>
      <c r="AB223" s="285"/>
      <c r="AC223" s="285"/>
      <c r="AD223" s="285"/>
      <c r="AE223" s="285"/>
      <c r="AF223" s="285"/>
    </row>
    <row r="224" spans="1:32">
      <c r="A224" s="996"/>
      <c r="B224" s="996"/>
      <c r="C224" s="996"/>
      <c r="D224" s="996"/>
      <c r="E224" s="996"/>
      <c r="F224" s="998"/>
      <c r="G224" s="996"/>
      <c r="H224" s="1066"/>
      <c r="I224" s="999"/>
      <c r="J224" s="999"/>
      <c r="K224" s="285"/>
      <c r="N224" s="285"/>
      <c r="O224" s="285"/>
      <c r="P224" s="285"/>
      <c r="Q224" s="285"/>
      <c r="R224" s="285"/>
      <c r="S224" s="285"/>
      <c r="T224" s="285"/>
      <c r="U224" s="285"/>
      <c r="V224" s="285"/>
      <c r="W224" s="285"/>
      <c r="X224" s="285"/>
      <c r="Y224" s="285"/>
      <c r="Z224" s="285"/>
      <c r="AA224" s="285"/>
      <c r="AB224" s="285"/>
      <c r="AC224" s="285"/>
      <c r="AD224" s="285"/>
      <c r="AE224" s="285"/>
      <c r="AF224" s="285"/>
    </row>
    <row r="225" spans="1:32">
      <c r="A225" s="996"/>
      <c r="B225" s="996"/>
      <c r="C225" s="996"/>
      <c r="D225" s="996"/>
      <c r="E225" s="996"/>
      <c r="F225" s="998"/>
      <c r="G225" s="996"/>
      <c r="H225" s="1066"/>
      <c r="I225" s="999"/>
      <c r="J225" s="999"/>
      <c r="K225" s="285"/>
      <c r="N225" s="285"/>
      <c r="O225" s="285"/>
      <c r="P225" s="285"/>
      <c r="Q225" s="285"/>
      <c r="R225" s="285"/>
      <c r="S225" s="285"/>
      <c r="T225" s="285"/>
      <c r="U225" s="285"/>
      <c r="V225" s="285"/>
      <c r="W225" s="285"/>
      <c r="X225" s="285"/>
      <c r="Y225" s="285"/>
      <c r="Z225" s="285"/>
      <c r="AA225" s="285"/>
      <c r="AB225" s="285"/>
      <c r="AC225" s="285"/>
      <c r="AD225" s="285"/>
      <c r="AE225" s="285"/>
      <c r="AF225" s="285"/>
    </row>
    <row r="226" spans="1:32">
      <c r="A226" s="996"/>
      <c r="B226" s="996"/>
      <c r="C226" s="996"/>
      <c r="D226" s="996"/>
      <c r="E226" s="996"/>
      <c r="F226" s="998"/>
      <c r="G226" s="996"/>
      <c r="H226" s="1066"/>
      <c r="I226" s="999"/>
      <c r="J226" s="999"/>
      <c r="K226" s="285"/>
      <c r="N226" s="285"/>
      <c r="O226" s="285"/>
      <c r="P226" s="285"/>
      <c r="Q226" s="285"/>
      <c r="R226" s="285"/>
      <c r="S226" s="285"/>
      <c r="T226" s="285"/>
      <c r="U226" s="285"/>
      <c r="V226" s="285"/>
      <c r="W226" s="285"/>
      <c r="X226" s="285"/>
      <c r="Y226" s="285"/>
      <c r="Z226" s="285"/>
      <c r="AA226" s="285"/>
      <c r="AB226" s="285"/>
      <c r="AC226" s="285"/>
      <c r="AD226" s="285"/>
      <c r="AE226" s="285"/>
      <c r="AF226" s="285"/>
    </row>
    <row r="227" spans="1:32">
      <c r="A227" s="996"/>
      <c r="B227" s="996"/>
      <c r="C227" s="996"/>
      <c r="D227" s="996"/>
      <c r="E227" s="996"/>
      <c r="F227" s="998"/>
      <c r="G227" s="996"/>
      <c r="H227" s="1066"/>
      <c r="I227" s="999"/>
      <c r="J227" s="999"/>
      <c r="K227" s="285"/>
      <c r="N227" s="285"/>
      <c r="O227" s="285"/>
      <c r="P227" s="285"/>
      <c r="Q227" s="285"/>
      <c r="R227" s="285"/>
      <c r="S227" s="285"/>
      <c r="T227" s="285"/>
      <c r="U227" s="285"/>
      <c r="V227" s="285"/>
      <c r="W227" s="285"/>
      <c r="X227" s="285"/>
      <c r="Y227" s="285"/>
      <c r="Z227" s="285"/>
      <c r="AA227" s="285"/>
      <c r="AB227" s="285"/>
      <c r="AC227" s="285"/>
      <c r="AD227" s="285"/>
      <c r="AE227" s="285"/>
      <c r="AF227" s="285"/>
    </row>
    <row r="228" spans="1:32">
      <c r="A228" s="996"/>
      <c r="B228" s="996"/>
      <c r="C228" s="996"/>
      <c r="D228" s="996"/>
      <c r="E228" s="996"/>
      <c r="F228" s="998"/>
      <c r="G228" s="996"/>
      <c r="H228" s="1066"/>
      <c r="I228" s="999"/>
      <c r="J228" s="999"/>
      <c r="K228" s="285"/>
      <c r="N228" s="285"/>
      <c r="O228" s="285"/>
      <c r="P228" s="285"/>
      <c r="Q228" s="285"/>
      <c r="R228" s="285"/>
      <c r="S228" s="285"/>
      <c r="T228" s="285"/>
      <c r="U228" s="285"/>
      <c r="V228" s="285"/>
      <c r="W228" s="285"/>
      <c r="X228" s="285"/>
      <c r="Y228" s="285"/>
      <c r="Z228" s="285"/>
      <c r="AA228" s="285"/>
      <c r="AB228" s="285"/>
      <c r="AC228" s="285"/>
      <c r="AD228" s="285"/>
      <c r="AE228" s="285"/>
      <c r="AF228" s="285"/>
    </row>
    <row r="229" spans="1:32">
      <c r="A229" s="996"/>
      <c r="B229" s="996"/>
      <c r="C229" s="996"/>
      <c r="D229" s="996"/>
      <c r="E229" s="996"/>
      <c r="F229" s="998"/>
      <c r="G229" s="996"/>
      <c r="H229" s="1066"/>
      <c r="I229" s="999"/>
      <c r="J229" s="999"/>
      <c r="K229" s="285"/>
      <c r="N229" s="285"/>
      <c r="O229" s="285"/>
      <c r="P229" s="285"/>
      <c r="Q229" s="285"/>
      <c r="R229" s="285"/>
      <c r="S229" s="285"/>
      <c r="T229" s="285"/>
      <c r="U229" s="285"/>
      <c r="V229" s="285"/>
      <c r="W229" s="285"/>
      <c r="X229" s="285"/>
      <c r="Y229" s="285"/>
      <c r="Z229" s="285"/>
      <c r="AA229" s="285"/>
      <c r="AB229" s="285"/>
      <c r="AC229" s="285"/>
      <c r="AD229" s="285"/>
      <c r="AE229" s="285"/>
      <c r="AF229" s="285"/>
    </row>
    <row r="230" spans="1:32">
      <c r="A230" s="996"/>
      <c r="B230" s="996"/>
      <c r="C230" s="996"/>
      <c r="D230" s="996"/>
      <c r="E230" s="996"/>
      <c r="F230" s="998"/>
      <c r="G230" s="996"/>
      <c r="H230" s="1066"/>
      <c r="I230" s="999"/>
      <c r="J230" s="999"/>
      <c r="K230" s="285"/>
      <c r="N230" s="285"/>
      <c r="O230" s="285"/>
      <c r="P230" s="285"/>
      <c r="Q230" s="285"/>
      <c r="R230" s="285"/>
      <c r="S230" s="285"/>
      <c r="T230" s="285"/>
      <c r="U230" s="285"/>
      <c r="V230" s="285"/>
      <c r="W230" s="285"/>
      <c r="X230" s="285"/>
      <c r="Y230" s="285"/>
      <c r="Z230" s="285"/>
      <c r="AA230" s="285"/>
      <c r="AB230" s="285"/>
      <c r="AC230" s="285"/>
      <c r="AD230" s="285"/>
      <c r="AE230" s="285"/>
      <c r="AF230" s="285"/>
    </row>
    <row r="231" spans="1:32">
      <c r="A231" s="996"/>
      <c r="B231" s="996"/>
      <c r="C231" s="996"/>
      <c r="D231" s="996"/>
      <c r="E231" s="996"/>
      <c r="F231" s="998"/>
      <c r="G231" s="996"/>
      <c r="H231" s="1066"/>
      <c r="I231" s="999"/>
      <c r="J231" s="999"/>
      <c r="K231" s="285"/>
      <c r="N231" s="285"/>
      <c r="O231" s="285"/>
      <c r="P231" s="285"/>
      <c r="Q231" s="285"/>
      <c r="R231" s="285"/>
      <c r="S231" s="285"/>
      <c r="T231" s="285"/>
      <c r="U231" s="285"/>
      <c r="V231" s="285"/>
      <c r="W231" s="285"/>
      <c r="X231" s="285"/>
      <c r="Y231" s="285"/>
      <c r="Z231" s="285"/>
      <c r="AA231" s="285"/>
      <c r="AB231" s="285"/>
      <c r="AC231" s="285"/>
      <c r="AD231" s="285"/>
      <c r="AE231" s="285"/>
      <c r="AF231" s="285"/>
    </row>
    <row r="232" spans="1:32">
      <c r="A232" s="996"/>
      <c r="B232" s="996"/>
      <c r="C232" s="996"/>
      <c r="D232" s="996"/>
      <c r="E232" s="996"/>
      <c r="F232" s="998"/>
      <c r="G232" s="996"/>
      <c r="H232" s="1066"/>
      <c r="I232" s="999"/>
      <c r="J232" s="999"/>
      <c r="K232" s="285"/>
      <c r="N232" s="285"/>
      <c r="O232" s="285"/>
      <c r="P232" s="285"/>
      <c r="Q232" s="285"/>
      <c r="R232" s="285"/>
      <c r="S232" s="285"/>
      <c r="T232" s="285"/>
      <c r="U232" s="285"/>
      <c r="V232" s="285"/>
      <c r="W232" s="285"/>
      <c r="X232" s="285"/>
      <c r="Y232" s="285"/>
      <c r="Z232" s="285"/>
      <c r="AA232" s="285"/>
      <c r="AB232" s="285"/>
      <c r="AC232" s="285"/>
      <c r="AD232" s="285"/>
      <c r="AE232" s="285"/>
      <c r="AF232" s="285"/>
    </row>
    <row r="233" spans="1:32">
      <c r="A233" s="996"/>
      <c r="B233" s="996"/>
      <c r="C233" s="996"/>
      <c r="D233" s="996"/>
      <c r="E233" s="996"/>
      <c r="F233" s="998"/>
      <c r="G233" s="996"/>
      <c r="H233" s="1066"/>
      <c r="I233" s="999"/>
      <c r="J233" s="999"/>
      <c r="K233" s="285"/>
      <c r="N233" s="285"/>
      <c r="O233" s="285"/>
      <c r="P233" s="285"/>
      <c r="Q233" s="285"/>
      <c r="R233" s="285"/>
      <c r="S233" s="285"/>
      <c r="T233" s="285"/>
      <c r="U233" s="285"/>
      <c r="V233" s="285"/>
      <c r="W233" s="285"/>
      <c r="X233" s="285"/>
      <c r="Y233" s="285"/>
      <c r="Z233" s="285"/>
      <c r="AA233" s="285"/>
      <c r="AB233" s="285"/>
      <c r="AC233" s="285"/>
      <c r="AD233" s="285"/>
      <c r="AE233" s="285"/>
      <c r="AF233" s="285"/>
    </row>
    <row r="234" spans="1:32">
      <c r="A234" s="996"/>
      <c r="B234" s="996"/>
      <c r="C234" s="996"/>
      <c r="D234" s="996"/>
      <c r="E234" s="996"/>
      <c r="F234" s="998"/>
      <c r="G234" s="996"/>
      <c r="H234" s="1066"/>
      <c r="I234" s="999"/>
      <c r="J234" s="999"/>
      <c r="K234" s="285"/>
      <c r="N234" s="285"/>
      <c r="O234" s="285"/>
      <c r="P234" s="285"/>
      <c r="Q234" s="285"/>
      <c r="R234" s="285"/>
      <c r="S234" s="285"/>
      <c r="T234" s="285"/>
      <c r="U234" s="285"/>
      <c r="V234" s="285"/>
      <c r="W234" s="285"/>
      <c r="X234" s="285"/>
      <c r="Y234" s="285"/>
      <c r="Z234" s="285"/>
      <c r="AA234" s="285"/>
      <c r="AB234" s="285"/>
      <c r="AC234" s="285"/>
      <c r="AD234" s="285"/>
      <c r="AE234" s="285"/>
      <c r="AF234" s="285"/>
    </row>
    <row r="235" spans="1:32">
      <c r="A235" s="996"/>
      <c r="B235" s="996"/>
      <c r="C235" s="996"/>
      <c r="D235" s="996"/>
      <c r="E235" s="996"/>
      <c r="F235" s="998"/>
      <c r="G235" s="996"/>
      <c r="H235" s="1066"/>
      <c r="I235" s="999"/>
      <c r="J235" s="999"/>
      <c r="K235" s="285"/>
      <c r="N235" s="285"/>
      <c r="O235" s="285"/>
      <c r="P235" s="285"/>
      <c r="Q235" s="285"/>
      <c r="R235" s="285"/>
      <c r="S235" s="285"/>
      <c r="T235" s="285"/>
      <c r="U235" s="285"/>
      <c r="V235" s="285"/>
      <c r="W235" s="285"/>
      <c r="X235" s="285"/>
      <c r="Y235" s="285"/>
      <c r="Z235" s="285"/>
      <c r="AA235" s="285"/>
      <c r="AB235" s="285"/>
      <c r="AC235" s="285"/>
      <c r="AD235" s="285"/>
      <c r="AE235" s="285"/>
      <c r="AF235" s="285"/>
    </row>
    <row r="236" spans="1:32">
      <c r="A236" s="996"/>
      <c r="B236" s="996"/>
      <c r="C236" s="996"/>
      <c r="D236" s="996"/>
      <c r="E236" s="996"/>
      <c r="F236" s="998"/>
      <c r="G236" s="996"/>
      <c r="H236" s="1066"/>
      <c r="I236" s="999"/>
      <c r="J236" s="999"/>
      <c r="K236" s="285"/>
      <c r="N236" s="285"/>
      <c r="O236" s="285"/>
      <c r="P236" s="285"/>
      <c r="Q236" s="285"/>
      <c r="R236" s="285"/>
      <c r="S236" s="285"/>
      <c r="T236" s="285"/>
      <c r="U236" s="285"/>
      <c r="V236" s="285"/>
      <c r="W236" s="285"/>
      <c r="X236" s="285"/>
      <c r="Y236" s="285"/>
      <c r="Z236" s="285"/>
      <c r="AA236" s="285"/>
      <c r="AB236" s="285"/>
      <c r="AC236" s="285"/>
      <c r="AD236" s="285"/>
      <c r="AE236" s="285"/>
      <c r="AF236" s="285"/>
    </row>
    <row r="237" spans="1:32">
      <c r="A237" s="996"/>
      <c r="B237" s="996"/>
      <c r="C237" s="996"/>
      <c r="D237" s="996"/>
      <c r="E237" s="996"/>
      <c r="F237" s="998"/>
      <c r="G237" s="996"/>
      <c r="H237" s="1066"/>
      <c r="I237" s="999"/>
      <c r="J237" s="999"/>
      <c r="K237" s="285"/>
      <c r="N237" s="285"/>
      <c r="O237" s="285"/>
      <c r="P237" s="285"/>
      <c r="Q237" s="285"/>
      <c r="R237" s="285"/>
      <c r="S237" s="285"/>
      <c r="T237" s="285"/>
      <c r="U237" s="285"/>
      <c r="V237" s="285"/>
      <c r="W237" s="285"/>
      <c r="X237" s="285"/>
      <c r="Y237" s="285"/>
      <c r="Z237" s="285"/>
      <c r="AA237" s="285"/>
      <c r="AB237" s="285"/>
      <c r="AC237" s="285"/>
      <c r="AD237" s="285"/>
      <c r="AE237" s="285"/>
      <c r="AF237" s="285"/>
    </row>
  </sheetData>
  <sheetProtection algorithmName="SHA-512" hashValue="QFUUKpnsmrff3TYo6yjsTpcnGJRdT18glpRa2/KfLgKdr1IX8DxH5OnIzCIO92K3yxbEaEKsth0FUabN5WxCfw==" saltValue="ESNngMAjJGEWaiFhxoCUVw==" spinCount="100000" sheet="1" formatColumns="0" formatRows="0" selectLockedCells="1"/>
  <customSheetViews>
    <customSheetView guid="{9AC181BA-F443-4EA7-A647-328174FE3004}" scale="70" fitToPage="1" printArea="1" hiddenRows="1" view="pageBreakPreview" topLeftCell="A298">
      <selection activeCell="I304" sqref="I304"/>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5"/>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6"/>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7"/>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0"/>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1"/>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2"/>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20"/>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21"/>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22"/>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2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2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25"/>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D5F8AD2D-F014-4A7B-9CE7-589273BD9F11}" scale="70" fitToPage="1" printArea="1" hiddenRows="1" view="pageBreakPreview" topLeftCell="A226">
      <selection activeCell="I158" sqref="I158"/>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6">
    <mergeCell ref="H158:I158"/>
    <mergeCell ref="A150:J150"/>
    <mergeCell ref="C11:E11"/>
    <mergeCell ref="C9:E9"/>
    <mergeCell ref="I15:J15"/>
    <mergeCell ref="B20:F20"/>
    <mergeCell ref="A13:J13"/>
    <mergeCell ref="C10:E10"/>
    <mergeCell ref="A6:D6"/>
    <mergeCell ref="B155:J155"/>
    <mergeCell ref="H157:I157"/>
    <mergeCell ref="A3:J3"/>
    <mergeCell ref="R3:S3"/>
    <mergeCell ref="A4:J4"/>
    <mergeCell ref="A7:H7"/>
    <mergeCell ref="C8:E8"/>
  </mergeCells>
  <phoneticPr fontId="2" type="noConversion"/>
  <conditionalFormatting sqref="I22 I143:I149">
    <cfRule type="expression" dxfId="216" priority="3425" stopIfTrue="1">
      <formula>F22&gt;0</formula>
    </cfRule>
  </conditionalFormatting>
  <conditionalFormatting sqref="I22 I148:I149">
    <cfRule type="cellIs" dxfId="215" priority="3424" stopIfTrue="1" operator="equal">
      <formula>"a"</formula>
    </cfRule>
  </conditionalFormatting>
  <conditionalFormatting sqref="I22 I143:I149">
    <cfRule type="expression" dxfId="214" priority="3423" stopIfTrue="1">
      <formula>H22&gt;0</formula>
    </cfRule>
  </conditionalFormatting>
  <conditionalFormatting sqref="I141:I142 I133:I138">
    <cfRule type="expression" dxfId="213" priority="84" stopIfTrue="1">
      <formula>F133&gt;0</formula>
    </cfRule>
  </conditionalFormatting>
  <conditionalFormatting sqref="I141:I142 I133:I138">
    <cfRule type="cellIs" dxfId="212" priority="83" stopIfTrue="1" operator="equal">
      <formula>"a"</formula>
    </cfRule>
  </conditionalFormatting>
  <conditionalFormatting sqref="I141:I142 I133:I138">
    <cfRule type="expression" dxfId="211" priority="82" stopIfTrue="1">
      <formula>H133&gt;0</formula>
    </cfRule>
  </conditionalFormatting>
  <conditionalFormatting sqref="I139:I140">
    <cfRule type="expression" dxfId="210" priority="81" stopIfTrue="1">
      <formula>F139&gt;0</formula>
    </cfRule>
  </conditionalFormatting>
  <conditionalFormatting sqref="I139:I140">
    <cfRule type="cellIs" dxfId="209" priority="80" stopIfTrue="1" operator="equal">
      <formula>"a"</formula>
    </cfRule>
  </conditionalFormatting>
  <conditionalFormatting sqref="I139:I140">
    <cfRule type="expression" dxfId="208" priority="79" stopIfTrue="1">
      <formula>H139&gt;0</formula>
    </cfRule>
  </conditionalFormatting>
  <conditionalFormatting sqref="I130:I132 I122:I127">
    <cfRule type="expression" dxfId="207" priority="78" stopIfTrue="1">
      <formula>F122&gt;0</formula>
    </cfRule>
  </conditionalFormatting>
  <conditionalFormatting sqref="I130:I132 I122:I127">
    <cfRule type="cellIs" dxfId="206" priority="77" stopIfTrue="1" operator="equal">
      <formula>"a"</formula>
    </cfRule>
  </conditionalFormatting>
  <conditionalFormatting sqref="I130:I132 I122:I127">
    <cfRule type="expression" dxfId="205" priority="76" stopIfTrue="1">
      <formula>H122&gt;0</formula>
    </cfRule>
  </conditionalFormatting>
  <conditionalFormatting sqref="I128:I129">
    <cfRule type="expression" dxfId="204" priority="75" stopIfTrue="1">
      <formula>F128&gt;0</formula>
    </cfRule>
  </conditionalFormatting>
  <conditionalFormatting sqref="I128:I129">
    <cfRule type="cellIs" dxfId="203" priority="74" stopIfTrue="1" operator="equal">
      <formula>"a"</formula>
    </cfRule>
  </conditionalFormatting>
  <conditionalFormatting sqref="I128:I129">
    <cfRule type="expression" dxfId="202" priority="73" stopIfTrue="1">
      <formula>H128&gt;0</formula>
    </cfRule>
  </conditionalFormatting>
  <conditionalFormatting sqref="I119:I121 I111:I116">
    <cfRule type="expression" dxfId="201" priority="72" stopIfTrue="1">
      <formula>F111&gt;0</formula>
    </cfRule>
  </conditionalFormatting>
  <conditionalFormatting sqref="I119:I121 I111:I116">
    <cfRule type="cellIs" dxfId="200" priority="71" stopIfTrue="1" operator="equal">
      <formula>"a"</formula>
    </cfRule>
  </conditionalFormatting>
  <conditionalFormatting sqref="I119:I121 I111:I116">
    <cfRule type="expression" dxfId="199" priority="70" stopIfTrue="1">
      <formula>H111&gt;0</formula>
    </cfRule>
  </conditionalFormatting>
  <conditionalFormatting sqref="I117:I118">
    <cfRule type="expression" dxfId="198" priority="69" stopIfTrue="1">
      <formula>F117&gt;0</formula>
    </cfRule>
  </conditionalFormatting>
  <conditionalFormatting sqref="I117:I118">
    <cfRule type="cellIs" dxfId="197" priority="68" stopIfTrue="1" operator="equal">
      <formula>"a"</formula>
    </cfRule>
  </conditionalFormatting>
  <conditionalFormatting sqref="I117:I118">
    <cfRule type="expression" dxfId="196" priority="67" stopIfTrue="1">
      <formula>H117&gt;0</formula>
    </cfRule>
  </conditionalFormatting>
  <conditionalFormatting sqref="I108:I110 I100:I105">
    <cfRule type="expression" dxfId="195" priority="66" stopIfTrue="1">
      <formula>F100&gt;0</formula>
    </cfRule>
  </conditionalFormatting>
  <conditionalFormatting sqref="I108:I110 I100:I105">
    <cfRule type="cellIs" dxfId="194" priority="65" stopIfTrue="1" operator="equal">
      <formula>"a"</formula>
    </cfRule>
  </conditionalFormatting>
  <conditionalFormatting sqref="I108:I110 I100:I105">
    <cfRule type="expression" dxfId="193" priority="64" stopIfTrue="1">
      <formula>H100&gt;0</formula>
    </cfRule>
  </conditionalFormatting>
  <conditionalFormatting sqref="I106:I107">
    <cfRule type="expression" dxfId="192" priority="63" stopIfTrue="1">
      <formula>F106&gt;0</formula>
    </cfRule>
  </conditionalFormatting>
  <conditionalFormatting sqref="I106:I107">
    <cfRule type="cellIs" dxfId="191" priority="62" stopIfTrue="1" operator="equal">
      <formula>"a"</formula>
    </cfRule>
  </conditionalFormatting>
  <conditionalFormatting sqref="I106:I107">
    <cfRule type="expression" dxfId="190" priority="61" stopIfTrue="1">
      <formula>H106&gt;0</formula>
    </cfRule>
  </conditionalFormatting>
  <conditionalFormatting sqref="I42:I43 I23:I24 I36:I39 I99">
    <cfRule type="expression" dxfId="189" priority="60" stopIfTrue="1">
      <formula>F23&gt;0</formula>
    </cfRule>
  </conditionalFormatting>
  <conditionalFormatting sqref="I42:I43 I23:I24 I36:I39 I99">
    <cfRule type="cellIs" dxfId="188" priority="59" stopIfTrue="1" operator="equal">
      <formula>"a"</formula>
    </cfRule>
  </conditionalFormatting>
  <conditionalFormatting sqref="I42:I43 I23:I24 I36:I39 I99">
    <cfRule type="expression" dxfId="187" priority="58" stopIfTrue="1">
      <formula>H23&gt;0</formula>
    </cfRule>
  </conditionalFormatting>
  <conditionalFormatting sqref="I40:I41">
    <cfRule type="expression" dxfId="186" priority="57" stopIfTrue="1">
      <formula>F40&gt;0</formula>
    </cfRule>
  </conditionalFormatting>
  <conditionalFormatting sqref="I40:I41">
    <cfRule type="cellIs" dxfId="185" priority="56" stopIfTrue="1" operator="equal">
      <formula>"a"</formula>
    </cfRule>
  </conditionalFormatting>
  <conditionalFormatting sqref="I40:I41">
    <cfRule type="expression" dxfId="184" priority="55" stopIfTrue="1">
      <formula>H40&gt;0</formula>
    </cfRule>
  </conditionalFormatting>
  <conditionalFormatting sqref="I34:I35">
    <cfRule type="expression" dxfId="183" priority="54" stopIfTrue="1">
      <formula>F34&gt;0</formula>
    </cfRule>
  </conditionalFormatting>
  <conditionalFormatting sqref="I34:I35">
    <cfRule type="cellIs" dxfId="182" priority="53" stopIfTrue="1" operator="equal">
      <formula>"a"</formula>
    </cfRule>
  </conditionalFormatting>
  <conditionalFormatting sqref="I34:I35">
    <cfRule type="expression" dxfId="181" priority="52" stopIfTrue="1">
      <formula>H34&gt;0</formula>
    </cfRule>
  </conditionalFormatting>
  <conditionalFormatting sqref="I31:I33 I25:I28">
    <cfRule type="expression" dxfId="180" priority="51" stopIfTrue="1">
      <formula>F25&gt;0</formula>
    </cfRule>
  </conditionalFormatting>
  <conditionalFormatting sqref="I31:I33 I25:I28">
    <cfRule type="cellIs" dxfId="179" priority="50" stopIfTrue="1" operator="equal">
      <formula>"a"</formula>
    </cfRule>
  </conditionalFormatting>
  <conditionalFormatting sqref="I31:I33 I25:I28">
    <cfRule type="expression" dxfId="178" priority="49" stopIfTrue="1">
      <formula>H25&gt;0</formula>
    </cfRule>
  </conditionalFormatting>
  <conditionalFormatting sqref="I29:I30">
    <cfRule type="expression" dxfId="177" priority="48" stopIfTrue="1">
      <formula>F29&gt;0</formula>
    </cfRule>
  </conditionalFormatting>
  <conditionalFormatting sqref="I29:I30">
    <cfRule type="cellIs" dxfId="176" priority="47" stopIfTrue="1" operator="equal">
      <formula>"a"</formula>
    </cfRule>
  </conditionalFormatting>
  <conditionalFormatting sqref="I29:I30">
    <cfRule type="expression" dxfId="175" priority="46" stopIfTrue="1">
      <formula>H29&gt;0</formula>
    </cfRule>
  </conditionalFormatting>
  <conditionalFormatting sqref="I97:I98 I89:I94">
    <cfRule type="expression" dxfId="174" priority="45" stopIfTrue="1">
      <formula>F89&gt;0</formula>
    </cfRule>
  </conditionalFormatting>
  <conditionalFormatting sqref="I97:I98 I89:I94">
    <cfRule type="cellIs" dxfId="173" priority="44" stopIfTrue="1" operator="equal">
      <formula>"a"</formula>
    </cfRule>
  </conditionalFormatting>
  <conditionalFormatting sqref="I97:I98 I89:I94">
    <cfRule type="expression" dxfId="172" priority="43" stopIfTrue="1">
      <formula>H89&gt;0</formula>
    </cfRule>
  </conditionalFormatting>
  <conditionalFormatting sqref="I95:I96">
    <cfRule type="expression" dxfId="171" priority="42" stopIfTrue="1">
      <formula>F95&gt;0</formula>
    </cfRule>
  </conditionalFormatting>
  <conditionalFormatting sqref="I95:I96">
    <cfRule type="cellIs" dxfId="170" priority="41" stopIfTrue="1" operator="equal">
      <formula>"a"</formula>
    </cfRule>
  </conditionalFormatting>
  <conditionalFormatting sqref="I95:I96">
    <cfRule type="expression" dxfId="169" priority="40" stopIfTrue="1">
      <formula>H95&gt;0</formula>
    </cfRule>
  </conditionalFormatting>
  <conditionalFormatting sqref="I86:I88 I78:I83">
    <cfRule type="expression" dxfId="168" priority="39" stopIfTrue="1">
      <formula>F78&gt;0</formula>
    </cfRule>
  </conditionalFormatting>
  <conditionalFormatting sqref="I86:I88 I78:I83">
    <cfRule type="cellIs" dxfId="167" priority="38" stopIfTrue="1" operator="equal">
      <formula>"a"</formula>
    </cfRule>
  </conditionalFormatting>
  <conditionalFormatting sqref="I86:I88 I78:I83">
    <cfRule type="expression" dxfId="166" priority="37" stopIfTrue="1">
      <formula>H78&gt;0</formula>
    </cfRule>
  </conditionalFormatting>
  <conditionalFormatting sqref="I84:I85">
    <cfRule type="expression" dxfId="165" priority="36" stopIfTrue="1">
      <formula>F84&gt;0</formula>
    </cfRule>
  </conditionalFormatting>
  <conditionalFormatting sqref="I84:I85">
    <cfRule type="cellIs" dxfId="164" priority="35" stopIfTrue="1" operator="equal">
      <formula>"a"</formula>
    </cfRule>
  </conditionalFormatting>
  <conditionalFormatting sqref="I84:I85">
    <cfRule type="expression" dxfId="163" priority="34" stopIfTrue="1">
      <formula>H84&gt;0</formula>
    </cfRule>
  </conditionalFormatting>
  <conditionalFormatting sqref="I75:I77 I67:I72">
    <cfRule type="expression" dxfId="162" priority="33" stopIfTrue="1">
      <formula>F67&gt;0</formula>
    </cfRule>
  </conditionalFormatting>
  <conditionalFormatting sqref="I75:I77 I67:I72">
    <cfRule type="cellIs" dxfId="161" priority="32" stopIfTrue="1" operator="equal">
      <formula>"a"</formula>
    </cfRule>
  </conditionalFormatting>
  <conditionalFormatting sqref="I75:I77 I67:I72">
    <cfRule type="expression" dxfId="160" priority="31" stopIfTrue="1">
      <formula>H67&gt;0</formula>
    </cfRule>
  </conditionalFormatting>
  <conditionalFormatting sqref="I73:I74">
    <cfRule type="expression" dxfId="159" priority="30" stopIfTrue="1">
      <formula>F73&gt;0</formula>
    </cfRule>
  </conditionalFormatting>
  <conditionalFormatting sqref="I73:I74">
    <cfRule type="cellIs" dxfId="158" priority="29" stopIfTrue="1" operator="equal">
      <formula>"a"</formula>
    </cfRule>
  </conditionalFormatting>
  <conditionalFormatting sqref="I73:I74">
    <cfRule type="expression" dxfId="157" priority="28" stopIfTrue="1">
      <formula>H73&gt;0</formula>
    </cfRule>
  </conditionalFormatting>
  <conditionalFormatting sqref="I64:I66 I56:I61">
    <cfRule type="expression" dxfId="156" priority="27" stopIfTrue="1">
      <formula>F56&gt;0</formula>
    </cfRule>
  </conditionalFormatting>
  <conditionalFormatting sqref="I64:I66 I56:I61">
    <cfRule type="cellIs" dxfId="155" priority="26" stopIfTrue="1" operator="equal">
      <formula>"a"</formula>
    </cfRule>
  </conditionalFormatting>
  <conditionalFormatting sqref="I64:I66 I56:I61">
    <cfRule type="expression" dxfId="154" priority="25" stopIfTrue="1">
      <formula>H56&gt;0</formula>
    </cfRule>
  </conditionalFormatting>
  <conditionalFormatting sqref="I62:I63">
    <cfRule type="expression" dxfId="153" priority="24" stopIfTrue="1">
      <formula>F62&gt;0</formula>
    </cfRule>
  </conditionalFormatting>
  <conditionalFormatting sqref="I62:I63">
    <cfRule type="cellIs" dxfId="152" priority="23" stopIfTrue="1" operator="equal">
      <formula>"a"</formula>
    </cfRule>
  </conditionalFormatting>
  <conditionalFormatting sqref="I62:I63">
    <cfRule type="expression" dxfId="151" priority="22" stopIfTrue="1">
      <formula>H62&gt;0</formula>
    </cfRule>
  </conditionalFormatting>
  <conditionalFormatting sqref="I53:I55 I45:I50">
    <cfRule type="expression" dxfId="150" priority="21" stopIfTrue="1">
      <formula>F45&gt;0</formula>
    </cfRule>
  </conditionalFormatting>
  <conditionalFormatting sqref="I53:I55 I45:I50">
    <cfRule type="cellIs" dxfId="149" priority="20" stopIfTrue="1" operator="equal">
      <formula>"a"</formula>
    </cfRule>
  </conditionalFormatting>
  <conditionalFormatting sqref="I53:I55 I45:I50">
    <cfRule type="expression" dxfId="148" priority="19" stopIfTrue="1">
      <formula>H45&gt;0</formula>
    </cfRule>
  </conditionalFormatting>
  <conditionalFormatting sqref="I51:I52">
    <cfRule type="expression" dxfId="147" priority="18" stopIfTrue="1">
      <formula>F51&gt;0</formula>
    </cfRule>
  </conditionalFormatting>
  <conditionalFormatting sqref="I51:I52">
    <cfRule type="cellIs" dxfId="146" priority="17" stopIfTrue="1" operator="equal">
      <formula>"a"</formula>
    </cfRule>
  </conditionalFormatting>
  <conditionalFormatting sqref="I51:I52">
    <cfRule type="expression" dxfId="145" priority="16" stopIfTrue="1">
      <formula>H51&gt;0</formula>
    </cfRule>
  </conditionalFormatting>
  <conditionalFormatting sqref="I44">
    <cfRule type="expression" dxfId="144" priority="15" stopIfTrue="1">
      <formula>F44&gt;0</formula>
    </cfRule>
  </conditionalFormatting>
  <conditionalFormatting sqref="I44">
    <cfRule type="cellIs" dxfId="143" priority="14" stopIfTrue="1" operator="equal">
      <formula>"a"</formula>
    </cfRule>
  </conditionalFormatting>
  <conditionalFormatting sqref="I44">
    <cfRule type="expression" dxfId="142" priority="13" stopIfTrue="1">
      <formula>H44&gt;0</formula>
    </cfRule>
  </conditionalFormatting>
  <conditionalFormatting sqref="I143:I147">
    <cfRule type="cellIs" dxfId="141" priority="11" stopIfTrue="1" operator="equal">
      <formula>"a"</formula>
    </cfRule>
  </conditionalFormatting>
  <dataValidations count="1">
    <dataValidation type="decimal" operator="greaterThan" allowBlank="1" showInputMessage="1" showErrorMessage="1" sqref="I22:I149" xr:uid="{00000000-0002-0000-0600-000000000000}">
      <formula1>0</formula1>
    </dataValidation>
  </dataValidations>
  <printOptions horizontalCentered="1"/>
  <pageMargins left="0.25" right="0.25" top="0.25" bottom="0.25" header="0.05" footer="0.05"/>
  <pageSetup paperSize="9" scale="72"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4.4"/>
  <cols>
    <col min="1" max="1" width="11.33203125" style="397" customWidth="1"/>
    <col min="2" max="2" width="32.6640625" style="372" customWidth="1"/>
    <col min="3" max="3" width="7.6640625" style="371" customWidth="1"/>
    <col min="4" max="4" width="9.6640625" style="371" customWidth="1"/>
    <col min="5" max="6" width="17.6640625" style="371" customWidth="1"/>
    <col min="7" max="7" width="9" style="185"/>
    <col min="8" max="10" width="9" style="328"/>
    <col min="11" max="11" width="9" style="328" hidden="1" customWidth="1"/>
    <col min="12" max="13" width="17.6640625" style="328" hidden="1" customWidth="1"/>
    <col min="14" max="14" width="9" style="330" hidden="1" customWidth="1"/>
    <col min="15" max="15" width="15.6640625" style="328" hidden="1" customWidth="1"/>
    <col min="16" max="16" width="17.109375" style="328" hidden="1" customWidth="1"/>
    <col min="17" max="17" width="9" style="328" hidden="1" customWidth="1"/>
    <col min="18" max="37" width="9" style="80"/>
    <col min="38" max="16384" width="9" style="328"/>
  </cols>
  <sheetData>
    <row r="1" spans="1:41" s="330" customFormat="1" ht="18" customHeight="1">
      <c r="A1" s="59" t="str">
        <f>Cover!B3</f>
        <v>Specification No.: CC/NT/W-AIS/DOM/A00/23/02698</v>
      </c>
      <c r="B1" s="60"/>
      <c r="C1" s="61"/>
      <c r="D1" s="61"/>
      <c r="E1" s="7"/>
      <c r="F1" s="8" t="s">
        <v>64</v>
      </c>
      <c r="G1" s="185"/>
      <c r="R1" s="185"/>
      <c r="S1" s="185"/>
      <c r="T1" s="185"/>
      <c r="U1" s="185"/>
      <c r="V1" s="185"/>
      <c r="W1" s="185"/>
      <c r="X1" s="185"/>
      <c r="Y1" s="185"/>
      <c r="Z1" s="185"/>
      <c r="AA1" s="185"/>
      <c r="AB1" s="185"/>
      <c r="AC1" s="185"/>
      <c r="AD1" s="185"/>
      <c r="AE1" s="185"/>
      <c r="AF1" s="185"/>
      <c r="AG1" s="185"/>
      <c r="AH1" s="185"/>
      <c r="AI1" s="185"/>
      <c r="AJ1" s="185"/>
      <c r="AK1" s="185"/>
    </row>
    <row r="2" spans="1:41" s="330" customFormat="1" ht="15" customHeight="1">
      <c r="A2" s="329"/>
      <c r="B2" s="370"/>
      <c r="C2" s="331"/>
      <c r="D2" s="331"/>
      <c r="G2" s="185"/>
      <c r="R2" s="185"/>
      <c r="S2" s="185"/>
      <c r="T2" s="185"/>
      <c r="U2" s="185"/>
      <c r="V2" s="185"/>
      <c r="W2" s="185"/>
      <c r="X2" s="185"/>
      <c r="Y2" s="185"/>
      <c r="Z2" s="185"/>
      <c r="AA2" s="185"/>
      <c r="AB2" s="185"/>
      <c r="AC2" s="185"/>
      <c r="AD2" s="185"/>
      <c r="AE2" s="185"/>
      <c r="AF2" s="185"/>
      <c r="AG2" s="185"/>
      <c r="AH2" s="185"/>
      <c r="AI2" s="185"/>
      <c r="AJ2" s="185"/>
      <c r="AK2" s="185"/>
    </row>
    <row r="3" spans="1:41" s="330" customFormat="1" ht="50.25" customHeight="1">
      <c r="A3" s="1288" t="str">
        <f>Cover!$B$2</f>
        <v>400kV AIS Substation Extension Package SS-111 for Extension of 400/220 kV Jabalpur Substation associated with Western Region Expansion Scheme-XXXIII (WRES-XXXIII): Part A.</v>
      </c>
      <c r="B3" s="1288"/>
      <c r="C3" s="1288"/>
      <c r="D3" s="1288"/>
      <c r="E3" s="1288"/>
      <c r="F3" s="1288"/>
      <c r="G3" s="369"/>
      <c r="H3" s="400"/>
      <c r="I3" s="252"/>
      <c r="J3" s="185"/>
      <c r="K3" s="185" t="s">
        <v>342</v>
      </c>
      <c r="L3" s="185"/>
      <c r="M3" s="185">
        <f>IF(ISERROR(#REF!/('Sch-6'!D14+'Sch-6'!D16+'Sch-6'!D18)),0,#REF!/( 'Sch-6'!D14+'Sch-6'!D16+'Sch-6'!D18))</f>
        <v>0</v>
      </c>
      <c r="N3" s="185"/>
      <c r="O3" s="190"/>
      <c r="P3" s="191"/>
      <c r="Q3" s="191"/>
      <c r="R3" s="191"/>
      <c r="S3" s="185"/>
      <c r="T3" s="190"/>
      <c r="U3" s="185"/>
      <c r="V3" s="185"/>
      <c r="W3" s="1308"/>
      <c r="X3" s="1308"/>
      <c r="Y3" s="185"/>
      <c r="Z3" s="185"/>
      <c r="AA3" s="185"/>
      <c r="AB3" s="185"/>
      <c r="AC3" s="185"/>
      <c r="AD3" s="185"/>
      <c r="AE3" s="185"/>
      <c r="AF3" s="185"/>
      <c r="AG3" s="185"/>
      <c r="AH3" s="185"/>
      <c r="AI3" s="185"/>
      <c r="AJ3" s="185"/>
      <c r="AK3" s="185"/>
      <c r="AL3" s="185"/>
      <c r="AM3" s="185"/>
      <c r="AN3" s="185"/>
      <c r="AO3" s="185"/>
    </row>
    <row r="4" spans="1:41" s="330" customFormat="1" ht="22.2" customHeight="1">
      <c r="A4" s="1289" t="s">
        <v>421</v>
      </c>
      <c r="B4" s="1289"/>
      <c r="C4" s="1289"/>
      <c r="D4" s="1289"/>
      <c r="E4" s="1289"/>
      <c r="F4" s="1289"/>
      <c r="G4" s="192"/>
      <c r="H4" s="396"/>
      <c r="I4" s="396"/>
      <c r="J4" s="396"/>
      <c r="K4" s="394" t="s">
        <v>343</v>
      </c>
      <c r="L4" s="396"/>
      <c r="M4" s="395" t="e">
        <f>#REF!</f>
        <v>#REF!</v>
      </c>
      <c r="N4" s="396"/>
      <c r="O4" s="396"/>
      <c r="P4" s="396"/>
      <c r="Q4" s="396"/>
      <c r="R4" s="185"/>
      <c r="S4" s="185"/>
      <c r="T4" s="185"/>
      <c r="U4" s="185"/>
      <c r="V4" s="185"/>
      <c r="W4" s="185"/>
      <c r="X4" s="185"/>
      <c r="Y4" s="185"/>
      <c r="Z4" s="185"/>
      <c r="AA4" s="185"/>
      <c r="AB4" s="185"/>
      <c r="AC4" s="185"/>
      <c r="AD4" s="185"/>
      <c r="AE4" s="185"/>
      <c r="AF4" s="185"/>
      <c r="AG4" s="185"/>
      <c r="AH4" s="185"/>
      <c r="AI4" s="185"/>
      <c r="AJ4" s="185"/>
      <c r="AK4" s="185"/>
    </row>
    <row r="5" spans="1:41" s="330" customFormat="1" ht="15" customHeight="1">
      <c r="A5" s="397"/>
      <c r="B5" s="372"/>
      <c r="C5" s="371"/>
      <c r="D5" s="371"/>
      <c r="E5" s="371"/>
      <c r="G5" s="185"/>
      <c r="K5" s="329" t="s">
        <v>344</v>
      </c>
      <c r="M5" s="398">
        <f>IF(ISERROR(#REF!/#REF!),0,#REF! /#REF!)</f>
        <v>0</v>
      </c>
      <c r="R5" s="185"/>
      <c r="S5" s="185"/>
      <c r="T5" s="185"/>
      <c r="U5" s="185"/>
      <c r="V5" s="185"/>
      <c r="W5" s="185"/>
      <c r="X5" s="185"/>
      <c r="Y5" s="185"/>
      <c r="Z5" s="185"/>
      <c r="AA5" s="185"/>
      <c r="AB5" s="185"/>
      <c r="AC5" s="185"/>
      <c r="AD5" s="185"/>
      <c r="AE5" s="185"/>
      <c r="AF5" s="185"/>
      <c r="AG5" s="185"/>
      <c r="AH5" s="185"/>
      <c r="AI5" s="185"/>
      <c r="AJ5" s="185"/>
      <c r="AK5" s="185"/>
    </row>
    <row r="6" spans="1:41" s="330" customFormat="1" ht="18" customHeight="1">
      <c r="A6" s="31" t="str">
        <f>'Sch-1'!A6</f>
        <v>Bidder’s Name and Address (Sole Bidder) :</v>
      </c>
      <c r="B6" s="32"/>
      <c r="C6" s="32"/>
      <c r="D6" s="32"/>
      <c r="E6" s="67" t="s">
        <v>396</v>
      </c>
      <c r="F6" s="1"/>
      <c r="G6" s="193"/>
      <c r="K6" s="329" t="s">
        <v>347</v>
      </c>
      <c r="M6" s="398" t="e">
        <f>#REF!</f>
        <v>#REF!</v>
      </c>
      <c r="R6" s="185"/>
      <c r="S6" s="185"/>
      <c r="T6" s="185"/>
      <c r="U6" s="185"/>
      <c r="V6" s="185"/>
      <c r="W6" s="185"/>
      <c r="X6" s="185"/>
      <c r="Y6" s="185"/>
      <c r="Z6" s="185"/>
      <c r="AA6" s="185"/>
      <c r="AB6" s="185"/>
      <c r="AC6" s="185"/>
      <c r="AD6" s="185"/>
      <c r="AE6" s="185"/>
      <c r="AF6" s="185"/>
      <c r="AG6" s="185"/>
      <c r="AH6" s="185"/>
      <c r="AI6" s="185"/>
      <c r="AJ6" s="185"/>
      <c r="AK6" s="185"/>
    </row>
    <row r="7" spans="1:41" s="330" customFormat="1" ht="36" customHeight="1">
      <c r="A7" s="1309" t="str">
        <f>'Sch-1'!A7</f>
        <v/>
      </c>
      <c r="B7" s="1309"/>
      <c r="C7" s="1309"/>
      <c r="D7" s="1309"/>
      <c r="E7" s="309" t="str">
        <f>'Sch-1'!M7</f>
        <v>Contracts Services, 3rd Floor</v>
      </c>
      <c r="F7" s="1"/>
      <c r="G7" s="193"/>
      <c r="K7" s="329" t="s">
        <v>346</v>
      </c>
      <c r="M7" s="398" t="e">
        <f>SUM(M3:M6)</f>
        <v>#REF!</v>
      </c>
      <c r="R7" s="185"/>
      <c r="S7" s="185"/>
      <c r="T7" s="185"/>
      <c r="U7" s="185"/>
      <c r="V7" s="185"/>
      <c r="W7" s="185"/>
      <c r="X7" s="185"/>
      <c r="Y7" s="185"/>
      <c r="Z7" s="185"/>
      <c r="AA7" s="185"/>
      <c r="AB7" s="185"/>
      <c r="AC7" s="185"/>
      <c r="AD7" s="185"/>
      <c r="AE7" s="185"/>
      <c r="AF7" s="185"/>
      <c r="AG7" s="185"/>
      <c r="AH7" s="185"/>
      <c r="AI7" s="185"/>
      <c r="AJ7" s="185"/>
      <c r="AK7" s="185"/>
    </row>
    <row r="8" spans="1:41" s="330" customFormat="1" ht="18" customHeight="1">
      <c r="A8" s="31" t="s">
        <v>397</v>
      </c>
      <c r="B8" s="1310" t="str">
        <f>IF('Sch-1'!C8=0, "", 'Sch-1'!C8)</f>
        <v xml:space="preserve">…….. …….. …….. …….. …….. …….. </v>
      </c>
      <c r="C8" s="1310"/>
      <c r="D8" s="1310"/>
      <c r="E8" s="309" t="str">
        <f>'Sch-1'!M8</f>
        <v>Power Grid Corporation of India Ltd.,</v>
      </c>
      <c r="F8" s="1"/>
      <c r="G8" s="193"/>
      <c r="R8" s="185"/>
      <c r="S8" s="185"/>
      <c r="T8" s="185"/>
      <c r="U8" s="185"/>
      <c r="V8" s="185"/>
      <c r="W8" s="185"/>
      <c r="X8" s="185"/>
      <c r="Y8" s="185"/>
      <c r="Z8" s="185"/>
      <c r="AA8" s="185"/>
      <c r="AB8" s="185"/>
      <c r="AC8" s="185"/>
      <c r="AD8" s="185"/>
      <c r="AE8" s="185"/>
      <c r="AF8" s="185"/>
      <c r="AG8" s="185"/>
      <c r="AH8" s="185"/>
      <c r="AI8" s="185"/>
      <c r="AJ8" s="185"/>
      <c r="AK8" s="185"/>
    </row>
    <row r="9" spans="1:41" s="330" customFormat="1" ht="18" customHeight="1">
      <c r="A9" s="31" t="s">
        <v>399</v>
      </c>
      <c r="B9" s="1310" t="str">
        <f>IF('Sch-1'!C9=0, "", 'Sch-1'!C9)</f>
        <v xml:space="preserve">…….. …….. …….. …….. …….. …….. </v>
      </c>
      <c r="C9" s="1310"/>
      <c r="D9" s="1310"/>
      <c r="E9" s="309" t="str">
        <f>'Sch-1'!M9</f>
        <v>"Saudamini", Plot No.-2</v>
      </c>
      <c r="F9" s="1"/>
      <c r="G9" s="193"/>
      <c r="R9" s="185"/>
      <c r="S9" s="185"/>
      <c r="T9" s="185"/>
      <c r="U9" s="185"/>
      <c r="V9" s="185"/>
      <c r="W9" s="185"/>
      <c r="X9" s="185"/>
      <c r="Y9" s="185"/>
      <c r="Z9" s="185"/>
      <c r="AA9" s="185"/>
      <c r="AB9" s="185"/>
      <c r="AC9" s="185"/>
      <c r="AD9" s="185"/>
      <c r="AE9" s="185"/>
      <c r="AF9" s="185"/>
      <c r="AG9" s="185"/>
      <c r="AH9" s="185"/>
      <c r="AI9" s="185"/>
      <c r="AJ9" s="185"/>
      <c r="AK9" s="185"/>
    </row>
    <row r="10" spans="1:41" s="330" customFormat="1" ht="18" customHeight="1">
      <c r="A10" s="332"/>
      <c r="B10" s="1311" t="str">
        <f>IF('Sch-1'!C10=0, "", 'Sch-1'!C10)</f>
        <v xml:space="preserve">…….. …….. …….. …….. …….. …….. </v>
      </c>
      <c r="C10" s="1311"/>
      <c r="D10" s="1311"/>
      <c r="E10" s="379" t="str">
        <f>'Sch-1'!M10</f>
        <v xml:space="preserve">Sector-29, </v>
      </c>
      <c r="G10" s="193"/>
      <c r="K10" s="329" t="s">
        <v>276</v>
      </c>
      <c r="M10" s="398">
        <f>'Sch-1'!AA10</f>
        <v>0</v>
      </c>
      <c r="R10" s="185"/>
      <c r="S10" s="185"/>
      <c r="T10" s="185"/>
      <c r="U10" s="185"/>
      <c r="V10" s="185"/>
      <c r="W10" s="185"/>
      <c r="X10" s="185"/>
      <c r="Y10" s="185"/>
      <c r="Z10" s="185"/>
      <c r="AA10" s="185"/>
      <c r="AB10" s="185"/>
      <c r="AC10" s="185"/>
      <c r="AD10" s="185"/>
      <c r="AE10" s="185"/>
      <c r="AF10" s="185"/>
      <c r="AG10" s="185"/>
      <c r="AH10" s="185"/>
      <c r="AI10" s="185"/>
      <c r="AJ10" s="185"/>
      <c r="AK10" s="185"/>
    </row>
    <row r="11" spans="1:41" s="330" customFormat="1" ht="18" customHeight="1">
      <c r="A11" s="332"/>
      <c r="B11" s="1311" t="str">
        <f>IF('Sch-1'!C11=0, "", 'Sch-1'!C11)</f>
        <v xml:space="preserve">…….. …….. …….. …….. …….. …….. </v>
      </c>
      <c r="C11" s="1311"/>
      <c r="D11" s="1311"/>
      <c r="E11" s="379" t="str">
        <f>'Sch-1'!M11</f>
        <v>Gurgaon (Haryana) - 122001</v>
      </c>
      <c r="G11" s="193"/>
      <c r="K11" s="329"/>
      <c r="M11" s="398"/>
      <c r="R11" s="185"/>
      <c r="S11" s="185"/>
      <c r="T11" s="185"/>
      <c r="U11" s="185"/>
      <c r="V11" s="185"/>
      <c r="W11" s="185"/>
      <c r="X11" s="185"/>
      <c r="Y11" s="185"/>
      <c r="Z11" s="185"/>
      <c r="AA11" s="185"/>
      <c r="AB11" s="185"/>
      <c r="AC11" s="185"/>
      <c r="AD11" s="185"/>
      <c r="AE11" s="185"/>
      <c r="AF11" s="185"/>
      <c r="AG11" s="185"/>
      <c r="AH11" s="185"/>
      <c r="AI11" s="185"/>
      <c r="AJ11" s="185"/>
      <c r="AK11" s="185"/>
    </row>
    <row r="12" spans="1:41" s="330" customFormat="1" ht="18" customHeight="1">
      <c r="A12" s="332"/>
      <c r="B12" s="392"/>
      <c r="C12" s="392"/>
      <c r="D12" s="392"/>
      <c r="E12" s="379"/>
      <c r="G12" s="193"/>
      <c r="K12" s="329"/>
      <c r="M12" s="398"/>
      <c r="R12" s="185"/>
      <c r="S12" s="185"/>
      <c r="T12" s="185"/>
      <c r="U12" s="185"/>
      <c r="V12" s="185"/>
      <c r="W12" s="185"/>
      <c r="X12" s="185"/>
      <c r="Y12" s="185"/>
      <c r="Z12" s="185"/>
      <c r="AA12" s="185"/>
      <c r="AB12" s="185"/>
      <c r="AC12" s="185"/>
      <c r="AD12" s="185"/>
      <c r="AE12" s="185"/>
      <c r="AF12" s="185"/>
      <c r="AG12" s="185"/>
      <c r="AH12" s="185"/>
      <c r="AI12" s="185"/>
      <c r="AJ12" s="185"/>
      <c r="AK12" s="185"/>
    </row>
    <row r="13" spans="1:41" s="330" customFormat="1" ht="18" customHeight="1">
      <c r="A13" s="332"/>
      <c r="B13" s="31"/>
      <c r="C13" s="31"/>
      <c r="D13" s="31"/>
      <c r="E13" s="31"/>
      <c r="F13" s="8" t="s">
        <v>273</v>
      </c>
      <c r="G13" s="194"/>
      <c r="L13" s="1279" t="s">
        <v>281</v>
      </c>
      <c r="M13" s="1279"/>
      <c r="N13" s="6" t="s">
        <v>285</v>
      </c>
      <c r="O13" s="1279" t="s">
        <v>282</v>
      </c>
      <c r="P13" s="1279"/>
      <c r="Q13" s="1"/>
      <c r="R13" s="185"/>
      <c r="S13" s="185"/>
      <c r="T13" s="185"/>
      <c r="U13" s="185"/>
      <c r="V13" s="185"/>
      <c r="W13" s="185"/>
      <c r="X13" s="185"/>
      <c r="Y13" s="185"/>
      <c r="Z13" s="185"/>
      <c r="AA13" s="185"/>
      <c r="AB13" s="185"/>
      <c r="AC13" s="185"/>
      <c r="AD13" s="185"/>
      <c r="AE13" s="185"/>
      <c r="AF13" s="185"/>
      <c r="AG13" s="185"/>
      <c r="AH13" s="185"/>
      <c r="AI13" s="185"/>
      <c r="AJ13" s="185"/>
      <c r="AK13" s="185"/>
    </row>
    <row r="14" spans="1:41" s="330" customFormat="1" ht="43.5" customHeight="1">
      <c r="A14" s="14" t="s">
        <v>361</v>
      </c>
      <c r="B14" s="14" t="s">
        <v>368</v>
      </c>
      <c r="C14" s="72" t="s">
        <v>353</v>
      </c>
      <c r="D14" s="72" t="s">
        <v>354</v>
      </c>
      <c r="E14" s="73" t="s">
        <v>369</v>
      </c>
      <c r="F14" s="73" t="s">
        <v>404</v>
      </c>
      <c r="G14" s="185"/>
      <c r="L14" s="308" t="s">
        <v>369</v>
      </c>
      <c r="M14" s="308" t="s">
        <v>404</v>
      </c>
      <c r="N14" s="6"/>
      <c r="O14" s="308" t="s">
        <v>369</v>
      </c>
      <c r="P14" s="308" t="s">
        <v>404</v>
      </c>
      <c r="Q14" s="1"/>
      <c r="R14" s="185"/>
      <c r="S14" s="185"/>
      <c r="T14" s="185"/>
      <c r="U14" s="185"/>
      <c r="V14" s="185"/>
      <c r="W14" s="185"/>
      <c r="X14" s="185"/>
      <c r="Y14" s="185"/>
      <c r="Z14" s="185"/>
      <c r="AA14" s="185"/>
      <c r="AB14" s="185"/>
      <c r="AC14" s="185"/>
      <c r="AD14" s="185"/>
      <c r="AE14" s="185"/>
      <c r="AF14" s="185"/>
      <c r="AG14" s="185"/>
      <c r="AH14" s="185"/>
      <c r="AI14" s="185"/>
      <c r="AJ14" s="185"/>
      <c r="AK14" s="185"/>
    </row>
    <row r="15" spans="1:41" s="330" customFormat="1" ht="18" customHeight="1">
      <c r="A15" s="9">
        <v>1</v>
      </c>
      <c r="B15" s="9">
        <v>2</v>
      </c>
      <c r="C15" s="9">
        <v>3</v>
      </c>
      <c r="D15" s="9">
        <v>4</v>
      </c>
      <c r="E15" s="9">
        <v>5</v>
      </c>
      <c r="F15" s="9" t="s">
        <v>405</v>
      </c>
      <c r="G15" s="196"/>
      <c r="H15" s="396"/>
      <c r="I15" s="396"/>
      <c r="J15" s="396"/>
      <c r="K15" s="396"/>
      <c r="L15" s="189">
        <v>5</v>
      </c>
      <c r="M15" s="189" t="s">
        <v>405</v>
      </c>
      <c r="N15" s="6"/>
      <c r="O15" s="189">
        <v>5</v>
      </c>
      <c r="P15" s="189" t="s">
        <v>405</v>
      </c>
      <c r="Q15" s="1"/>
      <c r="R15" s="185"/>
      <c r="S15" s="185"/>
      <c r="T15" s="185"/>
      <c r="U15" s="185"/>
      <c r="V15" s="185"/>
      <c r="W15" s="185"/>
      <c r="X15" s="185"/>
      <c r="Y15" s="185"/>
      <c r="Z15" s="185"/>
      <c r="AA15" s="185"/>
      <c r="AB15" s="185"/>
      <c r="AC15" s="185"/>
      <c r="AD15" s="185"/>
      <c r="AE15" s="185"/>
      <c r="AF15" s="185"/>
      <c r="AG15" s="185"/>
      <c r="AH15" s="185"/>
      <c r="AI15" s="185"/>
      <c r="AJ15" s="185"/>
      <c r="AK15" s="185"/>
    </row>
    <row r="16" spans="1:41" s="480" customFormat="1" ht="16.2">
      <c r="A16" s="566" t="e">
        <f>'Sch-2'!#REF!</f>
        <v>#REF!</v>
      </c>
      <c r="B16" s="566" t="e">
        <f>'Sch-2'!#REF!</f>
        <v>#REF!</v>
      </c>
      <c r="C16" s="566"/>
      <c r="D16" s="566"/>
      <c r="E16" s="414"/>
      <c r="F16" s="414"/>
      <c r="G16" s="482"/>
    </row>
    <row r="17" spans="1:7" s="481" customFormat="1" ht="21" customHeight="1">
      <c r="A17" s="566" t="e">
        <f>'Sch-2'!#REF!</f>
        <v>#REF!</v>
      </c>
      <c r="B17" s="566" t="e">
        <f>'Sch-2'!#REF!</f>
        <v>#REF!</v>
      </c>
      <c r="C17" s="566" t="e">
        <f>'Sch-2'!#REF!</f>
        <v>#REF!</v>
      </c>
      <c r="D17" s="566" t="e">
        <f>'Sch-2'!#REF!</f>
        <v>#REF!</v>
      </c>
      <c r="E17" s="414" t="e">
        <f>'Sch-2'!#REF!</f>
        <v>#REF!</v>
      </c>
      <c r="F17" s="414" t="e">
        <f t="shared" ref="F17:F54" si="0">IF(E17=0, "Included", IF(ISERROR(D17*E17), E17, D17*E17))</f>
        <v>#REF!</v>
      </c>
      <c r="G17" s="483"/>
    </row>
    <row r="18" spans="1:7" s="481" customFormat="1" ht="21" customHeight="1">
      <c r="A18" s="566"/>
      <c r="B18" s="566"/>
      <c r="C18" s="566"/>
      <c r="D18" s="566"/>
      <c r="E18" s="414"/>
      <c r="F18" s="414"/>
      <c r="G18" s="483"/>
    </row>
    <row r="19" spans="1:7" s="481" customFormat="1" ht="21" customHeight="1">
      <c r="A19" s="566" t="e">
        <f>'Sch-2'!#REF!</f>
        <v>#REF!</v>
      </c>
      <c r="B19" s="566" t="e">
        <f>'Sch-2'!#REF!</f>
        <v>#REF!</v>
      </c>
      <c r="C19" s="566" t="e">
        <f>'Sch-2'!#REF!</f>
        <v>#REF!</v>
      </c>
      <c r="D19" s="566" t="e">
        <f>'Sch-2'!#REF!</f>
        <v>#REF!</v>
      </c>
      <c r="E19" s="414" t="e">
        <f>'Sch-2'!#REF!</f>
        <v>#REF!</v>
      </c>
      <c r="F19" s="414" t="e">
        <f t="shared" si="0"/>
        <v>#REF!</v>
      </c>
      <c r="G19" s="483"/>
    </row>
    <row r="20" spans="1:7" s="480" customFormat="1" ht="67.5" customHeight="1">
      <c r="A20" s="566"/>
      <c r="B20" s="566"/>
      <c r="C20" s="566"/>
      <c r="D20" s="566"/>
      <c r="E20" s="414"/>
      <c r="F20" s="414"/>
      <c r="G20" s="482"/>
    </row>
    <row r="21" spans="1:7" s="481" customFormat="1" ht="21" customHeight="1">
      <c r="A21" s="566" t="e">
        <f>'Sch-2'!#REF!</f>
        <v>#REF!</v>
      </c>
      <c r="B21" s="566" t="e">
        <f>'Sch-2'!#REF!</f>
        <v>#REF!</v>
      </c>
      <c r="C21" s="566"/>
      <c r="D21" s="566"/>
      <c r="E21" s="414"/>
      <c r="F21" s="414"/>
      <c r="G21" s="483"/>
    </row>
    <row r="22" spans="1:7" s="481" customFormat="1" ht="21" customHeight="1">
      <c r="A22" s="566" t="e">
        <f>'Sch-2'!#REF!</f>
        <v>#REF!</v>
      </c>
      <c r="B22" s="566" t="e">
        <f>'Sch-2'!#REF!</f>
        <v>#REF!</v>
      </c>
      <c r="C22" s="566" t="e">
        <f>'Sch-2'!#REF!</f>
        <v>#REF!</v>
      </c>
      <c r="D22" s="566" t="e">
        <f>'Sch-2'!#REF!</f>
        <v>#REF!</v>
      </c>
      <c r="E22" s="414" t="e">
        <f>'Sch-2'!#REF!</f>
        <v>#REF!</v>
      </c>
      <c r="F22" s="414" t="e">
        <f t="shared" si="0"/>
        <v>#REF!</v>
      </c>
      <c r="G22" s="483"/>
    </row>
    <row r="23" spans="1:7" s="481" customFormat="1" ht="21" customHeight="1">
      <c r="A23" s="566" t="e">
        <f>'Sch-2'!#REF!</f>
        <v>#REF!</v>
      </c>
      <c r="B23" s="566" t="e">
        <f>'Sch-2'!#REF!</f>
        <v>#REF!</v>
      </c>
      <c r="C23" s="566" t="e">
        <f>'Sch-2'!#REF!</f>
        <v>#REF!</v>
      </c>
      <c r="D23" s="566" t="e">
        <f>'Sch-2'!#REF!</f>
        <v>#REF!</v>
      </c>
      <c r="E23" s="414" t="e">
        <f>'Sch-2'!#REF!</f>
        <v>#REF!</v>
      </c>
      <c r="F23" s="414" t="e">
        <f t="shared" si="0"/>
        <v>#REF!</v>
      </c>
      <c r="G23" s="483"/>
    </row>
    <row r="24" spans="1:7" s="480" customFormat="1" ht="16.2">
      <c r="A24" s="566"/>
      <c r="B24" s="566"/>
      <c r="C24" s="566"/>
      <c r="D24" s="566"/>
      <c r="E24" s="414"/>
      <c r="F24" s="414"/>
      <c r="G24" s="482"/>
    </row>
    <row r="25" spans="1:7" s="481" customFormat="1" ht="19.5" customHeight="1">
      <c r="A25" s="566" t="e">
        <f>'Sch-2'!#REF!</f>
        <v>#REF!</v>
      </c>
      <c r="B25" s="566" t="e">
        <f>'Sch-2'!#REF!</f>
        <v>#REF!</v>
      </c>
      <c r="C25" s="566"/>
      <c r="D25" s="566"/>
      <c r="E25" s="414"/>
      <c r="F25" s="414"/>
      <c r="G25" s="483"/>
    </row>
    <row r="26" spans="1:7" s="481" customFormat="1" ht="18.75" customHeight="1">
      <c r="A26" s="566" t="e">
        <f>'Sch-2'!#REF!</f>
        <v>#REF!</v>
      </c>
      <c r="B26" s="566" t="e">
        <f>'Sch-2'!#REF!</f>
        <v>#REF!</v>
      </c>
      <c r="C26" s="566" t="e">
        <f>'Sch-2'!#REF!</f>
        <v>#REF!</v>
      </c>
      <c r="D26" s="566" t="e">
        <f>'Sch-2'!#REF!</f>
        <v>#REF!</v>
      </c>
      <c r="E26" s="414" t="e">
        <f>'Sch-2'!#REF!</f>
        <v>#REF!</v>
      </c>
      <c r="F26" s="414" t="e">
        <f t="shared" si="0"/>
        <v>#REF!</v>
      </c>
      <c r="G26" s="483"/>
    </row>
    <row r="27" spans="1:7" s="480" customFormat="1" ht="21.75" customHeight="1">
      <c r="A27" s="566" t="e">
        <f>'Sch-2'!#REF!</f>
        <v>#REF!</v>
      </c>
      <c r="B27" s="566" t="e">
        <f>'Sch-2'!#REF!</f>
        <v>#REF!</v>
      </c>
      <c r="C27" s="566" t="e">
        <f>'Sch-2'!#REF!</f>
        <v>#REF!</v>
      </c>
      <c r="D27" s="566" t="e">
        <f>'Sch-2'!#REF!</f>
        <v>#REF!</v>
      </c>
      <c r="E27" s="414" t="e">
        <f>'Sch-2'!#REF!</f>
        <v>#REF!</v>
      </c>
      <c r="F27" s="414" t="e">
        <f t="shared" si="0"/>
        <v>#REF!</v>
      </c>
      <c r="G27" s="482"/>
    </row>
    <row r="28" spans="1:7" s="481" customFormat="1" ht="17.25" customHeight="1">
      <c r="A28" s="566" t="e">
        <f>'Sch-2'!#REF!</f>
        <v>#REF!</v>
      </c>
      <c r="B28" s="566" t="e">
        <f>'Sch-2'!#REF!</f>
        <v>#REF!</v>
      </c>
      <c r="C28" s="566" t="e">
        <f>'Sch-2'!#REF!</f>
        <v>#REF!</v>
      </c>
      <c r="D28" s="566" t="e">
        <f>'Sch-2'!#REF!</f>
        <v>#REF!</v>
      </c>
      <c r="E28" s="414" t="e">
        <f>'Sch-2'!#REF!</f>
        <v>#REF!</v>
      </c>
      <c r="F28" s="414" t="e">
        <f t="shared" si="0"/>
        <v>#REF!</v>
      </c>
      <c r="G28" s="483"/>
    </row>
    <row r="29" spans="1:7" s="481" customFormat="1" ht="17.25" customHeight="1">
      <c r="A29" s="566" t="e">
        <f>'Sch-2'!#REF!</f>
        <v>#REF!</v>
      </c>
      <c r="B29" s="566" t="e">
        <f>'Sch-2'!#REF!</f>
        <v>#REF!</v>
      </c>
      <c r="C29" s="566" t="e">
        <f>'Sch-2'!#REF!</f>
        <v>#REF!</v>
      </c>
      <c r="D29" s="566" t="e">
        <f>'Sch-2'!#REF!</f>
        <v>#REF!</v>
      </c>
      <c r="E29" s="414" t="e">
        <f>'Sch-2'!#REF!</f>
        <v>#REF!</v>
      </c>
      <c r="F29" s="414" t="e">
        <f t="shared" si="0"/>
        <v>#REF!</v>
      </c>
      <c r="G29" s="483"/>
    </row>
    <row r="30" spans="1:7" s="481" customFormat="1" ht="17.25" customHeight="1">
      <c r="A30" s="566" t="e">
        <f>'Sch-2'!#REF!</f>
        <v>#REF!</v>
      </c>
      <c r="B30" s="566" t="e">
        <f>'Sch-2'!#REF!</f>
        <v>#REF!</v>
      </c>
      <c r="C30" s="566" t="e">
        <f>'Sch-2'!#REF!</f>
        <v>#REF!</v>
      </c>
      <c r="D30" s="566" t="e">
        <f>'Sch-2'!#REF!</f>
        <v>#REF!</v>
      </c>
      <c r="E30" s="414" t="e">
        <f>'Sch-2'!#REF!</f>
        <v>#REF!</v>
      </c>
      <c r="F30" s="414" t="e">
        <f t="shared" si="0"/>
        <v>#REF!</v>
      </c>
      <c r="G30" s="483"/>
    </row>
    <row r="31" spans="1:7" s="481" customFormat="1" ht="17.25" customHeight="1">
      <c r="A31" s="566" t="e">
        <f>'Sch-2'!#REF!</f>
        <v>#REF!</v>
      </c>
      <c r="B31" s="566" t="e">
        <f>'Sch-2'!#REF!</f>
        <v>#REF!</v>
      </c>
      <c r="C31" s="566" t="e">
        <f>'Sch-2'!#REF!</f>
        <v>#REF!</v>
      </c>
      <c r="D31" s="566" t="e">
        <f>'Sch-2'!#REF!</f>
        <v>#REF!</v>
      </c>
      <c r="E31" s="414" t="e">
        <f>'Sch-2'!#REF!</f>
        <v>#REF!</v>
      </c>
      <c r="F31" s="414" t="e">
        <f t="shared" si="0"/>
        <v>#REF!</v>
      </c>
      <c r="G31" s="483"/>
    </row>
    <row r="32" spans="1:7" s="481" customFormat="1" ht="17.25" customHeight="1">
      <c r="A32" s="566"/>
      <c r="B32" s="566"/>
      <c r="C32" s="566"/>
      <c r="D32" s="566"/>
      <c r="E32" s="414"/>
      <c r="F32" s="414"/>
      <c r="G32" s="483"/>
    </row>
    <row r="33" spans="1:7" s="481" customFormat="1" ht="17.25" customHeight="1">
      <c r="A33" s="566" t="e">
        <f>'Sch-2'!#REF!</f>
        <v>#REF!</v>
      </c>
      <c r="B33" s="566" t="e">
        <f>'Sch-2'!#REF!</f>
        <v>#REF!</v>
      </c>
      <c r="C33" s="566"/>
      <c r="D33" s="566"/>
      <c r="E33" s="414"/>
      <c r="F33" s="414"/>
      <c r="G33" s="483"/>
    </row>
    <row r="34" spans="1:7" s="481" customFormat="1" ht="17.25" customHeight="1">
      <c r="A34" s="566" t="e">
        <f>'Sch-2'!#REF!</f>
        <v>#REF!</v>
      </c>
      <c r="B34" s="566" t="e">
        <f>'Sch-2'!#REF!</f>
        <v>#REF!</v>
      </c>
      <c r="C34" s="566" t="e">
        <f>'Sch-2'!#REF!</f>
        <v>#REF!</v>
      </c>
      <c r="D34" s="566" t="e">
        <f>'Sch-2'!#REF!</f>
        <v>#REF!</v>
      </c>
      <c r="E34" s="414" t="e">
        <f>'Sch-2'!#REF!</f>
        <v>#REF!</v>
      </c>
      <c r="F34" s="414" t="e">
        <f t="shared" si="0"/>
        <v>#REF!</v>
      </c>
      <c r="G34" s="483"/>
    </row>
    <row r="35" spans="1:7" s="481" customFormat="1" ht="17.25" customHeight="1">
      <c r="A35" s="566"/>
      <c r="B35" s="566"/>
      <c r="C35" s="566"/>
      <c r="D35" s="566"/>
      <c r="E35" s="414"/>
      <c r="F35" s="414"/>
      <c r="G35" s="483"/>
    </row>
    <row r="36" spans="1:7" s="481" customFormat="1" ht="17.25" customHeight="1">
      <c r="A36" s="566" t="e">
        <f>'Sch-2'!#REF!</f>
        <v>#REF!</v>
      </c>
      <c r="B36" s="566" t="e">
        <f>'Sch-2'!#REF!</f>
        <v>#REF!</v>
      </c>
      <c r="C36" s="566"/>
      <c r="D36" s="566"/>
      <c r="E36" s="414"/>
      <c r="F36" s="414"/>
      <c r="G36" s="483"/>
    </row>
    <row r="37" spans="1:7" s="481" customFormat="1" ht="17.25" customHeight="1">
      <c r="A37" s="566" t="e">
        <f>'Sch-2'!#REF!</f>
        <v>#REF!</v>
      </c>
      <c r="B37" s="566" t="e">
        <f>'Sch-2'!#REF!</f>
        <v>#REF!</v>
      </c>
      <c r="C37" s="566" t="e">
        <f>'Sch-2'!#REF!</f>
        <v>#REF!</v>
      </c>
      <c r="D37" s="566" t="e">
        <f>'Sch-2'!#REF!</f>
        <v>#REF!</v>
      </c>
      <c r="E37" s="414" t="e">
        <f>'Sch-2'!#REF!</f>
        <v>#REF!</v>
      </c>
      <c r="F37" s="414" t="e">
        <f t="shared" si="0"/>
        <v>#REF!</v>
      </c>
      <c r="G37" s="483"/>
    </row>
    <row r="38" spans="1:7" s="481" customFormat="1" ht="17.25" customHeight="1">
      <c r="A38" s="566" t="e">
        <f>'Sch-2'!#REF!</f>
        <v>#REF!</v>
      </c>
      <c r="B38" s="566" t="e">
        <f>'Sch-2'!#REF!</f>
        <v>#REF!</v>
      </c>
      <c r="C38" s="566" t="e">
        <f>'Sch-2'!#REF!</f>
        <v>#REF!</v>
      </c>
      <c r="D38" s="566" t="e">
        <f>'Sch-2'!#REF!</f>
        <v>#REF!</v>
      </c>
      <c r="E38" s="414" t="e">
        <f>'Sch-2'!#REF!</f>
        <v>#REF!</v>
      </c>
      <c r="F38" s="414" t="e">
        <f t="shared" si="0"/>
        <v>#REF!</v>
      </c>
      <c r="G38" s="483"/>
    </row>
    <row r="39" spans="1:7" s="481" customFormat="1" ht="17.25" customHeight="1">
      <c r="A39" s="566" t="e">
        <f>'Sch-2'!#REF!</f>
        <v>#REF!</v>
      </c>
      <c r="B39" s="566" t="e">
        <f>'Sch-2'!#REF!</f>
        <v>#REF!</v>
      </c>
      <c r="C39" s="566" t="e">
        <f>'Sch-2'!#REF!</f>
        <v>#REF!</v>
      </c>
      <c r="D39" s="566" t="e">
        <f>'Sch-2'!#REF!</f>
        <v>#REF!</v>
      </c>
      <c r="E39" s="414" t="e">
        <f>'Sch-2'!#REF!</f>
        <v>#REF!</v>
      </c>
      <c r="F39" s="414" t="e">
        <f t="shared" si="0"/>
        <v>#REF!</v>
      </c>
      <c r="G39" s="483"/>
    </row>
    <row r="40" spans="1:7" s="481" customFormat="1" ht="17.25" customHeight="1">
      <c r="A40" s="566" t="e">
        <f>'Sch-2'!#REF!</f>
        <v>#REF!</v>
      </c>
      <c r="B40" s="566" t="e">
        <f>'Sch-2'!#REF!</f>
        <v>#REF!</v>
      </c>
      <c r="C40" s="566" t="e">
        <f>'Sch-2'!#REF!</f>
        <v>#REF!</v>
      </c>
      <c r="D40" s="566" t="e">
        <f>'Sch-2'!#REF!</f>
        <v>#REF!</v>
      </c>
      <c r="E40" s="414" t="e">
        <f>'Sch-2'!#REF!</f>
        <v>#REF!</v>
      </c>
      <c r="F40" s="414" t="e">
        <f t="shared" si="0"/>
        <v>#REF!</v>
      </c>
      <c r="G40" s="483"/>
    </row>
    <row r="41" spans="1:7" s="481" customFormat="1" ht="17.25" customHeight="1">
      <c r="A41" s="566"/>
      <c r="B41" s="566"/>
      <c r="C41" s="566"/>
      <c r="D41" s="566"/>
      <c r="E41" s="414"/>
      <c r="F41" s="414"/>
      <c r="G41" s="483"/>
    </row>
    <row r="42" spans="1:7" s="481" customFormat="1" ht="17.25" customHeight="1">
      <c r="A42" s="566" t="e">
        <f>'Sch-2'!#REF!</f>
        <v>#REF!</v>
      </c>
      <c r="B42" s="566" t="e">
        <f>'Sch-2'!#REF!</f>
        <v>#REF!</v>
      </c>
      <c r="C42" s="566"/>
      <c r="D42" s="566"/>
      <c r="E42" s="414"/>
      <c r="F42" s="414"/>
      <c r="G42" s="483"/>
    </row>
    <row r="43" spans="1:7" s="481" customFormat="1" ht="17.25" customHeight="1">
      <c r="A43" s="566" t="e">
        <f>'Sch-2'!#REF!</f>
        <v>#REF!</v>
      </c>
      <c r="B43" s="566" t="e">
        <f>'Sch-2'!#REF!</f>
        <v>#REF!</v>
      </c>
      <c r="C43" s="566" t="e">
        <f>'Sch-2'!#REF!</f>
        <v>#REF!</v>
      </c>
      <c r="D43" s="566" t="e">
        <f>'Sch-2'!#REF!</f>
        <v>#REF!</v>
      </c>
      <c r="E43" s="414" t="e">
        <f>'Sch-2'!#REF!</f>
        <v>#REF!</v>
      </c>
      <c r="F43" s="414" t="e">
        <f t="shared" si="0"/>
        <v>#REF!</v>
      </c>
      <c r="G43" s="483"/>
    </row>
    <row r="44" spans="1:7" s="481" customFormat="1" ht="17.25" customHeight="1">
      <c r="A44" s="566" t="e">
        <f>'Sch-2'!#REF!</f>
        <v>#REF!</v>
      </c>
      <c r="B44" s="566" t="e">
        <f>'Sch-2'!#REF!</f>
        <v>#REF!</v>
      </c>
      <c r="C44" s="566" t="e">
        <f>'Sch-2'!#REF!</f>
        <v>#REF!</v>
      </c>
      <c r="D44" s="566" t="e">
        <f>'Sch-2'!#REF!</f>
        <v>#REF!</v>
      </c>
      <c r="E44" s="414" t="e">
        <f>'Sch-2'!#REF!</f>
        <v>#REF!</v>
      </c>
      <c r="F44" s="414" t="e">
        <f t="shared" si="0"/>
        <v>#REF!</v>
      </c>
      <c r="G44" s="483"/>
    </row>
    <row r="45" spans="1:7" s="481" customFormat="1" ht="17.25" customHeight="1">
      <c r="A45" s="566" t="e">
        <f>'Sch-2'!#REF!</f>
        <v>#REF!</v>
      </c>
      <c r="B45" s="566" t="e">
        <f>'Sch-2'!#REF!</f>
        <v>#REF!</v>
      </c>
      <c r="C45" s="566" t="e">
        <f>'Sch-2'!#REF!</f>
        <v>#REF!</v>
      </c>
      <c r="D45" s="566" t="e">
        <f>'Sch-2'!#REF!</f>
        <v>#REF!</v>
      </c>
      <c r="E45" s="414" t="e">
        <f>'Sch-2'!#REF!</f>
        <v>#REF!</v>
      </c>
      <c r="F45" s="414" t="e">
        <f t="shared" si="0"/>
        <v>#REF!</v>
      </c>
      <c r="G45" s="483"/>
    </row>
    <row r="46" spans="1:7" s="481" customFormat="1" ht="17.25" customHeight="1">
      <c r="A46" s="566" t="e">
        <f>'Sch-2'!#REF!</f>
        <v>#REF!</v>
      </c>
      <c r="B46" s="566" t="e">
        <f>'Sch-2'!#REF!</f>
        <v>#REF!</v>
      </c>
      <c r="C46" s="566" t="e">
        <f>'Sch-2'!#REF!</f>
        <v>#REF!</v>
      </c>
      <c r="D46" s="566" t="e">
        <f>'Sch-2'!#REF!</f>
        <v>#REF!</v>
      </c>
      <c r="E46" s="414" t="e">
        <f>'Sch-2'!#REF!</f>
        <v>#REF!</v>
      </c>
      <c r="F46" s="414" t="e">
        <f t="shared" si="0"/>
        <v>#REF!</v>
      </c>
      <c r="G46" s="483"/>
    </row>
    <row r="47" spans="1:7" s="481" customFormat="1" ht="17.25" customHeight="1">
      <c r="A47" s="566" t="e">
        <f>'Sch-2'!#REF!</f>
        <v>#REF!</v>
      </c>
      <c r="B47" s="566" t="e">
        <f>'Sch-2'!#REF!</f>
        <v>#REF!</v>
      </c>
      <c r="C47" s="566" t="e">
        <f>'Sch-2'!#REF!</f>
        <v>#REF!</v>
      </c>
      <c r="D47" s="566" t="e">
        <f>'Sch-2'!#REF!</f>
        <v>#REF!</v>
      </c>
      <c r="E47" s="414" t="e">
        <f>'Sch-2'!#REF!</f>
        <v>#REF!</v>
      </c>
      <c r="F47" s="414" t="e">
        <f t="shared" si="0"/>
        <v>#REF!</v>
      </c>
      <c r="G47" s="483"/>
    </row>
    <row r="48" spans="1:7" s="481" customFormat="1" ht="17.25" customHeight="1">
      <c r="A48" s="566" t="e">
        <f>'Sch-2'!#REF!</f>
        <v>#REF!</v>
      </c>
      <c r="B48" s="566" t="e">
        <f>'Sch-2'!#REF!</f>
        <v>#REF!</v>
      </c>
      <c r="C48" s="566" t="e">
        <f>'Sch-2'!#REF!</f>
        <v>#REF!</v>
      </c>
      <c r="D48" s="566" t="e">
        <f>'Sch-2'!#REF!</f>
        <v>#REF!</v>
      </c>
      <c r="E48" s="414" t="e">
        <f>'Sch-2'!#REF!</f>
        <v>#REF!</v>
      </c>
      <c r="F48" s="414" t="e">
        <f t="shared" si="0"/>
        <v>#REF!</v>
      </c>
      <c r="G48" s="483"/>
    </row>
    <row r="49" spans="1:7" s="481" customFormat="1" ht="17.25" customHeight="1">
      <c r="A49" s="566" t="e">
        <f>'Sch-2'!#REF!</f>
        <v>#REF!</v>
      </c>
      <c r="B49" s="566" t="e">
        <f>'Sch-2'!#REF!</f>
        <v>#REF!</v>
      </c>
      <c r="C49" s="566" t="e">
        <f>'Sch-2'!#REF!</f>
        <v>#REF!</v>
      </c>
      <c r="D49" s="566" t="e">
        <f>'Sch-2'!#REF!</f>
        <v>#REF!</v>
      </c>
      <c r="E49" s="414" t="e">
        <f>'Sch-2'!#REF!</f>
        <v>#REF!</v>
      </c>
      <c r="F49" s="414" t="e">
        <f t="shared" si="0"/>
        <v>#REF!</v>
      </c>
      <c r="G49" s="483"/>
    </row>
    <row r="50" spans="1:7" s="481" customFormat="1" ht="17.25" customHeight="1">
      <c r="A50" s="566" t="e">
        <f>'Sch-2'!#REF!</f>
        <v>#REF!</v>
      </c>
      <c r="B50" s="566" t="e">
        <f>'Sch-2'!#REF!</f>
        <v>#REF!</v>
      </c>
      <c r="C50" s="566" t="e">
        <f>'Sch-2'!#REF!</f>
        <v>#REF!</v>
      </c>
      <c r="D50" s="566" t="e">
        <f>'Sch-2'!#REF!</f>
        <v>#REF!</v>
      </c>
      <c r="E50" s="414" t="e">
        <f>'Sch-2'!#REF!</f>
        <v>#REF!</v>
      </c>
      <c r="F50" s="414" t="e">
        <f t="shared" si="0"/>
        <v>#REF!</v>
      </c>
      <c r="G50" s="483"/>
    </row>
    <row r="51" spans="1:7" s="481" customFormat="1" ht="17.25" customHeight="1">
      <c r="A51" s="566"/>
      <c r="B51" s="566"/>
      <c r="C51" s="566"/>
      <c r="D51" s="566"/>
      <c r="E51" s="414"/>
      <c r="F51" s="414"/>
      <c r="G51" s="483"/>
    </row>
    <row r="52" spans="1:7" s="481" customFormat="1" ht="17.25" customHeight="1">
      <c r="A52" s="566" t="e">
        <f>'Sch-2'!#REF!</f>
        <v>#REF!</v>
      </c>
      <c r="B52" s="566" t="e">
        <f>'Sch-2'!#REF!</f>
        <v>#REF!</v>
      </c>
      <c r="C52" s="566"/>
      <c r="D52" s="566"/>
      <c r="E52" s="414"/>
      <c r="F52" s="414"/>
      <c r="G52" s="483"/>
    </row>
    <row r="53" spans="1:7" s="481" customFormat="1" ht="17.25" customHeight="1">
      <c r="A53" s="566"/>
      <c r="B53" s="566" t="e">
        <f>'Sch-2'!#REF!</f>
        <v>#REF!</v>
      </c>
      <c r="C53" s="566" t="e">
        <f>'Sch-2'!#REF!</f>
        <v>#REF!</v>
      </c>
      <c r="D53" s="566" t="e">
        <f>'Sch-2'!#REF!</f>
        <v>#REF!</v>
      </c>
      <c r="E53" s="414" t="e">
        <f>'Sch-2'!#REF!</f>
        <v>#REF!</v>
      </c>
      <c r="F53" s="414" t="e">
        <f>IF(E53=0, "Included", IF(ISERROR(D53*E53), E53, D53*E53))</f>
        <v>#REF!</v>
      </c>
      <c r="G53" s="483"/>
    </row>
    <row r="54" spans="1:7" s="481" customFormat="1" ht="17.25" customHeight="1">
      <c r="A54" s="566" t="e">
        <f>'Sch-2'!#REF!</f>
        <v>#REF!</v>
      </c>
      <c r="B54" s="566" t="e">
        <f>'Sch-2'!#REF!</f>
        <v>#REF!</v>
      </c>
      <c r="C54" s="566" t="e">
        <f>'Sch-2'!#REF!</f>
        <v>#REF!</v>
      </c>
      <c r="D54" s="566" t="e">
        <f>'Sch-2'!#REF!</f>
        <v>#REF!</v>
      </c>
      <c r="E54" s="414" t="e">
        <f>'Sch-2'!#REF!</f>
        <v>#REF!</v>
      </c>
      <c r="F54" s="414" t="e">
        <f t="shared" si="0"/>
        <v>#REF!</v>
      </c>
      <c r="G54" s="483"/>
    </row>
    <row r="55" spans="1:7" s="481" customFormat="1" ht="17.25" customHeight="1">
      <c r="A55" s="566" t="e">
        <f>'Sch-2'!#REF!</f>
        <v>#REF!</v>
      </c>
      <c r="B55" s="566" t="e">
        <f>'Sch-2'!#REF!</f>
        <v>#REF!</v>
      </c>
      <c r="C55" s="566" t="e">
        <f>'Sch-2'!#REF!</f>
        <v>#REF!</v>
      </c>
      <c r="D55" s="566" t="e">
        <f>'Sch-2'!#REF!</f>
        <v>#REF!</v>
      </c>
      <c r="E55" s="414" t="e">
        <f>'Sch-2'!#REF!</f>
        <v>#REF!</v>
      </c>
      <c r="F55" s="414" t="e">
        <f>IF(E55=0, "Included", IF(ISERROR(D55*E55), E55, D55*E55))</f>
        <v>#REF!</v>
      </c>
      <c r="G55" s="483"/>
    </row>
    <row r="56" spans="1:7" ht="28.2" customHeight="1">
      <c r="A56" s="426"/>
      <c r="B56" s="427" t="s">
        <v>463</v>
      </c>
      <c r="C56" s="427"/>
      <c r="D56" s="427"/>
      <c r="E56" s="412"/>
      <c r="F56" s="412" t="e">
        <f>SUM(F16:F55)</f>
        <v>#REF!</v>
      </c>
    </row>
    <row r="57" spans="1:7" ht="28.2" customHeight="1">
      <c r="A57" s="402"/>
      <c r="B57" s="403"/>
      <c r="C57" s="403"/>
      <c r="D57" s="403"/>
      <c r="E57" s="404"/>
      <c r="F57" s="404"/>
    </row>
    <row r="58" spans="1:7" ht="28.2" customHeight="1"/>
    <row r="59" spans="1:7" ht="28.2" customHeight="1">
      <c r="A59" s="35" t="s">
        <v>406</v>
      </c>
      <c r="B59" s="113" t="str">
        <f>'Sch-1'!B158</f>
        <v>--</v>
      </c>
      <c r="C59" s="12"/>
      <c r="D59" s="36"/>
      <c r="E59" s="1"/>
      <c r="F59" s="1"/>
    </row>
    <row r="60" spans="1:7" ht="28.2" customHeight="1">
      <c r="A60" s="35" t="s">
        <v>407</v>
      </c>
      <c r="B60" s="113" t="str">
        <f>'Sch-1'!B159</f>
        <v/>
      </c>
      <c r="C60" s="1"/>
      <c r="D60" s="36" t="s">
        <v>408</v>
      </c>
      <c r="E60" s="188" t="str">
        <f>'Sch-1'!M159</f>
        <v/>
      </c>
      <c r="F60" s="1"/>
    </row>
    <row r="61" spans="1:7" ht="28.2" customHeight="1">
      <c r="A61" s="201"/>
      <c r="B61" s="200"/>
      <c r="C61" s="194"/>
      <c r="D61" s="36" t="s">
        <v>409</v>
      </c>
      <c r="E61" s="188" t="str">
        <f>'Sch-1'!M160</f>
        <v/>
      </c>
      <c r="F61" s="194"/>
    </row>
    <row r="62" spans="1:7" ht="28.2" customHeight="1">
      <c r="A62" s="35"/>
      <c r="B62" s="113"/>
      <c r="C62" s="12"/>
      <c r="D62" s="36"/>
      <c r="E62" s="1"/>
      <c r="F62" s="1"/>
    </row>
    <row r="100" spans="1:41" s="185" customFormat="1">
      <c r="A100" s="399"/>
      <c r="B100" s="399"/>
      <c r="C100" s="399"/>
      <c r="D100" s="399"/>
      <c r="E100" s="399"/>
      <c r="F100" s="399"/>
      <c r="H100" s="328"/>
      <c r="I100" s="328"/>
      <c r="J100" s="328"/>
      <c r="K100" s="328"/>
      <c r="L100" s="328"/>
      <c r="M100" s="328"/>
      <c r="N100" s="330"/>
      <c r="O100" s="328"/>
      <c r="P100" s="328"/>
      <c r="Q100" s="328"/>
      <c r="R100" s="80"/>
      <c r="S100" s="80"/>
      <c r="T100" s="80"/>
      <c r="U100" s="80"/>
      <c r="V100" s="80"/>
      <c r="W100" s="80"/>
      <c r="X100" s="80"/>
      <c r="Y100" s="80"/>
      <c r="Z100" s="80"/>
      <c r="AA100" s="80"/>
      <c r="AB100" s="80"/>
      <c r="AC100" s="80"/>
      <c r="AD100" s="80"/>
      <c r="AE100" s="80"/>
      <c r="AF100" s="80"/>
      <c r="AG100" s="80"/>
      <c r="AH100" s="80"/>
      <c r="AI100" s="80"/>
      <c r="AJ100" s="80"/>
      <c r="AK100" s="80"/>
      <c r="AL100" s="328"/>
      <c r="AM100" s="328"/>
      <c r="AN100" s="328"/>
      <c r="AO100" s="328"/>
    </row>
    <row r="101" spans="1:41" s="185" customFormat="1">
      <c r="A101" s="399"/>
      <c r="B101" s="399"/>
      <c r="C101" s="399"/>
      <c r="D101" s="399"/>
      <c r="E101" s="399"/>
      <c r="F101" s="399"/>
      <c r="H101" s="328"/>
      <c r="I101" s="328"/>
      <c r="J101" s="328"/>
      <c r="K101" s="328"/>
      <c r="L101" s="328"/>
      <c r="M101" s="328"/>
      <c r="N101" s="330"/>
      <c r="O101" s="328"/>
      <c r="P101" s="328"/>
      <c r="Q101" s="328"/>
      <c r="R101" s="80"/>
      <c r="S101" s="80"/>
      <c r="T101" s="80"/>
      <c r="U101" s="80"/>
      <c r="V101" s="80"/>
      <c r="W101" s="80"/>
      <c r="X101" s="80"/>
      <c r="Y101" s="80"/>
      <c r="Z101" s="80"/>
      <c r="AA101" s="80"/>
      <c r="AB101" s="80"/>
      <c r="AC101" s="80"/>
      <c r="AD101" s="80"/>
      <c r="AE101" s="80"/>
      <c r="AF101" s="80"/>
      <c r="AG101" s="80"/>
      <c r="AH101" s="80"/>
      <c r="AI101" s="80"/>
      <c r="AJ101" s="80"/>
      <c r="AK101" s="80"/>
      <c r="AL101" s="328"/>
      <c r="AM101" s="328"/>
      <c r="AN101" s="328"/>
      <c r="AO101" s="328"/>
    </row>
    <row r="102" spans="1:41" s="185" customFormat="1">
      <c r="A102" s="399"/>
      <c r="B102" s="399"/>
      <c r="C102" s="399"/>
      <c r="D102" s="399"/>
      <c r="E102" s="399"/>
      <c r="F102" s="399"/>
      <c r="H102" s="328"/>
      <c r="I102" s="328"/>
      <c r="J102" s="328"/>
      <c r="K102" s="328"/>
      <c r="L102" s="328"/>
      <c r="M102" s="328"/>
      <c r="N102" s="330"/>
      <c r="O102" s="328"/>
      <c r="P102" s="328"/>
      <c r="Q102" s="328"/>
      <c r="R102" s="80"/>
      <c r="S102" s="80"/>
      <c r="T102" s="80"/>
      <c r="U102" s="80"/>
      <c r="V102" s="80"/>
      <c r="W102" s="80"/>
      <c r="X102" s="80"/>
      <c r="Y102" s="80"/>
      <c r="Z102" s="80"/>
      <c r="AA102" s="80"/>
      <c r="AB102" s="80"/>
      <c r="AC102" s="80"/>
      <c r="AD102" s="80"/>
      <c r="AE102" s="80"/>
      <c r="AF102" s="80"/>
      <c r="AG102" s="80"/>
      <c r="AH102" s="80"/>
      <c r="AI102" s="80"/>
      <c r="AJ102" s="80"/>
      <c r="AK102" s="80"/>
      <c r="AL102" s="328"/>
      <c r="AM102" s="328"/>
      <c r="AN102" s="328"/>
      <c r="AO102" s="328"/>
    </row>
    <row r="103" spans="1:41" s="185" customFormat="1">
      <c r="A103" s="399"/>
      <c r="B103" s="399"/>
      <c r="C103" s="399"/>
      <c r="D103" s="399"/>
      <c r="E103" s="399"/>
      <c r="F103" s="399"/>
      <c r="H103" s="328"/>
      <c r="I103" s="328"/>
      <c r="J103" s="328"/>
      <c r="K103" s="328"/>
      <c r="L103" s="328"/>
      <c r="M103" s="328"/>
      <c r="N103" s="330"/>
      <c r="O103" s="328"/>
      <c r="P103" s="328"/>
      <c r="Q103" s="328"/>
      <c r="R103" s="80"/>
      <c r="S103" s="80"/>
      <c r="T103" s="80"/>
      <c r="U103" s="80"/>
      <c r="V103" s="80"/>
      <c r="W103" s="80"/>
      <c r="X103" s="80"/>
      <c r="Y103" s="80"/>
      <c r="Z103" s="80"/>
      <c r="AA103" s="80"/>
      <c r="AB103" s="80"/>
      <c r="AC103" s="80"/>
      <c r="AD103" s="80"/>
      <c r="AE103" s="80"/>
      <c r="AF103" s="80"/>
      <c r="AG103" s="80"/>
      <c r="AH103" s="80"/>
      <c r="AI103" s="80"/>
      <c r="AJ103" s="80"/>
      <c r="AK103" s="80"/>
      <c r="AL103" s="328"/>
      <c r="AM103" s="328"/>
      <c r="AN103" s="328"/>
      <c r="AO103" s="328"/>
    </row>
    <row r="104" spans="1:41" s="185" customFormat="1">
      <c r="A104" s="399"/>
      <c r="B104" s="399"/>
      <c r="C104" s="399"/>
      <c r="D104" s="399"/>
      <c r="E104" s="399"/>
      <c r="F104" s="399"/>
      <c r="H104" s="328"/>
      <c r="I104" s="328"/>
      <c r="J104" s="328"/>
      <c r="K104" s="328"/>
      <c r="L104" s="328"/>
      <c r="M104" s="328"/>
      <c r="N104" s="330"/>
      <c r="O104" s="328"/>
      <c r="P104" s="328"/>
      <c r="Q104" s="328"/>
      <c r="R104" s="80"/>
      <c r="S104" s="80"/>
      <c r="T104" s="80"/>
      <c r="U104" s="80"/>
      <c r="V104" s="80"/>
      <c r="W104" s="80"/>
      <c r="X104" s="80"/>
      <c r="Y104" s="80"/>
      <c r="Z104" s="80"/>
      <c r="AA104" s="80"/>
      <c r="AB104" s="80"/>
      <c r="AC104" s="80"/>
      <c r="AD104" s="80"/>
      <c r="AE104" s="80"/>
      <c r="AF104" s="80"/>
      <c r="AG104" s="80"/>
      <c r="AH104" s="80"/>
      <c r="AI104" s="80"/>
      <c r="AJ104" s="80"/>
      <c r="AK104" s="80"/>
      <c r="AL104" s="328"/>
      <c r="AM104" s="328"/>
      <c r="AN104" s="328"/>
      <c r="AO104" s="328"/>
    </row>
    <row r="105" spans="1:41" s="185" customFormat="1">
      <c r="A105" s="399"/>
      <c r="B105" s="399"/>
      <c r="C105" s="399"/>
      <c r="D105" s="399"/>
      <c r="E105" s="399"/>
      <c r="F105" s="399"/>
      <c r="H105" s="328"/>
      <c r="I105" s="328"/>
      <c r="J105" s="328"/>
      <c r="K105" s="328"/>
      <c r="L105" s="328"/>
      <c r="M105" s="328"/>
      <c r="N105" s="330"/>
      <c r="O105" s="328"/>
      <c r="P105" s="328"/>
      <c r="Q105" s="328"/>
      <c r="R105" s="80"/>
      <c r="S105" s="80"/>
      <c r="T105" s="80"/>
      <c r="U105" s="80"/>
      <c r="V105" s="80"/>
      <c r="W105" s="80"/>
      <c r="X105" s="80"/>
      <c r="Y105" s="80"/>
      <c r="Z105" s="80"/>
      <c r="AA105" s="80"/>
      <c r="AB105" s="80"/>
      <c r="AC105" s="80"/>
      <c r="AD105" s="80"/>
      <c r="AE105" s="80"/>
      <c r="AF105" s="80"/>
      <c r="AG105" s="80"/>
      <c r="AH105" s="80"/>
      <c r="AI105" s="80"/>
      <c r="AJ105" s="80"/>
      <c r="AK105" s="80"/>
      <c r="AL105" s="328"/>
      <c r="AM105" s="328"/>
      <c r="AN105" s="328"/>
      <c r="AO105" s="328"/>
    </row>
    <row r="106" spans="1:41" s="185" customFormat="1">
      <c r="A106" s="399"/>
      <c r="B106" s="399"/>
      <c r="C106" s="399"/>
      <c r="D106" s="399"/>
      <c r="E106" s="399"/>
      <c r="F106" s="399"/>
      <c r="H106" s="328"/>
      <c r="I106" s="328"/>
      <c r="J106" s="328"/>
      <c r="K106" s="328"/>
      <c r="L106" s="328"/>
      <c r="M106" s="328"/>
      <c r="N106" s="330"/>
      <c r="O106" s="328"/>
      <c r="P106" s="328"/>
      <c r="Q106" s="328"/>
      <c r="R106" s="80"/>
      <c r="S106" s="80"/>
      <c r="T106" s="80"/>
      <c r="U106" s="80"/>
      <c r="V106" s="80"/>
      <c r="W106" s="80"/>
      <c r="X106" s="80"/>
      <c r="Y106" s="80"/>
      <c r="Z106" s="80"/>
      <c r="AA106" s="80"/>
      <c r="AB106" s="80"/>
      <c r="AC106" s="80"/>
      <c r="AD106" s="80"/>
      <c r="AE106" s="80"/>
      <c r="AF106" s="80"/>
      <c r="AG106" s="80"/>
      <c r="AH106" s="80"/>
      <c r="AI106" s="80"/>
      <c r="AJ106" s="80"/>
      <c r="AK106" s="80"/>
      <c r="AL106" s="328"/>
      <c r="AM106" s="328"/>
      <c r="AN106" s="328"/>
      <c r="AO106" s="328"/>
    </row>
    <row r="107" spans="1:41" s="185" customFormat="1">
      <c r="A107" s="399"/>
      <c r="B107" s="399"/>
      <c r="C107" s="399"/>
      <c r="D107" s="399"/>
      <c r="E107" s="399"/>
      <c r="F107" s="399"/>
      <c r="H107" s="328"/>
      <c r="I107" s="328"/>
      <c r="J107" s="328"/>
      <c r="K107" s="328"/>
      <c r="L107" s="328"/>
      <c r="M107" s="328"/>
      <c r="N107" s="330"/>
      <c r="O107" s="328"/>
      <c r="P107" s="328"/>
      <c r="Q107" s="328"/>
      <c r="R107" s="80"/>
      <c r="S107" s="80"/>
      <c r="T107" s="80"/>
      <c r="U107" s="80"/>
      <c r="V107" s="80"/>
      <c r="W107" s="80"/>
      <c r="X107" s="80"/>
      <c r="Y107" s="80"/>
      <c r="Z107" s="80"/>
      <c r="AA107" s="80"/>
      <c r="AB107" s="80"/>
      <c r="AC107" s="80"/>
      <c r="AD107" s="80"/>
      <c r="AE107" s="80"/>
      <c r="AF107" s="80"/>
      <c r="AG107" s="80"/>
      <c r="AH107" s="80"/>
      <c r="AI107" s="80"/>
      <c r="AJ107" s="80"/>
      <c r="AK107" s="80"/>
      <c r="AL107" s="328"/>
      <c r="AM107" s="328"/>
      <c r="AN107" s="328"/>
      <c r="AO107" s="328"/>
    </row>
    <row r="108" spans="1:41" s="185" customFormat="1">
      <c r="A108" s="399"/>
      <c r="B108" s="399"/>
      <c r="C108" s="399"/>
      <c r="D108" s="399"/>
      <c r="E108" s="399"/>
      <c r="F108" s="399"/>
      <c r="H108" s="328"/>
      <c r="I108" s="328"/>
      <c r="J108" s="328"/>
      <c r="K108" s="328"/>
      <c r="L108" s="328"/>
      <c r="M108" s="328"/>
      <c r="N108" s="330"/>
      <c r="O108" s="328"/>
      <c r="P108" s="328"/>
      <c r="Q108" s="328"/>
      <c r="R108" s="80"/>
      <c r="S108" s="80"/>
      <c r="T108" s="80"/>
      <c r="U108" s="80"/>
      <c r="V108" s="80"/>
      <c r="W108" s="80"/>
      <c r="X108" s="80"/>
      <c r="Y108" s="80"/>
      <c r="Z108" s="80"/>
      <c r="AA108" s="80"/>
      <c r="AB108" s="80"/>
      <c r="AC108" s="80"/>
      <c r="AD108" s="80"/>
      <c r="AE108" s="80"/>
      <c r="AF108" s="80"/>
      <c r="AG108" s="80"/>
      <c r="AH108" s="80"/>
      <c r="AI108" s="80"/>
      <c r="AJ108" s="80"/>
      <c r="AK108" s="80"/>
      <c r="AL108" s="328"/>
      <c r="AM108" s="328"/>
      <c r="AN108" s="328"/>
      <c r="AO108" s="328"/>
    </row>
    <row r="109" spans="1:41" s="185" customFormat="1">
      <c r="A109" s="399"/>
      <c r="B109" s="399"/>
      <c r="C109" s="399"/>
      <c r="D109" s="399"/>
      <c r="E109" s="399"/>
      <c r="F109" s="399"/>
      <c r="H109" s="328"/>
      <c r="I109" s="328"/>
      <c r="J109" s="328"/>
      <c r="K109" s="328"/>
      <c r="L109" s="328"/>
      <c r="M109" s="328"/>
      <c r="N109" s="330"/>
      <c r="O109" s="328"/>
      <c r="P109" s="328"/>
      <c r="Q109" s="328"/>
      <c r="R109" s="80"/>
      <c r="S109" s="80"/>
      <c r="T109" s="80"/>
      <c r="U109" s="80"/>
      <c r="V109" s="80"/>
      <c r="W109" s="80"/>
      <c r="X109" s="80"/>
      <c r="Y109" s="80"/>
      <c r="Z109" s="80"/>
      <c r="AA109" s="80"/>
      <c r="AB109" s="80"/>
      <c r="AC109" s="80"/>
      <c r="AD109" s="80"/>
      <c r="AE109" s="80"/>
      <c r="AF109" s="80"/>
      <c r="AG109" s="80"/>
      <c r="AH109" s="80"/>
      <c r="AI109" s="80"/>
      <c r="AJ109" s="80"/>
      <c r="AK109" s="80"/>
      <c r="AL109" s="328"/>
      <c r="AM109" s="328"/>
      <c r="AN109" s="328"/>
      <c r="AO109" s="328"/>
    </row>
    <row r="110" spans="1:41" s="185" customFormat="1">
      <c r="A110" s="399"/>
      <c r="B110" s="399"/>
      <c r="C110" s="399"/>
      <c r="D110" s="399"/>
      <c r="E110" s="399"/>
      <c r="F110" s="399"/>
      <c r="H110" s="328"/>
      <c r="I110" s="328"/>
      <c r="J110" s="328"/>
      <c r="K110" s="328"/>
      <c r="L110" s="328"/>
      <c r="M110" s="328"/>
      <c r="N110" s="330"/>
      <c r="O110" s="328"/>
      <c r="P110" s="328"/>
      <c r="Q110" s="328"/>
      <c r="R110" s="80"/>
      <c r="S110" s="80"/>
      <c r="T110" s="80"/>
      <c r="U110" s="80"/>
      <c r="V110" s="80"/>
      <c r="W110" s="80"/>
      <c r="X110" s="80"/>
      <c r="Y110" s="80"/>
      <c r="Z110" s="80"/>
      <c r="AA110" s="80"/>
      <c r="AB110" s="80"/>
      <c r="AC110" s="80"/>
      <c r="AD110" s="80"/>
      <c r="AE110" s="80"/>
      <c r="AF110" s="80"/>
      <c r="AG110" s="80"/>
      <c r="AH110" s="80"/>
      <c r="AI110" s="80"/>
      <c r="AJ110" s="80"/>
      <c r="AK110" s="80"/>
      <c r="AL110" s="328"/>
      <c r="AM110" s="328"/>
      <c r="AN110" s="328"/>
      <c r="AO110" s="328"/>
    </row>
    <row r="111" spans="1:41" s="185" customFormat="1">
      <c r="A111" s="399"/>
      <c r="B111" s="399"/>
      <c r="C111" s="399"/>
      <c r="D111" s="399"/>
      <c r="E111" s="399"/>
      <c r="F111" s="399"/>
      <c r="H111" s="328"/>
      <c r="I111" s="328"/>
      <c r="J111" s="328"/>
      <c r="K111" s="328"/>
      <c r="L111" s="328"/>
      <c r="M111" s="328"/>
      <c r="N111" s="330"/>
      <c r="O111" s="328"/>
      <c r="P111" s="328"/>
      <c r="Q111" s="328"/>
      <c r="R111" s="80"/>
      <c r="S111" s="80"/>
      <c r="T111" s="80"/>
      <c r="U111" s="80"/>
      <c r="V111" s="80"/>
      <c r="W111" s="80"/>
      <c r="X111" s="80"/>
      <c r="Y111" s="80"/>
      <c r="Z111" s="80"/>
      <c r="AA111" s="80"/>
      <c r="AB111" s="80"/>
      <c r="AC111" s="80"/>
      <c r="AD111" s="80"/>
      <c r="AE111" s="80"/>
      <c r="AF111" s="80"/>
      <c r="AG111" s="80"/>
      <c r="AH111" s="80"/>
      <c r="AI111" s="80"/>
      <c r="AJ111" s="80"/>
      <c r="AK111" s="80"/>
      <c r="AL111" s="328"/>
      <c r="AM111" s="328"/>
      <c r="AN111" s="328"/>
      <c r="AO111" s="328"/>
    </row>
    <row r="112" spans="1:41" s="185" customFormat="1">
      <c r="A112" s="399"/>
      <c r="B112" s="399"/>
      <c r="C112" s="399"/>
      <c r="D112" s="399"/>
      <c r="E112" s="399"/>
      <c r="F112" s="399"/>
      <c r="H112" s="328"/>
      <c r="I112" s="328"/>
      <c r="J112" s="328"/>
      <c r="K112" s="328"/>
      <c r="L112" s="328"/>
      <c r="M112" s="328"/>
      <c r="N112" s="330"/>
      <c r="O112" s="328"/>
      <c r="P112" s="328"/>
      <c r="Q112" s="328"/>
      <c r="R112" s="80"/>
      <c r="S112" s="80"/>
      <c r="T112" s="80"/>
      <c r="U112" s="80"/>
      <c r="V112" s="80"/>
      <c r="W112" s="80"/>
      <c r="X112" s="80"/>
      <c r="Y112" s="80"/>
      <c r="Z112" s="80"/>
      <c r="AA112" s="80"/>
      <c r="AB112" s="80"/>
      <c r="AC112" s="80"/>
      <c r="AD112" s="80"/>
      <c r="AE112" s="80"/>
      <c r="AF112" s="80"/>
      <c r="AG112" s="80"/>
      <c r="AH112" s="80"/>
      <c r="AI112" s="80"/>
      <c r="AJ112" s="80"/>
      <c r="AK112" s="80"/>
      <c r="AL112" s="328"/>
      <c r="AM112" s="328"/>
      <c r="AN112" s="328"/>
      <c r="AO112" s="328"/>
    </row>
    <row r="113" spans="1:41" s="185" customFormat="1">
      <c r="A113" s="399"/>
      <c r="B113" s="399"/>
      <c r="C113" s="399"/>
      <c r="D113" s="399"/>
      <c r="E113" s="399"/>
      <c r="F113" s="399"/>
      <c r="H113" s="328"/>
      <c r="I113" s="328"/>
      <c r="J113" s="328"/>
      <c r="K113" s="328"/>
      <c r="L113" s="328"/>
      <c r="M113" s="328"/>
      <c r="N113" s="330"/>
      <c r="O113" s="328"/>
      <c r="P113" s="328"/>
      <c r="Q113" s="328"/>
      <c r="R113" s="80"/>
      <c r="S113" s="80"/>
      <c r="T113" s="80"/>
      <c r="U113" s="80"/>
      <c r="V113" s="80"/>
      <c r="W113" s="80"/>
      <c r="X113" s="80"/>
      <c r="Y113" s="80"/>
      <c r="Z113" s="80"/>
      <c r="AA113" s="80"/>
      <c r="AB113" s="80"/>
      <c r="AC113" s="80"/>
      <c r="AD113" s="80"/>
      <c r="AE113" s="80"/>
      <c r="AF113" s="80"/>
      <c r="AG113" s="80"/>
      <c r="AH113" s="80"/>
      <c r="AI113" s="80"/>
      <c r="AJ113" s="80"/>
      <c r="AK113" s="80"/>
      <c r="AL113" s="328"/>
      <c r="AM113" s="328"/>
      <c r="AN113" s="328"/>
      <c r="AO113" s="328"/>
    </row>
    <row r="114" spans="1:41" s="185" customFormat="1">
      <c r="A114" s="399"/>
      <c r="B114" s="399"/>
      <c r="C114" s="399"/>
      <c r="D114" s="399"/>
      <c r="E114" s="399"/>
      <c r="F114" s="399"/>
      <c r="H114" s="328"/>
      <c r="I114" s="328"/>
      <c r="J114" s="328"/>
      <c r="K114" s="328"/>
      <c r="L114" s="328"/>
      <c r="M114" s="328"/>
      <c r="N114" s="330"/>
      <c r="O114" s="328"/>
      <c r="P114" s="328"/>
      <c r="Q114" s="328"/>
      <c r="R114" s="80"/>
      <c r="S114" s="80"/>
      <c r="T114" s="80"/>
      <c r="U114" s="80"/>
      <c r="V114" s="80"/>
      <c r="W114" s="80"/>
      <c r="X114" s="80"/>
      <c r="Y114" s="80"/>
      <c r="Z114" s="80"/>
      <c r="AA114" s="80"/>
      <c r="AB114" s="80"/>
      <c r="AC114" s="80"/>
      <c r="AD114" s="80"/>
      <c r="AE114" s="80"/>
      <c r="AF114" s="80"/>
      <c r="AG114" s="80"/>
      <c r="AH114" s="80"/>
      <c r="AI114" s="80"/>
      <c r="AJ114" s="80"/>
      <c r="AK114" s="80"/>
      <c r="AL114" s="328"/>
      <c r="AM114" s="328"/>
      <c r="AN114" s="328"/>
      <c r="AO114" s="328"/>
    </row>
    <row r="115" spans="1:41" s="185" customFormat="1">
      <c r="A115" s="399"/>
      <c r="B115" s="399"/>
      <c r="C115" s="399"/>
      <c r="D115" s="399"/>
      <c r="E115" s="399"/>
      <c r="F115" s="399"/>
      <c r="H115" s="328"/>
      <c r="I115" s="328"/>
      <c r="J115" s="328"/>
      <c r="K115" s="328"/>
      <c r="L115" s="328"/>
      <c r="M115" s="328"/>
      <c r="N115" s="330"/>
      <c r="O115" s="328"/>
      <c r="P115" s="328"/>
      <c r="Q115" s="328"/>
      <c r="R115" s="80"/>
      <c r="S115" s="80"/>
      <c r="T115" s="80"/>
      <c r="U115" s="80"/>
      <c r="V115" s="80"/>
      <c r="W115" s="80"/>
      <c r="X115" s="80"/>
      <c r="Y115" s="80"/>
      <c r="Z115" s="80"/>
      <c r="AA115" s="80"/>
      <c r="AB115" s="80"/>
      <c r="AC115" s="80"/>
      <c r="AD115" s="80"/>
      <c r="AE115" s="80"/>
      <c r="AF115" s="80"/>
      <c r="AG115" s="80"/>
      <c r="AH115" s="80"/>
      <c r="AI115" s="80"/>
      <c r="AJ115" s="80"/>
      <c r="AK115" s="80"/>
      <c r="AL115" s="328"/>
      <c r="AM115" s="328"/>
      <c r="AN115" s="328"/>
      <c r="AO115" s="328"/>
    </row>
    <row r="116" spans="1:41" s="185" customFormat="1">
      <c r="A116" s="399"/>
      <c r="B116" s="399"/>
      <c r="C116" s="399"/>
      <c r="D116" s="399"/>
      <c r="E116" s="399"/>
      <c r="F116" s="399"/>
      <c r="H116" s="328"/>
      <c r="I116" s="328"/>
      <c r="J116" s="328"/>
      <c r="K116" s="328"/>
      <c r="L116" s="328"/>
      <c r="M116" s="328"/>
      <c r="N116" s="330"/>
      <c r="O116" s="328"/>
      <c r="P116" s="328"/>
      <c r="Q116" s="328"/>
      <c r="R116" s="80"/>
      <c r="S116" s="80"/>
      <c r="T116" s="80"/>
      <c r="U116" s="80"/>
      <c r="V116" s="80"/>
      <c r="W116" s="80"/>
      <c r="X116" s="80"/>
      <c r="Y116" s="80"/>
      <c r="Z116" s="80"/>
      <c r="AA116" s="80"/>
      <c r="AB116" s="80"/>
      <c r="AC116" s="80"/>
      <c r="AD116" s="80"/>
      <c r="AE116" s="80"/>
      <c r="AF116" s="80"/>
      <c r="AG116" s="80"/>
      <c r="AH116" s="80"/>
      <c r="AI116" s="80"/>
      <c r="AJ116" s="80"/>
      <c r="AK116" s="80"/>
      <c r="AL116" s="328"/>
      <c r="AM116" s="328"/>
      <c r="AN116" s="328"/>
      <c r="AO116" s="328"/>
    </row>
    <row r="117" spans="1:41" s="185" customFormat="1">
      <c r="A117" s="399"/>
      <c r="B117" s="399"/>
      <c r="C117" s="399"/>
      <c r="D117" s="399"/>
      <c r="E117" s="399"/>
      <c r="F117" s="399"/>
      <c r="H117" s="328"/>
      <c r="I117" s="328"/>
      <c r="J117" s="328"/>
      <c r="K117" s="328"/>
      <c r="L117" s="328"/>
      <c r="M117" s="328"/>
      <c r="N117" s="330"/>
      <c r="O117" s="328"/>
      <c r="P117" s="328"/>
      <c r="Q117" s="328"/>
      <c r="R117" s="80"/>
      <c r="S117" s="80"/>
      <c r="T117" s="80"/>
      <c r="U117" s="80"/>
      <c r="V117" s="80"/>
      <c r="W117" s="80"/>
      <c r="X117" s="80"/>
      <c r="Y117" s="80"/>
      <c r="Z117" s="80"/>
      <c r="AA117" s="80"/>
      <c r="AB117" s="80"/>
      <c r="AC117" s="80"/>
      <c r="AD117" s="80"/>
      <c r="AE117" s="80"/>
      <c r="AF117" s="80"/>
      <c r="AG117" s="80"/>
      <c r="AH117" s="80"/>
      <c r="AI117" s="80"/>
      <c r="AJ117" s="80"/>
      <c r="AK117" s="80"/>
      <c r="AL117" s="328"/>
      <c r="AM117" s="328"/>
      <c r="AN117" s="328"/>
      <c r="AO117" s="328"/>
    </row>
    <row r="118" spans="1:41" s="185" customFormat="1">
      <c r="A118" s="399"/>
      <c r="B118" s="399"/>
      <c r="C118" s="399"/>
      <c r="D118" s="399"/>
      <c r="E118" s="399"/>
      <c r="F118" s="399"/>
      <c r="H118" s="328"/>
      <c r="I118" s="328"/>
      <c r="J118" s="328"/>
      <c r="K118" s="328"/>
      <c r="L118" s="328"/>
      <c r="M118" s="328"/>
      <c r="N118" s="330"/>
      <c r="O118" s="328"/>
      <c r="P118" s="328"/>
      <c r="Q118" s="328"/>
      <c r="R118" s="80"/>
      <c r="S118" s="80"/>
      <c r="T118" s="80"/>
      <c r="U118" s="80"/>
      <c r="V118" s="80"/>
      <c r="W118" s="80"/>
      <c r="X118" s="80"/>
      <c r="Y118" s="80"/>
      <c r="Z118" s="80"/>
      <c r="AA118" s="80"/>
      <c r="AB118" s="80"/>
      <c r="AC118" s="80"/>
      <c r="AD118" s="80"/>
      <c r="AE118" s="80"/>
      <c r="AF118" s="80"/>
      <c r="AG118" s="80"/>
      <c r="AH118" s="80"/>
      <c r="AI118" s="80"/>
      <c r="AJ118" s="80"/>
      <c r="AK118" s="80"/>
      <c r="AL118" s="328"/>
      <c r="AM118" s="328"/>
      <c r="AN118" s="328"/>
      <c r="AO118" s="328"/>
    </row>
    <row r="119" spans="1:41" s="185" customFormat="1">
      <c r="A119" s="399"/>
      <c r="B119" s="399"/>
      <c r="C119" s="399"/>
      <c r="D119" s="399"/>
      <c r="E119" s="399"/>
      <c r="F119" s="399"/>
      <c r="H119" s="328"/>
      <c r="I119" s="328"/>
      <c r="J119" s="328"/>
      <c r="K119" s="328"/>
      <c r="L119" s="328"/>
      <c r="M119" s="328"/>
      <c r="N119" s="330"/>
      <c r="O119" s="328"/>
      <c r="P119" s="328"/>
      <c r="Q119" s="328"/>
      <c r="R119" s="80"/>
      <c r="S119" s="80"/>
      <c r="T119" s="80"/>
      <c r="U119" s="80"/>
      <c r="V119" s="80"/>
      <c r="W119" s="80"/>
      <c r="X119" s="80"/>
      <c r="Y119" s="80"/>
      <c r="Z119" s="80"/>
      <c r="AA119" s="80"/>
      <c r="AB119" s="80"/>
      <c r="AC119" s="80"/>
      <c r="AD119" s="80"/>
      <c r="AE119" s="80"/>
      <c r="AF119" s="80"/>
      <c r="AG119" s="80"/>
      <c r="AH119" s="80"/>
      <c r="AI119" s="80"/>
      <c r="AJ119" s="80"/>
      <c r="AK119" s="80"/>
      <c r="AL119" s="328"/>
      <c r="AM119" s="328"/>
      <c r="AN119" s="328"/>
      <c r="AO119" s="328"/>
    </row>
    <row r="120" spans="1:41" s="185" customFormat="1">
      <c r="A120" s="399"/>
      <c r="B120" s="399"/>
      <c r="C120" s="399"/>
      <c r="D120" s="399"/>
      <c r="E120" s="399"/>
      <c r="F120" s="399"/>
      <c r="H120" s="328"/>
      <c r="I120" s="328"/>
      <c r="J120" s="328"/>
      <c r="K120" s="328"/>
      <c r="L120" s="328"/>
      <c r="M120" s="328"/>
      <c r="N120" s="330"/>
      <c r="O120" s="328"/>
      <c r="P120" s="328"/>
      <c r="Q120" s="328"/>
      <c r="R120" s="80"/>
      <c r="S120" s="80"/>
      <c r="T120" s="80"/>
      <c r="U120" s="80"/>
      <c r="V120" s="80"/>
      <c r="W120" s="80"/>
      <c r="X120" s="80"/>
      <c r="Y120" s="80"/>
      <c r="Z120" s="80"/>
      <c r="AA120" s="80"/>
      <c r="AB120" s="80"/>
      <c r="AC120" s="80"/>
      <c r="AD120" s="80"/>
      <c r="AE120" s="80"/>
      <c r="AF120" s="80"/>
      <c r="AG120" s="80"/>
      <c r="AH120" s="80"/>
      <c r="AI120" s="80"/>
      <c r="AJ120" s="80"/>
      <c r="AK120" s="80"/>
      <c r="AL120" s="328"/>
      <c r="AM120" s="328"/>
      <c r="AN120" s="328"/>
      <c r="AO120" s="328"/>
    </row>
    <row r="121" spans="1:41" s="185" customFormat="1">
      <c r="A121" s="399"/>
      <c r="B121" s="399"/>
      <c r="C121" s="399"/>
      <c r="D121" s="399"/>
      <c r="E121" s="399"/>
      <c r="F121" s="399"/>
      <c r="H121" s="328"/>
      <c r="I121" s="328"/>
      <c r="J121" s="328"/>
      <c r="K121" s="328"/>
      <c r="L121" s="328"/>
      <c r="M121" s="328"/>
      <c r="N121" s="330"/>
      <c r="O121" s="328"/>
      <c r="P121" s="328"/>
      <c r="Q121" s="328"/>
      <c r="R121" s="80"/>
      <c r="S121" s="80"/>
      <c r="T121" s="80"/>
      <c r="U121" s="80"/>
      <c r="V121" s="80"/>
      <c r="W121" s="80"/>
      <c r="X121" s="80"/>
      <c r="Y121" s="80"/>
      <c r="Z121" s="80"/>
      <c r="AA121" s="80"/>
      <c r="AB121" s="80"/>
      <c r="AC121" s="80"/>
      <c r="AD121" s="80"/>
      <c r="AE121" s="80"/>
      <c r="AF121" s="80"/>
      <c r="AG121" s="80"/>
      <c r="AH121" s="80"/>
      <c r="AI121" s="80"/>
      <c r="AJ121" s="80"/>
      <c r="AK121" s="80"/>
      <c r="AL121" s="328"/>
      <c r="AM121" s="328"/>
      <c r="AN121" s="328"/>
      <c r="AO121" s="328"/>
    </row>
    <row r="122" spans="1:41" s="185" customFormat="1">
      <c r="A122" s="399"/>
      <c r="B122" s="399"/>
      <c r="C122" s="399"/>
      <c r="D122" s="399"/>
      <c r="E122" s="399"/>
      <c r="F122" s="399"/>
      <c r="H122" s="328"/>
      <c r="I122" s="328"/>
      <c r="J122" s="328"/>
      <c r="K122" s="328"/>
      <c r="L122" s="328"/>
      <c r="M122" s="328"/>
      <c r="N122" s="330"/>
      <c r="O122" s="328"/>
      <c r="P122" s="328"/>
      <c r="Q122" s="328"/>
      <c r="R122" s="80"/>
      <c r="S122" s="80"/>
      <c r="T122" s="80"/>
      <c r="U122" s="80"/>
      <c r="V122" s="80"/>
      <c r="W122" s="80"/>
      <c r="X122" s="80"/>
      <c r="Y122" s="80"/>
      <c r="Z122" s="80"/>
      <c r="AA122" s="80"/>
      <c r="AB122" s="80"/>
      <c r="AC122" s="80"/>
      <c r="AD122" s="80"/>
      <c r="AE122" s="80"/>
      <c r="AF122" s="80"/>
      <c r="AG122" s="80"/>
      <c r="AH122" s="80"/>
      <c r="AI122" s="80"/>
      <c r="AJ122" s="80"/>
      <c r="AK122" s="80"/>
      <c r="AL122" s="328"/>
      <c r="AM122" s="328"/>
      <c r="AN122" s="328"/>
      <c r="AO122" s="328"/>
    </row>
    <row r="123" spans="1:41" s="185" customFormat="1">
      <c r="A123" s="399"/>
      <c r="B123" s="374"/>
      <c r="C123" s="373"/>
      <c r="D123" s="373"/>
      <c r="E123" s="373"/>
      <c r="F123" s="373"/>
      <c r="H123" s="328"/>
      <c r="I123" s="328"/>
      <c r="J123" s="328"/>
      <c r="K123" s="328"/>
      <c r="L123" s="328"/>
      <c r="M123" s="328"/>
      <c r="N123" s="330"/>
      <c r="O123" s="328"/>
      <c r="P123" s="328"/>
      <c r="Q123" s="328"/>
      <c r="R123" s="80"/>
      <c r="S123" s="80"/>
      <c r="T123" s="80"/>
      <c r="U123" s="80"/>
      <c r="V123" s="80"/>
      <c r="W123" s="80"/>
      <c r="X123" s="80"/>
      <c r="Y123" s="80"/>
      <c r="Z123" s="80"/>
      <c r="AA123" s="80"/>
      <c r="AB123" s="80"/>
      <c r="AC123" s="80"/>
      <c r="AD123" s="80"/>
      <c r="AE123" s="80"/>
      <c r="AF123" s="80"/>
      <c r="AG123" s="80"/>
      <c r="AH123" s="80"/>
      <c r="AI123" s="80"/>
      <c r="AJ123" s="80"/>
      <c r="AK123" s="80"/>
      <c r="AL123" s="328"/>
      <c r="AM123" s="328"/>
      <c r="AN123" s="328"/>
      <c r="AO123" s="328"/>
    </row>
    <row r="124" spans="1:41" s="185" customFormat="1">
      <c r="A124" s="399"/>
      <c r="B124" s="374"/>
      <c r="C124" s="373"/>
      <c r="D124" s="373"/>
      <c r="E124" s="373"/>
      <c r="F124" s="373"/>
      <c r="H124" s="328"/>
      <c r="I124" s="328"/>
      <c r="J124" s="328"/>
      <c r="K124" s="328"/>
      <c r="L124" s="328"/>
      <c r="M124" s="328"/>
      <c r="N124" s="330"/>
      <c r="O124" s="328"/>
      <c r="P124" s="328"/>
      <c r="Q124" s="328"/>
      <c r="R124" s="80"/>
      <c r="S124" s="80"/>
      <c r="T124" s="80"/>
      <c r="U124" s="80"/>
      <c r="V124" s="80"/>
      <c r="W124" s="80"/>
      <c r="X124" s="80"/>
      <c r="Y124" s="80"/>
      <c r="Z124" s="80"/>
      <c r="AA124" s="80"/>
      <c r="AB124" s="80"/>
      <c r="AC124" s="80"/>
      <c r="AD124" s="80"/>
      <c r="AE124" s="80"/>
      <c r="AF124" s="80"/>
      <c r="AG124" s="80"/>
      <c r="AH124" s="80"/>
      <c r="AI124" s="80"/>
      <c r="AJ124" s="80"/>
      <c r="AK124" s="80"/>
      <c r="AL124" s="328"/>
      <c r="AM124" s="328"/>
      <c r="AN124" s="328"/>
      <c r="AO124" s="328"/>
    </row>
    <row r="125" spans="1:41" s="185" customFormat="1">
      <c r="A125" s="399"/>
      <c r="B125" s="374"/>
      <c r="C125" s="373"/>
      <c r="D125" s="373"/>
      <c r="E125" s="373"/>
      <c r="F125" s="373"/>
      <c r="H125" s="328"/>
      <c r="I125" s="328"/>
      <c r="J125" s="328"/>
      <c r="K125" s="328"/>
      <c r="L125" s="328"/>
      <c r="M125" s="328"/>
      <c r="N125" s="330"/>
      <c r="O125" s="328"/>
      <c r="P125" s="328"/>
      <c r="Q125" s="328"/>
      <c r="R125" s="80"/>
      <c r="S125" s="80"/>
      <c r="T125" s="80"/>
      <c r="U125" s="80"/>
      <c r="V125" s="80"/>
      <c r="W125" s="80"/>
      <c r="X125" s="80"/>
      <c r="Y125" s="80"/>
      <c r="Z125" s="80"/>
      <c r="AA125" s="80"/>
      <c r="AB125" s="80"/>
      <c r="AC125" s="80"/>
      <c r="AD125" s="80"/>
      <c r="AE125" s="80"/>
      <c r="AF125" s="80"/>
      <c r="AG125" s="80"/>
      <c r="AH125" s="80"/>
      <c r="AI125" s="80"/>
      <c r="AJ125" s="80"/>
      <c r="AK125" s="80"/>
      <c r="AL125" s="328"/>
      <c r="AM125" s="328"/>
      <c r="AN125" s="328"/>
      <c r="AO125" s="328"/>
    </row>
    <row r="126" spans="1:41" s="185" customFormat="1">
      <c r="A126" s="399"/>
      <c r="B126" s="374"/>
      <c r="C126" s="373"/>
      <c r="D126" s="373"/>
      <c r="E126" s="373"/>
      <c r="F126" s="373"/>
      <c r="H126" s="328"/>
      <c r="I126" s="328"/>
      <c r="J126" s="328"/>
      <c r="K126" s="328"/>
      <c r="L126" s="328"/>
      <c r="M126" s="328"/>
      <c r="N126" s="330"/>
      <c r="O126" s="328"/>
      <c r="P126" s="328"/>
      <c r="Q126" s="328"/>
      <c r="R126" s="80"/>
      <c r="S126" s="80"/>
      <c r="T126" s="80"/>
      <c r="U126" s="80"/>
      <c r="V126" s="80"/>
      <c r="W126" s="80"/>
      <c r="X126" s="80"/>
      <c r="Y126" s="80"/>
      <c r="Z126" s="80"/>
      <c r="AA126" s="80"/>
      <c r="AB126" s="80"/>
      <c r="AC126" s="80"/>
      <c r="AD126" s="80"/>
      <c r="AE126" s="80"/>
      <c r="AF126" s="80"/>
      <c r="AG126" s="80"/>
      <c r="AH126" s="80"/>
      <c r="AI126" s="80"/>
      <c r="AJ126" s="80"/>
      <c r="AK126" s="80"/>
      <c r="AL126" s="328"/>
      <c r="AM126" s="328"/>
      <c r="AN126" s="328"/>
      <c r="AO126" s="328"/>
    </row>
    <row r="127" spans="1:41" s="185" customFormat="1">
      <c r="A127" s="399"/>
      <c r="B127" s="374"/>
      <c r="C127" s="373"/>
      <c r="D127" s="373"/>
      <c r="E127" s="373"/>
      <c r="F127" s="373"/>
      <c r="H127" s="328"/>
      <c r="I127" s="328"/>
      <c r="J127" s="328"/>
      <c r="K127" s="328"/>
      <c r="L127" s="328"/>
      <c r="M127" s="328"/>
      <c r="N127" s="330"/>
      <c r="O127" s="328"/>
      <c r="P127" s="328"/>
      <c r="Q127" s="328"/>
      <c r="R127" s="80"/>
      <c r="S127" s="80"/>
      <c r="T127" s="80"/>
      <c r="U127" s="80"/>
      <c r="V127" s="80"/>
      <c r="W127" s="80"/>
      <c r="X127" s="80"/>
      <c r="Y127" s="80"/>
      <c r="Z127" s="80"/>
      <c r="AA127" s="80"/>
      <c r="AB127" s="80"/>
      <c r="AC127" s="80"/>
      <c r="AD127" s="80"/>
      <c r="AE127" s="80"/>
      <c r="AF127" s="80"/>
      <c r="AG127" s="80"/>
      <c r="AH127" s="80"/>
      <c r="AI127" s="80"/>
      <c r="AJ127" s="80"/>
      <c r="AK127" s="80"/>
      <c r="AL127" s="328"/>
      <c r="AM127" s="328"/>
      <c r="AN127" s="328"/>
      <c r="AO127" s="328"/>
    </row>
    <row r="128" spans="1:41" s="185" customFormat="1">
      <c r="A128" s="399"/>
      <c r="B128" s="374"/>
      <c r="C128" s="373"/>
      <c r="D128" s="373"/>
      <c r="E128" s="373"/>
      <c r="F128" s="373"/>
      <c r="H128" s="328"/>
      <c r="I128" s="328"/>
      <c r="J128" s="328"/>
      <c r="K128" s="328"/>
      <c r="L128" s="328"/>
      <c r="M128" s="328"/>
      <c r="N128" s="330"/>
      <c r="O128" s="328"/>
      <c r="P128" s="328"/>
      <c r="Q128" s="328"/>
      <c r="R128" s="80"/>
      <c r="S128" s="80"/>
      <c r="T128" s="80"/>
      <c r="U128" s="80"/>
      <c r="V128" s="80"/>
      <c r="W128" s="80"/>
      <c r="X128" s="80"/>
      <c r="Y128" s="80"/>
      <c r="Z128" s="80"/>
      <c r="AA128" s="80"/>
      <c r="AB128" s="80"/>
      <c r="AC128" s="80"/>
      <c r="AD128" s="80"/>
      <c r="AE128" s="80"/>
      <c r="AF128" s="80"/>
      <c r="AG128" s="80"/>
      <c r="AH128" s="80"/>
      <c r="AI128" s="80"/>
      <c r="AJ128" s="80"/>
      <c r="AK128" s="80"/>
      <c r="AL128" s="328"/>
      <c r="AM128" s="328"/>
      <c r="AN128" s="328"/>
      <c r="AO128" s="328"/>
    </row>
    <row r="129" spans="1:41" s="185" customFormat="1">
      <c r="A129" s="399"/>
      <c r="B129" s="374"/>
      <c r="C129" s="373"/>
      <c r="D129" s="373"/>
      <c r="E129" s="373"/>
      <c r="F129" s="373"/>
      <c r="H129" s="328"/>
      <c r="I129" s="328"/>
      <c r="J129" s="328"/>
      <c r="K129" s="328"/>
      <c r="L129" s="328"/>
      <c r="M129" s="328"/>
      <c r="N129" s="330"/>
      <c r="O129" s="328"/>
      <c r="P129" s="328"/>
      <c r="Q129" s="328"/>
      <c r="R129" s="80"/>
      <c r="S129" s="80"/>
      <c r="T129" s="80"/>
      <c r="U129" s="80"/>
      <c r="V129" s="80"/>
      <c r="W129" s="80"/>
      <c r="X129" s="80"/>
      <c r="Y129" s="80"/>
      <c r="Z129" s="80"/>
      <c r="AA129" s="80"/>
      <c r="AB129" s="80"/>
      <c r="AC129" s="80"/>
      <c r="AD129" s="80"/>
      <c r="AE129" s="80"/>
      <c r="AF129" s="80"/>
      <c r="AG129" s="80"/>
      <c r="AH129" s="80"/>
      <c r="AI129" s="80"/>
      <c r="AJ129" s="80"/>
      <c r="AK129" s="80"/>
      <c r="AL129" s="328"/>
      <c r="AM129" s="328"/>
      <c r="AN129" s="328"/>
      <c r="AO129" s="328"/>
    </row>
    <row r="130" spans="1:41" s="185" customFormat="1">
      <c r="A130" s="399"/>
      <c r="B130" s="374"/>
      <c r="C130" s="373"/>
      <c r="D130" s="373"/>
      <c r="E130" s="373"/>
      <c r="F130" s="373"/>
      <c r="H130" s="328"/>
      <c r="I130" s="328"/>
      <c r="J130" s="328"/>
      <c r="K130" s="328"/>
      <c r="L130" s="328"/>
      <c r="M130" s="328"/>
      <c r="N130" s="330"/>
      <c r="O130" s="328"/>
      <c r="P130" s="328"/>
      <c r="Q130" s="328"/>
      <c r="R130" s="80"/>
      <c r="S130" s="80"/>
      <c r="T130" s="80"/>
      <c r="U130" s="80"/>
      <c r="V130" s="80"/>
      <c r="W130" s="80"/>
      <c r="X130" s="80"/>
      <c r="Y130" s="80"/>
      <c r="Z130" s="80"/>
      <c r="AA130" s="80"/>
      <c r="AB130" s="80"/>
      <c r="AC130" s="80"/>
      <c r="AD130" s="80"/>
      <c r="AE130" s="80"/>
      <c r="AF130" s="80"/>
      <c r="AG130" s="80"/>
      <c r="AH130" s="80"/>
      <c r="AI130" s="80"/>
      <c r="AJ130" s="80"/>
      <c r="AK130" s="80"/>
      <c r="AL130" s="328"/>
      <c r="AM130" s="328"/>
      <c r="AN130" s="328"/>
      <c r="AO130" s="328"/>
    </row>
    <row r="131" spans="1:41" s="185" customFormat="1">
      <c r="A131" s="399"/>
      <c r="B131" s="374"/>
      <c r="C131" s="373"/>
      <c r="D131" s="373"/>
      <c r="E131" s="373"/>
      <c r="F131" s="373"/>
      <c r="H131" s="328"/>
      <c r="I131" s="328"/>
      <c r="J131" s="328"/>
      <c r="K131" s="328"/>
      <c r="L131" s="328"/>
      <c r="M131" s="328"/>
      <c r="N131" s="330"/>
      <c r="O131" s="328"/>
      <c r="P131" s="328"/>
      <c r="Q131" s="328"/>
      <c r="R131" s="80"/>
      <c r="S131" s="80"/>
      <c r="T131" s="80"/>
      <c r="U131" s="80"/>
      <c r="V131" s="80"/>
      <c r="W131" s="80"/>
      <c r="X131" s="80"/>
      <c r="Y131" s="80"/>
      <c r="Z131" s="80"/>
      <c r="AA131" s="80"/>
      <c r="AB131" s="80"/>
      <c r="AC131" s="80"/>
      <c r="AD131" s="80"/>
      <c r="AE131" s="80"/>
      <c r="AF131" s="80"/>
      <c r="AG131" s="80"/>
      <c r="AH131" s="80"/>
      <c r="AI131" s="80"/>
      <c r="AJ131" s="80"/>
      <c r="AK131" s="80"/>
      <c r="AL131" s="328"/>
      <c r="AM131" s="328"/>
      <c r="AN131" s="328"/>
      <c r="AO131" s="328"/>
    </row>
    <row r="132" spans="1:41" s="185" customFormat="1">
      <c r="A132" s="399"/>
      <c r="B132" s="374"/>
      <c r="C132" s="373"/>
      <c r="D132" s="373"/>
      <c r="E132" s="373"/>
      <c r="F132" s="373"/>
      <c r="H132" s="328"/>
      <c r="I132" s="328"/>
      <c r="J132" s="328"/>
      <c r="K132" s="328"/>
      <c r="L132" s="328"/>
      <c r="M132" s="328"/>
      <c r="N132" s="330"/>
      <c r="O132" s="328"/>
      <c r="P132" s="328"/>
      <c r="Q132" s="328"/>
      <c r="R132" s="80"/>
      <c r="S132" s="80"/>
      <c r="T132" s="80"/>
      <c r="U132" s="80"/>
      <c r="V132" s="80"/>
      <c r="W132" s="80"/>
      <c r="X132" s="80"/>
      <c r="Y132" s="80"/>
      <c r="Z132" s="80"/>
      <c r="AA132" s="80"/>
      <c r="AB132" s="80"/>
      <c r="AC132" s="80"/>
      <c r="AD132" s="80"/>
      <c r="AE132" s="80"/>
      <c r="AF132" s="80"/>
      <c r="AG132" s="80"/>
      <c r="AH132" s="80"/>
      <c r="AI132" s="80"/>
      <c r="AJ132" s="80"/>
      <c r="AK132" s="80"/>
      <c r="AL132" s="328"/>
      <c r="AM132" s="328"/>
      <c r="AN132" s="328"/>
      <c r="AO132" s="328"/>
    </row>
    <row r="133" spans="1:41" s="185" customFormat="1">
      <c r="A133" s="399"/>
      <c r="B133" s="374"/>
      <c r="C133" s="373"/>
      <c r="D133" s="373"/>
      <c r="E133" s="373"/>
      <c r="F133" s="373"/>
      <c r="H133" s="328"/>
      <c r="I133" s="328"/>
      <c r="J133" s="328"/>
      <c r="K133" s="328"/>
      <c r="L133" s="328"/>
      <c r="M133" s="328"/>
      <c r="N133" s="330"/>
      <c r="O133" s="328"/>
      <c r="P133" s="328"/>
      <c r="Q133" s="328"/>
      <c r="R133" s="80"/>
      <c r="S133" s="80"/>
      <c r="T133" s="80"/>
      <c r="U133" s="80"/>
      <c r="V133" s="80"/>
      <c r="W133" s="80"/>
      <c r="X133" s="80"/>
      <c r="Y133" s="80"/>
      <c r="Z133" s="80"/>
      <c r="AA133" s="80"/>
      <c r="AB133" s="80"/>
      <c r="AC133" s="80"/>
      <c r="AD133" s="80"/>
      <c r="AE133" s="80"/>
      <c r="AF133" s="80"/>
      <c r="AG133" s="80"/>
      <c r="AH133" s="80"/>
      <c r="AI133" s="80"/>
      <c r="AJ133" s="80"/>
      <c r="AK133" s="80"/>
      <c r="AL133" s="328"/>
      <c r="AM133" s="328"/>
      <c r="AN133" s="328"/>
      <c r="AO133" s="328"/>
    </row>
    <row r="134" spans="1:41" s="185" customFormat="1">
      <c r="A134" s="399"/>
      <c r="B134" s="374"/>
      <c r="C134" s="373"/>
      <c r="D134" s="373"/>
      <c r="E134" s="373"/>
      <c r="F134" s="373"/>
      <c r="H134" s="328"/>
      <c r="I134" s="328"/>
      <c r="J134" s="328"/>
      <c r="K134" s="328"/>
      <c r="L134" s="328"/>
      <c r="M134" s="328"/>
      <c r="N134" s="330"/>
      <c r="O134" s="328"/>
      <c r="P134" s="328"/>
      <c r="Q134" s="328"/>
      <c r="R134" s="80"/>
      <c r="S134" s="80"/>
      <c r="T134" s="80"/>
      <c r="U134" s="80"/>
      <c r="V134" s="80"/>
      <c r="W134" s="80"/>
      <c r="X134" s="80"/>
      <c r="Y134" s="80"/>
      <c r="Z134" s="80"/>
      <c r="AA134" s="80"/>
      <c r="AB134" s="80"/>
      <c r="AC134" s="80"/>
      <c r="AD134" s="80"/>
      <c r="AE134" s="80"/>
      <c r="AF134" s="80"/>
      <c r="AG134" s="80"/>
      <c r="AH134" s="80"/>
      <c r="AI134" s="80"/>
      <c r="AJ134" s="80"/>
      <c r="AK134" s="80"/>
      <c r="AL134" s="328"/>
      <c r="AM134" s="328"/>
      <c r="AN134" s="328"/>
      <c r="AO134" s="328"/>
    </row>
    <row r="135" spans="1:41" s="185" customFormat="1">
      <c r="A135" s="399"/>
      <c r="B135" s="374"/>
      <c r="C135" s="373"/>
      <c r="D135" s="373"/>
      <c r="E135" s="373"/>
      <c r="F135" s="373"/>
      <c r="H135" s="328"/>
      <c r="I135" s="328"/>
      <c r="J135" s="328"/>
      <c r="K135" s="328"/>
      <c r="L135" s="328"/>
      <c r="M135" s="328"/>
      <c r="N135" s="330"/>
      <c r="O135" s="328"/>
      <c r="P135" s="328"/>
      <c r="Q135" s="328"/>
      <c r="R135" s="80"/>
      <c r="S135" s="80"/>
      <c r="T135" s="80"/>
      <c r="U135" s="80"/>
      <c r="V135" s="80"/>
      <c r="W135" s="80"/>
      <c r="X135" s="80"/>
      <c r="Y135" s="80"/>
      <c r="Z135" s="80"/>
      <c r="AA135" s="80"/>
      <c r="AB135" s="80"/>
      <c r="AC135" s="80"/>
      <c r="AD135" s="80"/>
      <c r="AE135" s="80"/>
      <c r="AF135" s="80"/>
      <c r="AG135" s="80"/>
      <c r="AH135" s="80"/>
      <c r="AI135" s="80"/>
      <c r="AJ135" s="80"/>
      <c r="AK135" s="80"/>
      <c r="AL135" s="328"/>
      <c r="AM135" s="328"/>
      <c r="AN135" s="328"/>
      <c r="AO135" s="328"/>
    </row>
    <row r="136" spans="1:41" s="185" customFormat="1">
      <c r="A136" s="399"/>
      <c r="B136" s="374"/>
      <c r="C136" s="373"/>
      <c r="D136" s="373"/>
      <c r="E136" s="373"/>
      <c r="F136" s="373"/>
      <c r="H136" s="328"/>
      <c r="I136" s="328"/>
      <c r="J136" s="328"/>
      <c r="K136" s="328"/>
      <c r="L136" s="328"/>
      <c r="M136" s="328"/>
      <c r="N136" s="330"/>
      <c r="O136" s="328"/>
      <c r="P136" s="328"/>
      <c r="Q136" s="328"/>
      <c r="R136" s="80"/>
      <c r="S136" s="80"/>
      <c r="T136" s="80"/>
      <c r="U136" s="80"/>
      <c r="V136" s="80"/>
      <c r="W136" s="80"/>
      <c r="X136" s="80"/>
      <c r="Y136" s="80"/>
      <c r="Z136" s="80"/>
      <c r="AA136" s="80"/>
      <c r="AB136" s="80"/>
      <c r="AC136" s="80"/>
      <c r="AD136" s="80"/>
      <c r="AE136" s="80"/>
      <c r="AF136" s="80"/>
      <c r="AG136" s="80"/>
      <c r="AH136" s="80"/>
      <c r="AI136" s="80"/>
      <c r="AJ136" s="80"/>
      <c r="AK136" s="80"/>
      <c r="AL136" s="328"/>
      <c r="AM136" s="328"/>
      <c r="AN136" s="328"/>
      <c r="AO136" s="328"/>
    </row>
    <row r="137" spans="1:41" s="185" customFormat="1">
      <c r="A137" s="399"/>
      <c r="B137" s="374"/>
      <c r="C137" s="373"/>
      <c r="D137" s="373"/>
      <c r="E137" s="373"/>
      <c r="F137" s="373"/>
      <c r="H137" s="328"/>
      <c r="I137" s="328"/>
      <c r="J137" s="328"/>
      <c r="K137" s="328"/>
      <c r="L137" s="328"/>
      <c r="M137" s="328"/>
      <c r="N137" s="330"/>
      <c r="O137" s="328"/>
      <c r="P137" s="328"/>
      <c r="Q137" s="328"/>
      <c r="R137" s="80"/>
      <c r="S137" s="80"/>
      <c r="T137" s="80"/>
      <c r="U137" s="80"/>
      <c r="V137" s="80"/>
      <c r="W137" s="80"/>
      <c r="X137" s="80"/>
      <c r="Y137" s="80"/>
      <c r="Z137" s="80"/>
      <c r="AA137" s="80"/>
      <c r="AB137" s="80"/>
      <c r="AC137" s="80"/>
      <c r="AD137" s="80"/>
      <c r="AE137" s="80"/>
      <c r="AF137" s="80"/>
      <c r="AG137" s="80"/>
      <c r="AH137" s="80"/>
      <c r="AI137" s="80"/>
      <c r="AJ137" s="80"/>
      <c r="AK137" s="80"/>
      <c r="AL137" s="328"/>
      <c r="AM137" s="328"/>
      <c r="AN137" s="328"/>
      <c r="AO137" s="328"/>
    </row>
    <row r="138" spans="1:41" s="185" customFormat="1">
      <c r="A138" s="399"/>
      <c r="B138" s="374"/>
      <c r="C138" s="373"/>
      <c r="D138" s="373"/>
      <c r="E138" s="373"/>
      <c r="F138" s="373"/>
      <c r="H138" s="328"/>
      <c r="I138" s="328"/>
      <c r="J138" s="328"/>
      <c r="K138" s="328"/>
      <c r="L138" s="328"/>
      <c r="M138" s="328"/>
      <c r="N138" s="330"/>
      <c r="O138" s="328"/>
      <c r="P138" s="328"/>
      <c r="Q138" s="328"/>
      <c r="R138" s="80"/>
      <c r="S138" s="80"/>
      <c r="T138" s="80"/>
      <c r="U138" s="80"/>
      <c r="V138" s="80"/>
      <c r="W138" s="80"/>
      <c r="X138" s="80"/>
      <c r="Y138" s="80"/>
      <c r="Z138" s="80"/>
      <c r="AA138" s="80"/>
      <c r="AB138" s="80"/>
      <c r="AC138" s="80"/>
      <c r="AD138" s="80"/>
      <c r="AE138" s="80"/>
      <c r="AF138" s="80"/>
      <c r="AG138" s="80"/>
      <c r="AH138" s="80"/>
      <c r="AI138" s="80"/>
      <c r="AJ138" s="80"/>
      <c r="AK138" s="80"/>
      <c r="AL138" s="328"/>
      <c r="AM138" s="328"/>
      <c r="AN138" s="328"/>
      <c r="AO138" s="328"/>
    </row>
    <row r="139" spans="1:41" s="185" customFormat="1">
      <c r="A139" s="399"/>
      <c r="B139" s="374"/>
      <c r="C139" s="373"/>
      <c r="D139" s="373"/>
      <c r="E139" s="373"/>
      <c r="F139" s="373"/>
      <c r="H139" s="328"/>
      <c r="I139" s="328"/>
      <c r="J139" s="328"/>
      <c r="K139" s="328"/>
      <c r="L139" s="328"/>
      <c r="M139" s="328"/>
      <c r="N139" s="330"/>
      <c r="O139" s="328"/>
      <c r="P139" s="328"/>
      <c r="Q139" s="328"/>
      <c r="R139" s="80"/>
      <c r="S139" s="80"/>
      <c r="T139" s="80"/>
      <c r="U139" s="80"/>
      <c r="V139" s="80"/>
      <c r="W139" s="80"/>
      <c r="X139" s="80"/>
      <c r="Y139" s="80"/>
      <c r="Z139" s="80"/>
      <c r="AA139" s="80"/>
      <c r="AB139" s="80"/>
      <c r="AC139" s="80"/>
      <c r="AD139" s="80"/>
      <c r="AE139" s="80"/>
      <c r="AF139" s="80"/>
      <c r="AG139" s="80"/>
      <c r="AH139" s="80"/>
      <c r="AI139" s="80"/>
      <c r="AJ139" s="80"/>
      <c r="AK139" s="80"/>
      <c r="AL139" s="328"/>
      <c r="AM139" s="328"/>
      <c r="AN139" s="328"/>
      <c r="AO139" s="328"/>
    </row>
    <row r="140" spans="1:41" s="185" customFormat="1">
      <c r="A140" s="399"/>
      <c r="B140" s="374"/>
      <c r="C140" s="373"/>
      <c r="D140" s="373"/>
      <c r="E140" s="373"/>
      <c r="F140" s="373"/>
      <c r="H140" s="328"/>
      <c r="I140" s="328"/>
      <c r="J140" s="328"/>
      <c r="K140" s="328"/>
      <c r="L140" s="328"/>
      <c r="M140" s="328"/>
      <c r="N140" s="330"/>
      <c r="O140" s="328"/>
      <c r="P140" s="328"/>
      <c r="Q140" s="328"/>
      <c r="R140" s="80"/>
      <c r="S140" s="80"/>
      <c r="T140" s="80"/>
      <c r="U140" s="80"/>
      <c r="V140" s="80"/>
      <c r="W140" s="80"/>
      <c r="X140" s="80"/>
      <c r="Y140" s="80"/>
      <c r="Z140" s="80"/>
      <c r="AA140" s="80"/>
      <c r="AB140" s="80"/>
      <c r="AC140" s="80"/>
      <c r="AD140" s="80"/>
      <c r="AE140" s="80"/>
      <c r="AF140" s="80"/>
      <c r="AG140" s="80"/>
      <c r="AH140" s="80"/>
      <c r="AI140" s="80"/>
      <c r="AJ140" s="80"/>
      <c r="AK140" s="80"/>
      <c r="AL140" s="328"/>
      <c r="AM140" s="328"/>
      <c r="AN140" s="328"/>
      <c r="AO140" s="328"/>
    </row>
  </sheetData>
  <sheetProtection password="CFB5" sheet="1" objects="1" scenarios="1" formatColumns="0" formatRows="0" selectLockedCells="1"/>
  <customSheetViews>
    <customSheetView guid="{9AC181BA-F443-4EA7-A647-328174FE300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0" type="noConversion"/>
  <conditionalFormatting sqref="E16:E55">
    <cfRule type="expression" dxfId="140"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88"/>
  <sheetViews>
    <sheetView view="pageBreakPreview" topLeftCell="A123" zoomScale="70" zoomScaleNormal="100" zoomScaleSheetLayoutView="70" workbookViewId="0">
      <selection activeCell="O132" sqref="O132"/>
    </sheetView>
  </sheetViews>
  <sheetFormatPr defaultColWidth="9" defaultRowHeight="15.6"/>
  <cols>
    <col min="1" max="1" width="5.21875" style="803" customWidth="1"/>
    <col min="2" max="2" width="13" style="707" customWidth="1"/>
    <col min="3" max="3" width="7.88671875" style="707" customWidth="1"/>
    <col min="4" max="4" width="8.88671875" style="707" customWidth="1"/>
    <col min="5" max="5" width="9.33203125" style="707" customWidth="1"/>
    <col min="6" max="6" width="25" style="707" customWidth="1"/>
    <col min="7" max="7" width="12.6640625" style="707" customWidth="1"/>
    <col min="8" max="8" width="12.109375" style="753" customWidth="1"/>
    <col min="9" max="9" width="12" style="691" bestFit="1" customWidth="1"/>
    <col min="10" max="10" width="9.44140625" style="707" customWidth="1"/>
    <col min="11" max="11" width="13" style="707" customWidth="1"/>
    <col min="12" max="12" width="65.44140625" style="692" customWidth="1"/>
    <col min="13" max="14" width="10.77734375" style="691" customWidth="1"/>
    <col min="15" max="15" width="13.44140625" style="665" customWidth="1"/>
    <col min="16" max="16" width="14.109375" style="691" customWidth="1"/>
    <col min="17" max="17" width="13.33203125" style="690" customWidth="1"/>
    <col min="18" max="18" width="13.109375" style="686" hidden="1" customWidth="1"/>
    <col min="19" max="19" width="13.44140625" style="686" hidden="1" customWidth="1"/>
    <col min="20" max="28" width="9" style="686" customWidth="1"/>
    <col min="29" max="29" width="16.44140625" style="686" customWidth="1"/>
    <col min="30" max="31" width="9" style="686" customWidth="1"/>
    <col min="32" max="36" width="9" style="686"/>
    <col min="37" max="37" width="9" style="686" hidden="1" customWidth="1"/>
    <col min="38" max="39" width="17.6640625" style="686" hidden="1" customWidth="1"/>
    <col min="40" max="40" width="9" style="686" hidden="1" customWidth="1"/>
    <col min="41" max="41" width="15.44140625" style="686" hidden="1" customWidth="1"/>
    <col min="42" max="42" width="15.33203125" style="686" hidden="1" customWidth="1"/>
    <col min="43" max="54" width="9" style="686"/>
    <col min="55" max="16384" width="9" style="687"/>
  </cols>
  <sheetData>
    <row r="1" spans="1:54">
      <c r="A1" s="801" t="str">
        <f>Cover!B3</f>
        <v>Specification No.: CC/NT/W-AIS/DOM/A00/23/02698</v>
      </c>
      <c r="B1" s="704"/>
      <c r="C1" s="1082"/>
      <c r="D1" s="1082"/>
      <c r="E1" s="1082"/>
      <c r="F1" s="704"/>
      <c r="G1" s="1082"/>
      <c r="H1" s="751"/>
      <c r="I1" s="682"/>
      <c r="J1" s="704"/>
      <c r="K1" s="704"/>
      <c r="L1" s="683"/>
      <c r="M1" s="684"/>
      <c r="N1" s="684"/>
      <c r="O1" s="685"/>
      <c r="P1" s="684" t="s">
        <v>426</v>
      </c>
    </row>
    <row r="2" spans="1:54">
      <c r="A2" s="802"/>
      <c r="B2" s="705"/>
      <c r="C2" s="705"/>
      <c r="D2" s="705"/>
      <c r="E2" s="705"/>
      <c r="F2" s="705"/>
      <c r="G2" s="705"/>
      <c r="H2" s="752"/>
      <c r="I2" s="675"/>
      <c r="J2" s="705"/>
      <c r="K2" s="705"/>
      <c r="L2" s="688"/>
      <c r="M2" s="675"/>
      <c r="N2" s="675"/>
      <c r="O2" s="687"/>
      <c r="P2" s="675"/>
    </row>
    <row r="3" spans="1:54" ht="37.200000000000003" customHeight="1">
      <c r="A3" s="1269" t="str">
        <f>Cover!$B$2</f>
        <v>400kV AIS Substation Extension Package SS-111 for Extension of 400/220 kV Jabalpur Substation associated with Western Region Expansion Scheme-XXXIII (WRES-XXXIII): Part A.</v>
      </c>
      <c r="B3" s="1269"/>
      <c r="C3" s="1269"/>
      <c r="D3" s="1269"/>
      <c r="E3" s="1269"/>
      <c r="F3" s="1269"/>
      <c r="G3" s="1269"/>
      <c r="H3" s="1269"/>
      <c r="I3" s="1269"/>
      <c r="J3" s="1269"/>
      <c r="K3" s="1269"/>
      <c r="L3" s="1269"/>
      <c r="M3" s="1269"/>
      <c r="N3" s="1269"/>
      <c r="O3" s="1269"/>
      <c r="P3" s="1269"/>
      <c r="Q3" s="1269"/>
      <c r="AK3" s="689" t="s">
        <v>342</v>
      </c>
      <c r="AM3" s="706">
        <f>IF(ISERROR(#REF!/('Sch-6'!D14+'Sch-6'!D16+'Sch-6'!D18)),0,#REF!/( 'Sch-6'!D14+'Sch-6'!D16+'Sch-6'!D18))</f>
        <v>0</v>
      </c>
    </row>
    <row r="4" spans="1:54">
      <c r="A4" s="1313" t="s">
        <v>24</v>
      </c>
      <c r="B4" s="1313"/>
      <c r="C4" s="1313"/>
      <c r="D4" s="1313"/>
      <c r="E4" s="1313"/>
      <c r="F4" s="1313"/>
      <c r="G4" s="1313"/>
      <c r="H4" s="1313"/>
      <c r="I4" s="1313"/>
      <c r="J4" s="1313"/>
      <c r="K4" s="1313"/>
      <c r="L4" s="1313"/>
      <c r="M4" s="1313"/>
      <c r="N4" s="1313"/>
      <c r="O4" s="1313"/>
      <c r="P4" s="1313"/>
      <c r="Q4" s="1313"/>
      <c r="AK4" s="689" t="s">
        <v>343</v>
      </c>
      <c r="AM4" s="706" t="e">
        <f>#REF!</f>
        <v>#REF!</v>
      </c>
    </row>
    <row r="5" spans="1:54">
      <c r="AK5" s="689" t="s">
        <v>348</v>
      </c>
      <c r="AM5" s="706">
        <f>IF(ISERROR(#REF!/#REF!),0,#REF! /#REF!)</f>
        <v>0</v>
      </c>
    </row>
    <row r="6" spans="1:54">
      <c r="A6" s="804" t="str">
        <f>'Sch-1'!A6</f>
        <v>Bidder’s Name and Address (Sole Bidder) :</v>
      </c>
      <c r="B6" s="708"/>
      <c r="C6" s="1083"/>
      <c r="D6" s="1083"/>
      <c r="E6" s="1083"/>
      <c r="F6" s="708"/>
      <c r="G6" s="1083"/>
      <c r="H6" s="754"/>
      <c r="I6" s="748"/>
      <c r="J6" s="708"/>
      <c r="K6" s="708"/>
      <c r="L6" s="693"/>
      <c r="M6" s="744" t="s">
        <v>396</v>
      </c>
      <c r="P6" s="675"/>
      <c r="AK6" s="689" t="s">
        <v>349</v>
      </c>
      <c r="AM6" s="706" t="e">
        <f>#REF!</f>
        <v>#REF!</v>
      </c>
    </row>
    <row r="7" spans="1:54">
      <c r="A7" s="805" t="str">
        <f>'Sch-1'!A7</f>
        <v/>
      </c>
      <c r="B7" s="709"/>
      <c r="C7" s="1084"/>
      <c r="D7" s="1084"/>
      <c r="E7" s="1084"/>
      <c r="F7" s="709"/>
      <c r="G7" s="1084"/>
      <c r="H7" s="755"/>
      <c r="I7" s="709"/>
      <c r="J7" s="709"/>
      <c r="K7" s="709"/>
      <c r="L7" s="709"/>
      <c r="M7" s="1314" t="str">
        <f>'Sch-1'!M7</f>
        <v>Contracts Services, 3rd Floor</v>
      </c>
      <c r="N7" s="1314"/>
      <c r="O7" s="1314"/>
      <c r="P7" s="1314"/>
      <c r="AK7" s="689" t="s">
        <v>346</v>
      </c>
      <c r="AM7" s="706" t="e">
        <f>SUM(AM3:AM6)</f>
        <v>#REF!</v>
      </c>
    </row>
    <row r="8" spans="1:54">
      <c r="A8" s="804" t="s">
        <v>397</v>
      </c>
      <c r="B8" s="708"/>
      <c r="C8" s="713" t="str">
        <f>IF('Sch-1'!C8=0, "", 'Sch-1'!C8)</f>
        <v xml:space="preserve">…….. …….. …….. …….. …….. …….. </v>
      </c>
      <c r="D8" s="1083"/>
      <c r="E8" s="1083"/>
      <c r="F8" s="708"/>
      <c r="G8" s="1083"/>
      <c r="H8" s="754"/>
      <c r="I8" s="748"/>
      <c r="J8" s="708"/>
      <c r="K8" s="708"/>
      <c r="M8" s="1314" t="str">
        <f>'Sch-1'!M8</f>
        <v>Power Grid Corporation of India Ltd.,</v>
      </c>
      <c r="N8" s="1314"/>
      <c r="O8" s="1314"/>
      <c r="P8" s="1314"/>
    </row>
    <row r="9" spans="1:54">
      <c r="A9" s="804" t="s">
        <v>399</v>
      </c>
      <c r="B9" s="708"/>
      <c r="C9" s="713" t="str">
        <f>IF('Sch-1'!C9=0, "", 'Sch-1'!C9)</f>
        <v xml:space="preserve">…….. …….. …….. …….. …….. …….. </v>
      </c>
      <c r="D9" s="1083"/>
      <c r="E9" s="1083"/>
      <c r="F9" s="708"/>
      <c r="G9" s="1083"/>
      <c r="H9" s="754"/>
      <c r="I9" s="748"/>
      <c r="J9" s="708"/>
      <c r="K9" s="708"/>
      <c r="M9" s="1314" t="str">
        <f>'Sch-1'!M9</f>
        <v>"Saudamini", Plot No.-2</v>
      </c>
      <c r="N9" s="1314"/>
      <c r="O9" s="1314"/>
      <c r="P9" s="1314"/>
    </row>
    <row r="10" spans="1:54">
      <c r="A10" s="806"/>
      <c r="B10" s="710"/>
      <c r="C10" s="713" t="str">
        <f>IF('Sch-1'!C10=0, "", 'Sch-1'!C10)</f>
        <v xml:space="preserve">…….. …….. …….. …….. …….. …….. </v>
      </c>
      <c r="D10" s="711"/>
      <c r="E10" s="711"/>
      <c r="F10" s="710"/>
      <c r="G10" s="711"/>
      <c r="H10" s="756"/>
      <c r="I10" s="694"/>
      <c r="J10" s="710"/>
      <c r="K10" s="710"/>
      <c r="M10" s="749" t="str">
        <f>'Sch-1'!M10</f>
        <v xml:space="preserve">Sector-29, </v>
      </c>
      <c r="N10" s="749"/>
      <c r="O10" s="768"/>
      <c r="P10" s="749"/>
      <c r="AK10" s="689" t="s">
        <v>345</v>
      </c>
      <c r="AM10" s="706">
        <f>'Sch-1'!AA10</f>
        <v>0</v>
      </c>
    </row>
    <row r="11" spans="1:54">
      <c r="A11" s="806"/>
      <c r="B11" s="710"/>
      <c r="C11" s="713" t="str">
        <f>IF('Sch-1'!C11=0, "", 'Sch-1'!C11)</f>
        <v xml:space="preserve">…….. …….. …….. …….. …….. …….. </v>
      </c>
      <c r="D11" s="711"/>
      <c r="E11" s="711"/>
      <c r="F11" s="710"/>
      <c r="G11" s="711"/>
      <c r="H11" s="756"/>
      <c r="I11" s="694"/>
      <c r="J11" s="710"/>
      <c r="K11" s="710"/>
      <c r="M11" s="1314" t="str">
        <f>'Sch-1'!M11</f>
        <v>Gurgaon (Haryana) - 122001</v>
      </c>
      <c r="N11" s="1314"/>
      <c r="O11" s="1314"/>
      <c r="P11" s="1314"/>
      <c r="AK11" s="689"/>
      <c r="AM11" s="706"/>
    </row>
    <row r="12" spans="1:54">
      <c r="A12" s="807"/>
      <c r="B12" s="711"/>
      <c r="C12" s="711"/>
      <c r="D12" s="711"/>
      <c r="E12" s="711"/>
      <c r="F12" s="711"/>
      <c r="G12" s="711"/>
      <c r="H12" s="756"/>
      <c r="I12" s="749"/>
      <c r="J12" s="711"/>
      <c r="K12" s="711"/>
      <c r="L12" s="712"/>
      <c r="M12" s="713"/>
      <c r="N12" s="713"/>
      <c r="O12" s="694"/>
      <c r="P12" s="675"/>
      <c r="AK12" s="689"/>
      <c r="AM12" s="706"/>
    </row>
    <row r="13" spans="1:54" s="767" customFormat="1" ht="18">
      <c r="A13" s="1068"/>
      <c r="B13" s="1068"/>
      <c r="C13" s="1069"/>
      <c r="D13" s="1069"/>
      <c r="E13" s="1069"/>
      <c r="F13" s="1068"/>
      <c r="G13" s="1069"/>
      <c r="H13" s="1081" t="s">
        <v>569</v>
      </c>
      <c r="I13" s="1068"/>
      <c r="J13" s="1068"/>
      <c r="K13" s="1068"/>
      <c r="L13" s="1068"/>
      <c r="M13" s="1069"/>
      <c r="N13" s="1069"/>
      <c r="O13" s="1068"/>
      <c r="P13" s="1069"/>
      <c r="Q13" s="1071"/>
      <c r="R13" s="764"/>
      <c r="S13" s="764"/>
      <c r="T13" s="764"/>
      <c r="U13" s="764"/>
      <c r="V13" s="763"/>
      <c r="W13" s="763"/>
      <c r="X13" s="763"/>
      <c r="Y13" s="763"/>
      <c r="Z13" s="763"/>
      <c r="AA13" s="763"/>
      <c r="AB13" s="763"/>
      <c r="AC13" s="763"/>
      <c r="AD13" s="763"/>
      <c r="AE13" s="763"/>
      <c r="AF13" s="763"/>
      <c r="AG13" s="763"/>
      <c r="AH13" s="763"/>
      <c r="AI13" s="763"/>
      <c r="AJ13" s="763"/>
      <c r="AK13" s="763"/>
      <c r="AL13" s="1318" t="s">
        <v>281</v>
      </c>
      <c r="AM13" s="1318"/>
      <c r="AN13" s="766" t="s">
        <v>285</v>
      </c>
      <c r="AO13" s="1318" t="s">
        <v>282</v>
      </c>
      <c r="AP13" s="1318"/>
      <c r="AQ13" s="763"/>
      <c r="AR13" s="763"/>
      <c r="AS13" s="763"/>
      <c r="AT13" s="763"/>
      <c r="AU13" s="763"/>
      <c r="AV13" s="763"/>
      <c r="AW13" s="763"/>
      <c r="AX13" s="763"/>
      <c r="AY13" s="763"/>
      <c r="AZ13" s="763"/>
      <c r="BA13" s="763"/>
      <c r="BB13" s="763"/>
    </row>
    <row r="14" spans="1:54">
      <c r="A14" s="806"/>
      <c r="B14" s="710"/>
      <c r="C14" s="711"/>
      <c r="D14" s="711"/>
      <c r="E14" s="711"/>
      <c r="F14" s="710"/>
      <c r="G14" s="711"/>
      <c r="H14" s="756"/>
      <c r="I14" s="694"/>
      <c r="J14" s="710"/>
      <c r="K14" s="710"/>
      <c r="L14" s="710"/>
      <c r="M14" s="711"/>
      <c r="N14" s="711"/>
      <c r="O14" s="710"/>
      <c r="P14" s="711"/>
      <c r="R14" s="714"/>
      <c r="S14" s="714"/>
      <c r="T14" s="714"/>
      <c r="U14" s="714"/>
      <c r="AL14" s="715"/>
      <c r="AM14" s="715"/>
      <c r="AN14" s="690"/>
      <c r="AO14" s="715"/>
      <c r="AP14" s="715"/>
    </row>
    <row r="15" spans="1:54">
      <c r="A15" s="806"/>
      <c r="B15" s="710"/>
      <c r="C15" s="711"/>
      <c r="D15" s="711"/>
      <c r="E15" s="711"/>
      <c r="F15" s="710"/>
      <c r="G15" s="711"/>
      <c r="H15" s="756"/>
      <c r="I15" s="694"/>
      <c r="J15" s="710"/>
      <c r="K15" s="710"/>
      <c r="L15" s="710"/>
      <c r="M15" s="711"/>
      <c r="N15" s="1326" t="s">
        <v>273</v>
      </c>
      <c r="O15" s="1326"/>
      <c r="P15" s="1326"/>
      <c r="R15" s="714"/>
      <c r="S15" s="714"/>
      <c r="T15" s="714"/>
      <c r="U15" s="714"/>
      <c r="AL15" s="715"/>
      <c r="AM15" s="715"/>
      <c r="AN15" s="690"/>
      <c r="AO15" s="715"/>
      <c r="AP15" s="715"/>
    </row>
    <row r="16" spans="1:54" ht="144">
      <c r="A16" s="1000" t="s">
        <v>361</v>
      </c>
      <c r="B16" s="974" t="s">
        <v>514</v>
      </c>
      <c r="C16" s="974" t="s">
        <v>515</v>
      </c>
      <c r="D16" s="974" t="s">
        <v>521</v>
      </c>
      <c r="E16" s="974" t="s">
        <v>522</v>
      </c>
      <c r="F16" s="974" t="s">
        <v>516</v>
      </c>
      <c r="G16" s="1001" t="s">
        <v>523</v>
      </c>
      <c r="H16" s="1156" t="s">
        <v>491</v>
      </c>
      <c r="I16" s="1072" t="s">
        <v>532</v>
      </c>
      <c r="J16" s="1072" t="s">
        <v>486</v>
      </c>
      <c r="K16" s="1072" t="s">
        <v>512</v>
      </c>
      <c r="L16" s="974" t="s">
        <v>368</v>
      </c>
      <c r="M16" s="975" t="s">
        <v>353</v>
      </c>
      <c r="N16" s="975" t="s">
        <v>354</v>
      </c>
      <c r="O16" s="974" t="s">
        <v>628</v>
      </c>
      <c r="P16" s="974" t="s">
        <v>629</v>
      </c>
      <c r="Q16" s="1072" t="s">
        <v>510</v>
      </c>
      <c r="R16" s="714"/>
      <c r="S16" s="714"/>
      <c r="T16" s="714"/>
      <c r="U16" s="714"/>
      <c r="AL16" s="716" t="s">
        <v>370</v>
      </c>
      <c r="AM16" s="716" t="s">
        <v>411</v>
      </c>
      <c r="AN16" s="690"/>
      <c r="AO16" s="716" t="s">
        <v>370</v>
      </c>
      <c r="AP16" s="716" t="s">
        <v>411</v>
      </c>
    </row>
    <row r="17" spans="1:54" s="767" customFormat="1">
      <c r="A17" s="1002">
        <v>1</v>
      </c>
      <c r="B17" s="1003">
        <v>2</v>
      </c>
      <c r="C17" s="1003">
        <v>3</v>
      </c>
      <c r="D17" s="1003">
        <v>4</v>
      </c>
      <c r="E17" s="1003">
        <v>5</v>
      </c>
      <c r="F17" s="1004">
        <v>6</v>
      </c>
      <c r="G17" s="1003">
        <v>7</v>
      </c>
      <c r="H17" s="1157">
        <v>8</v>
      </c>
      <c r="I17" s="1158">
        <v>9</v>
      </c>
      <c r="J17" s="1158">
        <v>10</v>
      </c>
      <c r="K17" s="1158">
        <v>11</v>
      </c>
      <c r="L17" s="1005">
        <v>12</v>
      </c>
      <c r="M17" s="1005">
        <v>13</v>
      </c>
      <c r="N17" s="1005">
        <v>14</v>
      </c>
      <c r="O17" s="1005">
        <v>15</v>
      </c>
      <c r="P17" s="1005" t="s">
        <v>524</v>
      </c>
      <c r="Q17" s="1005">
        <v>17</v>
      </c>
      <c r="R17" s="764"/>
      <c r="S17" s="764"/>
      <c r="T17" s="764"/>
      <c r="U17" s="764"/>
      <c r="V17" s="763"/>
      <c r="W17" s="763"/>
      <c r="X17" s="763"/>
      <c r="Y17" s="763"/>
      <c r="Z17" s="763"/>
      <c r="AA17" s="763"/>
      <c r="AB17" s="763"/>
      <c r="AC17" s="763"/>
      <c r="AD17" s="763"/>
      <c r="AE17" s="763"/>
      <c r="AF17" s="763"/>
      <c r="AG17" s="763"/>
      <c r="AH17" s="763"/>
      <c r="AI17" s="763"/>
      <c r="AJ17" s="763"/>
      <c r="AK17" s="763"/>
      <c r="AL17" s="765">
        <v>5</v>
      </c>
      <c r="AM17" s="765" t="s">
        <v>405</v>
      </c>
      <c r="AN17" s="766"/>
      <c r="AO17" s="765">
        <v>5</v>
      </c>
      <c r="AP17" s="765" t="s">
        <v>405</v>
      </c>
      <c r="AQ17" s="763"/>
      <c r="AR17" s="763"/>
      <c r="AS17" s="763"/>
      <c r="AT17" s="763"/>
      <c r="AU17" s="763"/>
      <c r="AV17" s="763"/>
      <c r="AW17" s="763"/>
      <c r="AX17" s="763"/>
      <c r="AY17" s="763"/>
      <c r="AZ17" s="763"/>
      <c r="BA17" s="763"/>
      <c r="BB17" s="763"/>
    </row>
    <row r="18" spans="1:54" s="767" customFormat="1" ht="21" hidden="1">
      <c r="A18" s="1046"/>
      <c r="B18" s="1322" t="s">
        <v>573</v>
      </c>
      <c r="C18" s="1323"/>
      <c r="D18" s="1323"/>
      <c r="E18" s="1323"/>
      <c r="F18" s="1323"/>
      <c r="G18" s="1323"/>
      <c r="H18" s="1323"/>
      <c r="I18" s="1323"/>
      <c r="J18" s="1323"/>
      <c r="K18" s="1323"/>
      <c r="L18" s="1324"/>
      <c r="M18" s="1047"/>
      <c r="N18" s="1047"/>
      <c r="O18" s="1047"/>
      <c r="P18" s="1047"/>
      <c r="Q18" s="1047"/>
      <c r="R18" s="764"/>
      <c r="S18" s="764"/>
      <c r="T18" s="764"/>
      <c r="U18" s="764"/>
      <c r="V18" s="763"/>
      <c r="W18" s="763"/>
      <c r="X18" s="763"/>
      <c r="Y18" s="763"/>
      <c r="Z18" s="763"/>
      <c r="AA18" s="763"/>
      <c r="AB18" s="763"/>
      <c r="AC18" s="763"/>
      <c r="AD18" s="763"/>
      <c r="AE18" s="763"/>
      <c r="AF18" s="763"/>
      <c r="AG18" s="763"/>
      <c r="AH18" s="763"/>
      <c r="AI18" s="763"/>
      <c r="AJ18" s="763"/>
      <c r="AK18" s="763"/>
      <c r="AL18" s="765"/>
      <c r="AM18" s="765"/>
      <c r="AN18" s="766"/>
      <c r="AO18" s="765"/>
      <c r="AP18" s="765"/>
      <c r="AQ18" s="763"/>
      <c r="AR18" s="763"/>
      <c r="AS18" s="763"/>
      <c r="AT18" s="763"/>
      <c r="AU18" s="763"/>
      <c r="AV18" s="763"/>
      <c r="AW18" s="763"/>
      <c r="AX18" s="763"/>
      <c r="AY18" s="763"/>
      <c r="AZ18" s="763"/>
      <c r="BA18" s="763"/>
      <c r="BB18" s="763"/>
    </row>
    <row r="19" spans="1:54" s="676" customFormat="1" ht="31.2">
      <c r="A19" s="808" t="s">
        <v>340</v>
      </c>
      <c r="B19" s="1042" t="str">
        <f>'Sch-1'!B21</f>
        <v xml:space="preserve">765/400kV Jabalpur PS Extension        </v>
      </c>
      <c r="C19" s="1051"/>
      <c r="D19" s="1051"/>
      <c r="E19" s="1051"/>
      <c r="F19" s="1040"/>
      <c r="G19" s="1051"/>
      <c r="H19" s="1051"/>
      <c r="I19" s="1040"/>
      <c r="J19" s="1040"/>
      <c r="K19" s="1040"/>
      <c r="L19" s="1041"/>
      <c r="M19" s="746"/>
      <c r="N19" s="746"/>
      <c r="O19" s="746"/>
      <c r="P19" s="746"/>
      <c r="Q19" s="746"/>
      <c r="R19" s="788" t="s">
        <v>493</v>
      </c>
      <c r="S19" s="787" t="s">
        <v>494</v>
      </c>
      <c r="T19" s="677"/>
      <c r="U19" s="677"/>
      <c r="AD19" s="798"/>
    </row>
    <row r="20" spans="1:54" s="665" customFormat="1" ht="28.8">
      <c r="A20" s="817">
        <v>1</v>
      </c>
      <c r="B20" s="1160">
        <v>7000023516</v>
      </c>
      <c r="C20" s="1160">
        <v>1060</v>
      </c>
      <c r="D20" s="1160">
        <v>1310</v>
      </c>
      <c r="E20" s="1160">
        <v>10</v>
      </c>
      <c r="F20" s="1160" t="s">
        <v>788</v>
      </c>
      <c r="G20" s="1160">
        <v>100000267</v>
      </c>
      <c r="H20" s="1160">
        <v>998736</v>
      </c>
      <c r="I20" s="1026"/>
      <c r="J20" s="1160">
        <v>18</v>
      </c>
      <c r="K20" s="1027"/>
      <c r="L20" s="1159" t="s">
        <v>767</v>
      </c>
      <c r="M20" s="1160" t="s">
        <v>574</v>
      </c>
      <c r="N20" s="1160">
        <v>2</v>
      </c>
      <c r="O20" s="1026"/>
      <c r="P20" s="1073" t="str">
        <f>IF(O20=0, "Included", IF(ISERROR(N20*O20), O20, N20*O20))</f>
        <v>Included</v>
      </c>
      <c r="Q20" s="1073">
        <f>S20</f>
        <v>0</v>
      </c>
      <c r="R20" s="665">
        <f>IF(P20="Included",0,P20)</f>
        <v>0</v>
      </c>
      <c r="S20" s="665">
        <f>IF(K20="",(R20*J20/100),(R20*K20/100))</f>
        <v>0</v>
      </c>
      <c r="T20" s="666"/>
      <c r="U20" s="666"/>
      <c r="AD20" s="799"/>
    </row>
    <row r="21" spans="1:54" s="665" customFormat="1" ht="28.8">
      <c r="A21" s="817">
        <f>+A20+1</f>
        <v>2</v>
      </c>
      <c r="B21" s="1160">
        <v>7000023516</v>
      </c>
      <c r="C21" s="1160">
        <v>1060</v>
      </c>
      <c r="D21" s="1160">
        <v>1310</v>
      </c>
      <c r="E21" s="1160">
        <v>20</v>
      </c>
      <c r="F21" s="1160" t="s">
        <v>788</v>
      </c>
      <c r="G21" s="1160">
        <v>100000274</v>
      </c>
      <c r="H21" s="1160">
        <v>998736</v>
      </c>
      <c r="I21" s="1026"/>
      <c r="J21" s="1160">
        <v>18</v>
      </c>
      <c r="K21" s="1027"/>
      <c r="L21" s="1159" t="s">
        <v>740</v>
      </c>
      <c r="M21" s="1160" t="s">
        <v>574</v>
      </c>
      <c r="N21" s="1160">
        <v>6</v>
      </c>
      <c r="O21" s="1026"/>
      <c r="P21" s="1073" t="str">
        <f>IF(O21=0, "Included", IF(ISERROR(N21*O21), O21, N21*O21))</f>
        <v>Included</v>
      </c>
      <c r="Q21" s="1073">
        <f>S21</f>
        <v>0</v>
      </c>
      <c r="R21" s="665">
        <f>IF(P21="Included",0,P21)</f>
        <v>0</v>
      </c>
      <c r="S21" s="665">
        <f t="shared" ref="S21:S156" si="0">IF(K21="",(R21*J21/100),(R21*K21/100))</f>
        <v>0</v>
      </c>
      <c r="T21" s="666"/>
      <c r="U21" s="666"/>
      <c r="AD21" s="799"/>
    </row>
    <row r="22" spans="1:54" s="665" customFormat="1" ht="28.8">
      <c r="A22" s="817">
        <f>+A21+1</f>
        <v>3</v>
      </c>
      <c r="B22" s="1160">
        <v>7000023516</v>
      </c>
      <c r="C22" s="1160">
        <v>1060</v>
      </c>
      <c r="D22" s="1160">
        <v>1310</v>
      </c>
      <c r="E22" s="1160">
        <v>30</v>
      </c>
      <c r="F22" s="1160" t="s">
        <v>788</v>
      </c>
      <c r="G22" s="1160">
        <v>100000287</v>
      </c>
      <c r="H22" s="1160">
        <v>998736</v>
      </c>
      <c r="I22" s="1026"/>
      <c r="J22" s="1160">
        <v>18</v>
      </c>
      <c r="K22" s="1027"/>
      <c r="L22" s="1159" t="s">
        <v>741</v>
      </c>
      <c r="M22" s="1160" t="s">
        <v>574</v>
      </c>
      <c r="N22" s="1160">
        <v>4</v>
      </c>
      <c r="O22" s="1026"/>
      <c r="P22" s="1073" t="str">
        <f>IF(O22=0, "Included", IF(ISERROR(N22*O22), O22, N22*O22))</f>
        <v>Included</v>
      </c>
      <c r="Q22" s="1073">
        <f>S22</f>
        <v>0</v>
      </c>
      <c r="R22" s="665">
        <f>IF(P22="Included",0,P22)</f>
        <v>0</v>
      </c>
      <c r="S22" s="665">
        <f t="shared" si="0"/>
        <v>0</v>
      </c>
      <c r="T22" s="666"/>
      <c r="U22" s="666"/>
      <c r="AD22" s="799"/>
    </row>
    <row r="23" spans="1:54" s="665" customFormat="1" ht="28.8">
      <c r="A23" s="817">
        <f>+A22+1</f>
        <v>4</v>
      </c>
      <c r="B23" s="1160">
        <v>7000023516</v>
      </c>
      <c r="C23" s="1160">
        <v>1060</v>
      </c>
      <c r="D23" s="1160">
        <v>1310</v>
      </c>
      <c r="E23" s="1160">
        <v>40</v>
      </c>
      <c r="F23" s="1160" t="s">
        <v>788</v>
      </c>
      <c r="G23" s="1160">
        <v>100000328</v>
      </c>
      <c r="H23" s="1160">
        <v>998736</v>
      </c>
      <c r="I23" s="1026"/>
      <c r="J23" s="1160">
        <v>18</v>
      </c>
      <c r="K23" s="1027"/>
      <c r="L23" s="1159" t="s">
        <v>575</v>
      </c>
      <c r="M23" s="1160" t="s">
        <v>574</v>
      </c>
      <c r="N23" s="1160">
        <v>6</v>
      </c>
      <c r="O23" s="1026"/>
      <c r="P23" s="1073" t="str">
        <f>IF(O23=0, "Included", IF(ISERROR(N23*O23), O23, N23*O23))</f>
        <v>Included</v>
      </c>
      <c r="Q23" s="1073">
        <f>S23</f>
        <v>0</v>
      </c>
      <c r="R23" s="665">
        <f>IF(P23="Included",0,P23)</f>
        <v>0</v>
      </c>
      <c r="S23" s="665">
        <f t="shared" si="0"/>
        <v>0</v>
      </c>
      <c r="T23" s="666"/>
      <c r="U23" s="666"/>
      <c r="AD23" s="799"/>
    </row>
    <row r="24" spans="1:54" s="665" customFormat="1" ht="28.8">
      <c r="A24" s="817">
        <f t="shared" ref="A24:A48" si="1">+A23+1</f>
        <v>5</v>
      </c>
      <c r="B24" s="1160">
        <v>7000023516</v>
      </c>
      <c r="C24" s="1160">
        <v>1060</v>
      </c>
      <c r="D24" s="1160">
        <v>1310</v>
      </c>
      <c r="E24" s="1160">
        <v>50</v>
      </c>
      <c r="F24" s="1160" t="s">
        <v>788</v>
      </c>
      <c r="G24" s="1160">
        <v>100005443</v>
      </c>
      <c r="H24" s="1160">
        <v>998734</v>
      </c>
      <c r="I24" s="1026"/>
      <c r="J24" s="1160">
        <v>18</v>
      </c>
      <c r="K24" s="1027"/>
      <c r="L24" s="1159" t="s">
        <v>599</v>
      </c>
      <c r="M24" s="1160" t="s">
        <v>574</v>
      </c>
      <c r="N24" s="1160">
        <v>6</v>
      </c>
      <c r="O24" s="1026"/>
      <c r="P24" s="1073" t="str">
        <f t="shared" ref="P24:P30" si="2">IF(O24=0, "Included", IF(ISERROR(N24*O24), O24, N24*O24))</f>
        <v>Included</v>
      </c>
      <c r="Q24" s="1073">
        <f t="shared" ref="Q24:Q30" si="3">S24</f>
        <v>0</v>
      </c>
      <c r="R24" s="665">
        <f t="shared" ref="R24:R30" si="4">IF(P24="Included",0,P24)</f>
        <v>0</v>
      </c>
      <c r="S24" s="665">
        <f t="shared" si="0"/>
        <v>0</v>
      </c>
      <c r="T24" s="666"/>
      <c r="U24" s="666"/>
      <c r="AD24" s="799"/>
    </row>
    <row r="25" spans="1:54" s="665" customFormat="1" ht="28.8">
      <c r="A25" s="817">
        <f t="shared" si="1"/>
        <v>6</v>
      </c>
      <c r="B25" s="1050">
        <v>7000023516</v>
      </c>
      <c r="C25" s="1050">
        <v>1070</v>
      </c>
      <c r="D25" s="1050">
        <v>1340</v>
      </c>
      <c r="E25" s="1050">
        <v>80</v>
      </c>
      <c r="F25" s="1050" t="s">
        <v>789</v>
      </c>
      <c r="G25" s="1050">
        <v>100011982</v>
      </c>
      <c r="H25" s="1050">
        <v>998736</v>
      </c>
      <c r="I25" s="1026"/>
      <c r="J25" s="1050">
        <v>18</v>
      </c>
      <c r="K25" s="1027"/>
      <c r="L25" s="1048" t="s">
        <v>830</v>
      </c>
      <c r="M25" s="1050" t="s">
        <v>574</v>
      </c>
      <c r="N25" s="1050">
        <v>2</v>
      </c>
      <c r="O25" s="1026"/>
      <c r="P25" s="1073" t="str">
        <f t="shared" si="2"/>
        <v>Included</v>
      </c>
      <c r="Q25" s="1073">
        <f t="shared" si="3"/>
        <v>0</v>
      </c>
      <c r="R25" s="665">
        <f t="shared" si="4"/>
        <v>0</v>
      </c>
      <c r="S25" s="665">
        <f t="shared" si="0"/>
        <v>0</v>
      </c>
      <c r="T25" s="666"/>
      <c r="U25" s="666"/>
      <c r="AD25" s="799"/>
    </row>
    <row r="26" spans="1:54" s="665" customFormat="1" ht="28.8">
      <c r="A26" s="817">
        <f t="shared" si="1"/>
        <v>7</v>
      </c>
      <c r="B26" s="1050">
        <v>7000023516</v>
      </c>
      <c r="C26" s="1050">
        <v>1070</v>
      </c>
      <c r="D26" s="1050">
        <v>1340</v>
      </c>
      <c r="E26" s="1050">
        <v>40</v>
      </c>
      <c r="F26" s="1050" t="s">
        <v>789</v>
      </c>
      <c r="G26" s="1050">
        <v>100001993</v>
      </c>
      <c r="H26" s="1050">
        <v>998736</v>
      </c>
      <c r="I26" s="1026"/>
      <c r="J26" s="1050">
        <v>18</v>
      </c>
      <c r="K26" s="1027"/>
      <c r="L26" s="1048" t="s">
        <v>743</v>
      </c>
      <c r="M26" s="1050" t="s">
        <v>574</v>
      </c>
      <c r="N26" s="1050">
        <v>3</v>
      </c>
      <c r="O26" s="1026"/>
      <c r="P26" s="1073" t="str">
        <f t="shared" si="2"/>
        <v>Included</v>
      </c>
      <c r="Q26" s="1073">
        <f t="shared" si="3"/>
        <v>0</v>
      </c>
      <c r="R26" s="665">
        <f t="shared" si="4"/>
        <v>0</v>
      </c>
      <c r="S26" s="665">
        <f t="shared" si="0"/>
        <v>0</v>
      </c>
      <c r="T26" s="666"/>
      <c r="U26" s="666"/>
      <c r="AD26" s="799"/>
    </row>
    <row r="27" spans="1:54" s="665" customFormat="1" ht="28.8">
      <c r="A27" s="817">
        <f t="shared" si="1"/>
        <v>8</v>
      </c>
      <c r="B27" s="1050">
        <v>7000023516</v>
      </c>
      <c r="C27" s="1050">
        <v>1070</v>
      </c>
      <c r="D27" s="1050">
        <v>1340</v>
      </c>
      <c r="E27" s="1050">
        <v>10</v>
      </c>
      <c r="F27" s="1050" t="s">
        <v>789</v>
      </c>
      <c r="G27" s="1050">
        <v>100003634</v>
      </c>
      <c r="H27" s="1050">
        <v>998736</v>
      </c>
      <c r="I27" s="1026"/>
      <c r="J27" s="1050">
        <v>18</v>
      </c>
      <c r="K27" s="1027"/>
      <c r="L27" s="1048" t="s">
        <v>768</v>
      </c>
      <c r="M27" s="1050" t="s">
        <v>574</v>
      </c>
      <c r="N27" s="1050">
        <v>7</v>
      </c>
      <c r="O27" s="1026"/>
      <c r="P27" s="1073" t="str">
        <f t="shared" si="2"/>
        <v>Included</v>
      </c>
      <c r="Q27" s="1073">
        <f t="shared" si="3"/>
        <v>0</v>
      </c>
      <c r="R27" s="665">
        <f t="shared" si="4"/>
        <v>0</v>
      </c>
      <c r="S27" s="665">
        <f t="shared" si="0"/>
        <v>0</v>
      </c>
      <c r="T27" s="666"/>
      <c r="U27" s="666"/>
      <c r="AD27" s="799"/>
    </row>
    <row r="28" spans="1:54" s="665" customFormat="1" ht="28.8">
      <c r="A28" s="817">
        <f t="shared" si="1"/>
        <v>9</v>
      </c>
      <c r="B28" s="1050">
        <v>7000023516</v>
      </c>
      <c r="C28" s="1050">
        <v>1070</v>
      </c>
      <c r="D28" s="1050">
        <v>1340</v>
      </c>
      <c r="E28" s="1050">
        <v>20</v>
      </c>
      <c r="F28" s="1050" t="s">
        <v>789</v>
      </c>
      <c r="G28" s="1050">
        <v>100011980</v>
      </c>
      <c r="H28" s="1050">
        <v>998736</v>
      </c>
      <c r="I28" s="1026"/>
      <c r="J28" s="1050">
        <v>18</v>
      </c>
      <c r="K28" s="1027"/>
      <c r="L28" s="1048" t="s">
        <v>831</v>
      </c>
      <c r="M28" s="1050" t="s">
        <v>574</v>
      </c>
      <c r="N28" s="1050">
        <v>1</v>
      </c>
      <c r="O28" s="1026"/>
      <c r="P28" s="1073" t="str">
        <f t="shared" si="2"/>
        <v>Included</v>
      </c>
      <c r="Q28" s="1073">
        <f t="shared" si="3"/>
        <v>0</v>
      </c>
      <c r="R28" s="665">
        <f t="shared" si="4"/>
        <v>0</v>
      </c>
      <c r="S28" s="665">
        <f t="shared" si="0"/>
        <v>0</v>
      </c>
      <c r="T28" s="666"/>
      <c r="U28" s="666"/>
      <c r="AD28" s="799"/>
    </row>
    <row r="29" spans="1:54" s="665" customFormat="1" ht="28.8">
      <c r="A29" s="817">
        <f t="shared" si="1"/>
        <v>10</v>
      </c>
      <c r="B29" s="1050">
        <v>7000023516</v>
      </c>
      <c r="C29" s="1050">
        <v>1070</v>
      </c>
      <c r="D29" s="1050">
        <v>1340</v>
      </c>
      <c r="E29" s="1050">
        <v>30</v>
      </c>
      <c r="F29" s="1050" t="s">
        <v>789</v>
      </c>
      <c r="G29" s="1050">
        <v>100001989</v>
      </c>
      <c r="H29" s="1050">
        <v>998736</v>
      </c>
      <c r="I29" s="1026"/>
      <c r="J29" s="1050">
        <v>18</v>
      </c>
      <c r="K29" s="1027"/>
      <c r="L29" s="1048" t="s">
        <v>744</v>
      </c>
      <c r="M29" s="1050" t="s">
        <v>574</v>
      </c>
      <c r="N29" s="1050">
        <v>21</v>
      </c>
      <c r="O29" s="1026"/>
      <c r="P29" s="1073" t="str">
        <f t="shared" si="2"/>
        <v>Included</v>
      </c>
      <c r="Q29" s="1073">
        <f t="shared" si="3"/>
        <v>0</v>
      </c>
      <c r="R29" s="665">
        <f t="shared" si="4"/>
        <v>0</v>
      </c>
      <c r="S29" s="665">
        <f t="shared" si="0"/>
        <v>0</v>
      </c>
      <c r="T29" s="666"/>
      <c r="U29" s="666"/>
      <c r="AD29" s="799"/>
    </row>
    <row r="30" spans="1:54" s="665" customFormat="1" ht="28.8">
      <c r="A30" s="817">
        <f t="shared" si="1"/>
        <v>11</v>
      </c>
      <c r="B30" s="1050">
        <v>7000023516</v>
      </c>
      <c r="C30" s="1050">
        <v>1070</v>
      </c>
      <c r="D30" s="1050">
        <v>1340</v>
      </c>
      <c r="E30" s="1050">
        <v>100</v>
      </c>
      <c r="F30" s="1050" t="s">
        <v>789</v>
      </c>
      <c r="G30" s="1050">
        <v>100000448</v>
      </c>
      <c r="H30" s="1050">
        <v>998736</v>
      </c>
      <c r="I30" s="1026"/>
      <c r="J30" s="1050">
        <v>18</v>
      </c>
      <c r="K30" s="1027"/>
      <c r="L30" s="1048" t="s">
        <v>664</v>
      </c>
      <c r="M30" s="1050" t="s">
        <v>574</v>
      </c>
      <c r="N30" s="1050">
        <v>18</v>
      </c>
      <c r="O30" s="1026"/>
      <c r="P30" s="1073" t="str">
        <f t="shared" si="2"/>
        <v>Included</v>
      </c>
      <c r="Q30" s="1073">
        <f t="shared" si="3"/>
        <v>0</v>
      </c>
      <c r="R30" s="665">
        <f t="shared" si="4"/>
        <v>0</v>
      </c>
      <c r="S30" s="665">
        <f t="shared" si="0"/>
        <v>0</v>
      </c>
      <c r="T30" s="666"/>
      <c r="U30" s="666"/>
      <c r="AD30" s="799"/>
    </row>
    <row r="31" spans="1:54" s="665" customFormat="1" ht="28.8">
      <c r="A31" s="817">
        <f t="shared" si="1"/>
        <v>12</v>
      </c>
      <c r="B31" s="1050">
        <v>7000023516</v>
      </c>
      <c r="C31" s="1050">
        <v>1070</v>
      </c>
      <c r="D31" s="1050">
        <v>1340</v>
      </c>
      <c r="E31" s="1050">
        <v>60</v>
      </c>
      <c r="F31" s="1050" t="s">
        <v>789</v>
      </c>
      <c r="G31" s="1050">
        <v>100002014</v>
      </c>
      <c r="H31" s="1050">
        <v>998736</v>
      </c>
      <c r="I31" s="1026"/>
      <c r="J31" s="1050">
        <v>18</v>
      </c>
      <c r="K31" s="1027"/>
      <c r="L31" s="1048" t="s">
        <v>746</v>
      </c>
      <c r="M31" s="1050" t="s">
        <v>574</v>
      </c>
      <c r="N31" s="1050">
        <v>7</v>
      </c>
      <c r="O31" s="1026"/>
      <c r="P31" s="1073" t="str">
        <f>IF(O31=0, "Included", IF(ISERROR(N31*O31), O31, N31*O31))</f>
        <v>Included</v>
      </c>
      <c r="Q31" s="1073">
        <f>S31</f>
        <v>0</v>
      </c>
      <c r="R31" s="665">
        <f>IF(P31="Included",0,P31)</f>
        <v>0</v>
      </c>
      <c r="S31" s="665">
        <f t="shared" si="0"/>
        <v>0</v>
      </c>
      <c r="T31" s="666"/>
      <c r="U31" s="666"/>
      <c r="AD31" s="799"/>
    </row>
    <row r="32" spans="1:54" s="665" customFormat="1" ht="28.8">
      <c r="A32" s="817">
        <f t="shared" si="1"/>
        <v>13</v>
      </c>
      <c r="B32" s="1050">
        <v>7000023516</v>
      </c>
      <c r="C32" s="1050">
        <v>1070</v>
      </c>
      <c r="D32" s="1050">
        <v>1340</v>
      </c>
      <c r="E32" s="1050">
        <v>70</v>
      </c>
      <c r="F32" s="1050" t="s">
        <v>789</v>
      </c>
      <c r="G32" s="1050">
        <v>100002013</v>
      </c>
      <c r="H32" s="1050">
        <v>998736</v>
      </c>
      <c r="I32" s="1026"/>
      <c r="J32" s="1050">
        <v>18</v>
      </c>
      <c r="K32" s="1027"/>
      <c r="L32" s="1048" t="s">
        <v>745</v>
      </c>
      <c r="M32" s="1050" t="s">
        <v>574</v>
      </c>
      <c r="N32" s="1050">
        <v>7</v>
      </c>
      <c r="O32" s="1026"/>
      <c r="P32" s="1073" t="str">
        <f>IF(O32=0, "Included", IF(ISERROR(N32*O32), O32, N32*O32))</f>
        <v>Included</v>
      </c>
      <c r="Q32" s="1073">
        <f>S32</f>
        <v>0</v>
      </c>
      <c r="R32" s="665">
        <f>IF(P32="Included",0,P32)</f>
        <v>0</v>
      </c>
      <c r="S32" s="665">
        <f t="shared" si="0"/>
        <v>0</v>
      </c>
      <c r="T32" s="666"/>
      <c r="U32" s="666"/>
      <c r="AD32" s="799"/>
    </row>
    <row r="33" spans="1:30" s="665" customFormat="1" ht="28.8">
      <c r="A33" s="817">
        <f t="shared" si="1"/>
        <v>14</v>
      </c>
      <c r="B33" s="1050">
        <v>7000023516</v>
      </c>
      <c r="C33" s="1050">
        <v>1070</v>
      </c>
      <c r="D33" s="1050">
        <v>1340</v>
      </c>
      <c r="E33" s="1050">
        <v>50</v>
      </c>
      <c r="F33" s="1050" t="s">
        <v>789</v>
      </c>
      <c r="G33" s="1050">
        <v>100002016</v>
      </c>
      <c r="H33" s="1050">
        <v>998736</v>
      </c>
      <c r="I33" s="1026"/>
      <c r="J33" s="1050">
        <v>18</v>
      </c>
      <c r="K33" s="1027"/>
      <c r="L33" s="1048" t="s">
        <v>769</v>
      </c>
      <c r="M33" s="1050" t="s">
        <v>574</v>
      </c>
      <c r="N33" s="1050">
        <v>13</v>
      </c>
      <c r="O33" s="1026"/>
      <c r="P33" s="1073" t="str">
        <f>IF(O33=0, "Included", IF(ISERROR(N33*O33), O33, N33*O33))</f>
        <v>Included</v>
      </c>
      <c r="Q33" s="1073">
        <f>S33</f>
        <v>0</v>
      </c>
      <c r="R33" s="665">
        <f>IF(P33="Included",0,P33)</f>
        <v>0</v>
      </c>
      <c r="S33" s="665">
        <f t="shared" si="0"/>
        <v>0</v>
      </c>
      <c r="T33" s="666"/>
      <c r="U33" s="666"/>
      <c r="AD33" s="799"/>
    </row>
    <row r="34" spans="1:30" s="665" customFormat="1" ht="28.8">
      <c r="A34" s="817">
        <f t="shared" si="1"/>
        <v>15</v>
      </c>
      <c r="B34" s="1050">
        <v>7000023516</v>
      </c>
      <c r="C34" s="1050">
        <v>1070</v>
      </c>
      <c r="D34" s="1050">
        <v>1340</v>
      </c>
      <c r="E34" s="1050">
        <v>90</v>
      </c>
      <c r="F34" s="1050" t="s">
        <v>789</v>
      </c>
      <c r="G34" s="1050">
        <v>100000484</v>
      </c>
      <c r="H34" s="1050">
        <v>998736</v>
      </c>
      <c r="I34" s="1026"/>
      <c r="J34" s="1050">
        <v>18</v>
      </c>
      <c r="K34" s="1027"/>
      <c r="L34" s="1048" t="s">
        <v>641</v>
      </c>
      <c r="M34" s="1050" t="s">
        <v>574</v>
      </c>
      <c r="N34" s="1050">
        <v>18</v>
      </c>
      <c r="O34" s="1026"/>
      <c r="P34" s="1073" t="str">
        <f t="shared" ref="P34:P39" si="5">IF(O34=0, "Included", IF(ISERROR(N34*O34), O34, N34*O34))</f>
        <v>Included</v>
      </c>
      <c r="Q34" s="1073">
        <f t="shared" ref="Q34:Q39" si="6">S34</f>
        <v>0</v>
      </c>
      <c r="R34" s="665">
        <f t="shared" ref="R34:R39" si="7">IF(P34="Included",0,P34)</f>
        <v>0</v>
      </c>
      <c r="S34" s="665">
        <f t="shared" si="0"/>
        <v>0</v>
      </c>
      <c r="T34" s="666"/>
      <c r="U34" s="666"/>
      <c r="AD34" s="799"/>
    </row>
    <row r="35" spans="1:30" s="665" customFormat="1" ht="28.8">
      <c r="A35" s="817">
        <f t="shared" si="1"/>
        <v>16</v>
      </c>
      <c r="B35" s="1050">
        <v>7000023516</v>
      </c>
      <c r="C35" s="1050">
        <v>1070</v>
      </c>
      <c r="D35" s="1050">
        <v>1340</v>
      </c>
      <c r="E35" s="1050">
        <v>110</v>
      </c>
      <c r="F35" s="1050" t="s">
        <v>789</v>
      </c>
      <c r="G35" s="1050">
        <v>100001907</v>
      </c>
      <c r="H35" s="1050">
        <v>998736</v>
      </c>
      <c r="I35" s="1026"/>
      <c r="J35" s="1050">
        <v>18</v>
      </c>
      <c r="K35" s="1027"/>
      <c r="L35" s="1048" t="s">
        <v>670</v>
      </c>
      <c r="M35" s="1050" t="s">
        <v>574</v>
      </c>
      <c r="N35" s="1050">
        <v>92</v>
      </c>
      <c r="O35" s="1026"/>
      <c r="P35" s="1073" t="str">
        <f t="shared" si="5"/>
        <v>Included</v>
      </c>
      <c r="Q35" s="1073">
        <f t="shared" si="6"/>
        <v>0</v>
      </c>
      <c r="R35" s="665">
        <f t="shared" si="7"/>
        <v>0</v>
      </c>
      <c r="S35" s="665">
        <f t="shared" si="0"/>
        <v>0</v>
      </c>
      <c r="T35" s="666"/>
      <c r="U35" s="666"/>
      <c r="AD35" s="799"/>
    </row>
    <row r="36" spans="1:30" s="665" customFormat="1" ht="28.8">
      <c r="A36" s="817">
        <f t="shared" si="1"/>
        <v>17</v>
      </c>
      <c r="B36" s="1050">
        <v>7000023516</v>
      </c>
      <c r="C36" s="1050">
        <v>1070</v>
      </c>
      <c r="D36" s="1050">
        <v>1340</v>
      </c>
      <c r="E36" s="1050">
        <v>120</v>
      </c>
      <c r="F36" s="1050" t="s">
        <v>789</v>
      </c>
      <c r="G36" s="1050">
        <v>100000884</v>
      </c>
      <c r="H36" s="1050">
        <v>998734</v>
      </c>
      <c r="I36" s="1026"/>
      <c r="J36" s="1050">
        <v>18</v>
      </c>
      <c r="K36" s="1027"/>
      <c r="L36" s="1048" t="s">
        <v>710</v>
      </c>
      <c r="M36" s="1050" t="s">
        <v>574</v>
      </c>
      <c r="N36" s="1050">
        <v>12</v>
      </c>
      <c r="O36" s="1026"/>
      <c r="P36" s="1073" t="str">
        <f t="shared" si="5"/>
        <v>Included</v>
      </c>
      <c r="Q36" s="1073">
        <f t="shared" si="6"/>
        <v>0</v>
      </c>
      <c r="R36" s="665">
        <f t="shared" si="7"/>
        <v>0</v>
      </c>
      <c r="S36" s="665">
        <f t="shared" si="0"/>
        <v>0</v>
      </c>
      <c r="T36" s="666"/>
      <c r="U36" s="666"/>
      <c r="AD36" s="799"/>
    </row>
    <row r="37" spans="1:30" s="665" customFormat="1" ht="28.8">
      <c r="A37" s="817">
        <f t="shared" si="1"/>
        <v>18</v>
      </c>
      <c r="B37" s="1050">
        <v>7000023516</v>
      </c>
      <c r="C37" s="1050">
        <v>1080</v>
      </c>
      <c r="D37" s="1050">
        <v>1410</v>
      </c>
      <c r="E37" s="1050">
        <v>10</v>
      </c>
      <c r="F37" s="1050" t="s">
        <v>658</v>
      </c>
      <c r="G37" s="1050">
        <v>100000339</v>
      </c>
      <c r="H37" s="1050">
        <v>998731</v>
      </c>
      <c r="I37" s="1026"/>
      <c r="J37" s="1050">
        <v>18</v>
      </c>
      <c r="K37" s="1027"/>
      <c r="L37" s="1048" t="s">
        <v>770</v>
      </c>
      <c r="M37" s="1050" t="s">
        <v>578</v>
      </c>
      <c r="N37" s="1050">
        <v>2</v>
      </c>
      <c r="O37" s="1026"/>
      <c r="P37" s="1073" t="str">
        <f t="shared" si="5"/>
        <v>Included</v>
      </c>
      <c r="Q37" s="1073">
        <f t="shared" si="6"/>
        <v>0</v>
      </c>
      <c r="R37" s="665">
        <f t="shared" si="7"/>
        <v>0</v>
      </c>
      <c r="S37" s="665">
        <f t="shared" si="0"/>
        <v>0</v>
      </c>
      <c r="T37" s="666"/>
      <c r="U37" s="666"/>
      <c r="AD37" s="799"/>
    </row>
    <row r="38" spans="1:30" s="665" customFormat="1" ht="43.2">
      <c r="A38" s="817">
        <f t="shared" si="1"/>
        <v>19</v>
      </c>
      <c r="B38" s="1050">
        <v>7000023516</v>
      </c>
      <c r="C38" s="1050">
        <v>1090</v>
      </c>
      <c r="D38" s="1050">
        <v>1421</v>
      </c>
      <c r="E38" s="1050">
        <v>10</v>
      </c>
      <c r="F38" s="1050" t="s">
        <v>763</v>
      </c>
      <c r="G38" s="1050">
        <v>100017133</v>
      </c>
      <c r="H38" s="1050">
        <v>998731</v>
      </c>
      <c r="I38" s="1026"/>
      <c r="J38" s="1050">
        <v>18</v>
      </c>
      <c r="K38" s="1027"/>
      <c r="L38" s="1048" t="s">
        <v>771</v>
      </c>
      <c r="M38" s="1050" t="s">
        <v>574</v>
      </c>
      <c r="N38" s="1050">
        <v>6</v>
      </c>
      <c r="O38" s="1026"/>
      <c r="P38" s="1073" t="str">
        <f t="shared" si="5"/>
        <v>Included</v>
      </c>
      <c r="Q38" s="1073">
        <f t="shared" si="6"/>
        <v>0</v>
      </c>
      <c r="R38" s="665">
        <f t="shared" si="7"/>
        <v>0</v>
      </c>
      <c r="S38" s="665">
        <f t="shared" si="0"/>
        <v>0</v>
      </c>
      <c r="T38" s="666"/>
      <c r="U38" s="666"/>
      <c r="AD38" s="799"/>
    </row>
    <row r="39" spans="1:30" s="665" customFormat="1" ht="28.8">
      <c r="A39" s="817">
        <f t="shared" si="1"/>
        <v>20</v>
      </c>
      <c r="B39" s="1050">
        <v>7000023516</v>
      </c>
      <c r="C39" s="1050">
        <v>1100</v>
      </c>
      <c r="D39" s="1050">
        <v>1430</v>
      </c>
      <c r="E39" s="1050">
        <v>10</v>
      </c>
      <c r="F39" s="1050" t="s">
        <v>659</v>
      </c>
      <c r="G39" s="1050">
        <v>100000487</v>
      </c>
      <c r="H39" s="1050">
        <v>998731</v>
      </c>
      <c r="I39" s="1026"/>
      <c r="J39" s="1050">
        <v>18</v>
      </c>
      <c r="K39" s="1027"/>
      <c r="L39" s="1048" t="s">
        <v>772</v>
      </c>
      <c r="M39" s="1050" t="s">
        <v>578</v>
      </c>
      <c r="N39" s="1050">
        <v>1</v>
      </c>
      <c r="O39" s="1026"/>
      <c r="P39" s="1073" t="str">
        <f t="shared" si="5"/>
        <v>Included</v>
      </c>
      <c r="Q39" s="1073">
        <f t="shared" si="6"/>
        <v>0</v>
      </c>
      <c r="R39" s="665">
        <f t="shared" si="7"/>
        <v>0</v>
      </c>
      <c r="S39" s="665">
        <f t="shared" si="0"/>
        <v>0</v>
      </c>
      <c r="T39" s="666"/>
      <c r="U39" s="666"/>
      <c r="AD39" s="799"/>
    </row>
    <row r="40" spans="1:30" s="665" customFormat="1" ht="28.8">
      <c r="A40" s="817">
        <f t="shared" si="1"/>
        <v>21</v>
      </c>
      <c r="B40" s="1050">
        <v>7000023516</v>
      </c>
      <c r="C40" s="1050">
        <v>1100</v>
      </c>
      <c r="D40" s="1050">
        <v>1430</v>
      </c>
      <c r="E40" s="1050">
        <v>20</v>
      </c>
      <c r="F40" s="1050" t="s">
        <v>659</v>
      </c>
      <c r="G40" s="1050">
        <v>100000488</v>
      </c>
      <c r="H40" s="1050">
        <v>998731</v>
      </c>
      <c r="I40" s="1026"/>
      <c r="J40" s="1050">
        <v>18</v>
      </c>
      <c r="K40" s="1027"/>
      <c r="L40" s="1048" t="s">
        <v>773</v>
      </c>
      <c r="M40" s="1050" t="s">
        <v>578</v>
      </c>
      <c r="N40" s="1050">
        <v>1</v>
      </c>
      <c r="O40" s="1026"/>
      <c r="P40" s="1073" t="str">
        <f>IF(O40=0, "Included", IF(ISERROR(N40*O40), O40, N40*O40))</f>
        <v>Included</v>
      </c>
      <c r="Q40" s="1073">
        <f>S40</f>
        <v>0</v>
      </c>
      <c r="R40" s="665">
        <f>IF(P40="Included",0,P40)</f>
        <v>0</v>
      </c>
      <c r="S40" s="665">
        <f t="shared" si="0"/>
        <v>0</v>
      </c>
      <c r="T40" s="666"/>
      <c r="U40" s="666"/>
      <c r="AD40" s="799"/>
    </row>
    <row r="41" spans="1:30" s="665" customFormat="1" ht="28.8">
      <c r="A41" s="817">
        <f t="shared" si="1"/>
        <v>22</v>
      </c>
      <c r="B41" s="1050">
        <v>7000023516</v>
      </c>
      <c r="C41" s="1050">
        <v>1100</v>
      </c>
      <c r="D41" s="1050">
        <v>1430</v>
      </c>
      <c r="E41" s="1050">
        <v>30</v>
      </c>
      <c r="F41" s="1050" t="s">
        <v>659</v>
      </c>
      <c r="G41" s="1050">
        <v>100000486</v>
      </c>
      <c r="H41" s="1050">
        <v>998731</v>
      </c>
      <c r="I41" s="1026"/>
      <c r="J41" s="1050">
        <v>18</v>
      </c>
      <c r="K41" s="1027"/>
      <c r="L41" s="1048" t="s">
        <v>685</v>
      </c>
      <c r="M41" s="1050" t="s">
        <v>578</v>
      </c>
      <c r="N41" s="1050">
        <v>2</v>
      </c>
      <c r="O41" s="1026"/>
      <c r="P41" s="1073" t="str">
        <f>IF(O41=0, "Included", IF(ISERROR(N41*O41), O41, N41*O41))</f>
        <v>Included</v>
      </c>
      <c r="Q41" s="1073">
        <f>S41</f>
        <v>0</v>
      </c>
      <c r="R41" s="665">
        <f>IF(P41="Included",0,P41)</f>
        <v>0</v>
      </c>
      <c r="S41" s="665">
        <f t="shared" si="0"/>
        <v>0</v>
      </c>
      <c r="T41" s="666"/>
      <c r="U41" s="666"/>
      <c r="AD41" s="799"/>
    </row>
    <row r="42" spans="1:30" s="665" customFormat="1" ht="28.8">
      <c r="A42" s="817">
        <f t="shared" si="1"/>
        <v>23</v>
      </c>
      <c r="B42" s="1050">
        <v>7000023516</v>
      </c>
      <c r="C42" s="1050">
        <v>1100</v>
      </c>
      <c r="D42" s="1050">
        <v>1430</v>
      </c>
      <c r="E42" s="1050">
        <v>40</v>
      </c>
      <c r="F42" s="1050" t="s">
        <v>659</v>
      </c>
      <c r="G42" s="1050">
        <v>100000485</v>
      </c>
      <c r="H42" s="1050">
        <v>998731</v>
      </c>
      <c r="I42" s="1026"/>
      <c r="J42" s="1050">
        <v>18</v>
      </c>
      <c r="K42" s="1027"/>
      <c r="L42" s="1048" t="s">
        <v>727</v>
      </c>
      <c r="M42" s="1050" t="s">
        <v>578</v>
      </c>
      <c r="N42" s="1050">
        <v>4</v>
      </c>
      <c r="O42" s="1026"/>
      <c r="P42" s="1073" t="str">
        <f>IF(O42=0, "Included", IF(ISERROR(N42*O42), O42, N42*O42))</f>
        <v>Included</v>
      </c>
      <c r="Q42" s="1073">
        <f>S42</f>
        <v>0</v>
      </c>
      <c r="R42" s="665">
        <f>IF(P42="Included",0,P42)</f>
        <v>0</v>
      </c>
      <c r="S42" s="665">
        <f t="shared" si="0"/>
        <v>0</v>
      </c>
      <c r="T42" s="666"/>
      <c r="U42" s="666"/>
      <c r="AD42" s="799"/>
    </row>
    <row r="43" spans="1:30" s="665" customFormat="1" ht="28.8">
      <c r="A43" s="817">
        <f t="shared" si="1"/>
        <v>24</v>
      </c>
      <c r="B43" s="1050">
        <v>7000023516</v>
      </c>
      <c r="C43" s="1050">
        <v>1100</v>
      </c>
      <c r="D43" s="1050">
        <v>1430</v>
      </c>
      <c r="E43" s="1050">
        <v>50</v>
      </c>
      <c r="F43" s="1050" t="s">
        <v>659</v>
      </c>
      <c r="G43" s="1050">
        <v>100000491</v>
      </c>
      <c r="H43" s="1050">
        <v>998731</v>
      </c>
      <c r="I43" s="1026"/>
      <c r="J43" s="1050">
        <v>18</v>
      </c>
      <c r="K43" s="1027"/>
      <c r="L43" s="1048" t="s">
        <v>729</v>
      </c>
      <c r="M43" s="1050" t="s">
        <v>578</v>
      </c>
      <c r="N43" s="1050">
        <v>3</v>
      </c>
      <c r="O43" s="1026"/>
      <c r="P43" s="1073" t="str">
        <f t="shared" ref="P43:P47" si="8">IF(O43=0, "Included", IF(ISERROR(N43*O43), O43, N43*O43))</f>
        <v>Included</v>
      </c>
      <c r="Q43" s="1073">
        <f t="shared" ref="Q43:Q47" si="9">S43</f>
        <v>0</v>
      </c>
      <c r="R43" s="665">
        <f t="shared" ref="R43:R47" si="10">IF(P43="Included",0,P43)</f>
        <v>0</v>
      </c>
      <c r="S43" s="665">
        <f t="shared" si="0"/>
        <v>0</v>
      </c>
      <c r="T43" s="666"/>
      <c r="U43" s="666"/>
      <c r="AD43" s="799"/>
    </row>
    <row r="44" spans="1:30" s="665" customFormat="1" ht="43.2">
      <c r="A44" s="817">
        <f t="shared" si="1"/>
        <v>25</v>
      </c>
      <c r="B44" s="1050">
        <v>7000023516</v>
      </c>
      <c r="C44" s="1050">
        <v>1110</v>
      </c>
      <c r="D44" s="1050">
        <v>1433</v>
      </c>
      <c r="E44" s="1050">
        <v>70</v>
      </c>
      <c r="F44" s="1050" t="s">
        <v>761</v>
      </c>
      <c r="G44" s="1050">
        <v>100017115</v>
      </c>
      <c r="H44" s="1050">
        <v>998731</v>
      </c>
      <c r="I44" s="1026"/>
      <c r="J44" s="1050">
        <v>18</v>
      </c>
      <c r="K44" s="1027"/>
      <c r="L44" s="1048" t="s">
        <v>730</v>
      </c>
      <c r="M44" s="1050" t="s">
        <v>574</v>
      </c>
      <c r="N44" s="1050">
        <v>21</v>
      </c>
      <c r="O44" s="1026"/>
      <c r="P44" s="1073" t="str">
        <f t="shared" si="8"/>
        <v>Included</v>
      </c>
      <c r="Q44" s="1073">
        <f t="shared" si="9"/>
        <v>0</v>
      </c>
      <c r="R44" s="665">
        <f t="shared" si="10"/>
        <v>0</v>
      </c>
      <c r="S44" s="665">
        <f t="shared" si="0"/>
        <v>0</v>
      </c>
      <c r="T44" s="666"/>
      <c r="U44" s="666"/>
      <c r="AD44" s="799"/>
    </row>
    <row r="45" spans="1:30" s="665" customFormat="1" ht="43.2">
      <c r="A45" s="817">
        <f t="shared" si="1"/>
        <v>26</v>
      </c>
      <c r="B45" s="1050">
        <v>7000023516</v>
      </c>
      <c r="C45" s="1050">
        <v>1110</v>
      </c>
      <c r="D45" s="1050">
        <v>1433</v>
      </c>
      <c r="E45" s="1050">
        <v>80</v>
      </c>
      <c r="F45" s="1050" t="s">
        <v>761</v>
      </c>
      <c r="G45" s="1050">
        <v>100017116</v>
      </c>
      <c r="H45" s="1050">
        <v>998731</v>
      </c>
      <c r="I45" s="1026"/>
      <c r="J45" s="1050">
        <v>18</v>
      </c>
      <c r="K45" s="1027"/>
      <c r="L45" s="1048" t="s">
        <v>731</v>
      </c>
      <c r="M45" s="1050" t="s">
        <v>574</v>
      </c>
      <c r="N45" s="1050">
        <v>21</v>
      </c>
      <c r="O45" s="1026"/>
      <c r="P45" s="1073" t="str">
        <f t="shared" si="8"/>
        <v>Included</v>
      </c>
      <c r="Q45" s="1073">
        <f t="shared" si="9"/>
        <v>0</v>
      </c>
      <c r="R45" s="665">
        <f t="shared" si="10"/>
        <v>0</v>
      </c>
      <c r="S45" s="665">
        <f t="shared" si="0"/>
        <v>0</v>
      </c>
      <c r="T45" s="666"/>
      <c r="U45" s="666"/>
      <c r="AD45" s="799"/>
    </row>
    <row r="46" spans="1:30" s="665" customFormat="1" ht="43.2">
      <c r="A46" s="817">
        <f t="shared" si="1"/>
        <v>27</v>
      </c>
      <c r="B46" s="1050">
        <v>7000023516</v>
      </c>
      <c r="C46" s="1050">
        <v>1110</v>
      </c>
      <c r="D46" s="1050">
        <v>1433</v>
      </c>
      <c r="E46" s="1050">
        <v>90</v>
      </c>
      <c r="F46" s="1050" t="s">
        <v>761</v>
      </c>
      <c r="G46" s="1050">
        <v>100017123</v>
      </c>
      <c r="H46" s="1050">
        <v>998731</v>
      </c>
      <c r="I46" s="1026"/>
      <c r="J46" s="1050">
        <v>18</v>
      </c>
      <c r="K46" s="1027"/>
      <c r="L46" s="1048" t="s">
        <v>774</v>
      </c>
      <c r="M46" s="1050" t="s">
        <v>574</v>
      </c>
      <c r="N46" s="1050">
        <v>3</v>
      </c>
      <c r="O46" s="1026"/>
      <c r="P46" s="1073" t="str">
        <f t="shared" si="8"/>
        <v>Included</v>
      </c>
      <c r="Q46" s="1073">
        <f t="shared" si="9"/>
        <v>0</v>
      </c>
      <c r="R46" s="665">
        <f t="shared" si="10"/>
        <v>0</v>
      </c>
      <c r="S46" s="665">
        <f t="shared" si="0"/>
        <v>0</v>
      </c>
      <c r="T46" s="666"/>
      <c r="U46" s="666"/>
      <c r="AD46" s="799"/>
    </row>
    <row r="47" spans="1:30" s="665" customFormat="1" ht="43.2">
      <c r="A47" s="817">
        <f t="shared" si="1"/>
        <v>28</v>
      </c>
      <c r="B47" s="1050">
        <v>7000023516</v>
      </c>
      <c r="C47" s="1050">
        <v>1110</v>
      </c>
      <c r="D47" s="1050">
        <v>1433</v>
      </c>
      <c r="E47" s="1050">
        <v>100</v>
      </c>
      <c r="F47" s="1050" t="s">
        <v>761</v>
      </c>
      <c r="G47" s="1050">
        <v>100017117</v>
      </c>
      <c r="H47" s="1050">
        <v>998731</v>
      </c>
      <c r="I47" s="1026"/>
      <c r="J47" s="1050">
        <v>18</v>
      </c>
      <c r="K47" s="1027"/>
      <c r="L47" s="1048" t="s">
        <v>719</v>
      </c>
      <c r="M47" s="1050" t="s">
        <v>574</v>
      </c>
      <c r="N47" s="1050">
        <v>57</v>
      </c>
      <c r="O47" s="1026"/>
      <c r="P47" s="1073" t="str">
        <f t="shared" si="8"/>
        <v>Included</v>
      </c>
      <c r="Q47" s="1073">
        <f t="shared" si="9"/>
        <v>0</v>
      </c>
      <c r="R47" s="665">
        <f t="shared" si="10"/>
        <v>0</v>
      </c>
      <c r="S47" s="665">
        <f t="shared" si="0"/>
        <v>0</v>
      </c>
      <c r="T47" s="666"/>
      <c r="U47" s="666"/>
      <c r="AD47" s="799"/>
    </row>
    <row r="48" spans="1:30" s="665" customFormat="1" ht="43.2">
      <c r="A48" s="817">
        <f t="shared" si="1"/>
        <v>29</v>
      </c>
      <c r="B48" s="1050">
        <v>7000023516</v>
      </c>
      <c r="C48" s="1050">
        <v>1110</v>
      </c>
      <c r="D48" s="1050">
        <v>1433</v>
      </c>
      <c r="E48" s="1050">
        <v>110</v>
      </c>
      <c r="F48" s="1050" t="s">
        <v>761</v>
      </c>
      <c r="G48" s="1050">
        <v>100017118</v>
      </c>
      <c r="H48" s="1050">
        <v>998731</v>
      </c>
      <c r="I48" s="1026"/>
      <c r="J48" s="1050">
        <v>18</v>
      </c>
      <c r="K48" s="1027"/>
      <c r="L48" s="1048" t="s">
        <v>720</v>
      </c>
      <c r="M48" s="1050" t="s">
        <v>574</v>
      </c>
      <c r="N48" s="1050">
        <v>45</v>
      </c>
      <c r="O48" s="1026"/>
      <c r="P48" s="1073" t="str">
        <f t="shared" ref="P48:P54" si="11">IF(O48=0, "Included", IF(ISERROR(N48*O48), O48, N48*O48))</f>
        <v>Included</v>
      </c>
      <c r="Q48" s="1073">
        <f t="shared" ref="Q48:Q54" si="12">S48</f>
        <v>0</v>
      </c>
      <c r="R48" s="665">
        <f t="shared" ref="R48:R54" si="13">IF(P48="Included",0,P48)</f>
        <v>0</v>
      </c>
      <c r="S48" s="665">
        <f t="shared" ref="S48:S127" si="14">IF(K48="",(R48*J48/100),(R48*K48/100))</f>
        <v>0</v>
      </c>
      <c r="T48" s="666"/>
      <c r="U48" s="666"/>
      <c r="AD48" s="799"/>
    </row>
    <row r="49" spans="1:30" s="665" customFormat="1" ht="43.2">
      <c r="A49" s="817">
        <f t="shared" ref="A49:A128" si="15">+A48+1</f>
        <v>30</v>
      </c>
      <c r="B49" s="1050">
        <v>7000023516</v>
      </c>
      <c r="C49" s="1050">
        <v>1110</v>
      </c>
      <c r="D49" s="1050">
        <v>1433</v>
      </c>
      <c r="E49" s="1050">
        <v>120</v>
      </c>
      <c r="F49" s="1050" t="s">
        <v>761</v>
      </c>
      <c r="G49" s="1050">
        <v>100017121</v>
      </c>
      <c r="H49" s="1050">
        <v>998731</v>
      </c>
      <c r="I49" s="1026"/>
      <c r="J49" s="1050">
        <v>18</v>
      </c>
      <c r="K49" s="1027"/>
      <c r="L49" s="1048" t="s">
        <v>721</v>
      </c>
      <c r="M49" s="1050" t="s">
        <v>574</v>
      </c>
      <c r="N49" s="1050">
        <v>30</v>
      </c>
      <c r="O49" s="1026"/>
      <c r="P49" s="1073" t="str">
        <f t="shared" si="11"/>
        <v>Included</v>
      </c>
      <c r="Q49" s="1073">
        <f t="shared" si="12"/>
        <v>0</v>
      </c>
      <c r="R49" s="665">
        <f t="shared" si="13"/>
        <v>0</v>
      </c>
      <c r="S49" s="665">
        <f t="shared" si="14"/>
        <v>0</v>
      </c>
      <c r="T49" s="666"/>
      <c r="U49" s="666"/>
      <c r="AD49" s="799"/>
    </row>
    <row r="50" spans="1:30" s="665" customFormat="1" ht="43.2">
      <c r="A50" s="817">
        <f t="shared" si="15"/>
        <v>31</v>
      </c>
      <c r="B50" s="1050">
        <v>7000023516</v>
      </c>
      <c r="C50" s="1050">
        <v>1110</v>
      </c>
      <c r="D50" s="1050">
        <v>1433</v>
      </c>
      <c r="E50" s="1050">
        <v>130</v>
      </c>
      <c r="F50" s="1050" t="s">
        <v>761</v>
      </c>
      <c r="G50" s="1050">
        <v>100017122</v>
      </c>
      <c r="H50" s="1050">
        <v>998731</v>
      </c>
      <c r="I50" s="1026"/>
      <c r="J50" s="1050">
        <v>18</v>
      </c>
      <c r="K50" s="1027"/>
      <c r="L50" s="1048" t="s">
        <v>722</v>
      </c>
      <c r="M50" s="1050" t="s">
        <v>574</v>
      </c>
      <c r="N50" s="1050">
        <v>26</v>
      </c>
      <c r="O50" s="1026"/>
      <c r="P50" s="1073" t="str">
        <f t="shared" si="11"/>
        <v>Included</v>
      </c>
      <c r="Q50" s="1073">
        <f t="shared" si="12"/>
        <v>0</v>
      </c>
      <c r="R50" s="665">
        <f t="shared" si="13"/>
        <v>0</v>
      </c>
      <c r="S50" s="665">
        <f t="shared" si="14"/>
        <v>0</v>
      </c>
      <c r="T50" s="666"/>
      <c r="U50" s="666"/>
      <c r="AD50" s="799"/>
    </row>
    <row r="51" spans="1:30" s="665" customFormat="1">
      <c r="A51" s="817">
        <f t="shared" si="15"/>
        <v>32</v>
      </c>
      <c r="B51" s="1050">
        <v>7000023516</v>
      </c>
      <c r="C51" s="1050">
        <v>1120</v>
      </c>
      <c r="D51" s="1050">
        <v>1451</v>
      </c>
      <c r="E51" s="1050">
        <v>10</v>
      </c>
      <c r="F51" s="1050" t="s">
        <v>638</v>
      </c>
      <c r="G51" s="1050">
        <v>100003103</v>
      </c>
      <c r="H51" s="1050">
        <v>998731</v>
      </c>
      <c r="I51" s="1026"/>
      <c r="J51" s="1050">
        <v>18</v>
      </c>
      <c r="K51" s="1027"/>
      <c r="L51" s="1048" t="s">
        <v>626</v>
      </c>
      <c r="M51" s="1050" t="s">
        <v>594</v>
      </c>
      <c r="N51" s="1050">
        <v>4</v>
      </c>
      <c r="O51" s="1026"/>
      <c r="P51" s="1073" t="str">
        <f t="shared" si="11"/>
        <v>Included</v>
      </c>
      <c r="Q51" s="1073">
        <f t="shared" si="12"/>
        <v>0</v>
      </c>
      <c r="R51" s="665">
        <f t="shared" si="13"/>
        <v>0</v>
      </c>
      <c r="S51" s="665">
        <f t="shared" si="14"/>
        <v>0</v>
      </c>
      <c r="T51" s="666"/>
      <c r="U51" s="666"/>
      <c r="AD51" s="799"/>
    </row>
    <row r="52" spans="1:30" s="665" customFormat="1" ht="28.8">
      <c r="A52" s="817">
        <f t="shared" si="15"/>
        <v>33</v>
      </c>
      <c r="B52" s="1050">
        <v>7000023516</v>
      </c>
      <c r="C52" s="1050">
        <v>1130</v>
      </c>
      <c r="D52" s="1050">
        <v>1470</v>
      </c>
      <c r="E52" s="1050">
        <v>10</v>
      </c>
      <c r="F52" s="1050" t="s">
        <v>684</v>
      </c>
      <c r="G52" s="1050">
        <v>100016779</v>
      </c>
      <c r="H52" s="1050">
        <v>998736</v>
      </c>
      <c r="I52" s="1026"/>
      <c r="J52" s="1050">
        <v>18</v>
      </c>
      <c r="K52" s="1027"/>
      <c r="L52" s="1048" t="s">
        <v>832</v>
      </c>
      <c r="M52" s="1050" t="s">
        <v>574</v>
      </c>
      <c r="N52" s="1050">
        <v>2</v>
      </c>
      <c r="O52" s="1026"/>
      <c r="P52" s="1073" t="str">
        <f t="shared" si="11"/>
        <v>Included</v>
      </c>
      <c r="Q52" s="1073">
        <f t="shared" si="12"/>
        <v>0</v>
      </c>
      <c r="R52" s="665">
        <f t="shared" si="13"/>
        <v>0</v>
      </c>
      <c r="S52" s="665">
        <f t="shared" si="14"/>
        <v>0</v>
      </c>
      <c r="T52" s="666"/>
      <c r="U52" s="666"/>
      <c r="AD52" s="799"/>
    </row>
    <row r="53" spans="1:30" s="665" customFormat="1" ht="28.8">
      <c r="A53" s="817">
        <f t="shared" si="15"/>
        <v>34</v>
      </c>
      <c r="B53" s="1050">
        <v>7000023516</v>
      </c>
      <c r="C53" s="1050">
        <v>1130</v>
      </c>
      <c r="D53" s="1050">
        <v>1470</v>
      </c>
      <c r="E53" s="1050">
        <v>20</v>
      </c>
      <c r="F53" s="1050" t="s">
        <v>684</v>
      </c>
      <c r="G53" s="1050">
        <v>100000731</v>
      </c>
      <c r="H53" s="1050">
        <v>998736</v>
      </c>
      <c r="I53" s="1026"/>
      <c r="J53" s="1050">
        <v>18</v>
      </c>
      <c r="K53" s="1027"/>
      <c r="L53" s="1048" t="s">
        <v>686</v>
      </c>
      <c r="M53" s="1050" t="s">
        <v>574</v>
      </c>
      <c r="N53" s="1050">
        <v>2</v>
      </c>
      <c r="O53" s="1026"/>
      <c r="P53" s="1073" t="str">
        <f t="shared" si="11"/>
        <v>Included</v>
      </c>
      <c r="Q53" s="1073">
        <f t="shared" si="12"/>
        <v>0</v>
      </c>
      <c r="R53" s="665">
        <f t="shared" si="13"/>
        <v>0</v>
      </c>
      <c r="S53" s="665">
        <f t="shared" si="14"/>
        <v>0</v>
      </c>
      <c r="T53" s="666"/>
      <c r="U53" s="666"/>
      <c r="AD53" s="799"/>
    </row>
    <row r="54" spans="1:30" s="665" customFormat="1" ht="28.8">
      <c r="A54" s="817">
        <f t="shared" si="15"/>
        <v>35</v>
      </c>
      <c r="B54" s="1050">
        <v>7000023516</v>
      </c>
      <c r="C54" s="1050">
        <v>1130</v>
      </c>
      <c r="D54" s="1050">
        <v>1470</v>
      </c>
      <c r="E54" s="1050">
        <v>30</v>
      </c>
      <c r="F54" s="1050" t="s">
        <v>684</v>
      </c>
      <c r="G54" s="1050">
        <v>100000735</v>
      </c>
      <c r="H54" s="1050">
        <v>998736</v>
      </c>
      <c r="I54" s="1026"/>
      <c r="J54" s="1050">
        <v>18</v>
      </c>
      <c r="K54" s="1027"/>
      <c r="L54" s="1048" t="s">
        <v>612</v>
      </c>
      <c r="M54" s="1050" t="s">
        <v>578</v>
      </c>
      <c r="N54" s="1050">
        <v>2</v>
      </c>
      <c r="O54" s="1026"/>
      <c r="P54" s="1073" t="str">
        <f t="shared" si="11"/>
        <v>Included</v>
      </c>
      <c r="Q54" s="1073">
        <f t="shared" si="12"/>
        <v>0</v>
      </c>
      <c r="R54" s="665">
        <f t="shared" si="13"/>
        <v>0</v>
      </c>
      <c r="S54" s="665">
        <f t="shared" si="14"/>
        <v>0</v>
      </c>
      <c r="T54" s="666"/>
      <c r="U54" s="666"/>
      <c r="AD54" s="799"/>
    </row>
    <row r="55" spans="1:30" s="665" customFormat="1" ht="28.8">
      <c r="A55" s="817">
        <f t="shared" si="15"/>
        <v>36</v>
      </c>
      <c r="B55" s="1050">
        <v>7000023516</v>
      </c>
      <c r="C55" s="1050">
        <v>1140</v>
      </c>
      <c r="D55" s="1050">
        <v>1490</v>
      </c>
      <c r="E55" s="1050">
        <v>10</v>
      </c>
      <c r="F55" s="1050" t="s">
        <v>660</v>
      </c>
      <c r="G55" s="1050">
        <v>100000741</v>
      </c>
      <c r="H55" s="1050">
        <v>998736</v>
      </c>
      <c r="I55" s="1026"/>
      <c r="J55" s="1050">
        <v>18</v>
      </c>
      <c r="K55" s="1027"/>
      <c r="L55" s="1048" t="s">
        <v>752</v>
      </c>
      <c r="M55" s="1050" t="s">
        <v>578</v>
      </c>
      <c r="N55" s="1050">
        <v>1</v>
      </c>
      <c r="O55" s="1026"/>
      <c r="P55" s="1073" t="str">
        <f>IF(O55=0, "Included", IF(ISERROR(N55*O55), O55, N55*O55))</f>
        <v>Included</v>
      </c>
      <c r="Q55" s="1073">
        <f>S55</f>
        <v>0</v>
      </c>
      <c r="R55" s="665">
        <f>IF(P55="Included",0,P55)</f>
        <v>0</v>
      </c>
      <c r="S55" s="665">
        <f t="shared" si="14"/>
        <v>0</v>
      </c>
      <c r="T55" s="666"/>
      <c r="U55" s="666"/>
      <c r="AD55" s="799"/>
    </row>
    <row r="56" spans="1:30" s="665" customFormat="1" ht="28.8">
      <c r="A56" s="817">
        <f t="shared" si="15"/>
        <v>37</v>
      </c>
      <c r="B56" s="1050">
        <v>7000023516</v>
      </c>
      <c r="C56" s="1050">
        <v>1140</v>
      </c>
      <c r="D56" s="1050">
        <v>1490</v>
      </c>
      <c r="E56" s="1050">
        <v>20</v>
      </c>
      <c r="F56" s="1050" t="s">
        <v>660</v>
      </c>
      <c r="G56" s="1050">
        <v>100000738</v>
      </c>
      <c r="H56" s="1050">
        <v>998736</v>
      </c>
      <c r="I56" s="1026"/>
      <c r="J56" s="1050">
        <v>18</v>
      </c>
      <c r="K56" s="1027"/>
      <c r="L56" s="1048" t="s">
        <v>665</v>
      </c>
      <c r="M56" s="1050" t="s">
        <v>574</v>
      </c>
      <c r="N56" s="1050">
        <v>4</v>
      </c>
      <c r="O56" s="1026"/>
      <c r="P56" s="1073" t="str">
        <f>IF(O56=0, "Included", IF(ISERROR(N56*O56), O56, N56*O56))</f>
        <v>Included</v>
      </c>
      <c r="Q56" s="1073">
        <f>S56</f>
        <v>0</v>
      </c>
      <c r="R56" s="665">
        <f>IF(P56="Included",0,P56)</f>
        <v>0</v>
      </c>
      <c r="S56" s="665">
        <f t="shared" si="14"/>
        <v>0</v>
      </c>
      <c r="T56" s="666"/>
      <c r="U56" s="666"/>
      <c r="AD56" s="799"/>
    </row>
    <row r="57" spans="1:30" s="665" customFormat="1" ht="28.8">
      <c r="A57" s="817">
        <f t="shared" si="15"/>
        <v>38</v>
      </c>
      <c r="B57" s="1050">
        <v>7000023516</v>
      </c>
      <c r="C57" s="1050">
        <v>1140</v>
      </c>
      <c r="D57" s="1050">
        <v>1490</v>
      </c>
      <c r="E57" s="1050">
        <v>30</v>
      </c>
      <c r="F57" s="1050" t="s">
        <v>660</v>
      </c>
      <c r="G57" s="1050">
        <v>100016778</v>
      </c>
      <c r="H57" s="1050">
        <v>998736</v>
      </c>
      <c r="I57" s="1026"/>
      <c r="J57" s="1050">
        <v>18</v>
      </c>
      <c r="K57" s="1027"/>
      <c r="L57" s="1048" t="s">
        <v>833</v>
      </c>
      <c r="M57" s="1050" t="s">
        <v>574</v>
      </c>
      <c r="N57" s="1050">
        <v>8</v>
      </c>
      <c r="O57" s="1026"/>
      <c r="P57" s="1073" t="str">
        <f>IF(O57=0, "Included", IF(ISERROR(N57*O57), O57, N57*O57))</f>
        <v>Included</v>
      </c>
      <c r="Q57" s="1073">
        <f>S57</f>
        <v>0</v>
      </c>
      <c r="R57" s="665">
        <f>IF(P57="Included",0,P57)</f>
        <v>0</v>
      </c>
      <c r="S57" s="665">
        <f t="shared" si="14"/>
        <v>0</v>
      </c>
      <c r="T57" s="666"/>
      <c r="U57" s="666"/>
      <c r="AD57" s="799"/>
    </row>
    <row r="58" spans="1:30" s="665" customFormat="1" ht="86.4">
      <c r="A58" s="817">
        <f t="shared" si="15"/>
        <v>39</v>
      </c>
      <c r="B58" s="1050">
        <v>7000023516</v>
      </c>
      <c r="C58" s="1050">
        <v>1150</v>
      </c>
      <c r="D58" s="1050">
        <v>1520</v>
      </c>
      <c r="E58" s="1050">
        <v>10</v>
      </c>
      <c r="F58" s="1050" t="s">
        <v>640</v>
      </c>
      <c r="G58" s="1050">
        <v>100002500</v>
      </c>
      <c r="H58" s="1050">
        <v>998731</v>
      </c>
      <c r="I58" s="1026"/>
      <c r="J58" s="1050">
        <v>18</v>
      </c>
      <c r="K58" s="1027"/>
      <c r="L58" s="1048" t="s">
        <v>632</v>
      </c>
      <c r="M58" s="1050" t="s">
        <v>578</v>
      </c>
      <c r="N58" s="1050">
        <v>1</v>
      </c>
      <c r="O58" s="1026"/>
      <c r="P58" s="1073" t="str">
        <f t="shared" ref="P58:P63" si="16">IF(O58=0, "Included", IF(ISERROR(N58*O58), O58, N58*O58))</f>
        <v>Included</v>
      </c>
      <c r="Q58" s="1073">
        <f t="shared" ref="Q58:Q63" si="17">S58</f>
        <v>0</v>
      </c>
      <c r="R58" s="665">
        <f t="shared" ref="R58:R63" si="18">IF(P58="Included",0,P58)</f>
        <v>0</v>
      </c>
      <c r="S58" s="665">
        <f t="shared" si="14"/>
        <v>0</v>
      </c>
      <c r="T58" s="666"/>
      <c r="U58" s="666"/>
      <c r="AD58" s="799"/>
    </row>
    <row r="59" spans="1:30" s="665" customFormat="1">
      <c r="A59" s="817">
        <f t="shared" si="15"/>
        <v>40</v>
      </c>
      <c r="B59" s="1050">
        <v>7000023516</v>
      </c>
      <c r="C59" s="1050">
        <v>1160</v>
      </c>
      <c r="D59" s="1050">
        <v>1530</v>
      </c>
      <c r="E59" s="1050">
        <v>10</v>
      </c>
      <c r="F59" s="1050" t="s">
        <v>791</v>
      </c>
      <c r="G59" s="1050">
        <v>100002048</v>
      </c>
      <c r="H59" s="1050">
        <v>998734</v>
      </c>
      <c r="I59" s="1026"/>
      <c r="J59" s="1050">
        <v>18</v>
      </c>
      <c r="K59" s="1027"/>
      <c r="L59" s="1048" t="s">
        <v>753</v>
      </c>
      <c r="M59" s="1050" t="s">
        <v>574</v>
      </c>
      <c r="N59" s="1050">
        <v>4</v>
      </c>
      <c r="O59" s="1026"/>
      <c r="P59" s="1073" t="str">
        <f t="shared" si="16"/>
        <v>Included</v>
      </c>
      <c r="Q59" s="1073">
        <f t="shared" si="17"/>
        <v>0</v>
      </c>
      <c r="R59" s="665">
        <f t="shared" si="18"/>
        <v>0</v>
      </c>
      <c r="S59" s="665">
        <f t="shared" si="14"/>
        <v>0</v>
      </c>
      <c r="T59" s="666"/>
      <c r="U59" s="666"/>
      <c r="AD59" s="799"/>
    </row>
    <row r="60" spans="1:30" s="665" customFormat="1">
      <c r="A60" s="817">
        <f t="shared" si="15"/>
        <v>41</v>
      </c>
      <c r="B60" s="1050">
        <v>7000023516</v>
      </c>
      <c r="C60" s="1050">
        <v>1170</v>
      </c>
      <c r="D60" s="1050">
        <v>1540</v>
      </c>
      <c r="E60" s="1050">
        <v>10</v>
      </c>
      <c r="F60" s="1050" t="s">
        <v>792</v>
      </c>
      <c r="G60" s="1050">
        <v>100000896</v>
      </c>
      <c r="H60" s="1050">
        <v>998736</v>
      </c>
      <c r="I60" s="1026"/>
      <c r="J60" s="1050">
        <v>18</v>
      </c>
      <c r="K60" s="1027"/>
      <c r="L60" s="1048" t="s">
        <v>651</v>
      </c>
      <c r="M60" s="1050" t="s">
        <v>578</v>
      </c>
      <c r="N60" s="1050">
        <v>2</v>
      </c>
      <c r="O60" s="1026"/>
      <c r="P60" s="1073" t="str">
        <f t="shared" si="16"/>
        <v>Included</v>
      </c>
      <c r="Q60" s="1073">
        <f t="shared" si="17"/>
        <v>0</v>
      </c>
      <c r="R60" s="665">
        <f t="shared" si="18"/>
        <v>0</v>
      </c>
      <c r="S60" s="665">
        <f t="shared" si="14"/>
        <v>0</v>
      </c>
      <c r="T60" s="666"/>
      <c r="U60" s="666"/>
      <c r="AD60" s="799"/>
    </row>
    <row r="61" spans="1:30" s="665" customFormat="1">
      <c r="A61" s="817">
        <f t="shared" si="15"/>
        <v>42</v>
      </c>
      <c r="B61" s="1050">
        <v>7000023516</v>
      </c>
      <c r="C61" s="1050">
        <v>1170</v>
      </c>
      <c r="D61" s="1050">
        <v>1540</v>
      </c>
      <c r="E61" s="1050">
        <v>40</v>
      </c>
      <c r="F61" s="1050" t="s">
        <v>792</v>
      </c>
      <c r="G61" s="1050">
        <v>100000903</v>
      </c>
      <c r="H61" s="1050">
        <v>998736</v>
      </c>
      <c r="I61" s="1026"/>
      <c r="J61" s="1050">
        <v>18</v>
      </c>
      <c r="K61" s="1027"/>
      <c r="L61" s="1048" t="s">
        <v>807</v>
      </c>
      <c r="M61" s="1050" t="s">
        <v>578</v>
      </c>
      <c r="N61" s="1050">
        <v>2</v>
      </c>
      <c r="O61" s="1026"/>
      <c r="P61" s="1073" t="str">
        <f t="shared" si="16"/>
        <v>Included</v>
      </c>
      <c r="Q61" s="1073">
        <f t="shared" si="17"/>
        <v>0</v>
      </c>
      <c r="R61" s="665">
        <f t="shared" si="18"/>
        <v>0</v>
      </c>
      <c r="S61" s="665">
        <f t="shared" si="14"/>
        <v>0</v>
      </c>
      <c r="T61" s="666"/>
      <c r="U61" s="666"/>
      <c r="AD61" s="799"/>
    </row>
    <row r="62" spans="1:30" s="665" customFormat="1">
      <c r="A62" s="817">
        <f t="shared" si="15"/>
        <v>43</v>
      </c>
      <c r="B62" s="1050">
        <v>7000023516</v>
      </c>
      <c r="C62" s="1050">
        <v>1170</v>
      </c>
      <c r="D62" s="1050">
        <v>1540</v>
      </c>
      <c r="E62" s="1050">
        <v>50</v>
      </c>
      <c r="F62" s="1050" t="s">
        <v>792</v>
      </c>
      <c r="G62" s="1050">
        <v>100000906</v>
      </c>
      <c r="H62" s="1050">
        <v>998736</v>
      </c>
      <c r="I62" s="1026"/>
      <c r="J62" s="1050">
        <v>18</v>
      </c>
      <c r="K62" s="1027"/>
      <c r="L62" s="1048" t="s">
        <v>808</v>
      </c>
      <c r="M62" s="1050" t="s">
        <v>578</v>
      </c>
      <c r="N62" s="1050">
        <v>2</v>
      </c>
      <c r="O62" s="1026"/>
      <c r="P62" s="1073" t="str">
        <f t="shared" si="16"/>
        <v>Included</v>
      </c>
      <c r="Q62" s="1073">
        <f t="shared" si="17"/>
        <v>0</v>
      </c>
      <c r="R62" s="665">
        <f t="shared" si="18"/>
        <v>0</v>
      </c>
      <c r="S62" s="665">
        <f t="shared" si="14"/>
        <v>0</v>
      </c>
      <c r="T62" s="666"/>
      <c r="U62" s="666"/>
      <c r="AD62" s="799"/>
    </row>
    <row r="63" spans="1:30" s="665" customFormat="1" ht="28.8">
      <c r="A63" s="817">
        <f t="shared" si="15"/>
        <v>44</v>
      </c>
      <c r="B63" s="1050">
        <v>7000023516</v>
      </c>
      <c r="C63" s="1050">
        <v>1180</v>
      </c>
      <c r="D63" s="1050">
        <v>1590</v>
      </c>
      <c r="E63" s="1050">
        <v>10</v>
      </c>
      <c r="F63" s="1050" t="s">
        <v>793</v>
      </c>
      <c r="G63" s="1050">
        <v>100002180</v>
      </c>
      <c r="H63" s="1050">
        <v>998736</v>
      </c>
      <c r="I63" s="1026"/>
      <c r="J63" s="1050">
        <v>18</v>
      </c>
      <c r="K63" s="1027"/>
      <c r="L63" s="1048" t="s">
        <v>781</v>
      </c>
      <c r="M63" s="1050" t="s">
        <v>577</v>
      </c>
      <c r="N63" s="1050">
        <v>1</v>
      </c>
      <c r="O63" s="1026"/>
      <c r="P63" s="1073" t="str">
        <f t="shared" si="16"/>
        <v>Included</v>
      </c>
      <c r="Q63" s="1073">
        <f t="shared" si="17"/>
        <v>0</v>
      </c>
      <c r="R63" s="665">
        <f t="shared" si="18"/>
        <v>0</v>
      </c>
      <c r="S63" s="665">
        <f t="shared" si="14"/>
        <v>0</v>
      </c>
      <c r="T63" s="666"/>
      <c r="U63" s="666"/>
      <c r="AD63" s="799"/>
    </row>
    <row r="64" spans="1:30" s="665" customFormat="1" ht="28.8">
      <c r="A64" s="817">
        <f t="shared" si="15"/>
        <v>45</v>
      </c>
      <c r="B64" s="1050">
        <v>7000023516</v>
      </c>
      <c r="C64" s="1050">
        <v>1180</v>
      </c>
      <c r="D64" s="1050">
        <v>1590</v>
      </c>
      <c r="E64" s="1050">
        <v>20</v>
      </c>
      <c r="F64" s="1050" t="s">
        <v>793</v>
      </c>
      <c r="G64" s="1050">
        <v>100002181</v>
      </c>
      <c r="H64" s="1050">
        <v>998736</v>
      </c>
      <c r="I64" s="1026"/>
      <c r="J64" s="1050">
        <v>18</v>
      </c>
      <c r="K64" s="1027"/>
      <c r="L64" s="1048" t="s">
        <v>780</v>
      </c>
      <c r="M64" s="1050" t="s">
        <v>577</v>
      </c>
      <c r="N64" s="1050">
        <v>1</v>
      </c>
      <c r="O64" s="1026"/>
      <c r="P64" s="1073" t="str">
        <f>IF(O64=0, "Included", IF(ISERROR(N64*O64), O64, N64*O64))</f>
        <v>Included</v>
      </c>
      <c r="Q64" s="1073">
        <f>S64</f>
        <v>0</v>
      </c>
      <c r="R64" s="665">
        <f>IF(P64="Included",0,P64)</f>
        <v>0</v>
      </c>
      <c r="S64" s="665">
        <f t="shared" ref="S64:S120" si="19">IF(K64="",(R64*J64/100),(R64*K64/100))</f>
        <v>0</v>
      </c>
      <c r="T64" s="666"/>
      <c r="U64" s="666"/>
      <c r="AD64" s="799"/>
    </row>
    <row r="65" spans="1:30" s="665" customFormat="1" ht="28.8">
      <c r="A65" s="817">
        <f t="shared" si="15"/>
        <v>46</v>
      </c>
      <c r="B65" s="1050">
        <v>7000023516</v>
      </c>
      <c r="C65" s="1050">
        <v>1180</v>
      </c>
      <c r="D65" s="1050">
        <v>1590</v>
      </c>
      <c r="E65" s="1050">
        <v>30</v>
      </c>
      <c r="F65" s="1050" t="s">
        <v>793</v>
      </c>
      <c r="G65" s="1050">
        <v>100002182</v>
      </c>
      <c r="H65" s="1050">
        <v>998736</v>
      </c>
      <c r="I65" s="1026"/>
      <c r="J65" s="1050">
        <v>18</v>
      </c>
      <c r="K65" s="1027"/>
      <c r="L65" s="1048" t="s">
        <v>779</v>
      </c>
      <c r="M65" s="1050" t="s">
        <v>577</v>
      </c>
      <c r="N65" s="1050">
        <v>1</v>
      </c>
      <c r="O65" s="1026"/>
      <c r="P65" s="1073" t="str">
        <f>IF(O65=0, "Included", IF(ISERROR(N65*O65), O65, N65*O65))</f>
        <v>Included</v>
      </c>
      <c r="Q65" s="1073">
        <f>S65</f>
        <v>0</v>
      </c>
      <c r="R65" s="665">
        <f>IF(P65="Included",0,P65)</f>
        <v>0</v>
      </c>
      <c r="S65" s="665">
        <f t="shared" si="19"/>
        <v>0</v>
      </c>
      <c r="T65" s="666"/>
      <c r="U65" s="666"/>
      <c r="AD65" s="799"/>
    </row>
    <row r="66" spans="1:30" s="665" customFormat="1" ht="28.8">
      <c r="A66" s="817">
        <f t="shared" si="15"/>
        <v>47</v>
      </c>
      <c r="B66" s="1050">
        <v>7000023516</v>
      </c>
      <c r="C66" s="1050">
        <v>1200</v>
      </c>
      <c r="D66" s="1050">
        <v>1600</v>
      </c>
      <c r="E66" s="1050">
        <v>10</v>
      </c>
      <c r="F66" s="1050" t="s">
        <v>794</v>
      </c>
      <c r="G66" s="1050">
        <v>100001882</v>
      </c>
      <c r="H66" s="1050">
        <v>995463</v>
      </c>
      <c r="I66" s="1026"/>
      <c r="J66" s="1050">
        <v>18</v>
      </c>
      <c r="K66" s="1027"/>
      <c r="L66" s="1048" t="s">
        <v>583</v>
      </c>
      <c r="M66" s="1050" t="s">
        <v>578</v>
      </c>
      <c r="N66" s="1050">
        <v>3</v>
      </c>
      <c r="O66" s="1026"/>
      <c r="P66" s="1073" t="str">
        <f>IF(O66=0, "Included", IF(ISERROR(N66*O66), O66, N66*O66))</f>
        <v>Included</v>
      </c>
      <c r="Q66" s="1073">
        <f>S66</f>
        <v>0</v>
      </c>
      <c r="R66" s="665">
        <f>IF(P66="Included",0,P66)</f>
        <v>0</v>
      </c>
      <c r="S66" s="665">
        <f t="shared" si="19"/>
        <v>0</v>
      </c>
      <c r="T66" s="666"/>
      <c r="U66" s="666"/>
      <c r="AD66" s="799"/>
    </row>
    <row r="67" spans="1:30" s="665" customFormat="1" ht="28.8">
      <c r="A67" s="817">
        <f t="shared" si="15"/>
        <v>48</v>
      </c>
      <c r="B67" s="1050">
        <v>7000023516</v>
      </c>
      <c r="C67" s="1050">
        <v>1200</v>
      </c>
      <c r="D67" s="1050">
        <v>1600</v>
      </c>
      <c r="E67" s="1050">
        <v>30</v>
      </c>
      <c r="F67" s="1050" t="s">
        <v>794</v>
      </c>
      <c r="G67" s="1050">
        <v>100001881</v>
      </c>
      <c r="H67" s="1050">
        <v>995463</v>
      </c>
      <c r="I67" s="1026"/>
      <c r="J67" s="1050">
        <v>18</v>
      </c>
      <c r="K67" s="1027"/>
      <c r="L67" s="1048" t="s">
        <v>704</v>
      </c>
      <c r="M67" s="1050" t="s">
        <v>578</v>
      </c>
      <c r="N67" s="1050">
        <v>2</v>
      </c>
      <c r="O67" s="1026"/>
      <c r="P67" s="1073" t="str">
        <f t="shared" ref="P67:P70" si="20">IF(O67=0, "Included", IF(ISERROR(N67*O67), O67, N67*O67))</f>
        <v>Included</v>
      </c>
      <c r="Q67" s="1073">
        <f t="shared" ref="Q67:Q70" si="21">S67</f>
        <v>0</v>
      </c>
      <c r="R67" s="665">
        <f t="shared" ref="R67:R70" si="22">IF(P67="Included",0,P67)</f>
        <v>0</v>
      </c>
      <c r="S67" s="665">
        <f t="shared" si="19"/>
        <v>0</v>
      </c>
      <c r="T67" s="666"/>
      <c r="U67" s="666"/>
      <c r="AD67" s="799"/>
    </row>
    <row r="68" spans="1:30" s="665" customFormat="1" ht="28.8">
      <c r="A68" s="817">
        <f t="shared" si="15"/>
        <v>49</v>
      </c>
      <c r="B68" s="1050">
        <v>7000023516</v>
      </c>
      <c r="C68" s="1050">
        <v>1210</v>
      </c>
      <c r="D68" s="1050">
        <v>1610</v>
      </c>
      <c r="E68" s="1050">
        <v>10</v>
      </c>
      <c r="F68" s="1050" t="s">
        <v>795</v>
      </c>
      <c r="G68" s="1050">
        <v>100002062</v>
      </c>
      <c r="H68" s="1050">
        <v>995461</v>
      </c>
      <c r="I68" s="1026"/>
      <c r="J68" s="1050">
        <v>18</v>
      </c>
      <c r="K68" s="1027"/>
      <c r="L68" s="1048" t="s">
        <v>614</v>
      </c>
      <c r="M68" s="1050" t="s">
        <v>578</v>
      </c>
      <c r="N68" s="1050">
        <v>3</v>
      </c>
      <c r="O68" s="1026"/>
      <c r="P68" s="1073" t="str">
        <f t="shared" si="20"/>
        <v>Included</v>
      </c>
      <c r="Q68" s="1073">
        <f t="shared" si="21"/>
        <v>0</v>
      </c>
      <c r="R68" s="665">
        <f t="shared" si="22"/>
        <v>0</v>
      </c>
      <c r="S68" s="665">
        <f t="shared" si="19"/>
        <v>0</v>
      </c>
      <c r="T68" s="666"/>
      <c r="U68" s="666"/>
      <c r="AD68" s="799"/>
    </row>
    <row r="69" spans="1:30" s="665" customFormat="1" ht="43.2">
      <c r="A69" s="817">
        <f t="shared" si="15"/>
        <v>50</v>
      </c>
      <c r="B69" s="1050">
        <v>7000023516</v>
      </c>
      <c r="C69" s="1050">
        <v>1210</v>
      </c>
      <c r="D69" s="1050">
        <v>1610</v>
      </c>
      <c r="E69" s="1050">
        <v>30</v>
      </c>
      <c r="F69" s="1050" t="s">
        <v>795</v>
      </c>
      <c r="G69" s="1050">
        <v>100000983</v>
      </c>
      <c r="H69" s="1050">
        <v>998736</v>
      </c>
      <c r="I69" s="1026"/>
      <c r="J69" s="1050">
        <v>18</v>
      </c>
      <c r="K69" s="1027"/>
      <c r="L69" s="1048" t="s">
        <v>834</v>
      </c>
      <c r="M69" s="1050" t="s">
        <v>578</v>
      </c>
      <c r="N69" s="1050">
        <v>2</v>
      </c>
      <c r="O69" s="1026"/>
      <c r="P69" s="1073" t="str">
        <f t="shared" si="20"/>
        <v>Included</v>
      </c>
      <c r="Q69" s="1073">
        <f t="shared" si="21"/>
        <v>0</v>
      </c>
      <c r="R69" s="665">
        <f t="shared" si="22"/>
        <v>0</v>
      </c>
      <c r="S69" s="665">
        <f t="shared" si="19"/>
        <v>0</v>
      </c>
      <c r="T69" s="666"/>
      <c r="U69" s="666"/>
      <c r="AD69" s="799"/>
    </row>
    <row r="70" spans="1:30" s="665" customFormat="1" ht="28.8">
      <c r="A70" s="817">
        <f t="shared" si="15"/>
        <v>51</v>
      </c>
      <c r="B70" s="1050">
        <v>7000023516</v>
      </c>
      <c r="C70" s="1050">
        <v>1210</v>
      </c>
      <c r="D70" s="1050">
        <v>1610</v>
      </c>
      <c r="E70" s="1050">
        <v>20</v>
      </c>
      <c r="F70" s="1050" t="s">
        <v>795</v>
      </c>
      <c r="G70" s="1050">
        <v>100001871</v>
      </c>
      <c r="H70" s="1050">
        <v>995461</v>
      </c>
      <c r="I70" s="1026"/>
      <c r="J70" s="1050">
        <v>18</v>
      </c>
      <c r="K70" s="1027"/>
      <c r="L70" s="1048" t="s">
        <v>718</v>
      </c>
      <c r="M70" s="1050" t="s">
        <v>578</v>
      </c>
      <c r="N70" s="1050">
        <v>2</v>
      </c>
      <c r="O70" s="1026"/>
      <c r="P70" s="1073" t="str">
        <f t="shared" si="20"/>
        <v>Included</v>
      </c>
      <c r="Q70" s="1073">
        <f t="shared" si="21"/>
        <v>0</v>
      </c>
      <c r="R70" s="665">
        <f t="shared" si="22"/>
        <v>0</v>
      </c>
      <c r="S70" s="665">
        <f t="shared" si="19"/>
        <v>0</v>
      </c>
      <c r="T70" s="666"/>
      <c r="U70" s="666"/>
      <c r="AD70" s="799"/>
    </row>
    <row r="71" spans="1:30" s="665" customFormat="1">
      <c r="A71" s="817">
        <f t="shared" si="15"/>
        <v>52</v>
      </c>
      <c r="B71" s="1050">
        <v>7000023516</v>
      </c>
      <c r="C71" s="1050">
        <v>1220</v>
      </c>
      <c r="D71" s="1050">
        <v>1620</v>
      </c>
      <c r="E71" s="1050">
        <v>10</v>
      </c>
      <c r="F71" s="1050" t="s">
        <v>714</v>
      </c>
      <c r="G71" s="1050">
        <v>100001116</v>
      </c>
      <c r="H71" s="1050">
        <v>998739</v>
      </c>
      <c r="I71" s="1026"/>
      <c r="J71" s="1050">
        <v>18</v>
      </c>
      <c r="K71" s="1027"/>
      <c r="L71" s="1048" t="s">
        <v>589</v>
      </c>
      <c r="M71" s="1050" t="s">
        <v>578</v>
      </c>
      <c r="N71" s="1050">
        <v>3</v>
      </c>
      <c r="O71" s="1026"/>
      <c r="P71" s="1073" t="str">
        <f>IF(O71=0, "Included", IF(ISERROR(N71*O71), O71, N71*O71))</f>
        <v>Included</v>
      </c>
      <c r="Q71" s="1073">
        <f>S71</f>
        <v>0</v>
      </c>
      <c r="R71" s="665">
        <f>IF(P71="Included",0,P71)</f>
        <v>0</v>
      </c>
      <c r="S71" s="665">
        <f t="shared" si="19"/>
        <v>0</v>
      </c>
      <c r="T71" s="666"/>
      <c r="U71" s="666"/>
      <c r="AD71" s="799"/>
    </row>
    <row r="72" spans="1:30" s="665" customFormat="1">
      <c r="A72" s="817">
        <f t="shared" si="15"/>
        <v>53</v>
      </c>
      <c r="B72" s="1050">
        <v>7000023516</v>
      </c>
      <c r="C72" s="1050">
        <v>1220</v>
      </c>
      <c r="D72" s="1050">
        <v>1620</v>
      </c>
      <c r="E72" s="1050">
        <v>20</v>
      </c>
      <c r="F72" s="1050" t="s">
        <v>714</v>
      </c>
      <c r="G72" s="1050">
        <v>100001115</v>
      </c>
      <c r="H72" s="1050">
        <v>998739</v>
      </c>
      <c r="I72" s="1026"/>
      <c r="J72" s="1050">
        <v>18</v>
      </c>
      <c r="K72" s="1027"/>
      <c r="L72" s="1048" t="s">
        <v>703</v>
      </c>
      <c r="M72" s="1050" t="s">
        <v>578</v>
      </c>
      <c r="N72" s="1050">
        <v>2</v>
      </c>
      <c r="O72" s="1026"/>
      <c r="P72" s="1073" t="str">
        <f t="shared" ref="P72:P78" si="23">IF(O72=0, "Included", IF(ISERROR(N72*O72), O72, N72*O72))</f>
        <v>Included</v>
      </c>
      <c r="Q72" s="1073">
        <f t="shared" ref="Q72:Q78" si="24">S72</f>
        <v>0</v>
      </c>
      <c r="R72" s="665">
        <f t="shared" ref="R72:R78" si="25">IF(P72="Included",0,P72)</f>
        <v>0</v>
      </c>
      <c r="S72" s="665">
        <f t="shared" si="19"/>
        <v>0</v>
      </c>
      <c r="T72" s="666"/>
      <c r="U72" s="666"/>
      <c r="AD72" s="799"/>
    </row>
    <row r="73" spans="1:30" s="665" customFormat="1">
      <c r="A73" s="817">
        <f t="shared" si="15"/>
        <v>54</v>
      </c>
      <c r="B73" s="1050">
        <v>7000023516</v>
      </c>
      <c r="C73" s="1050">
        <v>1220</v>
      </c>
      <c r="D73" s="1050">
        <v>1620</v>
      </c>
      <c r="E73" s="1050">
        <v>30</v>
      </c>
      <c r="F73" s="1050" t="s">
        <v>714</v>
      </c>
      <c r="G73" s="1050">
        <v>100004852</v>
      </c>
      <c r="H73" s="1050">
        <v>998731</v>
      </c>
      <c r="I73" s="1026"/>
      <c r="J73" s="1050">
        <v>18</v>
      </c>
      <c r="K73" s="1027"/>
      <c r="L73" s="1048" t="s">
        <v>671</v>
      </c>
      <c r="M73" s="1050" t="s">
        <v>574</v>
      </c>
      <c r="N73" s="1050">
        <v>20</v>
      </c>
      <c r="O73" s="1026"/>
      <c r="P73" s="1073" t="str">
        <f t="shared" si="23"/>
        <v>Included</v>
      </c>
      <c r="Q73" s="1073">
        <f t="shared" si="24"/>
        <v>0</v>
      </c>
      <c r="R73" s="665">
        <f t="shared" si="25"/>
        <v>0</v>
      </c>
      <c r="S73" s="665">
        <f t="shared" si="19"/>
        <v>0</v>
      </c>
      <c r="T73" s="666"/>
      <c r="U73" s="666"/>
      <c r="AD73" s="799"/>
    </row>
    <row r="74" spans="1:30" s="665" customFormat="1">
      <c r="A74" s="817">
        <f t="shared" si="15"/>
        <v>55</v>
      </c>
      <c r="B74" s="1050">
        <v>7000023516</v>
      </c>
      <c r="C74" s="1050">
        <v>1220</v>
      </c>
      <c r="D74" s="1050">
        <v>1620</v>
      </c>
      <c r="E74" s="1050">
        <v>40</v>
      </c>
      <c r="F74" s="1050" t="s">
        <v>714</v>
      </c>
      <c r="G74" s="1050">
        <v>100004926</v>
      </c>
      <c r="H74" s="1050">
        <v>998731</v>
      </c>
      <c r="I74" s="1026"/>
      <c r="J74" s="1050">
        <v>18</v>
      </c>
      <c r="K74" s="1027"/>
      <c r="L74" s="1048" t="s">
        <v>672</v>
      </c>
      <c r="M74" s="1050" t="s">
        <v>574</v>
      </c>
      <c r="N74" s="1050">
        <v>20</v>
      </c>
      <c r="O74" s="1026"/>
      <c r="P74" s="1073" t="str">
        <f t="shared" si="23"/>
        <v>Included</v>
      </c>
      <c r="Q74" s="1073">
        <f t="shared" si="24"/>
        <v>0</v>
      </c>
      <c r="R74" s="665">
        <f t="shared" si="25"/>
        <v>0</v>
      </c>
      <c r="S74" s="665">
        <f t="shared" si="19"/>
        <v>0</v>
      </c>
      <c r="T74" s="666"/>
      <c r="U74" s="666"/>
      <c r="AD74" s="799"/>
    </row>
    <row r="75" spans="1:30" s="665" customFormat="1">
      <c r="A75" s="817">
        <f t="shared" si="15"/>
        <v>56</v>
      </c>
      <c r="B75" s="1050">
        <v>7000023516</v>
      </c>
      <c r="C75" s="1050">
        <v>1220</v>
      </c>
      <c r="D75" s="1050">
        <v>1620</v>
      </c>
      <c r="E75" s="1050">
        <v>50</v>
      </c>
      <c r="F75" s="1050" t="s">
        <v>714</v>
      </c>
      <c r="G75" s="1050">
        <v>100001021</v>
      </c>
      <c r="H75" s="1050">
        <v>995461</v>
      </c>
      <c r="I75" s="1026"/>
      <c r="J75" s="1050">
        <v>18</v>
      </c>
      <c r="K75" s="1027"/>
      <c r="L75" s="1048" t="s">
        <v>585</v>
      </c>
      <c r="M75" s="1050" t="s">
        <v>574</v>
      </c>
      <c r="N75" s="1050">
        <v>3</v>
      </c>
      <c r="O75" s="1026"/>
      <c r="P75" s="1073" t="str">
        <f t="shared" si="23"/>
        <v>Included</v>
      </c>
      <c r="Q75" s="1073">
        <f t="shared" si="24"/>
        <v>0</v>
      </c>
      <c r="R75" s="665">
        <f t="shared" si="25"/>
        <v>0</v>
      </c>
      <c r="S75" s="665">
        <f t="shared" si="19"/>
        <v>0</v>
      </c>
      <c r="T75" s="666"/>
      <c r="U75" s="666"/>
      <c r="AD75" s="799"/>
    </row>
    <row r="76" spans="1:30" s="665" customFormat="1">
      <c r="A76" s="817">
        <f t="shared" si="15"/>
        <v>57</v>
      </c>
      <c r="B76" s="1050">
        <v>7000023516</v>
      </c>
      <c r="C76" s="1050">
        <v>1220</v>
      </c>
      <c r="D76" s="1050">
        <v>1620</v>
      </c>
      <c r="E76" s="1050">
        <v>60</v>
      </c>
      <c r="F76" s="1050" t="s">
        <v>714</v>
      </c>
      <c r="G76" s="1050">
        <v>100004934</v>
      </c>
      <c r="H76" s="1050">
        <v>998731</v>
      </c>
      <c r="I76" s="1026"/>
      <c r="J76" s="1050">
        <v>18</v>
      </c>
      <c r="K76" s="1027"/>
      <c r="L76" s="1048" t="s">
        <v>835</v>
      </c>
      <c r="M76" s="1050" t="s">
        <v>574</v>
      </c>
      <c r="N76" s="1050">
        <v>16</v>
      </c>
      <c r="O76" s="1026"/>
      <c r="P76" s="1073" t="str">
        <f t="shared" si="23"/>
        <v>Included</v>
      </c>
      <c r="Q76" s="1073">
        <f t="shared" si="24"/>
        <v>0</v>
      </c>
      <c r="R76" s="665">
        <f t="shared" si="25"/>
        <v>0</v>
      </c>
      <c r="S76" s="665">
        <f t="shared" si="19"/>
        <v>0</v>
      </c>
      <c r="T76" s="666"/>
      <c r="U76" s="666"/>
      <c r="AD76" s="799"/>
    </row>
    <row r="77" spans="1:30" s="665" customFormat="1" ht="28.8">
      <c r="A77" s="817">
        <f t="shared" si="15"/>
        <v>58</v>
      </c>
      <c r="B77" s="1050">
        <v>7000023516</v>
      </c>
      <c r="C77" s="1050">
        <v>1220</v>
      </c>
      <c r="D77" s="1050">
        <v>1620</v>
      </c>
      <c r="E77" s="1050">
        <v>70</v>
      </c>
      <c r="F77" s="1050" t="s">
        <v>714</v>
      </c>
      <c r="G77" s="1050">
        <v>100004850</v>
      </c>
      <c r="H77" s="1050">
        <v>998731</v>
      </c>
      <c r="I77" s="1026"/>
      <c r="J77" s="1050">
        <v>18</v>
      </c>
      <c r="K77" s="1027"/>
      <c r="L77" s="1048" t="s">
        <v>836</v>
      </c>
      <c r="M77" s="1050" t="s">
        <v>574</v>
      </c>
      <c r="N77" s="1050">
        <v>16</v>
      </c>
      <c r="O77" s="1026"/>
      <c r="P77" s="1073" t="str">
        <f t="shared" si="23"/>
        <v>Included</v>
      </c>
      <c r="Q77" s="1073">
        <f t="shared" si="24"/>
        <v>0</v>
      </c>
      <c r="R77" s="665">
        <f t="shared" si="25"/>
        <v>0</v>
      </c>
      <c r="S77" s="665">
        <f t="shared" si="19"/>
        <v>0</v>
      </c>
      <c r="T77" s="666"/>
      <c r="U77" s="666"/>
      <c r="AD77" s="799"/>
    </row>
    <row r="78" spans="1:30" s="665" customFormat="1">
      <c r="A78" s="817">
        <f t="shared" si="15"/>
        <v>59</v>
      </c>
      <c r="B78" s="1050">
        <v>7000023516</v>
      </c>
      <c r="C78" s="1050">
        <v>1220</v>
      </c>
      <c r="D78" s="1050">
        <v>1620</v>
      </c>
      <c r="E78" s="1050">
        <v>80</v>
      </c>
      <c r="F78" s="1050" t="s">
        <v>714</v>
      </c>
      <c r="G78" s="1050">
        <v>100004937</v>
      </c>
      <c r="H78" s="1050">
        <v>998731</v>
      </c>
      <c r="I78" s="1026"/>
      <c r="J78" s="1050">
        <v>18</v>
      </c>
      <c r="K78" s="1027"/>
      <c r="L78" s="1048" t="s">
        <v>673</v>
      </c>
      <c r="M78" s="1050" t="s">
        <v>574</v>
      </c>
      <c r="N78" s="1050">
        <v>4</v>
      </c>
      <c r="O78" s="1026"/>
      <c r="P78" s="1073" t="str">
        <f t="shared" si="23"/>
        <v>Included</v>
      </c>
      <c r="Q78" s="1073">
        <f t="shared" si="24"/>
        <v>0</v>
      </c>
      <c r="R78" s="665">
        <f t="shared" si="25"/>
        <v>0</v>
      </c>
      <c r="S78" s="665">
        <f t="shared" si="19"/>
        <v>0</v>
      </c>
      <c r="T78" s="666"/>
      <c r="U78" s="666"/>
      <c r="AD78" s="799"/>
    </row>
    <row r="79" spans="1:30" s="665" customFormat="1" ht="28.8">
      <c r="A79" s="817">
        <f t="shared" si="15"/>
        <v>60</v>
      </c>
      <c r="B79" s="1050">
        <v>7000023516</v>
      </c>
      <c r="C79" s="1050">
        <v>1220</v>
      </c>
      <c r="D79" s="1050">
        <v>1620</v>
      </c>
      <c r="E79" s="1050">
        <v>90</v>
      </c>
      <c r="F79" s="1050" t="s">
        <v>714</v>
      </c>
      <c r="G79" s="1050">
        <v>100001052</v>
      </c>
      <c r="H79" s="1050">
        <v>998731</v>
      </c>
      <c r="I79" s="1026"/>
      <c r="J79" s="1050">
        <v>18</v>
      </c>
      <c r="K79" s="1027"/>
      <c r="L79" s="1048" t="s">
        <v>615</v>
      </c>
      <c r="M79" s="1050" t="s">
        <v>574</v>
      </c>
      <c r="N79" s="1050">
        <v>2</v>
      </c>
      <c r="O79" s="1026"/>
      <c r="P79" s="1073" t="str">
        <f>IF(O79=0, "Included", IF(ISERROR(N79*O79), O79, N79*O79))</f>
        <v>Included</v>
      </c>
      <c r="Q79" s="1073">
        <f>S79</f>
        <v>0</v>
      </c>
      <c r="R79" s="665">
        <f>IF(P79="Included",0,P79)</f>
        <v>0</v>
      </c>
      <c r="S79" s="665">
        <f t="shared" si="19"/>
        <v>0</v>
      </c>
      <c r="T79" s="666"/>
      <c r="U79" s="666"/>
      <c r="AD79" s="799"/>
    </row>
    <row r="80" spans="1:30" s="665" customFormat="1">
      <c r="A80" s="817">
        <f t="shared" si="15"/>
        <v>61</v>
      </c>
      <c r="B80" s="1050">
        <v>7000023516</v>
      </c>
      <c r="C80" s="1050">
        <v>1220</v>
      </c>
      <c r="D80" s="1050">
        <v>1620</v>
      </c>
      <c r="E80" s="1050">
        <v>100</v>
      </c>
      <c r="F80" s="1050" t="s">
        <v>714</v>
      </c>
      <c r="G80" s="1050">
        <v>100001885</v>
      </c>
      <c r="H80" s="1050">
        <v>998739</v>
      </c>
      <c r="I80" s="1026"/>
      <c r="J80" s="1050">
        <v>18</v>
      </c>
      <c r="K80" s="1027"/>
      <c r="L80" s="1048" t="s">
        <v>587</v>
      </c>
      <c r="M80" s="1050" t="s">
        <v>574</v>
      </c>
      <c r="N80" s="1050">
        <v>1</v>
      </c>
      <c r="O80" s="1026"/>
      <c r="P80" s="1073" t="str">
        <f>IF(O80=0, "Included", IF(ISERROR(N80*O80), O80, N80*O80))</f>
        <v>Included</v>
      </c>
      <c r="Q80" s="1073">
        <f>S80</f>
        <v>0</v>
      </c>
      <c r="R80" s="665">
        <f>IF(P80="Included",0,P80)</f>
        <v>0</v>
      </c>
      <c r="S80" s="665">
        <f t="shared" si="19"/>
        <v>0</v>
      </c>
      <c r="T80" s="666"/>
      <c r="U80" s="666"/>
      <c r="AD80" s="799"/>
    </row>
    <row r="81" spans="1:30" s="665" customFormat="1" ht="43.2">
      <c r="A81" s="817">
        <f t="shared" si="15"/>
        <v>62</v>
      </c>
      <c r="B81" s="1050">
        <v>7000023516</v>
      </c>
      <c r="C81" s="1050">
        <v>1230</v>
      </c>
      <c r="D81" s="1050">
        <v>1660</v>
      </c>
      <c r="E81" s="1050">
        <v>50</v>
      </c>
      <c r="F81" s="1050" t="s">
        <v>762</v>
      </c>
      <c r="G81" s="1050">
        <v>100001214</v>
      </c>
      <c r="H81" s="1050">
        <v>995455</v>
      </c>
      <c r="I81" s="1026"/>
      <c r="J81" s="1050">
        <v>18</v>
      </c>
      <c r="K81" s="1027"/>
      <c r="L81" s="1048" t="s">
        <v>601</v>
      </c>
      <c r="M81" s="1050" t="s">
        <v>574</v>
      </c>
      <c r="N81" s="1050">
        <v>4</v>
      </c>
      <c r="O81" s="1026"/>
      <c r="P81" s="1073" t="str">
        <f>IF(O81=0, "Included", IF(ISERROR(N81*O81), O81, N81*O81))</f>
        <v>Included</v>
      </c>
      <c r="Q81" s="1073">
        <f>S81</f>
        <v>0</v>
      </c>
      <c r="R81" s="665">
        <f>IF(P81="Included",0,P81)</f>
        <v>0</v>
      </c>
      <c r="S81" s="665">
        <f t="shared" si="19"/>
        <v>0</v>
      </c>
      <c r="T81" s="666"/>
      <c r="U81" s="666"/>
      <c r="AD81" s="799"/>
    </row>
    <row r="82" spans="1:30" s="665" customFormat="1" ht="43.2">
      <c r="A82" s="817">
        <f t="shared" si="15"/>
        <v>63</v>
      </c>
      <c r="B82" s="1050">
        <v>7000023516</v>
      </c>
      <c r="C82" s="1050">
        <v>1230</v>
      </c>
      <c r="D82" s="1050">
        <v>1660</v>
      </c>
      <c r="E82" s="1050">
        <v>60</v>
      </c>
      <c r="F82" s="1050" t="s">
        <v>762</v>
      </c>
      <c r="G82" s="1050">
        <v>100001212</v>
      </c>
      <c r="H82" s="1050">
        <v>995455</v>
      </c>
      <c r="I82" s="1026"/>
      <c r="J82" s="1050">
        <v>18</v>
      </c>
      <c r="K82" s="1027"/>
      <c r="L82" s="1048" t="s">
        <v>616</v>
      </c>
      <c r="M82" s="1050" t="s">
        <v>574</v>
      </c>
      <c r="N82" s="1050">
        <v>6</v>
      </c>
      <c r="O82" s="1026"/>
      <c r="P82" s="1073" t="str">
        <f t="shared" ref="P82:P87" si="26">IF(O82=0, "Included", IF(ISERROR(N82*O82), O82, N82*O82))</f>
        <v>Included</v>
      </c>
      <c r="Q82" s="1073">
        <f t="shared" ref="Q82:Q87" si="27">S82</f>
        <v>0</v>
      </c>
      <c r="R82" s="665">
        <f t="shared" ref="R82:R87" si="28">IF(P82="Included",0,P82)</f>
        <v>0</v>
      </c>
      <c r="S82" s="665">
        <f t="shared" si="19"/>
        <v>0</v>
      </c>
      <c r="T82" s="666"/>
      <c r="U82" s="666"/>
      <c r="AD82" s="799"/>
    </row>
    <row r="83" spans="1:30" s="665" customFormat="1" ht="43.2">
      <c r="A83" s="817">
        <f t="shared" si="15"/>
        <v>64</v>
      </c>
      <c r="B83" s="1050">
        <v>7000023516</v>
      </c>
      <c r="C83" s="1050">
        <v>1230</v>
      </c>
      <c r="D83" s="1050">
        <v>1660</v>
      </c>
      <c r="E83" s="1050">
        <v>70</v>
      </c>
      <c r="F83" s="1050" t="s">
        <v>762</v>
      </c>
      <c r="G83" s="1050">
        <v>100001216</v>
      </c>
      <c r="H83" s="1050">
        <v>995455</v>
      </c>
      <c r="I83" s="1026"/>
      <c r="J83" s="1050">
        <v>18</v>
      </c>
      <c r="K83" s="1027"/>
      <c r="L83" s="1048" t="s">
        <v>602</v>
      </c>
      <c r="M83" s="1050" t="s">
        <v>574</v>
      </c>
      <c r="N83" s="1050">
        <v>6</v>
      </c>
      <c r="O83" s="1026"/>
      <c r="P83" s="1073" t="str">
        <f t="shared" si="26"/>
        <v>Included</v>
      </c>
      <c r="Q83" s="1073">
        <f t="shared" si="27"/>
        <v>0</v>
      </c>
      <c r="R83" s="665">
        <f t="shared" si="28"/>
        <v>0</v>
      </c>
      <c r="S83" s="665">
        <f t="shared" si="19"/>
        <v>0</v>
      </c>
      <c r="T83" s="666"/>
      <c r="U83" s="666"/>
      <c r="AD83" s="799"/>
    </row>
    <row r="84" spans="1:30" s="665" customFormat="1" ht="43.2">
      <c r="A84" s="817">
        <f t="shared" si="15"/>
        <v>65</v>
      </c>
      <c r="B84" s="1050">
        <v>7000023516</v>
      </c>
      <c r="C84" s="1050">
        <v>1230</v>
      </c>
      <c r="D84" s="1050">
        <v>1660</v>
      </c>
      <c r="E84" s="1050">
        <v>80</v>
      </c>
      <c r="F84" s="1050" t="s">
        <v>762</v>
      </c>
      <c r="G84" s="1050">
        <v>100001217</v>
      </c>
      <c r="H84" s="1050">
        <v>995455</v>
      </c>
      <c r="I84" s="1026"/>
      <c r="J84" s="1050">
        <v>18</v>
      </c>
      <c r="K84" s="1027"/>
      <c r="L84" s="1048" t="s">
        <v>600</v>
      </c>
      <c r="M84" s="1050" t="s">
        <v>574</v>
      </c>
      <c r="N84" s="1050">
        <v>6</v>
      </c>
      <c r="O84" s="1026"/>
      <c r="P84" s="1073" t="str">
        <f t="shared" si="26"/>
        <v>Included</v>
      </c>
      <c r="Q84" s="1073">
        <f t="shared" si="27"/>
        <v>0</v>
      </c>
      <c r="R84" s="665">
        <f t="shared" si="28"/>
        <v>0</v>
      </c>
      <c r="S84" s="665">
        <f t="shared" si="19"/>
        <v>0</v>
      </c>
      <c r="T84" s="666"/>
      <c r="U84" s="666"/>
      <c r="AD84" s="799"/>
    </row>
    <row r="85" spans="1:30" s="665" customFormat="1" ht="43.2">
      <c r="A85" s="817">
        <f t="shared" si="15"/>
        <v>66</v>
      </c>
      <c r="B85" s="1050">
        <v>7000023516</v>
      </c>
      <c r="C85" s="1050">
        <v>1240</v>
      </c>
      <c r="D85" s="1050">
        <v>1671</v>
      </c>
      <c r="E85" s="1050">
        <v>50</v>
      </c>
      <c r="F85" s="1050" t="s">
        <v>738</v>
      </c>
      <c r="G85" s="1050">
        <v>100001204</v>
      </c>
      <c r="H85" s="1050">
        <v>995455</v>
      </c>
      <c r="I85" s="1026"/>
      <c r="J85" s="1050">
        <v>18</v>
      </c>
      <c r="K85" s="1027"/>
      <c r="L85" s="1048" t="s">
        <v>688</v>
      </c>
      <c r="M85" s="1050" t="s">
        <v>574</v>
      </c>
      <c r="N85" s="1050">
        <v>21</v>
      </c>
      <c r="O85" s="1026"/>
      <c r="P85" s="1073" t="str">
        <f t="shared" si="26"/>
        <v>Included</v>
      </c>
      <c r="Q85" s="1073">
        <f t="shared" si="27"/>
        <v>0</v>
      </c>
      <c r="R85" s="665">
        <f t="shared" si="28"/>
        <v>0</v>
      </c>
      <c r="S85" s="665">
        <f t="shared" si="19"/>
        <v>0</v>
      </c>
      <c r="T85" s="666"/>
      <c r="U85" s="666"/>
      <c r="AD85" s="799"/>
    </row>
    <row r="86" spans="1:30" s="665" customFormat="1" ht="43.2">
      <c r="A86" s="817">
        <f t="shared" si="15"/>
        <v>67</v>
      </c>
      <c r="B86" s="1050">
        <v>7000023516</v>
      </c>
      <c r="C86" s="1050">
        <v>1240</v>
      </c>
      <c r="D86" s="1050">
        <v>1671</v>
      </c>
      <c r="E86" s="1050">
        <v>60</v>
      </c>
      <c r="F86" s="1050" t="s">
        <v>738</v>
      </c>
      <c r="G86" s="1050">
        <v>100001205</v>
      </c>
      <c r="H86" s="1050">
        <v>995455</v>
      </c>
      <c r="I86" s="1026"/>
      <c r="J86" s="1050">
        <v>18</v>
      </c>
      <c r="K86" s="1027"/>
      <c r="L86" s="1048" t="s">
        <v>675</v>
      </c>
      <c r="M86" s="1050" t="s">
        <v>574</v>
      </c>
      <c r="N86" s="1050">
        <v>14</v>
      </c>
      <c r="O86" s="1026"/>
      <c r="P86" s="1073" t="str">
        <f t="shared" si="26"/>
        <v>Included</v>
      </c>
      <c r="Q86" s="1073">
        <f t="shared" si="27"/>
        <v>0</v>
      </c>
      <c r="R86" s="665">
        <f t="shared" si="28"/>
        <v>0</v>
      </c>
      <c r="S86" s="665">
        <f t="shared" si="19"/>
        <v>0</v>
      </c>
      <c r="T86" s="666"/>
      <c r="U86" s="666"/>
      <c r="AD86" s="799"/>
    </row>
    <row r="87" spans="1:30" s="665" customFormat="1" ht="43.2">
      <c r="A87" s="817">
        <f t="shared" si="15"/>
        <v>68</v>
      </c>
      <c r="B87" s="1050">
        <v>7000023516</v>
      </c>
      <c r="C87" s="1050">
        <v>1240</v>
      </c>
      <c r="D87" s="1050">
        <v>1671</v>
      </c>
      <c r="E87" s="1050">
        <v>70</v>
      </c>
      <c r="F87" s="1050" t="s">
        <v>738</v>
      </c>
      <c r="G87" s="1050">
        <v>100001183</v>
      </c>
      <c r="H87" s="1050">
        <v>995455</v>
      </c>
      <c r="I87" s="1026"/>
      <c r="J87" s="1050">
        <v>18</v>
      </c>
      <c r="K87" s="1027"/>
      <c r="L87" s="1048" t="s">
        <v>775</v>
      </c>
      <c r="M87" s="1050" t="s">
        <v>574</v>
      </c>
      <c r="N87" s="1050">
        <v>12</v>
      </c>
      <c r="O87" s="1026"/>
      <c r="P87" s="1073" t="str">
        <f t="shared" si="26"/>
        <v>Included</v>
      </c>
      <c r="Q87" s="1073">
        <f t="shared" si="27"/>
        <v>0</v>
      </c>
      <c r="R87" s="665">
        <f t="shared" si="28"/>
        <v>0</v>
      </c>
      <c r="S87" s="665">
        <f t="shared" si="19"/>
        <v>0</v>
      </c>
      <c r="T87" s="666"/>
      <c r="U87" s="666"/>
      <c r="AD87" s="799"/>
    </row>
    <row r="88" spans="1:30" s="665" customFormat="1" ht="43.2">
      <c r="A88" s="817">
        <f t="shared" si="15"/>
        <v>69</v>
      </c>
      <c r="B88" s="1050">
        <v>7000023516</v>
      </c>
      <c r="C88" s="1050">
        <v>1240</v>
      </c>
      <c r="D88" s="1050">
        <v>1671</v>
      </c>
      <c r="E88" s="1050">
        <v>80</v>
      </c>
      <c r="F88" s="1050" t="s">
        <v>738</v>
      </c>
      <c r="G88" s="1050">
        <v>100001185</v>
      </c>
      <c r="H88" s="1050">
        <v>995455</v>
      </c>
      <c r="I88" s="1026"/>
      <c r="J88" s="1050">
        <v>18</v>
      </c>
      <c r="K88" s="1027"/>
      <c r="L88" s="1048" t="s">
        <v>837</v>
      </c>
      <c r="M88" s="1050" t="s">
        <v>574</v>
      </c>
      <c r="N88" s="1050">
        <v>12</v>
      </c>
      <c r="O88" s="1026"/>
      <c r="P88" s="1073" t="str">
        <f>IF(O88=0, "Included", IF(ISERROR(N88*O88), O88, N88*O88))</f>
        <v>Included</v>
      </c>
      <c r="Q88" s="1073">
        <f>S88</f>
        <v>0</v>
      </c>
      <c r="R88" s="665">
        <f>IF(P88="Included",0,P88)</f>
        <v>0</v>
      </c>
      <c r="S88" s="665">
        <f t="shared" si="19"/>
        <v>0</v>
      </c>
      <c r="T88" s="666"/>
      <c r="U88" s="666"/>
      <c r="AD88" s="799"/>
    </row>
    <row r="89" spans="1:30" s="665" customFormat="1" ht="43.2">
      <c r="A89" s="817">
        <f t="shared" si="15"/>
        <v>70</v>
      </c>
      <c r="B89" s="1050">
        <v>7000023516</v>
      </c>
      <c r="C89" s="1050">
        <v>1240</v>
      </c>
      <c r="D89" s="1050">
        <v>1671</v>
      </c>
      <c r="E89" s="1050">
        <v>90</v>
      </c>
      <c r="F89" s="1050" t="s">
        <v>738</v>
      </c>
      <c r="G89" s="1050">
        <v>100001191</v>
      </c>
      <c r="H89" s="1050">
        <v>995455</v>
      </c>
      <c r="I89" s="1026"/>
      <c r="J89" s="1050">
        <v>18</v>
      </c>
      <c r="K89" s="1027"/>
      <c r="L89" s="1048" t="s">
        <v>674</v>
      </c>
      <c r="M89" s="1050" t="s">
        <v>574</v>
      </c>
      <c r="N89" s="1050">
        <v>1</v>
      </c>
      <c r="O89" s="1026"/>
      <c r="P89" s="1073" t="str">
        <f>IF(O89=0, "Included", IF(ISERROR(N89*O89), O89, N89*O89))</f>
        <v>Included</v>
      </c>
      <c r="Q89" s="1073">
        <f>S89</f>
        <v>0</v>
      </c>
      <c r="R89" s="665">
        <f>IF(P89="Included",0,P89)</f>
        <v>0</v>
      </c>
      <c r="S89" s="665">
        <f t="shared" si="19"/>
        <v>0</v>
      </c>
      <c r="T89" s="666"/>
      <c r="U89" s="666"/>
      <c r="AD89" s="799"/>
    </row>
    <row r="90" spans="1:30" s="665" customFormat="1" ht="43.2">
      <c r="A90" s="817">
        <f t="shared" si="15"/>
        <v>71</v>
      </c>
      <c r="B90" s="1050">
        <v>7000023516</v>
      </c>
      <c r="C90" s="1050">
        <v>1240</v>
      </c>
      <c r="D90" s="1050">
        <v>1671</v>
      </c>
      <c r="E90" s="1050">
        <v>100</v>
      </c>
      <c r="F90" s="1050" t="s">
        <v>738</v>
      </c>
      <c r="G90" s="1050">
        <v>100001198</v>
      </c>
      <c r="H90" s="1050">
        <v>995455</v>
      </c>
      <c r="I90" s="1026"/>
      <c r="J90" s="1050">
        <v>18</v>
      </c>
      <c r="K90" s="1027"/>
      <c r="L90" s="1048" t="s">
        <v>689</v>
      </c>
      <c r="M90" s="1050" t="s">
        <v>574</v>
      </c>
      <c r="N90" s="1050">
        <v>4</v>
      </c>
      <c r="O90" s="1026"/>
      <c r="P90" s="1073" t="str">
        <f>IF(O90=0, "Included", IF(ISERROR(N90*O90), O90, N90*O90))</f>
        <v>Included</v>
      </c>
      <c r="Q90" s="1073">
        <f>S90</f>
        <v>0</v>
      </c>
      <c r="R90" s="665">
        <f>IF(P90="Included",0,P90)</f>
        <v>0</v>
      </c>
      <c r="S90" s="665">
        <f t="shared" si="19"/>
        <v>0</v>
      </c>
      <c r="T90" s="666"/>
      <c r="U90" s="666"/>
      <c r="AD90" s="799"/>
    </row>
    <row r="91" spans="1:30" s="665" customFormat="1" ht="43.2">
      <c r="A91" s="817">
        <f t="shared" si="15"/>
        <v>72</v>
      </c>
      <c r="B91" s="1050">
        <v>7000023516</v>
      </c>
      <c r="C91" s="1050">
        <v>1240</v>
      </c>
      <c r="D91" s="1050">
        <v>1671</v>
      </c>
      <c r="E91" s="1050">
        <v>110</v>
      </c>
      <c r="F91" s="1050" t="s">
        <v>738</v>
      </c>
      <c r="G91" s="1050">
        <v>100001199</v>
      </c>
      <c r="H91" s="1050">
        <v>995455</v>
      </c>
      <c r="I91" s="1026"/>
      <c r="J91" s="1050">
        <v>18</v>
      </c>
      <c r="K91" s="1027"/>
      <c r="L91" s="1048" t="s">
        <v>690</v>
      </c>
      <c r="M91" s="1050" t="s">
        <v>574</v>
      </c>
      <c r="N91" s="1050">
        <v>4</v>
      </c>
      <c r="O91" s="1026"/>
      <c r="P91" s="1073" t="str">
        <f t="shared" ref="P91:P95" si="29">IF(O91=0, "Included", IF(ISERROR(N91*O91), O91, N91*O91))</f>
        <v>Included</v>
      </c>
      <c r="Q91" s="1073">
        <f t="shared" ref="Q91:Q95" si="30">S91</f>
        <v>0</v>
      </c>
      <c r="R91" s="665">
        <f t="shared" ref="R91:R95" si="31">IF(P91="Included",0,P91)</f>
        <v>0</v>
      </c>
      <c r="S91" s="665">
        <f t="shared" si="19"/>
        <v>0</v>
      </c>
      <c r="T91" s="666"/>
      <c r="U91" s="666"/>
      <c r="AD91" s="799"/>
    </row>
    <row r="92" spans="1:30" s="665" customFormat="1" ht="43.2">
      <c r="A92" s="817">
        <f t="shared" si="15"/>
        <v>73</v>
      </c>
      <c r="B92" s="1050">
        <v>7000023516</v>
      </c>
      <c r="C92" s="1050">
        <v>1240</v>
      </c>
      <c r="D92" s="1050">
        <v>1671</v>
      </c>
      <c r="E92" s="1050">
        <v>120</v>
      </c>
      <c r="F92" s="1050" t="s">
        <v>738</v>
      </c>
      <c r="G92" s="1050">
        <v>100001200</v>
      </c>
      <c r="H92" s="1050">
        <v>995455</v>
      </c>
      <c r="I92" s="1026"/>
      <c r="J92" s="1050">
        <v>18</v>
      </c>
      <c r="K92" s="1027"/>
      <c r="L92" s="1048" t="s">
        <v>776</v>
      </c>
      <c r="M92" s="1050" t="s">
        <v>574</v>
      </c>
      <c r="N92" s="1050">
        <v>8</v>
      </c>
      <c r="O92" s="1026"/>
      <c r="P92" s="1073" t="str">
        <f t="shared" si="29"/>
        <v>Included</v>
      </c>
      <c r="Q92" s="1073">
        <f t="shared" si="30"/>
        <v>0</v>
      </c>
      <c r="R92" s="665">
        <f t="shared" si="31"/>
        <v>0</v>
      </c>
      <c r="S92" s="665">
        <f t="shared" si="19"/>
        <v>0</v>
      </c>
      <c r="T92" s="666"/>
      <c r="U92" s="666"/>
      <c r="AD92" s="799"/>
    </row>
    <row r="93" spans="1:30" s="665" customFormat="1" ht="43.2">
      <c r="A93" s="817">
        <f t="shared" si="15"/>
        <v>74</v>
      </c>
      <c r="B93" s="1050">
        <v>7000023516</v>
      </c>
      <c r="C93" s="1050">
        <v>1240</v>
      </c>
      <c r="D93" s="1050">
        <v>1671</v>
      </c>
      <c r="E93" s="1050">
        <v>130</v>
      </c>
      <c r="F93" s="1050" t="s">
        <v>738</v>
      </c>
      <c r="G93" s="1050">
        <v>100001201</v>
      </c>
      <c r="H93" s="1050">
        <v>995455</v>
      </c>
      <c r="I93" s="1026"/>
      <c r="J93" s="1050">
        <v>18</v>
      </c>
      <c r="K93" s="1027"/>
      <c r="L93" s="1048" t="s">
        <v>777</v>
      </c>
      <c r="M93" s="1050" t="s">
        <v>574</v>
      </c>
      <c r="N93" s="1050">
        <v>1</v>
      </c>
      <c r="O93" s="1026"/>
      <c r="P93" s="1073" t="str">
        <f t="shared" si="29"/>
        <v>Included</v>
      </c>
      <c r="Q93" s="1073">
        <f t="shared" si="30"/>
        <v>0</v>
      </c>
      <c r="R93" s="665">
        <f t="shared" si="31"/>
        <v>0</v>
      </c>
      <c r="S93" s="665">
        <f t="shared" si="19"/>
        <v>0</v>
      </c>
      <c r="T93" s="666"/>
      <c r="U93" s="666"/>
      <c r="AD93" s="799"/>
    </row>
    <row r="94" spans="1:30" s="665" customFormat="1" ht="43.2">
      <c r="A94" s="817">
        <f t="shared" si="15"/>
        <v>75</v>
      </c>
      <c r="B94" s="1050">
        <v>7000023516</v>
      </c>
      <c r="C94" s="1050">
        <v>1240</v>
      </c>
      <c r="D94" s="1050">
        <v>1671</v>
      </c>
      <c r="E94" s="1050">
        <v>140</v>
      </c>
      <c r="F94" s="1050" t="s">
        <v>738</v>
      </c>
      <c r="G94" s="1050">
        <v>100001203</v>
      </c>
      <c r="H94" s="1050">
        <v>995455</v>
      </c>
      <c r="I94" s="1026"/>
      <c r="J94" s="1050">
        <v>18</v>
      </c>
      <c r="K94" s="1027"/>
      <c r="L94" s="1048" t="s">
        <v>778</v>
      </c>
      <c r="M94" s="1050" t="s">
        <v>574</v>
      </c>
      <c r="N94" s="1050">
        <v>3</v>
      </c>
      <c r="O94" s="1026"/>
      <c r="P94" s="1073" t="str">
        <f t="shared" si="29"/>
        <v>Included</v>
      </c>
      <c r="Q94" s="1073">
        <f t="shared" si="30"/>
        <v>0</v>
      </c>
      <c r="R94" s="665">
        <f t="shared" si="31"/>
        <v>0</v>
      </c>
      <c r="S94" s="665">
        <f t="shared" si="19"/>
        <v>0</v>
      </c>
      <c r="T94" s="666"/>
      <c r="U94" s="666"/>
      <c r="AD94" s="799"/>
    </row>
    <row r="95" spans="1:30" s="665" customFormat="1" ht="43.2">
      <c r="A95" s="817">
        <f t="shared" si="15"/>
        <v>76</v>
      </c>
      <c r="B95" s="1050">
        <v>7000023516</v>
      </c>
      <c r="C95" s="1050">
        <v>1250</v>
      </c>
      <c r="D95" s="1050">
        <v>1680</v>
      </c>
      <c r="E95" s="1050">
        <v>90</v>
      </c>
      <c r="F95" s="1050" t="s">
        <v>639</v>
      </c>
      <c r="G95" s="1050">
        <v>100001222</v>
      </c>
      <c r="H95" s="1050">
        <v>995455</v>
      </c>
      <c r="I95" s="1026"/>
      <c r="J95" s="1050">
        <v>18</v>
      </c>
      <c r="K95" s="1027"/>
      <c r="L95" s="1048" t="s">
        <v>679</v>
      </c>
      <c r="M95" s="1050" t="s">
        <v>574</v>
      </c>
      <c r="N95" s="1050">
        <v>29</v>
      </c>
      <c r="O95" s="1026"/>
      <c r="P95" s="1073" t="str">
        <f t="shared" si="29"/>
        <v>Included</v>
      </c>
      <c r="Q95" s="1073">
        <f t="shared" si="30"/>
        <v>0</v>
      </c>
      <c r="R95" s="665">
        <f t="shared" si="31"/>
        <v>0</v>
      </c>
      <c r="S95" s="665">
        <f t="shared" si="19"/>
        <v>0</v>
      </c>
      <c r="T95" s="666"/>
      <c r="U95" s="666"/>
      <c r="AD95" s="799"/>
    </row>
    <row r="96" spans="1:30" s="665" customFormat="1" ht="43.2">
      <c r="A96" s="817">
        <f t="shared" si="15"/>
        <v>77</v>
      </c>
      <c r="B96" s="1050">
        <v>7000023516</v>
      </c>
      <c r="C96" s="1050">
        <v>1250</v>
      </c>
      <c r="D96" s="1050">
        <v>1680</v>
      </c>
      <c r="E96" s="1050">
        <v>100</v>
      </c>
      <c r="F96" s="1050" t="s">
        <v>639</v>
      </c>
      <c r="G96" s="1050">
        <v>100001220</v>
      </c>
      <c r="H96" s="1050">
        <v>995455</v>
      </c>
      <c r="I96" s="1026"/>
      <c r="J96" s="1050">
        <v>18</v>
      </c>
      <c r="K96" s="1027"/>
      <c r="L96" s="1048" t="s">
        <v>678</v>
      </c>
      <c r="M96" s="1050" t="s">
        <v>574</v>
      </c>
      <c r="N96" s="1050">
        <v>24</v>
      </c>
      <c r="O96" s="1026"/>
      <c r="P96" s="1073" t="str">
        <f>IF(O96=0, "Included", IF(ISERROR(N96*O96), O96, N96*O96))</f>
        <v>Included</v>
      </c>
      <c r="Q96" s="1073">
        <f>S96</f>
        <v>0</v>
      </c>
      <c r="R96" s="665">
        <f>IF(P96="Included",0,P96)</f>
        <v>0</v>
      </c>
      <c r="S96" s="665">
        <f t="shared" si="19"/>
        <v>0</v>
      </c>
      <c r="T96" s="666"/>
      <c r="U96" s="666"/>
      <c r="AD96" s="799"/>
    </row>
    <row r="97" spans="1:30" s="665" customFormat="1" ht="43.2">
      <c r="A97" s="817">
        <f t="shared" si="15"/>
        <v>78</v>
      </c>
      <c r="B97" s="1050">
        <v>7000023516</v>
      </c>
      <c r="C97" s="1050">
        <v>1250</v>
      </c>
      <c r="D97" s="1050">
        <v>1680</v>
      </c>
      <c r="E97" s="1050">
        <v>110</v>
      </c>
      <c r="F97" s="1050" t="s">
        <v>639</v>
      </c>
      <c r="G97" s="1050">
        <v>100001221</v>
      </c>
      <c r="H97" s="1050">
        <v>995455</v>
      </c>
      <c r="I97" s="1026"/>
      <c r="J97" s="1050">
        <v>18</v>
      </c>
      <c r="K97" s="1027"/>
      <c r="L97" s="1048" t="s">
        <v>691</v>
      </c>
      <c r="M97" s="1050" t="s">
        <v>574</v>
      </c>
      <c r="N97" s="1050">
        <v>18</v>
      </c>
      <c r="O97" s="1026"/>
      <c r="P97" s="1073" t="str">
        <f t="shared" ref="P97:P103" si="32">IF(O97=0, "Included", IF(ISERROR(N97*O97), O97, N97*O97))</f>
        <v>Included</v>
      </c>
      <c r="Q97" s="1073">
        <f t="shared" ref="Q97:Q103" si="33">S97</f>
        <v>0</v>
      </c>
      <c r="R97" s="665">
        <f t="shared" ref="R97:R103" si="34">IF(P97="Included",0,P97)</f>
        <v>0</v>
      </c>
      <c r="S97" s="665">
        <f t="shared" si="19"/>
        <v>0</v>
      </c>
      <c r="T97" s="666"/>
      <c r="U97" s="666"/>
      <c r="AD97" s="799"/>
    </row>
    <row r="98" spans="1:30" s="665" customFormat="1" ht="43.2">
      <c r="A98" s="817">
        <f t="shared" si="15"/>
        <v>79</v>
      </c>
      <c r="B98" s="1050">
        <v>7000023516</v>
      </c>
      <c r="C98" s="1050">
        <v>1250</v>
      </c>
      <c r="D98" s="1050">
        <v>1680</v>
      </c>
      <c r="E98" s="1050">
        <v>120</v>
      </c>
      <c r="F98" s="1050" t="s">
        <v>639</v>
      </c>
      <c r="G98" s="1050">
        <v>100001224</v>
      </c>
      <c r="H98" s="1050">
        <v>995455</v>
      </c>
      <c r="I98" s="1026"/>
      <c r="J98" s="1050">
        <v>18</v>
      </c>
      <c r="K98" s="1027"/>
      <c r="L98" s="1048" t="s">
        <v>680</v>
      </c>
      <c r="M98" s="1050" t="s">
        <v>574</v>
      </c>
      <c r="N98" s="1050">
        <v>18</v>
      </c>
      <c r="O98" s="1026"/>
      <c r="P98" s="1073" t="str">
        <f t="shared" si="32"/>
        <v>Included</v>
      </c>
      <c r="Q98" s="1073">
        <f t="shared" si="33"/>
        <v>0</v>
      </c>
      <c r="R98" s="665">
        <f t="shared" si="34"/>
        <v>0</v>
      </c>
      <c r="S98" s="665">
        <f t="shared" si="19"/>
        <v>0</v>
      </c>
      <c r="T98" s="666"/>
      <c r="U98" s="666"/>
      <c r="AD98" s="799"/>
    </row>
    <row r="99" spans="1:30" s="665" customFormat="1" ht="43.2">
      <c r="A99" s="817">
        <f t="shared" si="15"/>
        <v>80</v>
      </c>
      <c r="B99" s="1050">
        <v>7000023516</v>
      </c>
      <c r="C99" s="1050">
        <v>1250</v>
      </c>
      <c r="D99" s="1050">
        <v>1680</v>
      </c>
      <c r="E99" s="1050">
        <v>130</v>
      </c>
      <c r="F99" s="1050" t="s">
        <v>639</v>
      </c>
      <c r="G99" s="1050">
        <v>100003521</v>
      </c>
      <c r="H99" s="1050">
        <v>995455</v>
      </c>
      <c r="I99" s="1026"/>
      <c r="J99" s="1050">
        <v>18</v>
      </c>
      <c r="K99" s="1027"/>
      <c r="L99" s="1048" t="s">
        <v>726</v>
      </c>
      <c r="M99" s="1050" t="s">
        <v>578</v>
      </c>
      <c r="N99" s="1050">
        <v>12</v>
      </c>
      <c r="O99" s="1026"/>
      <c r="P99" s="1073" t="str">
        <f t="shared" si="32"/>
        <v>Included</v>
      </c>
      <c r="Q99" s="1073">
        <f t="shared" si="33"/>
        <v>0</v>
      </c>
      <c r="R99" s="665">
        <f t="shared" si="34"/>
        <v>0</v>
      </c>
      <c r="S99" s="665">
        <f t="shared" si="19"/>
        <v>0</v>
      </c>
      <c r="T99" s="666"/>
      <c r="U99" s="666"/>
      <c r="AD99" s="799"/>
    </row>
    <row r="100" spans="1:30" s="665" customFormat="1" ht="43.2">
      <c r="A100" s="817">
        <f t="shared" si="15"/>
        <v>81</v>
      </c>
      <c r="B100" s="1050">
        <v>7000023516</v>
      </c>
      <c r="C100" s="1050">
        <v>1250</v>
      </c>
      <c r="D100" s="1050">
        <v>1680</v>
      </c>
      <c r="E100" s="1050">
        <v>140</v>
      </c>
      <c r="F100" s="1050" t="s">
        <v>639</v>
      </c>
      <c r="G100" s="1050">
        <v>100001225</v>
      </c>
      <c r="H100" s="1050">
        <v>995455</v>
      </c>
      <c r="I100" s="1026"/>
      <c r="J100" s="1050">
        <v>18</v>
      </c>
      <c r="K100" s="1027"/>
      <c r="L100" s="1048" t="s">
        <v>677</v>
      </c>
      <c r="M100" s="1050" t="s">
        <v>574</v>
      </c>
      <c r="N100" s="1050">
        <v>68</v>
      </c>
      <c r="O100" s="1026"/>
      <c r="P100" s="1073" t="str">
        <f t="shared" si="32"/>
        <v>Included</v>
      </c>
      <c r="Q100" s="1073">
        <f t="shared" si="33"/>
        <v>0</v>
      </c>
      <c r="R100" s="665">
        <f t="shared" si="34"/>
        <v>0</v>
      </c>
      <c r="S100" s="665">
        <f t="shared" si="19"/>
        <v>0</v>
      </c>
      <c r="T100" s="666"/>
      <c r="U100" s="666"/>
      <c r="AD100" s="799"/>
    </row>
    <row r="101" spans="1:30" s="665" customFormat="1" ht="43.2">
      <c r="A101" s="817">
        <f t="shared" si="15"/>
        <v>82</v>
      </c>
      <c r="B101" s="1050">
        <v>7000023516</v>
      </c>
      <c r="C101" s="1050">
        <v>1250</v>
      </c>
      <c r="D101" s="1050">
        <v>1680</v>
      </c>
      <c r="E101" s="1050">
        <v>150</v>
      </c>
      <c r="F101" s="1050" t="s">
        <v>639</v>
      </c>
      <c r="G101" s="1050">
        <v>100001226</v>
      </c>
      <c r="H101" s="1050">
        <v>995455</v>
      </c>
      <c r="I101" s="1026"/>
      <c r="J101" s="1050">
        <v>18</v>
      </c>
      <c r="K101" s="1027"/>
      <c r="L101" s="1048" t="s">
        <v>676</v>
      </c>
      <c r="M101" s="1050" t="s">
        <v>574</v>
      </c>
      <c r="N101" s="1050">
        <v>24</v>
      </c>
      <c r="O101" s="1026"/>
      <c r="P101" s="1073" t="str">
        <f t="shared" si="32"/>
        <v>Included</v>
      </c>
      <c r="Q101" s="1073">
        <f t="shared" si="33"/>
        <v>0</v>
      </c>
      <c r="R101" s="665">
        <f t="shared" si="34"/>
        <v>0</v>
      </c>
      <c r="S101" s="665">
        <f t="shared" si="19"/>
        <v>0</v>
      </c>
      <c r="T101" s="666"/>
      <c r="U101" s="666"/>
      <c r="AD101" s="799"/>
    </row>
    <row r="102" spans="1:30" s="665" customFormat="1" ht="28.8">
      <c r="A102" s="817">
        <f t="shared" si="15"/>
        <v>83</v>
      </c>
      <c r="B102" s="1050">
        <v>7000023516</v>
      </c>
      <c r="C102" s="1050">
        <v>1260</v>
      </c>
      <c r="D102" s="1050">
        <v>1710</v>
      </c>
      <c r="E102" s="1050">
        <v>10</v>
      </c>
      <c r="F102" s="1050" t="s">
        <v>797</v>
      </c>
      <c r="G102" s="1050">
        <v>100002069</v>
      </c>
      <c r="H102" s="1050">
        <v>998736</v>
      </c>
      <c r="I102" s="1026"/>
      <c r="J102" s="1050">
        <v>18</v>
      </c>
      <c r="K102" s="1027"/>
      <c r="L102" s="1048" t="s">
        <v>613</v>
      </c>
      <c r="M102" s="1050" t="s">
        <v>574</v>
      </c>
      <c r="N102" s="1050">
        <v>2</v>
      </c>
      <c r="O102" s="1026"/>
      <c r="P102" s="1073" t="str">
        <f t="shared" si="32"/>
        <v>Included</v>
      </c>
      <c r="Q102" s="1073">
        <f t="shared" si="33"/>
        <v>0</v>
      </c>
      <c r="R102" s="665">
        <f t="shared" si="34"/>
        <v>0</v>
      </c>
      <c r="S102" s="665">
        <f t="shared" si="19"/>
        <v>0</v>
      </c>
      <c r="T102" s="666"/>
      <c r="U102" s="666"/>
      <c r="AD102" s="799"/>
    </row>
    <row r="103" spans="1:30" s="665" customFormat="1" ht="28.8">
      <c r="A103" s="817">
        <f t="shared" si="15"/>
        <v>84</v>
      </c>
      <c r="B103" s="1050">
        <v>7000023516</v>
      </c>
      <c r="C103" s="1050">
        <v>1270</v>
      </c>
      <c r="D103" s="1050">
        <v>1730</v>
      </c>
      <c r="E103" s="1050">
        <v>10</v>
      </c>
      <c r="F103" s="1050" t="s">
        <v>798</v>
      </c>
      <c r="G103" s="1050">
        <v>100002070</v>
      </c>
      <c r="H103" s="1050">
        <v>998736</v>
      </c>
      <c r="I103" s="1026"/>
      <c r="J103" s="1050">
        <v>18</v>
      </c>
      <c r="K103" s="1027"/>
      <c r="L103" s="1048" t="s">
        <v>687</v>
      </c>
      <c r="M103" s="1050" t="s">
        <v>574</v>
      </c>
      <c r="N103" s="1050">
        <v>8</v>
      </c>
      <c r="O103" s="1026"/>
      <c r="P103" s="1073" t="str">
        <f t="shared" si="32"/>
        <v>Included</v>
      </c>
      <c r="Q103" s="1073">
        <f t="shared" si="33"/>
        <v>0</v>
      </c>
      <c r="R103" s="665">
        <f t="shared" si="34"/>
        <v>0</v>
      </c>
      <c r="S103" s="665">
        <f t="shared" si="19"/>
        <v>0</v>
      </c>
      <c r="T103" s="666"/>
      <c r="U103" s="666"/>
      <c r="AD103" s="799"/>
    </row>
    <row r="104" spans="1:30" s="665" customFormat="1" ht="43.2">
      <c r="A104" s="817">
        <f t="shared" si="15"/>
        <v>85</v>
      </c>
      <c r="B104" s="1050">
        <v>7000023516</v>
      </c>
      <c r="C104" s="1050">
        <v>1280</v>
      </c>
      <c r="D104" s="1050">
        <v>1820</v>
      </c>
      <c r="E104" s="1050">
        <v>10</v>
      </c>
      <c r="F104" s="1050" t="s">
        <v>598</v>
      </c>
      <c r="G104" s="1050">
        <v>100004518</v>
      </c>
      <c r="H104" s="1050">
        <v>995433</v>
      </c>
      <c r="I104" s="1026"/>
      <c r="J104" s="1050">
        <v>18</v>
      </c>
      <c r="K104" s="1027"/>
      <c r="L104" s="1048" t="s">
        <v>603</v>
      </c>
      <c r="M104" s="1050" t="s">
        <v>604</v>
      </c>
      <c r="N104" s="1050">
        <v>7963</v>
      </c>
      <c r="O104" s="1026"/>
      <c r="P104" s="1073" t="str">
        <f>IF(O104=0, "Included", IF(ISERROR(N104*O104), O104, N104*O104))</f>
        <v>Included</v>
      </c>
      <c r="Q104" s="1073">
        <f>S104</f>
        <v>0</v>
      </c>
      <c r="R104" s="665">
        <f>IF(P104="Included",0,P104)</f>
        <v>0</v>
      </c>
      <c r="S104" s="665">
        <f t="shared" si="19"/>
        <v>0</v>
      </c>
      <c r="T104" s="666"/>
      <c r="U104" s="666"/>
      <c r="AD104" s="799"/>
    </row>
    <row r="105" spans="1:30" s="665" customFormat="1">
      <c r="A105" s="817">
        <f t="shared" si="15"/>
        <v>86</v>
      </c>
      <c r="B105" s="1050">
        <v>7000023516</v>
      </c>
      <c r="C105" s="1050">
        <v>1280</v>
      </c>
      <c r="D105" s="1050">
        <v>1820</v>
      </c>
      <c r="E105" s="1050">
        <v>20</v>
      </c>
      <c r="F105" s="1050" t="s">
        <v>598</v>
      </c>
      <c r="G105" s="1050">
        <v>100001325</v>
      </c>
      <c r="H105" s="1050">
        <v>995454</v>
      </c>
      <c r="I105" s="1026"/>
      <c r="J105" s="1050">
        <v>18</v>
      </c>
      <c r="K105" s="1027"/>
      <c r="L105" s="1048" t="s">
        <v>605</v>
      </c>
      <c r="M105" s="1050" t="s">
        <v>604</v>
      </c>
      <c r="N105" s="1050">
        <v>847</v>
      </c>
      <c r="O105" s="1026"/>
      <c r="P105" s="1073" t="str">
        <f>IF(O105=0, "Included", IF(ISERROR(N105*O105), O105, N105*O105))</f>
        <v>Included</v>
      </c>
      <c r="Q105" s="1073">
        <f>S105</f>
        <v>0</v>
      </c>
      <c r="R105" s="665">
        <f>IF(P105="Included",0,P105)</f>
        <v>0</v>
      </c>
      <c r="S105" s="665">
        <f t="shared" si="19"/>
        <v>0</v>
      </c>
      <c r="T105" s="666"/>
      <c r="U105" s="666"/>
      <c r="AD105" s="799"/>
    </row>
    <row r="106" spans="1:30" s="665" customFormat="1">
      <c r="A106" s="817">
        <f t="shared" si="15"/>
        <v>87</v>
      </c>
      <c r="B106" s="1050">
        <v>7000023516</v>
      </c>
      <c r="C106" s="1050">
        <v>1280</v>
      </c>
      <c r="D106" s="1050">
        <v>1820</v>
      </c>
      <c r="E106" s="1050">
        <v>30</v>
      </c>
      <c r="F106" s="1050" t="s">
        <v>598</v>
      </c>
      <c r="G106" s="1050">
        <v>100001326</v>
      </c>
      <c r="H106" s="1050">
        <v>995454</v>
      </c>
      <c r="I106" s="1026"/>
      <c r="J106" s="1050">
        <v>18</v>
      </c>
      <c r="K106" s="1027"/>
      <c r="L106" s="1048" t="s">
        <v>619</v>
      </c>
      <c r="M106" s="1050" t="s">
        <v>604</v>
      </c>
      <c r="N106" s="1050">
        <v>66</v>
      </c>
      <c r="O106" s="1026"/>
      <c r="P106" s="1073" t="str">
        <f>IF(O106=0, "Included", IF(ISERROR(N106*O106), O106, N106*O106))</f>
        <v>Included</v>
      </c>
      <c r="Q106" s="1073">
        <f>S106</f>
        <v>0</v>
      </c>
      <c r="R106" s="665">
        <f>IF(P106="Included",0,P106)</f>
        <v>0</v>
      </c>
      <c r="S106" s="665">
        <f t="shared" si="19"/>
        <v>0</v>
      </c>
      <c r="T106" s="666"/>
      <c r="U106" s="666"/>
      <c r="AD106" s="799"/>
    </row>
    <row r="107" spans="1:30" s="665" customFormat="1" ht="28.8">
      <c r="A107" s="817">
        <f t="shared" si="15"/>
        <v>88</v>
      </c>
      <c r="B107" s="1050">
        <v>7000023516</v>
      </c>
      <c r="C107" s="1050">
        <v>1280</v>
      </c>
      <c r="D107" s="1050">
        <v>1820</v>
      </c>
      <c r="E107" s="1050">
        <v>40</v>
      </c>
      <c r="F107" s="1050" t="s">
        <v>598</v>
      </c>
      <c r="G107" s="1050">
        <v>100001328</v>
      </c>
      <c r="H107" s="1050">
        <v>995454</v>
      </c>
      <c r="I107" s="1026"/>
      <c r="J107" s="1050">
        <v>18</v>
      </c>
      <c r="K107" s="1027"/>
      <c r="L107" s="1048" t="s">
        <v>606</v>
      </c>
      <c r="M107" s="1050" t="s">
        <v>604</v>
      </c>
      <c r="N107" s="1050">
        <v>2057</v>
      </c>
      <c r="O107" s="1026"/>
      <c r="P107" s="1073" t="str">
        <f t="shared" ref="P107:P112" si="35">IF(O107=0, "Included", IF(ISERROR(N107*O107), O107, N107*O107))</f>
        <v>Included</v>
      </c>
      <c r="Q107" s="1073">
        <f t="shared" ref="Q107:Q112" si="36">S107</f>
        <v>0</v>
      </c>
      <c r="R107" s="665">
        <f t="shared" ref="R107:R112" si="37">IF(P107="Included",0,P107)</f>
        <v>0</v>
      </c>
      <c r="S107" s="665">
        <f t="shared" si="19"/>
        <v>0</v>
      </c>
      <c r="T107" s="666"/>
      <c r="U107" s="666"/>
      <c r="AD107" s="799"/>
    </row>
    <row r="108" spans="1:30" s="665" customFormat="1" ht="43.2">
      <c r="A108" s="817">
        <f t="shared" si="15"/>
        <v>89</v>
      </c>
      <c r="B108" s="1050">
        <v>7000023516</v>
      </c>
      <c r="C108" s="1050">
        <v>1280</v>
      </c>
      <c r="D108" s="1050">
        <v>1820</v>
      </c>
      <c r="E108" s="1050">
        <v>50</v>
      </c>
      <c r="F108" s="1050" t="s">
        <v>598</v>
      </c>
      <c r="G108" s="1050">
        <v>100001327</v>
      </c>
      <c r="H108" s="1050">
        <v>995454</v>
      </c>
      <c r="I108" s="1026"/>
      <c r="J108" s="1050">
        <v>18</v>
      </c>
      <c r="K108" s="1027"/>
      <c r="L108" s="1048" t="s">
        <v>620</v>
      </c>
      <c r="M108" s="1050" t="s">
        <v>604</v>
      </c>
      <c r="N108" s="1050">
        <v>3318</v>
      </c>
      <c r="O108" s="1026"/>
      <c r="P108" s="1073" t="str">
        <f t="shared" si="35"/>
        <v>Included</v>
      </c>
      <c r="Q108" s="1073">
        <f t="shared" si="36"/>
        <v>0</v>
      </c>
      <c r="R108" s="665">
        <f t="shared" si="37"/>
        <v>0</v>
      </c>
      <c r="S108" s="665">
        <f t="shared" si="19"/>
        <v>0</v>
      </c>
      <c r="T108" s="666"/>
      <c r="U108" s="666"/>
      <c r="AD108" s="799"/>
    </row>
    <row r="109" spans="1:30" s="665" customFormat="1">
      <c r="A109" s="817">
        <f t="shared" si="15"/>
        <v>90</v>
      </c>
      <c r="B109" s="1050">
        <v>7000023516</v>
      </c>
      <c r="C109" s="1050">
        <v>1280</v>
      </c>
      <c r="D109" s="1050">
        <v>1820</v>
      </c>
      <c r="E109" s="1050">
        <v>60</v>
      </c>
      <c r="F109" s="1050" t="s">
        <v>598</v>
      </c>
      <c r="G109" s="1050">
        <v>100001329</v>
      </c>
      <c r="H109" s="1050">
        <v>995454</v>
      </c>
      <c r="I109" s="1026"/>
      <c r="J109" s="1050">
        <v>18</v>
      </c>
      <c r="K109" s="1027"/>
      <c r="L109" s="1048" t="s">
        <v>607</v>
      </c>
      <c r="M109" s="1050" t="s">
        <v>596</v>
      </c>
      <c r="N109" s="1050">
        <v>512</v>
      </c>
      <c r="O109" s="1026"/>
      <c r="P109" s="1073" t="str">
        <f t="shared" si="35"/>
        <v>Included</v>
      </c>
      <c r="Q109" s="1073">
        <f t="shared" si="36"/>
        <v>0</v>
      </c>
      <c r="R109" s="665">
        <f t="shared" si="37"/>
        <v>0</v>
      </c>
      <c r="S109" s="665">
        <f t="shared" si="19"/>
        <v>0</v>
      </c>
      <c r="T109" s="666"/>
      <c r="U109" s="666"/>
      <c r="AD109" s="799"/>
    </row>
    <row r="110" spans="1:30" s="665" customFormat="1">
      <c r="A110" s="817">
        <f t="shared" si="15"/>
        <v>91</v>
      </c>
      <c r="B110" s="1050">
        <v>7000023516</v>
      </c>
      <c r="C110" s="1050">
        <v>1280</v>
      </c>
      <c r="D110" s="1050">
        <v>1820</v>
      </c>
      <c r="E110" s="1050">
        <v>70</v>
      </c>
      <c r="F110" s="1050" t="s">
        <v>598</v>
      </c>
      <c r="G110" s="1050">
        <v>100001330</v>
      </c>
      <c r="H110" s="1050">
        <v>995428</v>
      </c>
      <c r="I110" s="1026"/>
      <c r="J110" s="1050">
        <v>18</v>
      </c>
      <c r="K110" s="1027"/>
      <c r="L110" s="1048" t="s">
        <v>608</v>
      </c>
      <c r="M110" s="1050" t="s">
        <v>604</v>
      </c>
      <c r="N110" s="1050">
        <v>41</v>
      </c>
      <c r="O110" s="1026"/>
      <c r="P110" s="1073" t="str">
        <f t="shared" si="35"/>
        <v>Included</v>
      </c>
      <c r="Q110" s="1073">
        <f t="shared" si="36"/>
        <v>0</v>
      </c>
      <c r="R110" s="665">
        <f t="shared" si="37"/>
        <v>0</v>
      </c>
      <c r="S110" s="665">
        <f t="shared" si="19"/>
        <v>0</v>
      </c>
      <c r="T110" s="666"/>
      <c r="U110" s="666"/>
      <c r="AD110" s="799"/>
    </row>
    <row r="111" spans="1:30" s="665" customFormat="1" ht="43.2">
      <c r="A111" s="817">
        <f t="shared" si="15"/>
        <v>92</v>
      </c>
      <c r="B111" s="1050">
        <v>7000023516</v>
      </c>
      <c r="C111" s="1050">
        <v>1280</v>
      </c>
      <c r="D111" s="1050">
        <v>1820</v>
      </c>
      <c r="E111" s="1050">
        <v>80</v>
      </c>
      <c r="F111" s="1050" t="s">
        <v>598</v>
      </c>
      <c r="G111" s="1050">
        <v>100001331</v>
      </c>
      <c r="H111" s="1050">
        <v>995455</v>
      </c>
      <c r="I111" s="1026"/>
      <c r="J111" s="1050">
        <v>18</v>
      </c>
      <c r="K111" s="1027"/>
      <c r="L111" s="1048" t="s">
        <v>609</v>
      </c>
      <c r="M111" s="1050" t="s">
        <v>596</v>
      </c>
      <c r="N111" s="1050">
        <v>80</v>
      </c>
      <c r="O111" s="1026"/>
      <c r="P111" s="1073" t="str">
        <f t="shared" si="35"/>
        <v>Included</v>
      </c>
      <c r="Q111" s="1073">
        <f t="shared" si="36"/>
        <v>0</v>
      </c>
      <c r="R111" s="665">
        <f t="shared" si="37"/>
        <v>0</v>
      </c>
      <c r="S111" s="665">
        <f t="shared" si="19"/>
        <v>0</v>
      </c>
      <c r="T111" s="666"/>
      <c r="U111" s="666"/>
      <c r="AD111" s="799"/>
    </row>
    <row r="112" spans="1:30" s="665" customFormat="1">
      <c r="A112" s="817">
        <f t="shared" si="15"/>
        <v>93</v>
      </c>
      <c r="B112" s="1050">
        <v>7000023516</v>
      </c>
      <c r="C112" s="1050">
        <v>1280</v>
      </c>
      <c r="D112" s="1050">
        <v>1820</v>
      </c>
      <c r="E112" s="1050">
        <v>90</v>
      </c>
      <c r="F112" s="1050" t="s">
        <v>598</v>
      </c>
      <c r="G112" s="1050">
        <v>100001714</v>
      </c>
      <c r="H112" s="1050">
        <v>995428</v>
      </c>
      <c r="I112" s="1026"/>
      <c r="J112" s="1050">
        <v>18</v>
      </c>
      <c r="K112" s="1027"/>
      <c r="L112" s="1048" t="s">
        <v>627</v>
      </c>
      <c r="M112" s="1050" t="s">
        <v>611</v>
      </c>
      <c r="N112" s="1050">
        <v>23859</v>
      </c>
      <c r="O112" s="1026"/>
      <c r="P112" s="1073" t="str">
        <f t="shared" si="35"/>
        <v>Included</v>
      </c>
      <c r="Q112" s="1073">
        <f t="shared" si="36"/>
        <v>0</v>
      </c>
      <c r="R112" s="665">
        <f t="shared" si="37"/>
        <v>0</v>
      </c>
      <c r="S112" s="665">
        <f t="shared" si="19"/>
        <v>0</v>
      </c>
      <c r="T112" s="666"/>
      <c r="U112" s="666"/>
      <c r="AD112" s="799"/>
    </row>
    <row r="113" spans="1:30" s="665" customFormat="1">
      <c r="A113" s="817">
        <f t="shared" si="15"/>
        <v>94</v>
      </c>
      <c r="B113" s="1050">
        <v>7000023516</v>
      </c>
      <c r="C113" s="1050">
        <v>1280</v>
      </c>
      <c r="D113" s="1050">
        <v>1820</v>
      </c>
      <c r="E113" s="1050">
        <v>100</v>
      </c>
      <c r="F113" s="1050" t="s">
        <v>598</v>
      </c>
      <c r="G113" s="1050">
        <v>100001713</v>
      </c>
      <c r="H113" s="1050">
        <v>995424</v>
      </c>
      <c r="I113" s="1026"/>
      <c r="J113" s="1050">
        <v>18</v>
      </c>
      <c r="K113" s="1027"/>
      <c r="L113" s="1048" t="s">
        <v>610</v>
      </c>
      <c r="M113" s="1050" t="s">
        <v>611</v>
      </c>
      <c r="N113" s="1050">
        <v>27429</v>
      </c>
      <c r="O113" s="1026"/>
      <c r="P113" s="1073" t="str">
        <f>IF(O113=0, "Included", IF(ISERROR(N113*O113), O113, N113*O113))</f>
        <v>Included</v>
      </c>
      <c r="Q113" s="1073">
        <f>S113</f>
        <v>0</v>
      </c>
      <c r="R113" s="665">
        <f>IF(P113="Included",0,P113)</f>
        <v>0</v>
      </c>
      <c r="S113" s="665">
        <f t="shared" si="19"/>
        <v>0</v>
      </c>
      <c r="T113" s="666"/>
      <c r="U113" s="666"/>
      <c r="AD113" s="799"/>
    </row>
    <row r="114" spans="1:30" s="665" customFormat="1" ht="28.8">
      <c r="A114" s="817">
        <f t="shared" si="15"/>
        <v>95</v>
      </c>
      <c r="B114" s="1050">
        <v>7000023516</v>
      </c>
      <c r="C114" s="1050">
        <v>1280</v>
      </c>
      <c r="D114" s="1050">
        <v>1820</v>
      </c>
      <c r="E114" s="1050">
        <v>110</v>
      </c>
      <c r="F114" s="1050" t="s">
        <v>598</v>
      </c>
      <c r="G114" s="1050">
        <v>100001712</v>
      </c>
      <c r="H114" s="1050">
        <v>995428</v>
      </c>
      <c r="I114" s="1026"/>
      <c r="J114" s="1050">
        <v>18</v>
      </c>
      <c r="K114" s="1027"/>
      <c r="L114" s="1048" t="s">
        <v>724</v>
      </c>
      <c r="M114" s="1050" t="s">
        <v>611</v>
      </c>
      <c r="N114" s="1050">
        <v>3570</v>
      </c>
      <c r="O114" s="1026"/>
      <c r="P114" s="1073" t="str">
        <f>IF(O114=0, "Included", IF(ISERROR(N114*O114), O114, N114*O114))</f>
        <v>Included</v>
      </c>
      <c r="Q114" s="1073">
        <f>S114</f>
        <v>0</v>
      </c>
      <c r="R114" s="665">
        <f>IF(P114="Included",0,P114)</f>
        <v>0</v>
      </c>
      <c r="S114" s="665">
        <f t="shared" si="19"/>
        <v>0</v>
      </c>
      <c r="T114" s="666"/>
      <c r="U114" s="666"/>
      <c r="AD114" s="799"/>
    </row>
    <row r="115" spans="1:30" s="665" customFormat="1" ht="28.8">
      <c r="A115" s="817">
        <f t="shared" si="15"/>
        <v>96</v>
      </c>
      <c r="B115" s="1050">
        <v>7000023516</v>
      </c>
      <c r="C115" s="1050">
        <v>1280</v>
      </c>
      <c r="D115" s="1050">
        <v>1820</v>
      </c>
      <c r="E115" s="1050">
        <v>120</v>
      </c>
      <c r="F115" s="1050" t="s">
        <v>598</v>
      </c>
      <c r="G115" s="1050">
        <v>100003114</v>
      </c>
      <c r="H115" s="1050">
        <v>995454</v>
      </c>
      <c r="I115" s="1026"/>
      <c r="J115" s="1050">
        <v>18</v>
      </c>
      <c r="K115" s="1027"/>
      <c r="L115" s="1048" t="s">
        <v>621</v>
      </c>
      <c r="M115" s="1050" t="s">
        <v>611</v>
      </c>
      <c r="N115" s="1050">
        <v>240</v>
      </c>
      <c r="O115" s="1026"/>
      <c r="P115" s="1073" t="str">
        <f>IF(O115=0, "Included", IF(ISERROR(N115*O115), O115, N115*O115))</f>
        <v>Included</v>
      </c>
      <c r="Q115" s="1073">
        <f>S115</f>
        <v>0</v>
      </c>
      <c r="R115" s="665">
        <f>IF(P115="Included",0,P115)</f>
        <v>0</v>
      </c>
      <c r="S115" s="665">
        <f t="shared" si="19"/>
        <v>0</v>
      </c>
      <c r="T115" s="666"/>
      <c r="U115" s="666"/>
      <c r="AD115" s="799"/>
    </row>
    <row r="116" spans="1:30" s="665" customFormat="1">
      <c r="A116" s="817">
        <f t="shared" si="15"/>
        <v>97</v>
      </c>
      <c r="B116" s="1050">
        <v>7000023516</v>
      </c>
      <c r="C116" s="1050">
        <v>1280</v>
      </c>
      <c r="D116" s="1050">
        <v>1820</v>
      </c>
      <c r="E116" s="1050">
        <v>130</v>
      </c>
      <c r="F116" s="1050" t="s">
        <v>598</v>
      </c>
      <c r="G116" s="1050">
        <v>100001717</v>
      </c>
      <c r="H116" s="1050">
        <v>995434</v>
      </c>
      <c r="I116" s="1026"/>
      <c r="J116" s="1050">
        <v>18</v>
      </c>
      <c r="K116" s="1027"/>
      <c r="L116" s="1048" t="s">
        <v>838</v>
      </c>
      <c r="M116" s="1050" t="s">
        <v>623</v>
      </c>
      <c r="N116" s="1050">
        <v>280</v>
      </c>
      <c r="O116" s="1026"/>
      <c r="P116" s="1073" t="str">
        <f t="shared" ref="P116:P120" si="38">IF(O116=0, "Included", IF(ISERROR(N116*O116), O116, N116*O116))</f>
        <v>Included</v>
      </c>
      <c r="Q116" s="1073">
        <f t="shared" ref="Q116:Q120" si="39">S116</f>
        <v>0</v>
      </c>
      <c r="R116" s="665">
        <f t="shared" ref="R116:R120" si="40">IF(P116="Included",0,P116)</f>
        <v>0</v>
      </c>
      <c r="S116" s="665">
        <f t="shared" si="19"/>
        <v>0</v>
      </c>
      <c r="T116" s="666"/>
      <c r="U116" s="666"/>
      <c r="AD116" s="799"/>
    </row>
    <row r="117" spans="1:30" s="665" customFormat="1" ht="28.8">
      <c r="A117" s="817">
        <f t="shared" si="15"/>
        <v>98</v>
      </c>
      <c r="B117" s="1050">
        <v>7000023516</v>
      </c>
      <c r="C117" s="1050">
        <v>1280</v>
      </c>
      <c r="D117" s="1050">
        <v>1820</v>
      </c>
      <c r="E117" s="1050">
        <v>140</v>
      </c>
      <c r="F117" s="1050" t="s">
        <v>598</v>
      </c>
      <c r="G117" s="1050">
        <v>100004506</v>
      </c>
      <c r="H117" s="1050">
        <v>995477</v>
      </c>
      <c r="I117" s="1026"/>
      <c r="J117" s="1050">
        <v>18</v>
      </c>
      <c r="K117" s="1027"/>
      <c r="L117" s="1048" t="s">
        <v>839</v>
      </c>
      <c r="M117" s="1050" t="s">
        <v>623</v>
      </c>
      <c r="N117" s="1050">
        <v>160</v>
      </c>
      <c r="O117" s="1026"/>
      <c r="P117" s="1073" t="str">
        <f t="shared" si="38"/>
        <v>Included</v>
      </c>
      <c r="Q117" s="1073">
        <f t="shared" si="39"/>
        <v>0</v>
      </c>
      <c r="R117" s="665">
        <f t="shared" si="40"/>
        <v>0</v>
      </c>
      <c r="S117" s="665">
        <f t="shared" si="19"/>
        <v>0</v>
      </c>
      <c r="T117" s="666"/>
      <c r="U117" s="666"/>
      <c r="AD117" s="799"/>
    </row>
    <row r="118" spans="1:30" s="665" customFormat="1">
      <c r="A118" s="817">
        <f t="shared" si="15"/>
        <v>99</v>
      </c>
      <c r="B118" s="1050">
        <v>7000023516</v>
      </c>
      <c r="C118" s="1050">
        <v>1280</v>
      </c>
      <c r="D118" s="1050">
        <v>1820</v>
      </c>
      <c r="E118" s="1050">
        <v>150</v>
      </c>
      <c r="F118" s="1050" t="s">
        <v>598</v>
      </c>
      <c r="G118" s="1050">
        <v>170002351</v>
      </c>
      <c r="H118" s="1050">
        <v>995421</v>
      </c>
      <c r="I118" s="1026"/>
      <c r="J118" s="1050">
        <v>18</v>
      </c>
      <c r="K118" s="1027"/>
      <c r="L118" s="1048" t="s">
        <v>840</v>
      </c>
      <c r="M118" s="1050" t="s">
        <v>611</v>
      </c>
      <c r="N118" s="1050">
        <v>662</v>
      </c>
      <c r="O118" s="1026"/>
      <c r="P118" s="1073" t="str">
        <f t="shared" si="38"/>
        <v>Included</v>
      </c>
      <c r="Q118" s="1073">
        <f t="shared" si="39"/>
        <v>0</v>
      </c>
      <c r="R118" s="665">
        <f t="shared" si="40"/>
        <v>0</v>
      </c>
      <c r="S118" s="665">
        <f t="shared" si="19"/>
        <v>0</v>
      </c>
      <c r="T118" s="666"/>
      <c r="U118" s="666"/>
      <c r="AD118" s="799"/>
    </row>
    <row r="119" spans="1:30" s="665" customFormat="1" ht="57.6">
      <c r="A119" s="817">
        <f t="shared" si="15"/>
        <v>100</v>
      </c>
      <c r="B119" s="1050">
        <v>7000023516</v>
      </c>
      <c r="C119" s="1050">
        <v>1280</v>
      </c>
      <c r="D119" s="1050">
        <v>1820</v>
      </c>
      <c r="E119" s="1050">
        <v>160</v>
      </c>
      <c r="F119" s="1050" t="s">
        <v>598</v>
      </c>
      <c r="G119" s="1050">
        <v>100004507</v>
      </c>
      <c r="H119" s="1050">
        <v>995421</v>
      </c>
      <c r="I119" s="1026"/>
      <c r="J119" s="1050">
        <v>18</v>
      </c>
      <c r="K119" s="1027"/>
      <c r="L119" s="1048" t="s">
        <v>841</v>
      </c>
      <c r="M119" s="1050" t="s">
        <v>611</v>
      </c>
      <c r="N119" s="1050">
        <v>3000</v>
      </c>
      <c r="O119" s="1026"/>
      <c r="P119" s="1073" t="str">
        <f t="shared" si="38"/>
        <v>Included</v>
      </c>
      <c r="Q119" s="1073">
        <f t="shared" si="39"/>
        <v>0</v>
      </c>
      <c r="R119" s="665">
        <f t="shared" si="40"/>
        <v>0</v>
      </c>
      <c r="S119" s="665">
        <f t="shared" si="19"/>
        <v>0</v>
      </c>
      <c r="T119" s="666"/>
      <c r="U119" s="666"/>
      <c r="AD119" s="799"/>
    </row>
    <row r="120" spans="1:30" s="665" customFormat="1" ht="57.6">
      <c r="A120" s="817">
        <f t="shared" si="15"/>
        <v>101</v>
      </c>
      <c r="B120" s="1050">
        <v>7000023516</v>
      </c>
      <c r="C120" s="1050">
        <v>1280</v>
      </c>
      <c r="D120" s="1050">
        <v>1820</v>
      </c>
      <c r="E120" s="1050">
        <v>170</v>
      </c>
      <c r="F120" s="1050" t="s">
        <v>598</v>
      </c>
      <c r="G120" s="1050">
        <v>100001457</v>
      </c>
      <c r="H120" s="1050">
        <v>995421</v>
      </c>
      <c r="I120" s="1026"/>
      <c r="J120" s="1050">
        <v>18</v>
      </c>
      <c r="K120" s="1027"/>
      <c r="L120" s="1048" t="s">
        <v>725</v>
      </c>
      <c r="M120" s="1050" t="s">
        <v>611</v>
      </c>
      <c r="N120" s="1050">
        <v>172</v>
      </c>
      <c r="O120" s="1026"/>
      <c r="P120" s="1073" t="str">
        <f t="shared" si="38"/>
        <v>Included</v>
      </c>
      <c r="Q120" s="1073">
        <f t="shared" si="39"/>
        <v>0</v>
      </c>
      <c r="R120" s="665">
        <f t="shared" si="40"/>
        <v>0</v>
      </c>
      <c r="S120" s="665">
        <f t="shared" si="19"/>
        <v>0</v>
      </c>
      <c r="T120" s="666"/>
      <c r="U120" s="666"/>
      <c r="AD120" s="799"/>
    </row>
    <row r="121" spans="1:30" s="665" customFormat="1" ht="57.6">
      <c r="A121" s="817">
        <f t="shared" si="15"/>
        <v>102</v>
      </c>
      <c r="B121" s="1050">
        <v>7000023516</v>
      </c>
      <c r="C121" s="1050">
        <v>1280</v>
      </c>
      <c r="D121" s="1050">
        <v>1820</v>
      </c>
      <c r="E121" s="1050">
        <v>180</v>
      </c>
      <c r="F121" s="1050" t="s">
        <v>598</v>
      </c>
      <c r="G121" s="1050">
        <v>130000761</v>
      </c>
      <c r="H121" s="1050">
        <v>995428</v>
      </c>
      <c r="I121" s="1026"/>
      <c r="J121" s="1050">
        <v>18</v>
      </c>
      <c r="K121" s="1027"/>
      <c r="L121" s="1048" t="s">
        <v>764</v>
      </c>
      <c r="M121" s="1050" t="s">
        <v>623</v>
      </c>
      <c r="N121" s="1050">
        <v>30</v>
      </c>
      <c r="O121" s="1026"/>
      <c r="P121" s="1073" t="str">
        <f>IF(O121=0, "Included", IF(ISERROR(N121*O121), O121, N121*O121))</f>
        <v>Included</v>
      </c>
      <c r="Q121" s="1073">
        <f>S121</f>
        <v>0</v>
      </c>
      <c r="R121" s="665">
        <f>IF(P121="Included",0,P121)</f>
        <v>0</v>
      </c>
      <c r="S121" s="665">
        <f t="shared" si="14"/>
        <v>0</v>
      </c>
      <c r="T121" s="666"/>
      <c r="U121" s="666"/>
      <c r="AD121" s="799"/>
    </row>
    <row r="122" spans="1:30" s="665" customFormat="1" ht="57.6">
      <c r="A122" s="817">
        <f t="shared" si="15"/>
        <v>103</v>
      </c>
      <c r="B122" s="1050">
        <v>7000023516</v>
      </c>
      <c r="C122" s="1050">
        <v>1280</v>
      </c>
      <c r="D122" s="1050">
        <v>1820</v>
      </c>
      <c r="E122" s="1050">
        <v>190</v>
      </c>
      <c r="F122" s="1050" t="s">
        <v>598</v>
      </c>
      <c r="G122" s="1050">
        <v>130000762</v>
      </c>
      <c r="H122" s="1050">
        <v>995428</v>
      </c>
      <c r="I122" s="1026"/>
      <c r="J122" s="1050">
        <v>18</v>
      </c>
      <c r="K122" s="1027"/>
      <c r="L122" s="1048" t="s">
        <v>765</v>
      </c>
      <c r="M122" s="1050" t="s">
        <v>623</v>
      </c>
      <c r="N122" s="1050">
        <v>30</v>
      </c>
      <c r="O122" s="1026"/>
      <c r="P122" s="1073" t="str">
        <f>IF(O122=0, "Included", IF(ISERROR(N122*O122), O122, N122*O122))</f>
        <v>Included</v>
      </c>
      <c r="Q122" s="1073">
        <f>S122</f>
        <v>0</v>
      </c>
      <c r="R122" s="665">
        <f>IF(P122="Included",0,P122)</f>
        <v>0</v>
      </c>
      <c r="S122" s="665">
        <f t="shared" si="14"/>
        <v>0</v>
      </c>
      <c r="T122" s="666"/>
      <c r="U122" s="666"/>
      <c r="AD122" s="799"/>
    </row>
    <row r="123" spans="1:30" s="665" customFormat="1" ht="43.2">
      <c r="A123" s="817">
        <f t="shared" si="15"/>
        <v>104</v>
      </c>
      <c r="B123" s="1050">
        <v>7000023516</v>
      </c>
      <c r="C123" s="1050">
        <v>1280</v>
      </c>
      <c r="D123" s="1050">
        <v>1820</v>
      </c>
      <c r="E123" s="1050">
        <v>200</v>
      </c>
      <c r="F123" s="1050" t="s">
        <v>598</v>
      </c>
      <c r="G123" s="1050">
        <v>100001735</v>
      </c>
      <c r="H123" s="1050">
        <v>995462</v>
      </c>
      <c r="I123" s="1026"/>
      <c r="J123" s="1050">
        <v>18</v>
      </c>
      <c r="K123" s="1027"/>
      <c r="L123" s="1048" t="s">
        <v>622</v>
      </c>
      <c r="M123" s="1050" t="s">
        <v>623</v>
      </c>
      <c r="N123" s="1050">
        <v>50</v>
      </c>
      <c r="O123" s="1026"/>
      <c r="P123" s="1073" t="str">
        <f>IF(O123=0, "Included", IF(ISERROR(N123*O123), O123, N123*O123))</f>
        <v>Included</v>
      </c>
      <c r="Q123" s="1073">
        <f>S123</f>
        <v>0</v>
      </c>
      <c r="R123" s="665">
        <f>IF(P123="Included",0,P123)</f>
        <v>0</v>
      </c>
      <c r="S123" s="665">
        <f t="shared" si="14"/>
        <v>0</v>
      </c>
      <c r="T123" s="666"/>
      <c r="U123" s="666"/>
      <c r="AD123" s="799"/>
    </row>
    <row r="124" spans="1:30" s="665" customFormat="1" ht="43.2">
      <c r="A124" s="817">
        <f t="shared" si="15"/>
        <v>105</v>
      </c>
      <c r="B124" s="1050">
        <v>7000023516</v>
      </c>
      <c r="C124" s="1050">
        <v>1280</v>
      </c>
      <c r="D124" s="1050">
        <v>1820</v>
      </c>
      <c r="E124" s="1050">
        <v>210</v>
      </c>
      <c r="F124" s="1050" t="s">
        <v>598</v>
      </c>
      <c r="G124" s="1050">
        <v>100001736</v>
      </c>
      <c r="H124" s="1050">
        <v>995462</v>
      </c>
      <c r="I124" s="1026"/>
      <c r="J124" s="1050">
        <v>18</v>
      </c>
      <c r="K124" s="1027"/>
      <c r="L124" s="1048" t="s">
        <v>723</v>
      </c>
      <c r="M124" s="1050" t="s">
        <v>623</v>
      </c>
      <c r="N124" s="1050">
        <v>50</v>
      </c>
      <c r="O124" s="1026"/>
      <c r="P124" s="1073" t="str">
        <f t="shared" ref="P124:P127" si="41">IF(O124=0, "Included", IF(ISERROR(N124*O124), O124, N124*O124))</f>
        <v>Included</v>
      </c>
      <c r="Q124" s="1073">
        <f t="shared" ref="Q124:Q127" si="42">S124</f>
        <v>0</v>
      </c>
      <c r="R124" s="665">
        <f t="shared" ref="R124:R127" si="43">IF(P124="Included",0,P124)</f>
        <v>0</v>
      </c>
      <c r="S124" s="665">
        <f t="shared" si="14"/>
        <v>0</v>
      </c>
      <c r="T124" s="666"/>
      <c r="U124" s="666"/>
      <c r="AD124" s="799"/>
    </row>
    <row r="125" spans="1:30" s="665" customFormat="1" ht="43.2">
      <c r="A125" s="817">
        <f t="shared" si="15"/>
        <v>106</v>
      </c>
      <c r="B125" s="1050">
        <v>7000023516</v>
      </c>
      <c r="C125" s="1050">
        <v>1280</v>
      </c>
      <c r="D125" s="1050">
        <v>1820</v>
      </c>
      <c r="E125" s="1050">
        <v>220</v>
      </c>
      <c r="F125" s="1050" t="s">
        <v>598</v>
      </c>
      <c r="G125" s="1050">
        <v>100001737</v>
      </c>
      <c r="H125" s="1050">
        <v>995462</v>
      </c>
      <c r="I125" s="1026"/>
      <c r="J125" s="1050">
        <v>18</v>
      </c>
      <c r="K125" s="1027"/>
      <c r="L125" s="1048" t="s">
        <v>624</v>
      </c>
      <c r="M125" s="1050" t="s">
        <v>623</v>
      </c>
      <c r="N125" s="1050">
        <v>50</v>
      </c>
      <c r="O125" s="1026"/>
      <c r="P125" s="1073" t="str">
        <f t="shared" si="41"/>
        <v>Included</v>
      </c>
      <c r="Q125" s="1073">
        <f t="shared" si="42"/>
        <v>0</v>
      </c>
      <c r="R125" s="665">
        <f t="shared" si="43"/>
        <v>0</v>
      </c>
      <c r="S125" s="665">
        <f t="shared" si="14"/>
        <v>0</v>
      </c>
      <c r="T125" s="666"/>
      <c r="U125" s="666"/>
      <c r="AD125" s="799"/>
    </row>
    <row r="126" spans="1:30" s="665" customFormat="1">
      <c r="A126" s="817">
        <f t="shared" si="15"/>
        <v>107</v>
      </c>
      <c r="B126" s="1050">
        <v>7000023516</v>
      </c>
      <c r="C126" s="1050">
        <v>1280</v>
      </c>
      <c r="D126" s="1050">
        <v>1820</v>
      </c>
      <c r="E126" s="1050">
        <v>230</v>
      </c>
      <c r="F126" s="1050" t="s">
        <v>598</v>
      </c>
      <c r="G126" s="1050">
        <v>100007701</v>
      </c>
      <c r="H126" s="1050">
        <v>995462</v>
      </c>
      <c r="I126" s="1026"/>
      <c r="J126" s="1050">
        <v>18</v>
      </c>
      <c r="K126" s="1027"/>
      <c r="L126" s="1048" t="s">
        <v>682</v>
      </c>
      <c r="M126" s="1050" t="s">
        <v>574</v>
      </c>
      <c r="N126" s="1050">
        <v>2</v>
      </c>
      <c r="O126" s="1026"/>
      <c r="P126" s="1073" t="str">
        <f t="shared" si="41"/>
        <v>Included</v>
      </c>
      <c r="Q126" s="1073">
        <f t="shared" si="42"/>
        <v>0</v>
      </c>
      <c r="R126" s="665">
        <f t="shared" si="43"/>
        <v>0</v>
      </c>
      <c r="S126" s="665">
        <f t="shared" si="14"/>
        <v>0</v>
      </c>
      <c r="T126" s="666"/>
      <c r="U126" s="666"/>
      <c r="AD126" s="799"/>
    </row>
    <row r="127" spans="1:30" s="665" customFormat="1">
      <c r="A127" s="817">
        <f t="shared" si="15"/>
        <v>108</v>
      </c>
      <c r="B127" s="1050">
        <v>7000023516</v>
      </c>
      <c r="C127" s="1050">
        <v>1280</v>
      </c>
      <c r="D127" s="1050">
        <v>1820</v>
      </c>
      <c r="E127" s="1050">
        <v>240</v>
      </c>
      <c r="F127" s="1050" t="s">
        <v>598</v>
      </c>
      <c r="G127" s="1050">
        <v>100001409</v>
      </c>
      <c r="H127" s="1050">
        <v>995462</v>
      </c>
      <c r="I127" s="1026"/>
      <c r="J127" s="1050">
        <v>18</v>
      </c>
      <c r="K127" s="1027"/>
      <c r="L127" s="1048" t="s">
        <v>766</v>
      </c>
      <c r="M127" s="1050" t="s">
        <v>574</v>
      </c>
      <c r="N127" s="1050">
        <v>6</v>
      </c>
      <c r="O127" s="1026"/>
      <c r="P127" s="1073" t="str">
        <f t="shared" si="41"/>
        <v>Included</v>
      </c>
      <c r="Q127" s="1073">
        <f t="shared" si="42"/>
        <v>0</v>
      </c>
      <c r="R127" s="665">
        <f t="shared" si="43"/>
        <v>0</v>
      </c>
      <c r="S127" s="665">
        <f t="shared" si="14"/>
        <v>0</v>
      </c>
      <c r="T127" s="666"/>
      <c r="U127" s="666"/>
      <c r="AD127" s="799"/>
    </row>
    <row r="128" spans="1:30" s="665" customFormat="1" ht="28.8">
      <c r="A128" s="817">
        <f t="shared" si="15"/>
        <v>109</v>
      </c>
      <c r="B128" s="1050">
        <v>7000023516</v>
      </c>
      <c r="C128" s="1050">
        <v>1280</v>
      </c>
      <c r="D128" s="1050">
        <v>1820</v>
      </c>
      <c r="E128" s="1050">
        <v>250</v>
      </c>
      <c r="F128" s="1050" t="s">
        <v>598</v>
      </c>
      <c r="G128" s="1050">
        <v>100001412</v>
      </c>
      <c r="H128" s="1050">
        <v>995462</v>
      </c>
      <c r="I128" s="1026"/>
      <c r="J128" s="1050">
        <v>18</v>
      </c>
      <c r="K128" s="1027"/>
      <c r="L128" s="1048" t="s">
        <v>732</v>
      </c>
      <c r="M128" s="1050" t="s">
        <v>623</v>
      </c>
      <c r="N128" s="1050">
        <v>500</v>
      </c>
      <c r="O128" s="1026"/>
      <c r="P128" s="1073" t="str">
        <f>IF(O128=0, "Included", IF(ISERROR(N128*O128), O128, N128*O128))</f>
        <v>Included</v>
      </c>
      <c r="Q128" s="1073">
        <f>S128</f>
        <v>0</v>
      </c>
      <c r="R128" s="665">
        <f>IF(P128="Included",0,P128)</f>
        <v>0</v>
      </c>
      <c r="S128" s="665">
        <f t="shared" ref="S128:S152" si="44">IF(K128="",(R128*J128/100),(R128*K128/100))</f>
        <v>0</v>
      </c>
      <c r="T128" s="666"/>
      <c r="U128" s="666"/>
      <c r="AD128" s="799"/>
    </row>
    <row r="129" spans="1:30" s="665" customFormat="1" ht="28.8">
      <c r="A129" s="817">
        <f t="shared" ref="A129:A153" si="45">+A128+1</f>
        <v>110</v>
      </c>
      <c r="B129" s="1050">
        <v>7000023516</v>
      </c>
      <c r="C129" s="1050">
        <v>1280</v>
      </c>
      <c r="D129" s="1050">
        <v>1820</v>
      </c>
      <c r="E129" s="1050">
        <v>260</v>
      </c>
      <c r="F129" s="1050" t="s">
        <v>598</v>
      </c>
      <c r="G129" s="1050">
        <v>100001413</v>
      </c>
      <c r="H129" s="1050">
        <v>995462</v>
      </c>
      <c r="I129" s="1026"/>
      <c r="J129" s="1050">
        <v>18</v>
      </c>
      <c r="K129" s="1027"/>
      <c r="L129" s="1048" t="s">
        <v>733</v>
      </c>
      <c r="M129" s="1050" t="s">
        <v>623</v>
      </c>
      <c r="N129" s="1050">
        <v>500</v>
      </c>
      <c r="O129" s="1026"/>
      <c r="P129" s="1073" t="str">
        <f t="shared" ref="P129:P135" si="46">IF(O129=0, "Included", IF(ISERROR(N129*O129), O129, N129*O129))</f>
        <v>Included</v>
      </c>
      <c r="Q129" s="1073">
        <f t="shared" ref="Q129:Q135" si="47">S129</f>
        <v>0</v>
      </c>
      <c r="R129" s="665">
        <f t="shared" ref="R129:R135" si="48">IF(P129="Included",0,P129)</f>
        <v>0</v>
      </c>
      <c r="S129" s="665">
        <f t="shared" si="44"/>
        <v>0</v>
      </c>
      <c r="T129" s="666"/>
      <c r="U129" s="666"/>
      <c r="AD129" s="799"/>
    </row>
    <row r="130" spans="1:30" s="665" customFormat="1" ht="28.8">
      <c r="A130" s="817">
        <f t="shared" si="45"/>
        <v>111</v>
      </c>
      <c r="B130" s="1050">
        <v>7000023516</v>
      </c>
      <c r="C130" s="1050">
        <v>1280</v>
      </c>
      <c r="D130" s="1050">
        <v>1820</v>
      </c>
      <c r="E130" s="1050">
        <v>270</v>
      </c>
      <c r="F130" s="1050" t="s">
        <v>598</v>
      </c>
      <c r="G130" s="1050">
        <v>100001414</v>
      </c>
      <c r="H130" s="1050">
        <v>995462</v>
      </c>
      <c r="I130" s="1026"/>
      <c r="J130" s="1050">
        <v>18</v>
      </c>
      <c r="K130" s="1027"/>
      <c r="L130" s="1048" t="s">
        <v>734</v>
      </c>
      <c r="M130" s="1050" t="s">
        <v>623</v>
      </c>
      <c r="N130" s="1050">
        <v>300</v>
      </c>
      <c r="O130" s="1026"/>
      <c r="P130" s="1073" t="str">
        <f t="shared" si="46"/>
        <v>Included</v>
      </c>
      <c r="Q130" s="1073">
        <f t="shared" si="47"/>
        <v>0</v>
      </c>
      <c r="R130" s="665">
        <f t="shared" si="48"/>
        <v>0</v>
      </c>
      <c r="S130" s="665">
        <f t="shared" si="44"/>
        <v>0</v>
      </c>
      <c r="T130" s="666"/>
      <c r="U130" s="666"/>
      <c r="AD130" s="799"/>
    </row>
    <row r="131" spans="1:30" s="665" customFormat="1" ht="28.8">
      <c r="A131" s="817">
        <f t="shared" si="45"/>
        <v>112</v>
      </c>
      <c r="B131" s="1050">
        <v>7000023516</v>
      </c>
      <c r="C131" s="1050">
        <v>1280</v>
      </c>
      <c r="D131" s="1050">
        <v>1820</v>
      </c>
      <c r="E131" s="1050">
        <v>280</v>
      </c>
      <c r="F131" s="1050" t="s">
        <v>598</v>
      </c>
      <c r="G131" s="1050">
        <v>100001415</v>
      </c>
      <c r="H131" s="1050">
        <v>995462</v>
      </c>
      <c r="I131" s="1026"/>
      <c r="J131" s="1050">
        <v>18</v>
      </c>
      <c r="K131" s="1027"/>
      <c r="L131" s="1048" t="s">
        <v>735</v>
      </c>
      <c r="M131" s="1050" t="s">
        <v>623</v>
      </c>
      <c r="N131" s="1050">
        <v>300</v>
      </c>
      <c r="O131" s="1026"/>
      <c r="P131" s="1073" t="str">
        <f t="shared" si="46"/>
        <v>Included</v>
      </c>
      <c r="Q131" s="1073">
        <f t="shared" si="47"/>
        <v>0</v>
      </c>
      <c r="R131" s="665">
        <f t="shared" si="48"/>
        <v>0</v>
      </c>
      <c r="S131" s="665">
        <f t="shared" si="44"/>
        <v>0</v>
      </c>
      <c r="T131" s="666"/>
      <c r="U131" s="666"/>
      <c r="AD131" s="799"/>
    </row>
    <row r="132" spans="1:30" s="665" customFormat="1" ht="244.2" customHeight="1">
      <c r="A132" s="817">
        <f t="shared" si="45"/>
        <v>113</v>
      </c>
      <c r="B132" s="1050">
        <v>7000023516</v>
      </c>
      <c r="C132" s="1050">
        <v>1280</v>
      </c>
      <c r="D132" s="1050">
        <v>1820</v>
      </c>
      <c r="E132" s="1050">
        <v>290</v>
      </c>
      <c r="F132" s="1050" t="s">
        <v>598</v>
      </c>
      <c r="G132" s="1050">
        <v>100002911</v>
      </c>
      <c r="H132" s="1050">
        <v>995432</v>
      </c>
      <c r="I132" s="1026"/>
      <c r="J132" s="1050">
        <v>18</v>
      </c>
      <c r="K132" s="1027"/>
      <c r="L132" s="1048" t="s">
        <v>683</v>
      </c>
      <c r="M132" s="1050" t="s">
        <v>604</v>
      </c>
      <c r="N132" s="1050">
        <v>8850</v>
      </c>
      <c r="O132" s="1026"/>
      <c r="P132" s="1073" t="str">
        <f t="shared" si="46"/>
        <v>Included</v>
      </c>
      <c r="Q132" s="1073">
        <f t="shared" si="47"/>
        <v>0</v>
      </c>
      <c r="R132" s="665">
        <f t="shared" si="48"/>
        <v>0</v>
      </c>
      <c r="S132" s="665">
        <f t="shared" si="44"/>
        <v>0</v>
      </c>
      <c r="T132" s="666"/>
      <c r="U132" s="666"/>
      <c r="AD132" s="799"/>
    </row>
    <row r="133" spans="1:30" s="665" customFormat="1" ht="100.8">
      <c r="A133" s="817">
        <f t="shared" si="45"/>
        <v>114</v>
      </c>
      <c r="B133" s="1050">
        <v>7000023516</v>
      </c>
      <c r="C133" s="1050">
        <v>1280</v>
      </c>
      <c r="D133" s="1050">
        <v>1820</v>
      </c>
      <c r="E133" s="1050">
        <v>300</v>
      </c>
      <c r="F133" s="1050" t="s">
        <v>598</v>
      </c>
      <c r="G133" s="1050">
        <v>100002583</v>
      </c>
      <c r="H133" s="1050">
        <v>995432</v>
      </c>
      <c r="I133" s="1026"/>
      <c r="J133" s="1050">
        <v>18</v>
      </c>
      <c r="K133" s="1027"/>
      <c r="L133" s="1048" t="s">
        <v>728</v>
      </c>
      <c r="M133" s="1050" t="s">
        <v>604</v>
      </c>
      <c r="N133" s="1050">
        <v>11850</v>
      </c>
      <c r="O133" s="1026"/>
      <c r="P133" s="1073" t="str">
        <f t="shared" si="46"/>
        <v>Included</v>
      </c>
      <c r="Q133" s="1073">
        <f t="shared" si="47"/>
        <v>0</v>
      </c>
      <c r="R133" s="665">
        <f t="shared" si="48"/>
        <v>0</v>
      </c>
      <c r="S133" s="665">
        <f t="shared" si="44"/>
        <v>0</v>
      </c>
      <c r="T133" s="666"/>
      <c r="U133" s="666"/>
      <c r="AD133" s="799"/>
    </row>
    <row r="134" spans="1:30" s="665" customFormat="1" ht="57.6">
      <c r="A134" s="817">
        <f t="shared" si="45"/>
        <v>115</v>
      </c>
      <c r="B134" s="1050">
        <v>7000023516</v>
      </c>
      <c r="C134" s="1050">
        <v>1280</v>
      </c>
      <c r="D134" s="1050">
        <v>1820</v>
      </c>
      <c r="E134" s="1050">
        <v>310</v>
      </c>
      <c r="F134" s="1050" t="s">
        <v>598</v>
      </c>
      <c r="G134" s="1050">
        <v>100003437</v>
      </c>
      <c r="H134" s="1050">
        <v>995454</v>
      </c>
      <c r="I134" s="1026"/>
      <c r="J134" s="1050">
        <v>18</v>
      </c>
      <c r="K134" s="1027"/>
      <c r="L134" s="1048" t="s">
        <v>625</v>
      </c>
      <c r="M134" s="1050" t="s">
        <v>611</v>
      </c>
      <c r="N134" s="1050">
        <v>162</v>
      </c>
      <c r="O134" s="1026"/>
      <c r="P134" s="1073" t="str">
        <f t="shared" si="46"/>
        <v>Included</v>
      </c>
      <c r="Q134" s="1073">
        <f t="shared" si="47"/>
        <v>0</v>
      </c>
      <c r="R134" s="665">
        <f t="shared" si="48"/>
        <v>0</v>
      </c>
      <c r="S134" s="665">
        <f t="shared" si="44"/>
        <v>0</v>
      </c>
      <c r="T134" s="666"/>
      <c r="U134" s="666"/>
      <c r="AD134" s="799"/>
    </row>
    <row r="135" spans="1:30" s="665" customFormat="1" ht="115.2">
      <c r="A135" s="817">
        <f t="shared" si="45"/>
        <v>116</v>
      </c>
      <c r="B135" s="1050">
        <v>7000023516</v>
      </c>
      <c r="C135" s="1050">
        <v>1280</v>
      </c>
      <c r="D135" s="1050">
        <v>1820</v>
      </c>
      <c r="E135" s="1050">
        <v>320</v>
      </c>
      <c r="F135" s="1050" t="s">
        <v>598</v>
      </c>
      <c r="G135" s="1050">
        <v>100004832</v>
      </c>
      <c r="H135" s="1050">
        <v>995451</v>
      </c>
      <c r="I135" s="1026"/>
      <c r="J135" s="1050">
        <v>18</v>
      </c>
      <c r="K135" s="1027"/>
      <c r="L135" s="1048" t="s">
        <v>842</v>
      </c>
      <c r="M135" s="1050" t="s">
        <v>843</v>
      </c>
      <c r="N135" s="1050">
        <v>11038</v>
      </c>
      <c r="O135" s="1026"/>
      <c r="P135" s="1073" t="str">
        <f t="shared" si="46"/>
        <v>Included</v>
      </c>
      <c r="Q135" s="1073">
        <f t="shared" si="47"/>
        <v>0</v>
      </c>
      <c r="R135" s="665">
        <f t="shared" si="48"/>
        <v>0</v>
      </c>
      <c r="S135" s="665">
        <f t="shared" si="44"/>
        <v>0</v>
      </c>
      <c r="T135" s="666"/>
      <c r="U135" s="666"/>
      <c r="AD135" s="799"/>
    </row>
    <row r="136" spans="1:30" s="665" customFormat="1" ht="43.2">
      <c r="A136" s="817">
        <f t="shared" si="45"/>
        <v>117</v>
      </c>
      <c r="B136" s="1050">
        <v>7000023516</v>
      </c>
      <c r="C136" s="1050">
        <v>1280</v>
      </c>
      <c r="D136" s="1050">
        <v>1820</v>
      </c>
      <c r="E136" s="1050">
        <v>330</v>
      </c>
      <c r="F136" s="1050" t="s">
        <v>598</v>
      </c>
      <c r="G136" s="1050">
        <v>100003768</v>
      </c>
      <c r="H136" s="1050">
        <v>995451</v>
      </c>
      <c r="I136" s="1026"/>
      <c r="J136" s="1050">
        <v>18</v>
      </c>
      <c r="K136" s="1027"/>
      <c r="L136" s="1048" t="s">
        <v>844</v>
      </c>
      <c r="M136" s="1050" t="s">
        <v>604</v>
      </c>
      <c r="N136" s="1050">
        <v>1755</v>
      </c>
      <c r="O136" s="1026"/>
      <c r="P136" s="1073" t="str">
        <f>IF(O136=0, "Included", IF(ISERROR(N136*O136), O136, N136*O136))</f>
        <v>Included</v>
      </c>
      <c r="Q136" s="1073">
        <f>S136</f>
        <v>0</v>
      </c>
      <c r="R136" s="665">
        <f>IF(P136="Included",0,P136)</f>
        <v>0</v>
      </c>
      <c r="S136" s="665">
        <f t="shared" si="44"/>
        <v>0</v>
      </c>
      <c r="T136" s="666"/>
      <c r="U136" s="666"/>
      <c r="AD136" s="799"/>
    </row>
    <row r="137" spans="1:30" s="665" customFormat="1" ht="72">
      <c r="A137" s="817">
        <f t="shared" si="45"/>
        <v>118</v>
      </c>
      <c r="B137" s="1050">
        <v>7000023516</v>
      </c>
      <c r="C137" s="1050">
        <v>1280</v>
      </c>
      <c r="D137" s="1050">
        <v>1820</v>
      </c>
      <c r="E137" s="1050">
        <v>340</v>
      </c>
      <c r="F137" s="1050" t="s">
        <v>598</v>
      </c>
      <c r="G137" s="1050">
        <v>100015220</v>
      </c>
      <c r="H137" s="1050">
        <v>995451</v>
      </c>
      <c r="I137" s="1026"/>
      <c r="J137" s="1050">
        <v>18</v>
      </c>
      <c r="K137" s="1027"/>
      <c r="L137" s="1048" t="s">
        <v>845</v>
      </c>
      <c r="M137" s="1050" t="s">
        <v>574</v>
      </c>
      <c r="N137" s="1050">
        <v>2</v>
      </c>
      <c r="O137" s="1026"/>
      <c r="P137" s="1073" t="str">
        <f>IF(O137=0, "Included", IF(ISERROR(N137*O137), O137, N137*O137))</f>
        <v>Included</v>
      </c>
      <c r="Q137" s="1073">
        <f>S137</f>
        <v>0</v>
      </c>
      <c r="R137" s="665">
        <f>IF(P137="Included",0,P137)</f>
        <v>0</v>
      </c>
      <c r="S137" s="665">
        <f t="shared" si="44"/>
        <v>0</v>
      </c>
      <c r="T137" s="666"/>
      <c r="U137" s="666"/>
      <c r="AD137" s="799"/>
    </row>
    <row r="138" spans="1:30" s="665" customFormat="1" ht="28.8">
      <c r="A138" s="817">
        <f t="shared" si="45"/>
        <v>119</v>
      </c>
      <c r="B138" s="1050">
        <v>7000023516</v>
      </c>
      <c r="C138" s="1050">
        <v>1280</v>
      </c>
      <c r="D138" s="1050">
        <v>1820</v>
      </c>
      <c r="E138" s="1050">
        <v>350</v>
      </c>
      <c r="F138" s="1050" t="s">
        <v>598</v>
      </c>
      <c r="G138" s="1050">
        <v>100015222</v>
      </c>
      <c r="H138" s="1050">
        <v>995451</v>
      </c>
      <c r="I138" s="1026"/>
      <c r="J138" s="1050">
        <v>18</v>
      </c>
      <c r="K138" s="1027"/>
      <c r="L138" s="1048" t="s">
        <v>846</v>
      </c>
      <c r="M138" s="1050" t="s">
        <v>574</v>
      </c>
      <c r="N138" s="1050">
        <v>2</v>
      </c>
      <c r="O138" s="1026"/>
      <c r="P138" s="1073" t="str">
        <f>IF(O138=0, "Included", IF(ISERROR(N138*O138), O138, N138*O138))</f>
        <v>Included</v>
      </c>
      <c r="Q138" s="1073">
        <f>S138</f>
        <v>0</v>
      </c>
      <c r="R138" s="665">
        <f>IF(P138="Included",0,P138)</f>
        <v>0</v>
      </c>
      <c r="S138" s="665">
        <f t="shared" si="44"/>
        <v>0</v>
      </c>
      <c r="T138" s="666"/>
      <c r="U138" s="666"/>
      <c r="AD138" s="799"/>
    </row>
    <row r="139" spans="1:30" s="665" customFormat="1" ht="43.2">
      <c r="A139" s="817">
        <f t="shared" si="45"/>
        <v>120</v>
      </c>
      <c r="B139" s="1050">
        <v>7000023516</v>
      </c>
      <c r="C139" s="1050">
        <v>1280</v>
      </c>
      <c r="D139" s="1050">
        <v>1820</v>
      </c>
      <c r="E139" s="1050">
        <v>360</v>
      </c>
      <c r="F139" s="1050" t="s">
        <v>598</v>
      </c>
      <c r="G139" s="1050">
        <v>100015224</v>
      </c>
      <c r="H139" s="1050">
        <v>995451</v>
      </c>
      <c r="I139" s="1026"/>
      <c r="J139" s="1050">
        <v>18</v>
      </c>
      <c r="K139" s="1027"/>
      <c r="L139" s="1048" t="s">
        <v>847</v>
      </c>
      <c r="M139" s="1050" t="s">
        <v>574</v>
      </c>
      <c r="N139" s="1050">
        <v>2</v>
      </c>
      <c r="O139" s="1026"/>
      <c r="P139" s="1073" t="str">
        <f t="shared" ref="P139:P144" si="49">IF(O139=0, "Included", IF(ISERROR(N139*O139), O139, N139*O139))</f>
        <v>Included</v>
      </c>
      <c r="Q139" s="1073">
        <f t="shared" ref="Q139:Q144" si="50">S139</f>
        <v>0</v>
      </c>
      <c r="R139" s="665">
        <f t="shared" ref="R139:R144" si="51">IF(P139="Included",0,P139)</f>
        <v>0</v>
      </c>
      <c r="S139" s="665">
        <f t="shared" si="44"/>
        <v>0</v>
      </c>
      <c r="T139" s="666"/>
      <c r="U139" s="666"/>
      <c r="AD139" s="799"/>
    </row>
    <row r="140" spans="1:30" s="665" customFormat="1" ht="72">
      <c r="A140" s="817">
        <f t="shared" si="45"/>
        <v>121</v>
      </c>
      <c r="B140" s="1050">
        <v>7000023516</v>
      </c>
      <c r="C140" s="1050">
        <v>1280</v>
      </c>
      <c r="D140" s="1050">
        <v>1820</v>
      </c>
      <c r="E140" s="1050">
        <v>370</v>
      </c>
      <c r="F140" s="1050" t="s">
        <v>598</v>
      </c>
      <c r="G140" s="1050">
        <v>100015226</v>
      </c>
      <c r="H140" s="1050">
        <v>995451</v>
      </c>
      <c r="I140" s="1026"/>
      <c r="J140" s="1050">
        <v>18</v>
      </c>
      <c r="K140" s="1027"/>
      <c r="L140" s="1048" t="s">
        <v>848</v>
      </c>
      <c r="M140" s="1050" t="s">
        <v>574</v>
      </c>
      <c r="N140" s="1050">
        <v>5</v>
      </c>
      <c r="O140" s="1026"/>
      <c r="P140" s="1073" t="str">
        <f t="shared" si="49"/>
        <v>Included</v>
      </c>
      <c r="Q140" s="1073">
        <f t="shared" si="50"/>
        <v>0</v>
      </c>
      <c r="R140" s="665">
        <f t="shared" si="51"/>
        <v>0</v>
      </c>
      <c r="S140" s="665">
        <f t="shared" si="44"/>
        <v>0</v>
      </c>
      <c r="T140" s="666"/>
      <c r="U140" s="666"/>
      <c r="AD140" s="799"/>
    </row>
    <row r="141" spans="1:30" s="665" customFormat="1" ht="28.8">
      <c r="A141" s="817">
        <f t="shared" si="45"/>
        <v>122</v>
      </c>
      <c r="B141" s="1050">
        <v>7000023516</v>
      </c>
      <c r="C141" s="1050">
        <v>1280</v>
      </c>
      <c r="D141" s="1050">
        <v>1820</v>
      </c>
      <c r="E141" s="1050">
        <v>380</v>
      </c>
      <c r="F141" s="1050" t="s">
        <v>598</v>
      </c>
      <c r="G141" s="1050">
        <v>100015228</v>
      </c>
      <c r="H141" s="1050">
        <v>995451</v>
      </c>
      <c r="I141" s="1026"/>
      <c r="J141" s="1050">
        <v>18</v>
      </c>
      <c r="K141" s="1027"/>
      <c r="L141" s="1048" t="s">
        <v>849</v>
      </c>
      <c r="M141" s="1050" t="s">
        <v>574</v>
      </c>
      <c r="N141" s="1050">
        <v>5</v>
      </c>
      <c r="O141" s="1026"/>
      <c r="P141" s="1073" t="str">
        <f t="shared" si="49"/>
        <v>Included</v>
      </c>
      <c r="Q141" s="1073">
        <f t="shared" si="50"/>
        <v>0</v>
      </c>
      <c r="R141" s="665">
        <f t="shared" si="51"/>
        <v>0</v>
      </c>
      <c r="S141" s="665">
        <f t="shared" si="44"/>
        <v>0</v>
      </c>
      <c r="T141" s="666"/>
      <c r="U141" s="666"/>
      <c r="AD141" s="799"/>
    </row>
    <row r="142" spans="1:30" s="665" customFormat="1" ht="43.2">
      <c r="A142" s="817">
        <f t="shared" si="45"/>
        <v>123</v>
      </c>
      <c r="B142" s="1050">
        <v>7000023516</v>
      </c>
      <c r="C142" s="1050">
        <v>1280</v>
      </c>
      <c r="D142" s="1050">
        <v>1820</v>
      </c>
      <c r="E142" s="1050">
        <v>390</v>
      </c>
      <c r="F142" s="1050" t="s">
        <v>598</v>
      </c>
      <c r="G142" s="1050">
        <v>100015230</v>
      </c>
      <c r="H142" s="1050">
        <v>995451</v>
      </c>
      <c r="I142" s="1026"/>
      <c r="J142" s="1050">
        <v>18</v>
      </c>
      <c r="K142" s="1027"/>
      <c r="L142" s="1048" t="s">
        <v>850</v>
      </c>
      <c r="M142" s="1050" t="s">
        <v>574</v>
      </c>
      <c r="N142" s="1050">
        <v>5</v>
      </c>
      <c r="O142" s="1026"/>
      <c r="P142" s="1073" t="str">
        <f t="shared" si="49"/>
        <v>Included</v>
      </c>
      <c r="Q142" s="1073">
        <f t="shared" si="50"/>
        <v>0</v>
      </c>
      <c r="R142" s="665">
        <f t="shared" si="51"/>
        <v>0</v>
      </c>
      <c r="S142" s="665">
        <f t="shared" si="44"/>
        <v>0</v>
      </c>
      <c r="T142" s="666"/>
      <c r="U142" s="666"/>
      <c r="AD142" s="799"/>
    </row>
    <row r="143" spans="1:30" s="665" customFormat="1" ht="100.8">
      <c r="A143" s="817">
        <f t="shared" si="45"/>
        <v>124</v>
      </c>
      <c r="B143" s="1050">
        <v>7000023516</v>
      </c>
      <c r="C143" s="1050">
        <v>1280</v>
      </c>
      <c r="D143" s="1050">
        <v>1820</v>
      </c>
      <c r="E143" s="1050">
        <v>400</v>
      </c>
      <c r="F143" s="1050" t="s">
        <v>598</v>
      </c>
      <c r="G143" s="1050">
        <v>120002789</v>
      </c>
      <c r="H143" s="1050">
        <v>995451</v>
      </c>
      <c r="I143" s="1026"/>
      <c r="J143" s="1050">
        <v>18</v>
      </c>
      <c r="K143" s="1027"/>
      <c r="L143" s="1048" t="s">
        <v>851</v>
      </c>
      <c r="M143" s="1050" t="s">
        <v>574</v>
      </c>
      <c r="N143" s="1050">
        <v>992</v>
      </c>
      <c r="O143" s="1026"/>
      <c r="P143" s="1073" t="str">
        <f t="shared" si="49"/>
        <v>Included</v>
      </c>
      <c r="Q143" s="1073">
        <f t="shared" si="50"/>
        <v>0</v>
      </c>
      <c r="R143" s="665">
        <f t="shared" si="51"/>
        <v>0</v>
      </c>
      <c r="S143" s="665">
        <f t="shared" si="44"/>
        <v>0</v>
      </c>
      <c r="T143" s="666"/>
      <c r="U143" s="666"/>
      <c r="AD143" s="799"/>
    </row>
    <row r="144" spans="1:30" s="665" customFormat="1" ht="28.8">
      <c r="A144" s="817">
        <f t="shared" si="45"/>
        <v>125</v>
      </c>
      <c r="B144" s="1050">
        <v>7000023516</v>
      </c>
      <c r="C144" s="1050">
        <v>1320</v>
      </c>
      <c r="D144" s="1050">
        <v>1840</v>
      </c>
      <c r="E144" s="1050">
        <v>10</v>
      </c>
      <c r="F144" s="1050" t="s">
        <v>799</v>
      </c>
      <c r="G144" s="1050">
        <v>100001674</v>
      </c>
      <c r="H144" s="1050">
        <v>995455</v>
      </c>
      <c r="I144" s="1026"/>
      <c r="J144" s="1050">
        <v>18</v>
      </c>
      <c r="K144" s="1027"/>
      <c r="L144" s="1048" t="s">
        <v>617</v>
      </c>
      <c r="M144" s="1050" t="s">
        <v>574</v>
      </c>
      <c r="N144" s="1050">
        <v>1584</v>
      </c>
      <c r="O144" s="1026"/>
      <c r="P144" s="1073" t="str">
        <f t="shared" si="49"/>
        <v>Included</v>
      </c>
      <c r="Q144" s="1073">
        <f t="shared" si="50"/>
        <v>0</v>
      </c>
      <c r="R144" s="665">
        <f t="shared" si="51"/>
        <v>0</v>
      </c>
      <c r="S144" s="665">
        <f t="shared" si="44"/>
        <v>0</v>
      </c>
      <c r="T144" s="666"/>
      <c r="U144" s="666"/>
      <c r="AD144" s="799"/>
    </row>
    <row r="145" spans="1:54" s="665" customFormat="1" ht="28.8">
      <c r="A145" s="817">
        <f t="shared" si="45"/>
        <v>126</v>
      </c>
      <c r="B145" s="1050">
        <v>7000023516</v>
      </c>
      <c r="C145" s="1050">
        <v>1320</v>
      </c>
      <c r="D145" s="1050">
        <v>1840</v>
      </c>
      <c r="E145" s="1050">
        <v>20</v>
      </c>
      <c r="F145" s="1050" t="s">
        <v>799</v>
      </c>
      <c r="G145" s="1050">
        <v>100001676</v>
      </c>
      <c r="H145" s="1050">
        <v>995455</v>
      </c>
      <c r="I145" s="1026"/>
      <c r="J145" s="1050">
        <v>18</v>
      </c>
      <c r="K145" s="1027"/>
      <c r="L145" s="1048" t="s">
        <v>681</v>
      </c>
      <c r="M145" s="1050" t="s">
        <v>574</v>
      </c>
      <c r="N145" s="1050">
        <v>256</v>
      </c>
      <c r="O145" s="1026"/>
      <c r="P145" s="1073" t="str">
        <f>IF(O145=0, "Included", IF(ISERROR(N145*O145), O145, N145*O145))</f>
        <v>Included</v>
      </c>
      <c r="Q145" s="1073">
        <f>S145</f>
        <v>0</v>
      </c>
      <c r="R145" s="665">
        <f>IF(P145="Included",0,P145)</f>
        <v>0</v>
      </c>
      <c r="S145" s="665">
        <f t="shared" si="44"/>
        <v>0</v>
      </c>
      <c r="T145" s="666"/>
      <c r="U145" s="666"/>
      <c r="AD145" s="799"/>
    </row>
    <row r="146" spans="1:54" s="665" customFormat="1" ht="28.8">
      <c r="A146" s="817">
        <f t="shared" si="45"/>
        <v>127</v>
      </c>
      <c r="B146" s="1050">
        <v>7000023516</v>
      </c>
      <c r="C146" s="1050">
        <v>1320</v>
      </c>
      <c r="D146" s="1050">
        <v>1840</v>
      </c>
      <c r="E146" s="1050">
        <v>30</v>
      </c>
      <c r="F146" s="1050" t="s">
        <v>799</v>
      </c>
      <c r="G146" s="1050">
        <v>100001677</v>
      </c>
      <c r="H146" s="1050">
        <v>995455</v>
      </c>
      <c r="I146" s="1026"/>
      <c r="J146" s="1050">
        <v>18</v>
      </c>
      <c r="K146" s="1027"/>
      <c r="L146" s="1048" t="s">
        <v>618</v>
      </c>
      <c r="M146" s="1050" t="s">
        <v>574</v>
      </c>
      <c r="N146" s="1050">
        <v>396</v>
      </c>
      <c r="O146" s="1026"/>
      <c r="P146" s="1073" t="str">
        <f>IF(O146=0, "Included", IF(ISERROR(N146*O146), O146, N146*O146))</f>
        <v>Included</v>
      </c>
      <c r="Q146" s="1073">
        <f>S146</f>
        <v>0</v>
      </c>
      <c r="R146" s="665">
        <f>IF(P146="Included",0,P146)</f>
        <v>0</v>
      </c>
      <c r="S146" s="665">
        <f t="shared" si="44"/>
        <v>0</v>
      </c>
      <c r="T146" s="666"/>
      <c r="U146" s="666"/>
      <c r="AD146" s="799"/>
    </row>
    <row r="147" spans="1:54" s="665" customFormat="1" ht="72">
      <c r="A147" s="817">
        <f t="shared" si="45"/>
        <v>128</v>
      </c>
      <c r="B147" s="1050">
        <v>7000023516</v>
      </c>
      <c r="C147" s="1050">
        <v>1430</v>
      </c>
      <c r="D147" s="1050">
        <v>1860</v>
      </c>
      <c r="E147" s="1050">
        <v>10</v>
      </c>
      <c r="F147" s="1050" t="s">
        <v>829</v>
      </c>
      <c r="G147" s="1050">
        <v>100002812</v>
      </c>
      <c r="H147" s="1050">
        <v>998734</v>
      </c>
      <c r="I147" s="1026"/>
      <c r="J147" s="1050">
        <v>18</v>
      </c>
      <c r="K147" s="1027"/>
      <c r="L147" s="1048" t="s">
        <v>852</v>
      </c>
      <c r="M147" s="1050" t="s">
        <v>574</v>
      </c>
      <c r="N147" s="1050">
        <v>1</v>
      </c>
      <c r="O147" s="1026"/>
      <c r="P147" s="1073" t="str">
        <f>IF(O147=0, "Included", IF(ISERROR(N147*O147), O147, N147*O147))</f>
        <v>Included</v>
      </c>
      <c r="Q147" s="1073">
        <f>S147</f>
        <v>0</v>
      </c>
      <c r="R147" s="665">
        <f>IF(P147="Included",0,P147)</f>
        <v>0</v>
      </c>
      <c r="S147" s="665">
        <f t="shared" si="44"/>
        <v>0</v>
      </c>
      <c r="T147" s="666"/>
      <c r="U147" s="666"/>
      <c r="AD147" s="799"/>
    </row>
    <row r="148" spans="1:54" s="665" customFormat="1" ht="28.8">
      <c r="A148" s="817">
        <f t="shared" si="45"/>
        <v>129</v>
      </c>
      <c r="B148" s="1050">
        <v>7000023516</v>
      </c>
      <c r="C148" s="1050">
        <v>1430</v>
      </c>
      <c r="D148" s="1050">
        <v>1860</v>
      </c>
      <c r="E148" s="1050">
        <v>20</v>
      </c>
      <c r="F148" s="1050" t="s">
        <v>829</v>
      </c>
      <c r="G148" s="1050">
        <v>170000433</v>
      </c>
      <c r="H148" s="1050">
        <v>998734</v>
      </c>
      <c r="I148" s="1026"/>
      <c r="J148" s="1050">
        <v>18</v>
      </c>
      <c r="K148" s="1027"/>
      <c r="L148" s="1048" t="s">
        <v>853</v>
      </c>
      <c r="M148" s="1050" t="s">
        <v>574</v>
      </c>
      <c r="N148" s="1050">
        <v>4</v>
      </c>
      <c r="O148" s="1026"/>
      <c r="P148" s="1073" t="str">
        <f t="shared" ref="P148:P152" si="52">IF(O148=0, "Included", IF(ISERROR(N148*O148), O148, N148*O148))</f>
        <v>Included</v>
      </c>
      <c r="Q148" s="1073">
        <f t="shared" ref="Q148:Q152" si="53">S148</f>
        <v>0</v>
      </c>
      <c r="R148" s="665">
        <f t="shared" ref="R148:R152" si="54">IF(P148="Included",0,P148)</f>
        <v>0</v>
      </c>
      <c r="S148" s="665">
        <f t="shared" si="44"/>
        <v>0</v>
      </c>
      <c r="T148" s="666"/>
      <c r="U148" s="666"/>
      <c r="AD148" s="799"/>
    </row>
    <row r="149" spans="1:54" s="665" customFormat="1" ht="28.8">
      <c r="A149" s="817">
        <f t="shared" si="45"/>
        <v>130</v>
      </c>
      <c r="B149" s="1050">
        <v>7000023516</v>
      </c>
      <c r="C149" s="1050">
        <v>1430</v>
      </c>
      <c r="D149" s="1050">
        <v>1860</v>
      </c>
      <c r="E149" s="1050">
        <v>30</v>
      </c>
      <c r="F149" s="1050" t="s">
        <v>829</v>
      </c>
      <c r="G149" s="1050">
        <v>170000435</v>
      </c>
      <c r="H149" s="1050">
        <v>998734</v>
      </c>
      <c r="I149" s="1026"/>
      <c r="J149" s="1050">
        <v>18</v>
      </c>
      <c r="K149" s="1027"/>
      <c r="L149" s="1048" t="s">
        <v>854</v>
      </c>
      <c r="M149" s="1050" t="s">
        <v>574</v>
      </c>
      <c r="N149" s="1050">
        <v>2</v>
      </c>
      <c r="O149" s="1026"/>
      <c r="P149" s="1073" t="str">
        <f t="shared" si="52"/>
        <v>Included</v>
      </c>
      <c r="Q149" s="1073">
        <f t="shared" si="53"/>
        <v>0</v>
      </c>
      <c r="R149" s="665">
        <f t="shared" si="54"/>
        <v>0</v>
      </c>
      <c r="S149" s="665">
        <f t="shared" si="44"/>
        <v>0</v>
      </c>
      <c r="T149" s="666"/>
      <c r="U149" s="666"/>
      <c r="AD149" s="799"/>
    </row>
    <row r="150" spans="1:54" s="665" customFormat="1" ht="28.8">
      <c r="A150" s="817">
        <f t="shared" si="45"/>
        <v>131</v>
      </c>
      <c r="B150" s="1050">
        <v>7000023516</v>
      </c>
      <c r="C150" s="1050">
        <v>1430</v>
      </c>
      <c r="D150" s="1050">
        <v>1860</v>
      </c>
      <c r="E150" s="1050">
        <v>40</v>
      </c>
      <c r="F150" s="1050" t="s">
        <v>829</v>
      </c>
      <c r="G150" s="1050">
        <v>100002813</v>
      </c>
      <c r="H150" s="1050">
        <v>998734</v>
      </c>
      <c r="I150" s="1026"/>
      <c r="J150" s="1050">
        <v>18</v>
      </c>
      <c r="K150" s="1027"/>
      <c r="L150" s="1048" t="s">
        <v>855</v>
      </c>
      <c r="M150" s="1050" t="s">
        <v>574</v>
      </c>
      <c r="N150" s="1050">
        <v>2</v>
      </c>
      <c r="O150" s="1026"/>
      <c r="P150" s="1073" t="str">
        <f t="shared" si="52"/>
        <v>Included</v>
      </c>
      <c r="Q150" s="1073">
        <f t="shared" si="53"/>
        <v>0</v>
      </c>
      <c r="R150" s="665">
        <f t="shared" si="54"/>
        <v>0</v>
      </c>
      <c r="S150" s="665">
        <f t="shared" si="44"/>
        <v>0</v>
      </c>
      <c r="T150" s="666"/>
      <c r="U150" s="666"/>
      <c r="AD150" s="799"/>
    </row>
    <row r="151" spans="1:54" s="665" customFormat="1" ht="28.8">
      <c r="A151" s="817">
        <f t="shared" si="45"/>
        <v>132</v>
      </c>
      <c r="B151" s="1050">
        <v>7000023516</v>
      </c>
      <c r="C151" s="1050">
        <v>1430</v>
      </c>
      <c r="D151" s="1050">
        <v>1860</v>
      </c>
      <c r="E151" s="1050">
        <v>50</v>
      </c>
      <c r="F151" s="1050" t="s">
        <v>829</v>
      </c>
      <c r="G151" s="1050">
        <v>100002825</v>
      </c>
      <c r="H151" s="1050">
        <v>998734</v>
      </c>
      <c r="I151" s="1026"/>
      <c r="J151" s="1050">
        <v>18</v>
      </c>
      <c r="K151" s="1027"/>
      <c r="L151" s="1048" t="s">
        <v>856</v>
      </c>
      <c r="M151" s="1050" t="s">
        <v>578</v>
      </c>
      <c r="N151" s="1050">
        <v>2</v>
      </c>
      <c r="O151" s="1026"/>
      <c r="P151" s="1073" t="str">
        <f t="shared" si="52"/>
        <v>Included</v>
      </c>
      <c r="Q151" s="1073">
        <f t="shared" si="53"/>
        <v>0</v>
      </c>
      <c r="R151" s="665">
        <f t="shared" si="54"/>
        <v>0</v>
      </c>
      <c r="S151" s="665">
        <f t="shared" si="44"/>
        <v>0</v>
      </c>
      <c r="T151" s="666"/>
      <c r="U151" s="666"/>
      <c r="AD151" s="799"/>
    </row>
    <row r="152" spans="1:54" s="665" customFormat="1" ht="28.8">
      <c r="A152" s="817">
        <f t="shared" si="45"/>
        <v>133</v>
      </c>
      <c r="B152" s="1050">
        <v>7000023516</v>
      </c>
      <c r="C152" s="1050">
        <v>1430</v>
      </c>
      <c r="D152" s="1050">
        <v>1860</v>
      </c>
      <c r="E152" s="1050">
        <v>60</v>
      </c>
      <c r="F152" s="1050" t="s">
        <v>829</v>
      </c>
      <c r="G152" s="1050">
        <v>170000550</v>
      </c>
      <c r="H152" s="1050">
        <v>998336</v>
      </c>
      <c r="I152" s="1026"/>
      <c r="J152" s="1050">
        <v>18</v>
      </c>
      <c r="K152" s="1027"/>
      <c r="L152" s="1048" t="s">
        <v>857</v>
      </c>
      <c r="M152" s="1050" t="s">
        <v>574</v>
      </c>
      <c r="N152" s="1050">
        <v>2</v>
      </c>
      <c r="O152" s="1026"/>
      <c r="P152" s="1073" t="str">
        <f t="shared" si="52"/>
        <v>Included</v>
      </c>
      <c r="Q152" s="1073">
        <f t="shared" si="53"/>
        <v>0</v>
      </c>
      <c r="R152" s="665">
        <f t="shared" si="54"/>
        <v>0</v>
      </c>
      <c r="S152" s="665">
        <f t="shared" si="44"/>
        <v>0</v>
      </c>
      <c r="T152" s="666"/>
      <c r="U152" s="666"/>
      <c r="AD152" s="799"/>
    </row>
    <row r="153" spans="1:54" s="665" customFormat="1" ht="28.8">
      <c r="A153" s="817">
        <f t="shared" si="45"/>
        <v>134</v>
      </c>
      <c r="B153" s="1050">
        <v>7000023516</v>
      </c>
      <c r="C153" s="1050">
        <v>1430</v>
      </c>
      <c r="D153" s="1050">
        <v>1860</v>
      </c>
      <c r="E153" s="1050">
        <v>70</v>
      </c>
      <c r="F153" s="1050" t="s">
        <v>829</v>
      </c>
      <c r="G153" s="1050">
        <v>100002829</v>
      </c>
      <c r="H153" s="1050">
        <v>998734</v>
      </c>
      <c r="I153" s="1026"/>
      <c r="J153" s="1050">
        <v>18</v>
      </c>
      <c r="K153" s="1027"/>
      <c r="L153" s="1048" t="s">
        <v>858</v>
      </c>
      <c r="M153" s="1050" t="s">
        <v>578</v>
      </c>
      <c r="N153" s="1050">
        <v>1</v>
      </c>
      <c r="O153" s="1026"/>
      <c r="P153" s="1073" t="str">
        <f>IF(O153=0, "Included", IF(ISERROR(N153*O153), O153, N153*O153))</f>
        <v>Included</v>
      </c>
      <c r="Q153" s="1073">
        <f>S153</f>
        <v>0</v>
      </c>
      <c r="R153" s="665">
        <f>IF(P153="Included",0,P153)</f>
        <v>0</v>
      </c>
      <c r="S153" s="665">
        <f t="shared" si="0"/>
        <v>0</v>
      </c>
      <c r="T153" s="666"/>
      <c r="U153" s="666"/>
      <c r="AD153" s="799"/>
    </row>
    <row r="154" spans="1:54" s="665" customFormat="1" ht="28.8">
      <c r="A154" s="817">
        <f t="shared" ref="A154:A157" si="55">+A153+1</f>
        <v>135</v>
      </c>
      <c r="B154" s="1050">
        <v>7000023516</v>
      </c>
      <c r="C154" s="1050">
        <v>1430</v>
      </c>
      <c r="D154" s="1050">
        <v>1860</v>
      </c>
      <c r="E154" s="1050">
        <v>80</v>
      </c>
      <c r="F154" s="1050" t="s">
        <v>829</v>
      </c>
      <c r="G154" s="1050">
        <v>170000375</v>
      </c>
      <c r="H154" s="1050">
        <v>998734</v>
      </c>
      <c r="I154" s="1026"/>
      <c r="J154" s="1050">
        <v>18</v>
      </c>
      <c r="K154" s="1027"/>
      <c r="L154" s="1048" t="s">
        <v>859</v>
      </c>
      <c r="M154" s="1050" t="s">
        <v>574</v>
      </c>
      <c r="N154" s="1050">
        <v>1</v>
      </c>
      <c r="O154" s="1026"/>
      <c r="P154" s="1073" t="str">
        <f t="shared" ref="P154:P156" si="56">IF(O154=0, "Included", IF(ISERROR(N154*O154), O154, N154*O154))</f>
        <v>Included</v>
      </c>
      <c r="Q154" s="1073">
        <f t="shared" ref="Q154:Q156" si="57">S154</f>
        <v>0</v>
      </c>
      <c r="R154" s="665">
        <f t="shared" ref="R154:R156" si="58">IF(P154="Included",0,P154)</f>
        <v>0</v>
      </c>
      <c r="S154" s="665">
        <f t="shared" si="0"/>
        <v>0</v>
      </c>
      <c r="T154" s="666"/>
      <c r="U154" s="666"/>
      <c r="AD154" s="799"/>
    </row>
    <row r="155" spans="1:54" s="665" customFormat="1" ht="43.2">
      <c r="A155" s="817">
        <f t="shared" si="55"/>
        <v>136</v>
      </c>
      <c r="B155" s="1050">
        <v>7000023516</v>
      </c>
      <c r="C155" s="1050">
        <v>1430</v>
      </c>
      <c r="D155" s="1050">
        <v>1860</v>
      </c>
      <c r="E155" s="1050">
        <v>90</v>
      </c>
      <c r="F155" s="1050" t="s">
        <v>829</v>
      </c>
      <c r="G155" s="1050">
        <v>100002882</v>
      </c>
      <c r="H155" s="1050">
        <v>998336</v>
      </c>
      <c r="I155" s="1026"/>
      <c r="J155" s="1050">
        <v>18</v>
      </c>
      <c r="K155" s="1027"/>
      <c r="L155" s="1048" t="s">
        <v>860</v>
      </c>
      <c r="M155" s="1050" t="s">
        <v>594</v>
      </c>
      <c r="N155" s="1050">
        <v>2</v>
      </c>
      <c r="O155" s="1026"/>
      <c r="P155" s="1073" t="str">
        <f t="shared" si="56"/>
        <v>Included</v>
      </c>
      <c r="Q155" s="1073">
        <f t="shared" si="57"/>
        <v>0</v>
      </c>
      <c r="R155" s="665">
        <f t="shared" si="58"/>
        <v>0</v>
      </c>
      <c r="S155" s="665">
        <f t="shared" si="0"/>
        <v>0</v>
      </c>
      <c r="T155" s="666"/>
      <c r="U155" s="666"/>
      <c r="AD155" s="799"/>
    </row>
    <row r="156" spans="1:54" s="665" customFormat="1" ht="28.8">
      <c r="A156" s="817">
        <f t="shared" si="55"/>
        <v>137</v>
      </c>
      <c r="B156" s="1050">
        <v>7000023516</v>
      </c>
      <c r="C156" s="1050">
        <v>1430</v>
      </c>
      <c r="D156" s="1050">
        <v>1860</v>
      </c>
      <c r="E156" s="1050">
        <v>100</v>
      </c>
      <c r="F156" s="1050" t="s">
        <v>829</v>
      </c>
      <c r="G156" s="1050">
        <v>170000356</v>
      </c>
      <c r="H156" s="1050">
        <v>998336</v>
      </c>
      <c r="I156" s="1026"/>
      <c r="J156" s="1050">
        <v>18</v>
      </c>
      <c r="K156" s="1027"/>
      <c r="L156" s="1048" t="s">
        <v>861</v>
      </c>
      <c r="M156" s="1050" t="s">
        <v>574</v>
      </c>
      <c r="N156" s="1050">
        <v>2</v>
      </c>
      <c r="O156" s="1026"/>
      <c r="P156" s="1073" t="str">
        <f t="shared" si="56"/>
        <v>Included</v>
      </c>
      <c r="Q156" s="1073">
        <f t="shared" si="57"/>
        <v>0</v>
      </c>
      <c r="R156" s="665">
        <f t="shared" si="58"/>
        <v>0</v>
      </c>
      <c r="S156" s="665">
        <f t="shared" si="0"/>
        <v>0</v>
      </c>
      <c r="T156" s="666"/>
      <c r="U156" s="666"/>
      <c r="AD156" s="799"/>
    </row>
    <row r="157" spans="1:54" s="665" customFormat="1" ht="78.599999999999994" customHeight="1">
      <c r="A157" s="817">
        <f t="shared" si="55"/>
        <v>138</v>
      </c>
      <c r="B157" s="1050">
        <v>7000023516</v>
      </c>
      <c r="C157" s="1050">
        <v>1540</v>
      </c>
      <c r="D157" s="1050">
        <v>1890</v>
      </c>
      <c r="E157" s="1050">
        <v>10</v>
      </c>
      <c r="F157" s="1050" t="s">
        <v>802</v>
      </c>
      <c r="G157" s="1050">
        <v>100038483</v>
      </c>
      <c r="H157" s="1050">
        <v>995455</v>
      </c>
      <c r="I157" s="1026"/>
      <c r="J157" s="1050">
        <v>18</v>
      </c>
      <c r="K157" s="1027"/>
      <c r="L157" s="1048" t="s">
        <v>862</v>
      </c>
      <c r="M157" s="1050" t="s">
        <v>574</v>
      </c>
      <c r="N157" s="1050">
        <v>2</v>
      </c>
      <c r="O157" s="1026"/>
      <c r="P157" s="1073" t="str">
        <f t="shared" ref="P157" si="59">IF(O157=0, "Included", IF(ISERROR(N157*O157), O157, N157*O157))</f>
        <v>Included</v>
      </c>
      <c r="Q157" s="1073">
        <f t="shared" ref="Q157" si="60">S157</f>
        <v>0</v>
      </c>
      <c r="R157" s="665">
        <f t="shared" ref="R157" si="61">IF(P157="Included",0,P157)</f>
        <v>0</v>
      </c>
      <c r="S157" s="665">
        <f t="shared" ref="S157" si="62">IF(K157="",(R157*J157/100),(R157*K157/100))</f>
        <v>0</v>
      </c>
      <c r="T157" s="666"/>
      <c r="U157" s="666"/>
      <c r="AD157" s="799"/>
    </row>
    <row r="158" spans="1:54" s="665" customFormat="1">
      <c r="A158" s="1330"/>
      <c r="B158" s="1331"/>
      <c r="C158" s="1331"/>
      <c r="D158" s="1331"/>
      <c r="E158" s="1331"/>
      <c r="F158" s="1331"/>
      <c r="G158" s="1331"/>
      <c r="H158" s="1331"/>
      <c r="I158" s="1331"/>
      <c r="J158" s="1331"/>
      <c r="K158" s="1331"/>
      <c r="L158" s="1331"/>
      <c r="M158" s="1331"/>
      <c r="N158" s="1331"/>
      <c r="O158" s="1331"/>
      <c r="P158" s="1331"/>
      <c r="Q158" s="1332"/>
      <c r="R158" s="666"/>
      <c r="S158" s="666"/>
      <c r="T158" s="666"/>
      <c r="U158" s="666"/>
      <c r="AD158" s="799"/>
    </row>
    <row r="159" spans="1:54">
      <c r="A159" s="1327"/>
      <c r="B159" s="1328"/>
      <c r="C159" s="1328"/>
      <c r="D159" s="1328"/>
      <c r="E159" s="1328"/>
      <c r="F159" s="1328"/>
      <c r="G159" s="1328"/>
      <c r="H159" s="1328"/>
      <c r="I159" s="1328"/>
      <c r="J159" s="1328"/>
      <c r="K159" s="1329"/>
      <c r="L159" s="790" t="s">
        <v>633</v>
      </c>
      <c r="M159" s="791"/>
      <c r="N159" s="792"/>
      <c r="O159" s="793"/>
      <c r="P159" s="1074">
        <f>SUM(P20:P158)</f>
        <v>0</v>
      </c>
      <c r="Q159" s="1075"/>
      <c r="S159" s="850">
        <f>SUM(S20:S157)</f>
        <v>0</v>
      </c>
      <c r="T159" s="687"/>
      <c r="U159" s="687"/>
      <c r="V159" s="687"/>
      <c r="W159" s="687"/>
      <c r="X159" s="687"/>
      <c r="Y159" s="687"/>
      <c r="Z159" s="687"/>
      <c r="AA159" s="687"/>
      <c r="AB159" s="687"/>
      <c r="AC159" s="687"/>
      <c r="AD159" s="687"/>
      <c r="AE159" s="687"/>
      <c r="AF159" s="687"/>
      <c r="AG159" s="687"/>
      <c r="AH159" s="687"/>
      <c r="AI159" s="687"/>
      <c r="AJ159" s="687"/>
      <c r="AK159" s="687"/>
      <c r="AL159" s="687"/>
      <c r="AM159" s="687"/>
      <c r="AN159" s="687"/>
      <c r="AO159" s="687"/>
      <c r="AP159" s="687"/>
      <c r="AQ159" s="687"/>
      <c r="AR159" s="687"/>
      <c r="AS159" s="687"/>
      <c r="AT159" s="687"/>
      <c r="AU159" s="687"/>
      <c r="AV159" s="687"/>
      <c r="AW159" s="687"/>
      <c r="AX159" s="687"/>
      <c r="AY159" s="687"/>
      <c r="AZ159" s="687"/>
      <c r="BA159" s="687"/>
      <c r="BB159" s="687"/>
    </row>
    <row r="160" spans="1:54">
      <c r="A160" s="840"/>
      <c r="B160" s="841"/>
      <c r="C160" s="841"/>
      <c r="D160" s="841"/>
      <c r="E160" s="841"/>
      <c r="F160" s="841"/>
      <c r="G160" s="841"/>
      <c r="H160" s="842"/>
      <c r="I160" s="843"/>
      <c r="J160" s="841"/>
      <c r="K160" s="841"/>
      <c r="L160" s="1315" t="s">
        <v>510</v>
      </c>
      <c r="M160" s="1316"/>
      <c r="N160" s="1316"/>
      <c r="O160" s="1317"/>
      <c r="P160" s="1074"/>
      <c r="Q160" s="1074">
        <f>SUM(Q20:Q157)</f>
        <v>0</v>
      </c>
      <c r="T160" s="687"/>
      <c r="U160" s="687"/>
      <c r="V160" s="687"/>
      <c r="W160" s="687"/>
      <c r="X160" s="687"/>
      <c r="Y160" s="687"/>
      <c r="Z160" s="687"/>
      <c r="AA160" s="687"/>
      <c r="AB160" s="687"/>
      <c r="AC160" s="687"/>
      <c r="AD160" s="687"/>
      <c r="AE160" s="687"/>
      <c r="AF160" s="687"/>
      <c r="AG160" s="687"/>
      <c r="AH160" s="687"/>
      <c r="AI160" s="687"/>
      <c r="AJ160" s="687"/>
      <c r="AK160" s="687"/>
      <c r="AL160" s="687"/>
      <c r="AM160" s="687"/>
      <c r="AN160" s="687"/>
      <c r="AO160" s="687"/>
      <c r="AP160" s="687"/>
      <c r="AQ160" s="687"/>
      <c r="AR160" s="687"/>
      <c r="AS160" s="687"/>
      <c r="AT160" s="687"/>
      <c r="AU160" s="687"/>
      <c r="AV160" s="687"/>
      <c r="AW160" s="687"/>
      <c r="AX160" s="687"/>
      <c r="AY160" s="687"/>
      <c r="AZ160" s="687"/>
      <c r="BA160" s="687"/>
      <c r="BB160" s="687"/>
    </row>
    <row r="161" spans="1:54">
      <c r="A161" s="809"/>
      <c r="B161" s="670"/>
      <c r="C161" s="1085"/>
      <c r="D161" s="1085"/>
      <c r="E161" s="1085"/>
      <c r="F161" s="670"/>
      <c r="G161" s="1085"/>
      <c r="H161" s="1319"/>
      <c r="I161" s="1319"/>
      <c r="J161" s="1319"/>
      <c r="K161" s="1319"/>
      <c r="L161" s="1319"/>
      <c r="M161" s="1319"/>
      <c r="N161" s="675"/>
      <c r="O161" s="724"/>
      <c r="P161" s="1076"/>
      <c r="T161" s="687"/>
      <c r="U161" s="687"/>
      <c r="V161" s="687"/>
      <c r="W161" s="687"/>
      <c r="X161" s="687"/>
      <c r="Y161" s="687"/>
      <c r="Z161" s="687"/>
      <c r="AA161" s="687"/>
      <c r="AB161" s="687"/>
      <c r="AC161" s="687"/>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687"/>
      <c r="AY161" s="687"/>
      <c r="AZ161" s="687"/>
      <c r="BA161" s="687"/>
      <c r="BB161" s="687"/>
    </row>
    <row r="162" spans="1:54">
      <c r="A162" s="810" t="s">
        <v>489</v>
      </c>
      <c r="B162" s="1312" t="s">
        <v>490</v>
      </c>
      <c r="C162" s="1312"/>
      <c r="D162" s="1312"/>
      <c r="E162" s="1312"/>
      <c r="F162" s="1312"/>
      <c r="G162" s="1312"/>
      <c r="H162" s="1312"/>
      <c r="I162" s="1312"/>
      <c r="J162" s="1312"/>
      <c r="K162" s="1312"/>
      <c r="L162" s="1312"/>
      <c r="M162" s="1070"/>
      <c r="N162" s="1070"/>
      <c r="O162" s="747"/>
      <c r="P162" s="1070"/>
      <c r="Q162" s="1070"/>
      <c r="T162" s="687"/>
      <c r="U162" s="687"/>
      <c r="V162" s="687"/>
      <c r="W162" s="687"/>
      <c r="X162" s="687"/>
      <c r="Y162" s="687"/>
      <c r="Z162" s="687"/>
      <c r="AA162" s="687"/>
      <c r="AB162" s="687"/>
      <c r="AC162" s="687"/>
      <c r="AD162" s="687"/>
      <c r="AE162" s="687"/>
      <c r="AF162" s="687"/>
      <c r="AG162" s="687"/>
      <c r="AH162" s="687"/>
      <c r="AI162" s="687"/>
      <c r="AJ162" s="687"/>
      <c r="AK162" s="687"/>
      <c r="AL162" s="687"/>
      <c r="AM162" s="687"/>
      <c r="AN162" s="687"/>
      <c r="AO162" s="687"/>
      <c r="AP162" s="687"/>
      <c r="AQ162" s="687"/>
      <c r="AR162" s="687"/>
      <c r="AS162" s="687"/>
      <c r="AT162" s="687"/>
      <c r="AU162" s="687"/>
      <c r="AV162" s="687"/>
      <c r="AW162" s="687"/>
      <c r="AX162" s="687"/>
      <c r="AY162" s="687"/>
      <c r="AZ162" s="687"/>
      <c r="BA162" s="687"/>
      <c r="BB162" s="687"/>
    </row>
    <row r="163" spans="1:54">
      <c r="A163" s="1333" t="s">
        <v>406</v>
      </c>
      <c r="B163" s="1333"/>
      <c r="C163" s="1333"/>
      <c r="D163" s="1320" t="str">
        <f>'Sch-1'!B158</f>
        <v>--</v>
      </c>
      <c r="E163" s="1320"/>
      <c r="F163" s="678"/>
      <c r="G163" s="678"/>
      <c r="I163" s="696"/>
      <c r="J163" s="678"/>
      <c r="K163" s="678"/>
      <c r="M163" s="723"/>
      <c r="N163" s="723"/>
      <c r="O163" s="724"/>
      <c r="P163" s="107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7"/>
      <c r="AY163" s="687"/>
      <c r="AZ163" s="687"/>
      <c r="BA163" s="687"/>
      <c r="BB163" s="687"/>
    </row>
    <row r="164" spans="1:54">
      <c r="A164" s="1333" t="s">
        <v>407</v>
      </c>
      <c r="B164" s="1333"/>
      <c r="C164" s="1333"/>
      <c r="D164" s="1321" t="str">
        <f>'Sch-1'!B159</f>
        <v/>
      </c>
      <c r="E164" s="1321"/>
      <c r="F164" s="678"/>
      <c r="G164" s="678"/>
      <c r="I164" s="696"/>
      <c r="J164" s="678"/>
      <c r="K164" s="678"/>
      <c r="M164" s="1325" t="s">
        <v>408</v>
      </c>
      <c r="N164" s="1325"/>
      <c r="O164" s="1334" t="str">
        <f>'Sch-1'!M159</f>
        <v/>
      </c>
      <c r="P164" s="1334"/>
      <c r="AN164" s="687"/>
      <c r="AO164" s="687"/>
      <c r="AP164" s="687"/>
      <c r="AQ164" s="687"/>
      <c r="AR164" s="687"/>
      <c r="AS164" s="687"/>
      <c r="AT164" s="687"/>
      <c r="AU164" s="687"/>
      <c r="AV164" s="687"/>
      <c r="AW164" s="687"/>
      <c r="AX164" s="687"/>
      <c r="AY164" s="687"/>
      <c r="AZ164" s="687"/>
      <c r="BA164" s="687"/>
      <c r="BB164" s="687"/>
    </row>
    <row r="165" spans="1:54">
      <c r="A165" s="812"/>
      <c r="B165" s="667"/>
      <c r="C165" s="667"/>
      <c r="D165" s="667"/>
      <c r="E165" s="667"/>
      <c r="F165" s="667"/>
      <c r="G165" s="667"/>
      <c r="H165" s="757"/>
      <c r="I165" s="690"/>
      <c r="J165" s="667"/>
      <c r="K165" s="667"/>
      <c r="L165" s="698"/>
      <c r="M165" s="1325" t="s">
        <v>409</v>
      </c>
      <c r="N165" s="1325"/>
      <c r="O165" s="1334" t="str">
        <f>'Sch-1'!M160</f>
        <v/>
      </c>
      <c r="P165" s="1334"/>
      <c r="AN165" s="687"/>
      <c r="AO165" s="687"/>
      <c r="AP165" s="687"/>
      <c r="AQ165" s="687"/>
      <c r="AR165" s="687"/>
      <c r="AS165" s="687"/>
      <c r="AT165" s="687"/>
      <c r="AU165" s="687"/>
      <c r="AV165" s="687"/>
      <c r="AW165" s="687"/>
      <c r="AX165" s="687"/>
      <c r="AY165" s="687"/>
      <c r="AZ165" s="687"/>
      <c r="BA165" s="687"/>
      <c r="BB165" s="687"/>
    </row>
    <row r="166" spans="1:54">
      <c r="A166" s="811"/>
      <c r="B166" s="678"/>
      <c r="C166" s="678"/>
      <c r="D166" s="678"/>
      <c r="E166" s="678"/>
      <c r="F166" s="678"/>
      <c r="G166" s="678"/>
      <c r="H166" s="758"/>
      <c r="I166" s="696"/>
      <c r="J166" s="678"/>
      <c r="K166" s="678"/>
      <c r="L166" s="699"/>
      <c r="M166" s="697"/>
      <c r="N166" s="696"/>
      <c r="O166" s="687"/>
      <c r="P166" s="675"/>
      <c r="AN166" s="687"/>
      <c r="AO166" s="687"/>
      <c r="AP166" s="687"/>
      <c r="AQ166" s="687"/>
      <c r="AR166" s="687"/>
      <c r="AS166" s="687"/>
      <c r="AT166" s="687"/>
      <c r="AU166" s="687"/>
      <c r="AV166" s="687"/>
      <c r="AW166" s="687"/>
      <c r="AX166" s="687"/>
      <c r="AY166" s="687"/>
      <c r="AZ166" s="687"/>
      <c r="BA166" s="687"/>
      <c r="BB166" s="687"/>
    </row>
    <row r="167" spans="1:54">
      <c r="AN167" s="687"/>
      <c r="AO167" s="687"/>
      <c r="AP167" s="687"/>
      <c r="AQ167" s="687"/>
      <c r="AR167" s="687"/>
      <c r="AS167" s="687"/>
      <c r="AT167" s="687"/>
      <c r="AU167" s="687"/>
      <c r="AV167" s="687"/>
      <c r="AW167" s="687"/>
      <c r="AX167" s="687"/>
      <c r="AY167" s="687"/>
      <c r="AZ167" s="687"/>
      <c r="BA167" s="687"/>
      <c r="BB167" s="687"/>
    </row>
    <row r="179" spans="1:54" s="695" customFormat="1">
      <c r="A179" s="813"/>
      <c r="B179" s="725"/>
      <c r="C179" s="725"/>
      <c r="D179" s="725"/>
      <c r="E179" s="725"/>
      <c r="F179" s="725"/>
      <c r="G179" s="725"/>
      <c r="H179" s="759"/>
      <c r="I179" s="750"/>
      <c r="J179" s="725"/>
      <c r="K179" s="725"/>
      <c r="L179" s="726"/>
      <c r="M179" s="727"/>
      <c r="N179" s="728"/>
      <c r="O179" s="729"/>
      <c r="P179" s="1078"/>
      <c r="Q179" s="1079"/>
      <c r="AL179" s="730"/>
      <c r="AM179" s="730"/>
    </row>
    <row r="180" spans="1:54" s="695" customFormat="1">
      <c r="A180" s="813"/>
      <c r="B180" s="725"/>
      <c r="C180" s="725"/>
      <c r="D180" s="725"/>
      <c r="E180" s="725"/>
      <c r="F180" s="725"/>
      <c r="G180" s="725"/>
      <c r="H180" s="759"/>
      <c r="I180" s="750"/>
      <c r="J180" s="725"/>
      <c r="K180" s="725"/>
      <c r="L180" s="726"/>
      <c r="M180" s="727"/>
      <c r="N180" s="728"/>
      <c r="O180" s="729"/>
      <c r="P180" s="1078"/>
      <c r="Q180" s="1079"/>
      <c r="AL180" s="731"/>
      <c r="AM180" s="732"/>
    </row>
    <row r="181" spans="1:54" s="695" customFormat="1">
      <c r="A181" s="813"/>
      <c r="B181" s="725"/>
      <c r="C181" s="725"/>
      <c r="D181" s="725"/>
      <c r="E181" s="725"/>
      <c r="F181" s="725"/>
      <c r="G181" s="725"/>
      <c r="H181" s="759"/>
      <c r="I181" s="750"/>
      <c r="J181" s="725"/>
      <c r="K181" s="725"/>
      <c r="L181" s="726"/>
      <c r="M181" s="727"/>
      <c r="N181" s="728"/>
      <c r="O181" s="729"/>
      <c r="P181" s="1078"/>
      <c r="Q181" s="1079"/>
      <c r="AM181" s="733"/>
    </row>
    <row r="182" spans="1:54" s="695" customFormat="1">
      <c r="A182" s="814"/>
      <c r="B182" s="734"/>
      <c r="C182" s="734"/>
      <c r="D182" s="734"/>
      <c r="E182" s="734"/>
      <c r="F182" s="734"/>
      <c r="G182" s="734"/>
      <c r="H182" s="760"/>
      <c r="I182" s="736"/>
      <c r="J182" s="734"/>
      <c r="K182" s="734"/>
      <c r="L182" s="735"/>
      <c r="M182" s="736"/>
      <c r="N182" s="736"/>
      <c r="O182" s="731"/>
      <c r="P182" s="1080"/>
      <c r="Q182" s="1079"/>
    </row>
    <row r="183" spans="1:54">
      <c r="A183" s="814"/>
      <c r="B183" s="734"/>
      <c r="C183" s="734"/>
      <c r="D183" s="734"/>
      <c r="E183" s="734"/>
      <c r="F183" s="734"/>
      <c r="G183" s="734"/>
      <c r="H183" s="760"/>
      <c r="I183" s="736"/>
      <c r="J183" s="734"/>
      <c r="K183" s="734"/>
      <c r="L183" s="737"/>
      <c r="M183" s="736"/>
      <c r="N183" s="736"/>
      <c r="O183" s="731"/>
      <c r="P183" s="1080"/>
      <c r="AN183" s="687"/>
      <c r="AO183" s="687"/>
      <c r="AP183" s="687"/>
      <c r="AQ183" s="687"/>
      <c r="AR183" s="687"/>
      <c r="AS183" s="687"/>
      <c r="AT183" s="687"/>
      <c r="AU183" s="687"/>
      <c r="AV183" s="687"/>
      <c r="AW183" s="687"/>
      <c r="AX183" s="687"/>
      <c r="AY183" s="687"/>
      <c r="AZ183" s="687"/>
      <c r="BA183" s="687"/>
      <c r="BB183" s="687"/>
    </row>
    <row r="184" spans="1:54">
      <c r="A184" s="815"/>
      <c r="B184" s="738"/>
      <c r="C184" s="738"/>
      <c r="D184" s="738"/>
      <c r="E184" s="738"/>
      <c r="F184" s="738"/>
      <c r="G184" s="738"/>
      <c r="H184" s="761"/>
      <c r="I184" s="700"/>
      <c r="J184" s="738"/>
      <c r="K184" s="738"/>
      <c r="L184" s="701"/>
      <c r="M184" s="700"/>
      <c r="N184" s="700"/>
      <c r="O184" s="702"/>
      <c r="P184" s="700"/>
      <c r="AN184" s="687"/>
      <c r="AO184" s="687"/>
      <c r="AP184" s="687"/>
      <c r="AQ184" s="687"/>
      <c r="AR184" s="687"/>
      <c r="AS184" s="687"/>
      <c r="AT184" s="687"/>
      <c r="AU184" s="687"/>
      <c r="AV184" s="687"/>
      <c r="AW184" s="687"/>
      <c r="AX184" s="687"/>
      <c r="AY184" s="687"/>
      <c r="AZ184" s="687"/>
      <c r="BA184" s="687"/>
      <c r="BB184" s="687"/>
    </row>
    <row r="185" spans="1:54">
      <c r="A185" s="815"/>
      <c r="B185" s="738"/>
      <c r="C185" s="738"/>
      <c r="D185" s="738"/>
      <c r="E185" s="738"/>
      <c r="F185" s="738"/>
      <c r="G185" s="738"/>
      <c r="H185" s="761"/>
      <c r="I185" s="700"/>
      <c r="J185" s="738"/>
      <c r="K185" s="738"/>
      <c r="L185" s="701"/>
      <c r="M185" s="700"/>
      <c r="N185" s="700"/>
      <c r="O185" s="702"/>
      <c r="P185" s="700"/>
      <c r="AN185" s="687"/>
      <c r="AO185" s="687"/>
      <c r="AP185" s="687"/>
      <c r="AQ185" s="687"/>
      <c r="AR185" s="687"/>
      <c r="AS185" s="687"/>
      <c r="AT185" s="687"/>
      <c r="AU185" s="687"/>
      <c r="AV185" s="687"/>
      <c r="AW185" s="687"/>
      <c r="AX185" s="687"/>
      <c r="AY185" s="687"/>
      <c r="AZ185" s="687"/>
      <c r="BA185" s="687"/>
      <c r="BB185" s="687"/>
    </row>
    <row r="186" spans="1:54">
      <c r="A186" s="816"/>
      <c r="B186" s="739"/>
      <c r="C186" s="739"/>
      <c r="D186" s="739"/>
      <c r="E186" s="739"/>
      <c r="F186" s="739"/>
      <c r="G186" s="739"/>
      <c r="H186" s="762"/>
      <c r="I186" s="741"/>
      <c r="J186" s="739"/>
      <c r="K186" s="739"/>
      <c r="L186" s="740"/>
      <c r="M186" s="741"/>
      <c r="N186" s="741"/>
      <c r="O186" s="742"/>
      <c r="P186" s="741"/>
      <c r="AN186" s="687"/>
      <c r="AO186" s="687"/>
      <c r="AP186" s="687"/>
      <c r="AQ186" s="687"/>
      <c r="AR186" s="687"/>
      <c r="AS186" s="687"/>
      <c r="AT186" s="687"/>
      <c r="AU186" s="687"/>
      <c r="AV186" s="687"/>
      <c r="AW186" s="687"/>
      <c r="AX186" s="687"/>
      <c r="AY186" s="687"/>
      <c r="AZ186" s="687"/>
      <c r="BA186" s="687"/>
      <c r="BB186" s="687"/>
    </row>
    <row r="187" spans="1:54">
      <c r="A187" s="815"/>
      <c r="B187" s="738"/>
      <c r="C187" s="738"/>
      <c r="D187" s="738"/>
      <c r="E187" s="738"/>
      <c r="F187" s="738"/>
      <c r="G187" s="738"/>
      <c r="H187" s="761"/>
      <c r="I187" s="700"/>
      <c r="J187" s="738"/>
      <c r="K187" s="738"/>
      <c r="L187" s="701"/>
      <c r="M187" s="700"/>
      <c r="N187" s="700"/>
      <c r="O187" s="702"/>
      <c r="P187" s="700"/>
      <c r="AN187" s="687"/>
      <c r="AO187" s="687"/>
      <c r="AP187" s="687"/>
      <c r="AQ187" s="687"/>
      <c r="AR187" s="687"/>
      <c r="AS187" s="687"/>
      <c r="AT187" s="687"/>
      <c r="AU187" s="687"/>
      <c r="AV187" s="687"/>
      <c r="AW187" s="687"/>
      <c r="AX187" s="687"/>
      <c r="AY187" s="687"/>
      <c r="AZ187" s="687"/>
      <c r="BA187" s="687"/>
      <c r="BB187" s="687"/>
    </row>
    <row r="188" spans="1:54">
      <c r="A188" s="815"/>
      <c r="B188" s="738"/>
      <c r="C188" s="738"/>
      <c r="D188" s="738"/>
      <c r="E188" s="738"/>
      <c r="F188" s="738"/>
      <c r="G188" s="738"/>
      <c r="H188" s="761"/>
      <c r="I188" s="700"/>
      <c r="J188" s="738"/>
      <c r="K188" s="738"/>
      <c r="L188" s="701"/>
      <c r="M188" s="700"/>
      <c r="N188" s="700"/>
      <c r="O188" s="702"/>
      <c r="P188" s="700"/>
      <c r="AN188" s="687"/>
      <c r="AO188" s="687"/>
      <c r="AP188" s="687"/>
      <c r="AQ188" s="687"/>
      <c r="AR188" s="687"/>
      <c r="AS188" s="687"/>
      <c r="AT188" s="687"/>
      <c r="AU188" s="687"/>
      <c r="AV188" s="687"/>
      <c r="AW188" s="687"/>
      <c r="AX188" s="687"/>
      <c r="AY188" s="687"/>
      <c r="AZ188" s="687"/>
      <c r="BA188" s="687"/>
      <c r="BB188" s="687"/>
    </row>
  </sheetData>
  <sheetProtection algorithmName="SHA-512" hashValue="oIzGEeye/qspV8b1rRDPMnxYWZlBDhUuabmzs+D5tWiCkxCOPj22MCBjKywBirsmOLcXDiJX32YOJxQs0x8CNg==" saltValue="J1uPUHgNoRsovBGSlxJdJQ==" spinCount="100000" sheet="1" formatColumns="0" formatRows="0" selectLockedCells="1"/>
  <customSheetViews>
    <customSheetView guid="{9AC181BA-F443-4EA7-A647-328174FE3004}" scale="70" showPageBreaks="1" fitToPage="1" printArea="1" hiddenRows="1" hiddenColumns="1" view="pageBreakPreview" topLeftCell="A331">
      <selection activeCell="I339" sqref="I339"/>
      <colBreaks count="2" manualBreakCount="2">
        <brk id="11" max="1048575" man="1"/>
        <brk id="16" max="1048575" man="1"/>
      </colBreaks>
      <pageMargins left="0.25" right="0.25" top="0.5" bottom="0.25" header="0.05" footer="0.05"/>
      <printOptions horizontalCentered="1"/>
      <pageSetup paperSize="9" scale="10" fitToHeight="2" orientation="landscape" r:id="rId1"/>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3"/>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5"/>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6"/>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7"/>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2"/>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5"/>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6"/>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22"/>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2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2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25"/>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26"/>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7"/>
      <headerFooter alignWithMargins="0">
        <oddFooter>&amp;R&amp;"Book Antiqua,Bold"&amp;10Schedule-3/ Page &amp;P of &amp;N</oddFooter>
      </headerFooter>
    </customSheetView>
    <customSheetView guid="{D5F8AD2D-F014-4A7B-9CE7-589273BD9F11}" scale="70" showPageBreaks="1" fitToPage="1" printArea="1" hiddenRows="1" hiddenColumns="1" view="pageBreakPreview">
      <selection activeCell="I48" sqref="I48"/>
      <colBreaks count="2" manualBreakCount="2">
        <brk id="11" max="1048575" man="1"/>
        <brk id="16" max="1048575" man="1"/>
      </colBreaks>
      <pageMargins left="0.25" right="0.25" top="0.5" bottom="0.25" header="0.05" footer="0.05"/>
      <printOptions horizontalCentered="1"/>
      <pageSetup paperSize="9" scale="10" fitToHeight="2" orientation="landscape" r:id="rId28"/>
      <headerFooter alignWithMargins="0">
        <oddFooter>&amp;R&amp;"Book Antiqua,Bold"&amp;10Schedule-3/ Page &amp;P of &amp;N</oddFooter>
      </headerFooter>
    </customSheetView>
  </customSheetViews>
  <mergeCells count="23">
    <mergeCell ref="M165:N165"/>
    <mergeCell ref="M164:N164"/>
    <mergeCell ref="N15:P15"/>
    <mergeCell ref="A159:K159"/>
    <mergeCell ref="M11:P11"/>
    <mergeCell ref="A158:Q158"/>
    <mergeCell ref="A163:C163"/>
    <mergeCell ref="A164:C164"/>
    <mergeCell ref="O164:P164"/>
    <mergeCell ref="O165:P165"/>
    <mergeCell ref="AO13:AP13"/>
    <mergeCell ref="AL13:AM13"/>
    <mergeCell ref="H161:M161"/>
    <mergeCell ref="D163:E163"/>
    <mergeCell ref="D164:E164"/>
    <mergeCell ref="B18:L18"/>
    <mergeCell ref="A3:Q3"/>
    <mergeCell ref="B162:L162"/>
    <mergeCell ref="A4:Q4"/>
    <mergeCell ref="M8:P8"/>
    <mergeCell ref="L160:O160"/>
    <mergeCell ref="M7:P7"/>
    <mergeCell ref="M9:P9"/>
  </mergeCells>
  <phoneticPr fontId="2" type="noConversion"/>
  <conditionalFormatting sqref="O159 O161:O162 K21:K22 O20:O22 I48:I50 O48:O52 K48:K52 I153:I157 K153:K157 O153:O157">
    <cfRule type="expression" dxfId="139" priority="2947" stopIfTrue="1">
      <formula>H20&gt;0</formula>
    </cfRule>
  </conditionalFormatting>
  <conditionalFormatting sqref="O163">
    <cfRule type="expression" dxfId="138" priority="2747" stopIfTrue="1">
      <formula>N163&gt;0</formula>
    </cfRule>
  </conditionalFormatting>
  <conditionalFormatting sqref="K20:K22 K48:K52 K153:K157">
    <cfRule type="expression" dxfId="137" priority="2184" stopIfTrue="1">
      <formula>H20&gt;0</formula>
    </cfRule>
  </conditionalFormatting>
  <conditionalFormatting sqref="K20 K154:K157">
    <cfRule type="cellIs" dxfId="136" priority="2183" stopIfTrue="1" operator="equal">
      <formula>"a"</formula>
    </cfRule>
  </conditionalFormatting>
  <conditionalFormatting sqref="K20">
    <cfRule type="expression" dxfId="135" priority="2182" stopIfTrue="1">
      <formula>J20&gt;0</formula>
    </cfRule>
  </conditionalFormatting>
  <conditionalFormatting sqref="I20">
    <cfRule type="expression" dxfId="134" priority="2181" stopIfTrue="1">
      <formula>H20&gt;0</formula>
    </cfRule>
  </conditionalFormatting>
  <conditionalFormatting sqref="I21:I22">
    <cfRule type="expression" dxfId="133" priority="2180" stopIfTrue="1">
      <formula>H21&gt;0</formula>
    </cfRule>
  </conditionalFormatting>
  <conditionalFormatting sqref="K21:K22 K153">
    <cfRule type="cellIs" dxfId="132" priority="1639" stopIfTrue="1" operator="equal">
      <formula>"a"</formula>
    </cfRule>
  </conditionalFormatting>
  <conditionalFormatting sqref="I128:I131 K148:K152 I152 O143:O152 K143:K144 O128:O133 K128:K133">
    <cfRule type="expression" dxfId="131" priority="111" stopIfTrue="1">
      <formula>H128&gt;0</formula>
    </cfRule>
  </conditionalFormatting>
  <conditionalFormatting sqref="K148:K152 K143:K144 K128:K133">
    <cfRule type="expression" dxfId="130" priority="110" stopIfTrue="1">
      <formula>H128&gt;0</formula>
    </cfRule>
  </conditionalFormatting>
  <conditionalFormatting sqref="K129:K133 K148:K151 K143:K144">
    <cfRule type="cellIs" dxfId="129" priority="109" stopIfTrue="1" operator="equal">
      <formula>"a"</formula>
    </cfRule>
  </conditionalFormatting>
  <conditionalFormatting sqref="K128">
    <cfRule type="cellIs" dxfId="128" priority="108" stopIfTrue="1" operator="equal">
      <formula>"a"</formula>
    </cfRule>
  </conditionalFormatting>
  <conditionalFormatting sqref="I151">
    <cfRule type="expression" dxfId="127" priority="107" stopIfTrue="1">
      <formula>H151&gt;0</formula>
    </cfRule>
  </conditionalFormatting>
  <conditionalFormatting sqref="I132:I133 I148:I150 I143:I144">
    <cfRule type="expression" dxfId="126" priority="106" stopIfTrue="1">
      <formula>H132&gt;0</formula>
    </cfRule>
  </conditionalFormatting>
  <conditionalFormatting sqref="K152">
    <cfRule type="cellIs" dxfId="125" priority="105" stopIfTrue="1" operator="equal">
      <formula>"a"</formula>
    </cfRule>
  </conditionalFormatting>
  <conditionalFormatting sqref="I145:I147 K145:K147">
    <cfRule type="expression" dxfId="124" priority="104" stopIfTrue="1">
      <formula>H145&gt;0</formula>
    </cfRule>
  </conditionalFormatting>
  <conditionalFormatting sqref="K145:K147">
    <cfRule type="expression" dxfId="123" priority="103" stopIfTrue="1">
      <formula>H145&gt;0</formula>
    </cfRule>
  </conditionalFormatting>
  <conditionalFormatting sqref="K145:K147">
    <cfRule type="cellIs" dxfId="122" priority="102" stopIfTrue="1" operator="equal">
      <formula>"a"</formula>
    </cfRule>
  </conditionalFormatting>
  <conditionalFormatting sqref="K139:K142 O134:O142 K134:K135">
    <cfRule type="expression" dxfId="121" priority="101" stopIfTrue="1">
      <formula>J134&gt;0</formula>
    </cfRule>
  </conditionalFormatting>
  <conditionalFormatting sqref="K139:K142 K134:K135">
    <cfRule type="expression" dxfId="120" priority="100" stopIfTrue="1">
      <formula>H134&gt;0</formula>
    </cfRule>
  </conditionalFormatting>
  <conditionalFormatting sqref="K139:K142 K134:K135">
    <cfRule type="cellIs" dxfId="119" priority="99" stopIfTrue="1" operator="equal">
      <formula>"a"</formula>
    </cfRule>
  </conditionalFormatting>
  <conditionalFormatting sqref="I142">
    <cfRule type="expression" dxfId="118" priority="98" stopIfTrue="1">
      <formula>H142&gt;0</formula>
    </cfRule>
  </conditionalFormatting>
  <conditionalFormatting sqref="I139:I141 I134:I135">
    <cfRule type="expression" dxfId="117" priority="97" stopIfTrue="1">
      <formula>H134&gt;0</formula>
    </cfRule>
  </conditionalFormatting>
  <conditionalFormatting sqref="I136:I138 K136:K138">
    <cfRule type="expression" dxfId="116" priority="96" stopIfTrue="1">
      <formula>H136&gt;0</formula>
    </cfRule>
  </conditionalFormatting>
  <conditionalFormatting sqref="K136:K138">
    <cfRule type="expression" dxfId="115" priority="95" stopIfTrue="1">
      <formula>H136&gt;0</formula>
    </cfRule>
  </conditionalFormatting>
  <conditionalFormatting sqref="K136:K138">
    <cfRule type="cellIs" dxfId="114" priority="94" stopIfTrue="1" operator="equal">
      <formula>"a"</formula>
    </cfRule>
  </conditionalFormatting>
  <conditionalFormatting sqref="K124:K127 O62:O63 K62:K63 O121:O127">
    <cfRule type="expression" dxfId="113" priority="93" stopIfTrue="1">
      <formula>J62&gt;0</formula>
    </cfRule>
  </conditionalFormatting>
  <conditionalFormatting sqref="K124:K127 K62:K63">
    <cfRule type="expression" dxfId="112" priority="92" stopIfTrue="1">
      <formula>H62&gt;0</formula>
    </cfRule>
  </conditionalFormatting>
  <conditionalFormatting sqref="K48:K52 K124:K127 K62:K63">
    <cfRule type="cellIs" dxfId="111" priority="91" stopIfTrue="1" operator="equal">
      <formula>"a"</formula>
    </cfRule>
  </conditionalFormatting>
  <conditionalFormatting sqref="I127">
    <cfRule type="expression" dxfId="110" priority="89" stopIfTrue="1">
      <formula>H127&gt;0</formula>
    </cfRule>
  </conditionalFormatting>
  <conditionalFormatting sqref="I51:I52 I124:I126 I62:I63">
    <cfRule type="expression" dxfId="109" priority="88" stopIfTrue="1">
      <formula>H51&gt;0</formula>
    </cfRule>
  </conditionalFormatting>
  <conditionalFormatting sqref="I121:I123 K121:K123">
    <cfRule type="expression" dxfId="108" priority="87" stopIfTrue="1">
      <formula>H121&gt;0</formula>
    </cfRule>
  </conditionalFormatting>
  <conditionalFormatting sqref="K121:K123">
    <cfRule type="expression" dxfId="107" priority="86" stopIfTrue="1">
      <formula>H121&gt;0</formula>
    </cfRule>
  </conditionalFormatting>
  <conditionalFormatting sqref="K121:K123">
    <cfRule type="cellIs" dxfId="106" priority="85" stopIfTrue="1" operator="equal">
      <formula>"a"</formula>
    </cfRule>
  </conditionalFormatting>
  <conditionalFormatting sqref="K58:K61 O53:O61 K53:K54">
    <cfRule type="expression" dxfId="105" priority="84" stopIfTrue="1">
      <formula>J53&gt;0</formula>
    </cfRule>
  </conditionalFormatting>
  <conditionalFormatting sqref="K58:K61 K53:K54">
    <cfRule type="expression" dxfId="104" priority="83" stopIfTrue="1">
      <formula>H53&gt;0</formula>
    </cfRule>
  </conditionalFormatting>
  <conditionalFormatting sqref="K58:K61 K53:K54">
    <cfRule type="cellIs" dxfId="103" priority="82" stopIfTrue="1" operator="equal">
      <formula>"a"</formula>
    </cfRule>
  </conditionalFormatting>
  <conditionalFormatting sqref="I61">
    <cfRule type="expression" dxfId="102" priority="81" stopIfTrue="1">
      <formula>H61&gt;0</formula>
    </cfRule>
  </conditionalFormatting>
  <conditionalFormatting sqref="I58:I60 I53:I54">
    <cfRule type="expression" dxfId="101" priority="80" stopIfTrue="1">
      <formula>H53&gt;0</formula>
    </cfRule>
  </conditionalFormatting>
  <conditionalFormatting sqref="I55:I57 K55:K57">
    <cfRule type="expression" dxfId="100" priority="79" stopIfTrue="1">
      <formula>H55&gt;0</formula>
    </cfRule>
  </conditionalFormatting>
  <conditionalFormatting sqref="K55:K57">
    <cfRule type="expression" dxfId="99" priority="78" stopIfTrue="1">
      <formula>H55&gt;0</formula>
    </cfRule>
  </conditionalFormatting>
  <conditionalFormatting sqref="K55:K57">
    <cfRule type="cellIs" dxfId="98" priority="77" stopIfTrue="1" operator="equal">
      <formula>"a"</formula>
    </cfRule>
  </conditionalFormatting>
  <conditionalFormatting sqref="I23:I26 K43:K47 I47 O38:O47 K38:K39 O23:O28 K23:K28">
    <cfRule type="expression" dxfId="97" priority="76" stopIfTrue="1">
      <formula>H23&gt;0</formula>
    </cfRule>
  </conditionalFormatting>
  <conditionalFormatting sqref="K43:K47 K38:K39 K23:K28">
    <cfRule type="expression" dxfId="96" priority="75" stopIfTrue="1">
      <formula>H23&gt;0</formula>
    </cfRule>
  </conditionalFormatting>
  <conditionalFormatting sqref="K24:K28 K43:K46 K38:K39">
    <cfRule type="cellIs" dxfId="95" priority="74" stopIfTrue="1" operator="equal">
      <formula>"a"</formula>
    </cfRule>
  </conditionalFormatting>
  <conditionalFormatting sqref="K23">
    <cfRule type="cellIs" dxfId="94" priority="73" stopIfTrue="1" operator="equal">
      <formula>"a"</formula>
    </cfRule>
  </conditionalFormatting>
  <conditionalFormatting sqref="I46">
    <cfRule type="expression" dxfId="93" priority="72" stopIfTrue="1">
      <formula>H46&gt;0</formula>
    </cfRule>
  </conditionalFormatting>
  <conditionalFormatting sqref="I27:I28 I43:I45 I38:I39">
    <cfRule type="expression" dxfId="92" priority="71" stopIfTrue="1">
      <formula>H27&gt;0</formula>
    </cfRule>
  </conditionalFormatting>
  <conditionalFormatting sqref="K47">
    <cfRule type="cellIs" dxfId="91" priority="70" stopIfTrue="1" operator="equal">
      <formula>"a"</formula>
    </cfRule>
  </conditionalFormatting>
  <conditionalFormatting sqref="I40:I42 K40:K42">
    <cfRule type="expression" dxfId="90" priority="69" stopIfTrue="1">
      <formula>H40&gt;0</formula>
    </cfRule>
  </conditionalFormatting>
  <conditionalFormatting sqref="K40:K42">
    <cfRule type="expression" dxfId="89" priority="68" stopIfTrue="1">
      <formula>H40&gt;0</formula>
    </cfRule>
  </conditionalFormatting>
  <conditionalFormatting sqref="K40:K42">
    <cfRule type="cellIs" dxfId="88" priority="67" stopIfTrue="1" operator="equal">
      <formula>"a"</formula>
    </cfRule>
  </conditionalFormatting>
  <conditionalFormatting sqref="K34:K37 O29:O37 K29:K30">
    <cfRule type="expression" dxfId="87" priority="66" stopIfTrue="1">
      <formula>J29&gt;0</formula>
    </cfRule>
  </conditionalFormatting>
  <conditionalFormatting sqref="K34:K37 K29:K30">
    <cfRule type="expression" dxfId="86" priority="65" stopIfTrue="1">
      <formula>H29&gt;0</formula>
    </cfRule>
  </conditionalFormatting>
  <conditionalFormatting sqref="K34:K37 K29:K30">
    <cfRule type="cellIs" dxfId="85" priority="64" stopIfTrue="1" operator="equal">
      <formula>"a"</formula>
    </cfRule>
  </conditionalFormatting>
  <conditionalFormatting sqref="I37">
    <cfRule type="expression" dxfId="84" priority="63" stopIfTrue="1">
      <formula>H37&gt;0</formula>
    </cfRule>
  </conditionalFormatting>
  <conditionalFormatting sqref="I34:I36 I29:I30">
    <cfRule type="expression" dxfId="83" priority="62" stopIfTrue="1">
      <formula>H29&gt;0</formula>
    </cfRule>
  </conditionalFormatting>
  <conditionalFormatting sqref="I31:I33 K31:K33">
    <cfRule type="expression" dxfId="82" priority="61" stopIfTrue="1">
      <formula>H31&gt;0</formula>
    </cfRule>
  </conditionalFormatting>
  <conditionalFormatting sqref="K31:K33">
    <cfRule type="expression" dxfId="81" priority="60" stopIfTrue="1">
      <formula>H31&gt;0</formula>
    </cfRule>
  </conditionalFormatting>
  <conditionalFormatting sqref="K31:K33">
    <cfRule type="cellIs" dxfId="80" priority="59" stopIfTrue="1" operator="equal">
      <formula>"a"</formula>
    </cfRule>
  </conditionalFormatting>
  <conditionalFormatting sqref="I96:I99 K116:K120 I120 O111:O120 K111:K112 O96:O101 K96:K101">
    <cfRule type="expression" dxfId="79" priority="58" stopIfTrue="1">
      <formula>H96&gt;0</formula>
    </cfRule>
  </conditionalFormatting>
  <conditionalFormatting sqref="K116:K120 K111:K112 K96:K101">
    <cfRule type="expression" dxfId="78" priority="57" stopIfTrue="1">
      <formula>H96&gt;0</formula>
    </cfRule>
  </conditionalFormatting>
  <conditionalFormatting sqref="K97:K101 K116:K119 K111:K112">
    <cfRule type="cellIs" dxfId="77" priority="56" stopIfTrue="1" operator="equal">
      <formula>"a"</formula>
    </cfRule>
  </conditionalFormatting>
  <conditionalFormatting sqref="K96">
    <cfRule type="cellIs" dxfId="76" priority="55" stopIfTrue="1" operator="equal">
      <formula>"a"</formula>
    </cfRule>
  </conditionalFormatting>
  <conditionalFormatting sqref="I119">
    <cfRule type="expression" dxfId="75" priority="54" stopIfTrue="1">
      <formula>H119&gt;0</formula>
    </cfRule>
  </conditionalFormatting>
  <conditionalFormatting sqref="I100:I101 I116:I118 I111:I112">
    <cfRule type="expression" dxfId="74" priority="53" stopIfTrue="1">
      <formula>H100&gt;0</formula>
    </cfRule>
  </conditionalFormatting>
  <conditionalFormatting sqref="K120">
    <cfRule type="cellIs" dxfId="73" priority="52" stopIfTrue="1" operator="equal">
      <formula>"a"</formula>
    </cfRule>
  </conditionalFormatting>
  <conditionalFormatting sqref="I113:I115 K113:K115">
    <cfRule type="expression" dxfId="72" priority="51" stopIfTrue="1">
      <formula>H113&gt;0</formula>
    </cfRule>
  </conditionalFormatting>
  <conditionalFormatting sqref="K113:K115">
    <cfRule type="expression" dxfId="71" priority="50" stopIfTrue="1">
      <formula>H113&gt;0</formula>
    </cfRule>
  </conditionalFormatting>
  <conditionalFormatting sqref="K113:K115">
    <cfRule type="cellIs" dxfId="70" priority="49" stopIfTrue="1" operator="equal">
      <formula>"a"</formula>
    </cfRule>
  </conditionalFormatting>
  <conditionalFormatting sqref="K107:K110 O102:O110 K102:K103">
    <cfRule type="expression" dxfId="69" priority="48" stopIfTrue="1">
      <formula>J102&gt;0</formula>
    </cfRule>
  </conditionalFormatting>
  <conditionalFormatting sqref="K107:K110 K102:K103">
    <cfRule type="expression" dxfId="68" priority="47" stopIfTrue="1">
      <formula>H102&gt;0</formula>
    </cfRule>
  </conditionalFormatting>
  <conditionalFormatting sqref="K107:K110 K102:K103">
    <cfRule type="cellIs" dxfId="67" priority="46" stopIfTrue="1" operator="equal">
      <formula>"a"</formula>
    </cfRule>
  </conditionalFormatting>
  <conditionalFormatting sqref="I110">
    <cfRule type="expression" dxfId="66" priority="45" stopIfTrue="1">
      <formula>H110&gt;0</formula>
    </cfRule>
  </conditionalFormatting>
  <conditionalFormatting sqref="I107:I109 I102:I103">
    <cfRule type="expression" dxfId="65" priority="44" stopIfTrue="1">
      <formula>H102&gt;0</formula>
    </cfRule>
  </conditionalFormatting>
  <conditionalFormatting sqref="I104:I106 K104:K106">
    <cfRule type="expression" dxfId="64" priority="43" stopIfTrue="1">
      <formula>H104&gt;0</formula>
    </cfRule>
  </conditionalFormatting>
  <conditionalFormatting sqref="K104:K106">
    <cfRule type="expression" dxfId="63" priority="42" stopIfTrue="1">
      <formula>H104&gt;0</formula>
    </cfRule>
  </conditionalFormatting>
  <conditionalFormatting sqref="K104:K106">
    <cfRule type="cellIs" dxfId="62" priority="41" stopIfTrue="1" operator="equal">
      <formula>"a"</formula>
    </cfRule>
  </conditionalFormatting>
  <conditionalFormatting sqref="I71:I74 K91:K95 I95 O86:O95 K86:K87 O71:O76 K71:K76">
    <cfRule type="expression" dxfId="61" priority="40" stopIfTrue="1">
      <formula>H71&gt;0</formula>
    </cfRule>
  </conditionalFormatting>
  <conditionalFormatting sqref="K91:K95 K86:K87 K71:K76">
    <cfRule type="expression" dxfId="60" priority="39" stopIfTrue="1">
      <formula>H71&gt;0</formula>
    </cfRule>
  </conditionalFormatting>
  <conditionalFormatting sqref="K72:K76 K91:K94 K86:K87">
    <cfRule type="cellIs" dxfId="59" priority="38" stopIfTrue="1" operator="equal">
      <formula>"a"</formula>
    </cfRule>
  </conditionalFormatting>
  <conditionalFormatting sqref="K71">
    <cfRule type="cellIs" dxfId="58" priority="37" stopIfTrue="1" operator="equal">
      <formula>"a"</formula>
    </cfRule>
  </conditionalFormatting>
  <conditionalFormatting sqref="I94">
    <cfRule type="expression" dxfId="57" priority="36" stopIfTrue="1">
      <formula>H94&gt;0</formula>
    </cfRule>
  </conditionalFormatting>
  <conditionalFormatting sqref="I75:I76 I91:I93 I86:I87">
    <cfRule type="expression" dxfId="56" priority="35" stopIfTrue="1">
      <formula>H75&gt;0</formula>
    </cfRule>
  </conditionalFormatting>
  <conditionalFormatting sqref="K95">
    <cfRule type="cellIs" dxfId="55" priority="34" stopIfTrue="1" operator="equal">
      <formula>"a"</formula>
    </cfRule>
  </conditionalFormatting>
  <conditionalFormatting sqref="I88:I90 K88:K90">
    <cfRule type="expression" dxfId="54" priority="33" stopIfTrue="1">
      <formula>H88&gt;0</formula>
    </cfRule>
  </conditionalFormatting>
  <conditionalFormatting sqref="K88:K90">
    <cfRule type="expression" dxfId="53" priority="32" stopIfTrue="1">
      <formula>H88&gt;0</formula>
    </cfRule>
  </conditionalFormatting>
  <conditionalFormatting sqref="K88:K90">
    <cfRule type="cellIs" dxfId="52" priority="31" stopIfTrue="1" operator="equal">
      <formula>"a"</formula>
    </cfRule>
  </conditionalFormatting>
  <conditionalFormatting sqref="K82:K85 O77:O85 K77:K78">
    <cfRule type="expression" dxfId="51" priority="30" stopIfTrue="1">
      <formula>J77&gt;0</formula>
    </cfRule>
  </conditionalFormatting>
  <conditionalFormatting sqref="K82:K85 K77:K78">
    <cfRule type="expression" dxfId="50" priority="29" stopIfTrue="1">
      <formula>H77&gt;0</formula>
    </cfRule>
  </conditionalFormatting>
  <conditionalFormatting sqref="K82:K85 K77:K78">
    <cfRule type="cellIs" dxfId="49" priority="28" stopIfTrue="1" operator="equal">
      <formula>"a"</formula>
    </cfRule>
  </conditionalFormatting>
  <conditionalFormatting sqref="I85">
    <cfRule type="expression" dxfId="48" priority="27" stopIfTrue="1">
      <formula>H85&gt;0</formula>
    </cfRule>
  </conditionalFormatting>
  <conditionalFormatting sqref="I82:I84 I77:I78">
    <cfRule type="expression" dxfId="47" priority="26" stopIfTrue="1">
      <formula>H77&gt;0</formula>
    </cfRule>
  </conditionalFormatting>
  <conditionalFormatting sqref="I79:I81 K79:K81">
    <cfRule type="expression" dxfId="46" priority="25" stopIfTrue="1">
      <formula>H79&gt;0</formula>
    </cfRule>
  </conditionalFormatting>
  <conditionalFormatting sqref="K79:K81">
    <cfRule type="expression" dxfId="45" priority="24" stopIfTrue="1">
      <formula>H79&gt;0</formula>
    </cfRule>
  </conditionalFormatting>
  <conditionalFormatting sqref="K79:K81">
    <cfRule type="cellIs" dxfId="44" priority="23" stopIfTrue="1" operator="equal">
      <formula>"a"</formula>
    </cfRule>
  </conditionalFormatting>
  <conditionalFormatting sqref="K67:K70 O64:O70">
    <cfRule type="expression" dxfId="43" priority="22" stopIfTrue="1">
      <formula>J64&gt;0</formula>
    </cfRule>
  </conditionalFormatting>
  <conditionalFormatting sqref="K67:K70">
    <cfRule type="expression" dxfId="42" priority="21" stopIfTrue="1">
      <formula>H67&gt;0</formula>
    </cfRule>
  </conditionalFormatting>
  <conditionalFormatting sqref="K67:K70">
    <cfRule type="cellIs" dxfId="41" priority="20" stopIfTrue="1" operator="equal">
      <formula>"a"</formula>
    </cfRule>
  </conditionalFormatting>
  <conditionalFormatting sqref="I70">
    <cfRule type="expression" dxfId="40" priority="19" stopIfTrue="1">
      <formula>H70&gt;0</formula>
    </cfRule>
  </conditionalFormatting>
  <conditionalFormatting sqref="I67:I69">
    <cfRule type="expression" dxfId="39" priority="18" stopIfTrue="1">
      <formula>H67&gt;0</formula>
    </cfRule>
  </conditionalFormatting>
  <conditionalFormatting sqref="I64:I66 K64:K66">
    <cfRule type="expression" dxfId="38" priority="17" stopIfTrue="1">
      <formula>H64&gt;0</formula>
    </cfRule>
  </conditionalFormatting>
  <conditionalFormatting sqref="K64:K66">
    <cfRule type="expression" dxfId="37" priority="16" stopIfTrue="1">
      <formula>H64&gt;0</formula>
    </cfRule>
  </conditionalFormatting>
  <conditionalFormatting sqref="K64:K66">
    <cfRule type="cellIs" dxfId="36" priority="15" stopIfTrue="1" operator="equal">
      <formula>"a"</formula>
    </cfRule>
  </conditionalFormatting>
  <dataValidations count="5">
    <dataValidation type="decimal" operator="greaterThan" allowBlank="1" showInputMessage="1" showErrorMessage="1" error="Enter only Numeric Value greater than zero or leave the cell blank !" sqref="O19" xr:uid="{00000000-0002-0000-0800-000000000000}">
      <formula1>0</formula1>
    </dataValidation>
    <dataValidation operator="greaterThan" allowBlank="1" showInputMessage="1" showErrorMessage="1" error="Enter only Numeric Value greater than zero or leave the cell blank !" sqref="K163:K65471 K1:K2 K160:K161 K5:K17" xr:uid="{00000000-0002-0000-0800-000001000000}"/>
    <dataValidation type="whole" operator="greaterThan" allowBlank="1" showInputMessage="1" showErrorMessage="1" error="Enter only Numeric Value greater than zero or leave the cell blank !" sqref="O20:O157" xr:uid="{00000000-0002-0000-0800-000002000000}">
      <formula1>0</formula1>
    </dataValidation>
    <dataValidation type="list" operator="greaterThan" allowBlank="1" showInputMessage="1" showErrorMessage="1" sqref="K20:K157" xr:uid="{00000000-0002-0000-0800-000003000000}">
      <formula1>"0%,5%,12%,18%,28%"</formula1>
    </dataValidation>
    <dataValidation type="whole" operator="greaterThan" allowBlank="1" showInputMessage="1" showErrorMessage="1" sqref="I20:I157" xr:uid="{00000000-0002-0000-0800-000004000000}">
      <formula1>1</formula1>
    </dataValidation>
  </dataValidations>
  <printOptions horizontalCentered="1"/>
  <pageMargins left="0.25" right="0.25" top="0.5" bottom="0.25" header="0.05" footer="0.05"/>
  <pageSetup paperSize="9" scale="17" fitToHeight="2" orientation="landscape" r:id="rId29"/>
  <headerFooter alignWithMargins="0">
    <oddFooter>&amp;R&amp;"Book Antiqua,Bold"&amp;10Schedule-3/ Page &amp;P of &amp;N</oddFooter>
  </headerFooter>
  <colBreaks count="2" manualBreakCount="2">
    <brk id="11" max="1048575" man="1"/>
    <brk id="16"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4.4"/>
  <cols>
    <col min="1" max="1" width="10.6640625" style="371" customWidth="1"/>
    <col min="2" max="2" width="42.21875" style="372" customWidth="1"/>
    <col min="3" max="3" width="7.6640625" style="371" customWidth="1"/>
    <col min="4" max="4" width="9.109375" style="371" customWidth="1"/>
    <col min="5" max="5" width="12.77734375" style="371" customWidth="1"/>
    <col min="6" max="6" width="14.6640625" style="371" customWidth="1"/>
    <col min="7" max="26" width="9" style="185"/>
    <col min="27" max="27" width="9" style="185" hidden="1" customWidth="1"/>
    <col min="28" max="29" width="17.6640625" style="185" hidden="1" customWidth="1"/>
    <col min="30" max="30" width="9" style="185" hidden="1" customWidth="1"/>
    <col min="31" max="31" width="15.44140625" style="185" hidden="1" customWidth="1"/>
    <col min="32" max="32" width="15.33203125" style="185" hidden="1" customWidth="1"/>
    <col min="33" max="44" width="9" style="185"/>
    <col min="45" max="16384" width="9" style="330"/>
  </cols>
  <sheetData>
    <row r="1" spans="1:32">
      <c r="A1" s="59" t="str">
        <f>Cover!B3</f>
        <v>Specification No.: CC/NT/W-AIS/DOM/A00/23/02698</v>
      </c>
      <c r="B1" s="60"/>
      <c r="C1" s="61"/>
      <c r="D1" s="61"/>
      <c r="E1" s="7"/>
      <c r="F1" s="8" t="s">
        <v>426</v>
      </c>
    </row>
    <row r="2" spans="1:32">
      <c r="A2" s="329"/>
      <c r="B2" s="370"/>
      <c r="C2" s="331"/>
      <c r="D2" s="331"/>
      <c r="E2" s="330"/>
      <c r="F2" s="330"/>
    </row>
    <row r="3" spans="1:32" ht="51.75" customHeight="1">
      <c r="A3" s="1288" t="str">
        <f>Cover!$B$2</f>
        <v>400kV AIS Substation Extension Package SS-111 for Extension of 400/220 kV Jabalpur Substation associated with Western Region Expansion Scheme-XXXIII (WRES-XXXIII): Part A.</v>
      </c>
      <c r="B3" s="1288"/>
      <c r="C3" s="1288"/>
      <c r="D3" s="1288"/>
      <c r="E3" s="1288"/>
      <c r="F3" s="1288"/>
      <c r="AA3" s="190" t="s">
        <v>342</v>
      </c>
      <c r="AC3" s="191">
        <f>IF(ISERROR(#REF!/('Sch-6'!D14+'Sch-6'!D16+'Sch-6'!D18)),0,#REF!/( 'Sch-6'!D14+'Sch-6'!D16+'Sch-6'!D18))</f>
        <v>0</v>
      </c>
    </row>
    <row r="4" spans="1:32">
      <c r="A4" s="1289" t="s">
        <v>422</v>
      </c>
      <c r="B4" s="1289"/>
      <c r="C4" s="1289"/>
      <c r="D4" s="1289"/>
      <c r="E4" s="1289"/>
      <c r="F4" s="1289"/>
      <c r="AA4" s="190" t="s">
        <v>343</v>
      </c>
      <c r="AC4" s="191" t="e">
        <f>#REF!</f>
        <v>#REF!</v>
      </c>
    </row>
    <row r="5" spans="1:32">
      <c r="AA5" s="190" t="s">
        <v>348</v>
      </c>
      <c r="AC5" s="191">
        <f>IF(ISERROR(#REF!/#REF!),0,#REF! /#REF!)</f>
        <v>0</v>
      </c>
    </row>
    <row r="6" spans="1:32">
      <c r="A6" s="31" t="str">
        <f>'Sch-1'!A6</f>
        <v>Bidder’s Name and Address (Sole Bidder) :</v>
      </c>
      <c r="B6" s="32"/>
      <c r="C6" s="32"/>
      <c r="D6" s="32"/>
      <c r="E6" s="67" t="s">
        <v>396</v>
      </c>
      <c r="F6" s="1"/>
      <c r="AA6" s="190" t="s">
        <v>349</v>
      </c>
      <c r="AC6" s="191" t="e">
        <f>#REF!</f>
        <v>#REF!</v>
      </c>
    </row>
    <row r="7" spans="1:32">
      <c r="A7" s="1309" t="str">
        <f>'Sch-1'!A7</f>
        <v/>
      </c>
      <c r="B7" s="1309"/>
      <c r="C7" s="1309"/>
      <c r="D7" s="1309"/>
      <c r="E7" s="309" t="str">
        <f>'Sch-1'!M7</f>
        <v>Contracts Services, 3rd Floor</v>
      </c>
      <c r="F7" s="1"/>
      <c r="AA7" s="190" t="s">
        <v>346</v>
      </c>
      <c r="AC7" s="191" t="e">
        <f>SUM(AC3:AC6)</f>
        <v>#REF!</v>
      </c>
    </row>
    <row r="8" spans="1:32">
      <c r="A8" s="31" t="s">
        <v>397</v>
      </c>
      <c r="B8" s="1310" t="str">
        <f>IF('Sch-1'!C8=0, "", 'Sch-1'!C8)</f>
        <v xml:space="preserve">…….. …….. …….. …….. …….. …….. </v>
      </c>
      <c r="C8" s="1310"/>
      <c r="D8" s="1310"/>
      <c r="E8" s="309" t="str">
        <f>'Sch-1'!M8</f>
        <v>Power Grid Corporation of India Ltd.,</v>
      </c>
      <c r="F8" s="1"/>
    </row>
    <row r="9" spans="1:32">
      <c r="A9" s="31" t="s">
        <v>399</v>
      </c>
      <c r="B9" s="1310" t="str">
        <f>IF('Sch-1'!C9=0, "", 'Sch-1'!C9)</f>
        <v xml:space="preserve">…….. …….. …….. …….. …….. …….. </v>
      </c>
      <c r="C9" s="1310"/>
      <c r="D9" s="1310"/>
      <c r="E9" s="309" t="str">
        <f>'Sch-1'!M9</f>
        <v>"Saudamini", Plot No.-2</v>
      </c>
      <c r="F9" s="1"/>
    </row>
    <row r="10" spans="1:32">
      <c r="A10" s="332"/>
      <c r="B10" s="1311" t="str">
        <f>IF('Sch-1'!C10=0, "", 'Sch-1'!C10)</f>
        <v xml:space="preserve">…….. …….. …….. …….. …….. …….. </v>
      </c>
      <c r="C10" s="1311"/>
      <c r="D10" s="1311"/>
      <c r="E10" s="379" t="str">
        <f>'Sch-1'!M10</f>
        <v xml:space="preserve">Sector-29, </v>
      </c>
      <c r="F10" s="330"/>
      <c r="AA10" s="190" t="s">
        <v>345</v>
      </c>
      <c r="AC10" s="191">
        <f>'Sch-1'!AA10</f>
        <v>0</v>
      </c>
    </row>
    <row r="11" spans="1:32">
      <c r="A11" s="332"/>
      <c r="B11" s="1311" t="str">
        <f>IF('Sch-1'!C11=0, "", 'Sch-1'!C11)</f>
        <v xml:space="preserve">…….. …….. …….. …….. …….. …….. </v>
      </c>
      <c r="C11" s="1311"/>
      <c r="D11" s="1311"/>
      <c r="E11" s="379" t="str">
        <f>'Sch-1'!M11</f>
        <v>Gurgaon (Haryana) - 122001</v>
      </c>
      <c r="F11" s="330"/>
      <c r="AA11" s="190"/>
      <c r="AC11" s="191"/>
    </row>
    <row r="12" spans="1:32">
      <c r="A12" s="332"/>
      <c r="B12" s="392"/>
      <c r="C12" s="392"/>
      <c r="D12" s="392"/>
      <c r="E12" s="379"/>
      <c r="F12" s="330"/>
      <c r="AA12" s="190"/>
      <c r="AC12" s="191"/>
    </row>
    <row r="13" spans="1:32">
      <c r="A13" s="32"/>
      <c r="B13" s="31"/>
      <c r="C13" s="31"/>
      <c r="D13" s="31"/>
      <c r="E13" s="31"/>
      <c r="F13" s="8" t="s">
        <v>273</v>
      </c>
      <c r="AB13" s="1276" t="s">
        <v>281</v>
      </c>
      <c r="AC13" s="1276"/>
      <c r="AD13" s="252" t="s">
        <v>285</v>
      </c>
      <c r="AE13" s="1276" t="s">
        <v>282</v>
      </c>
      <c r="AF13" s="1276"/>
    </row>
    <row r="14" spans="1:32" ht="43.2">
      <c r="A14" s="14" t="s">
        <v>361</v>
      </c>
      <c r="B14" s="14" t="s">
        <v>368</v>
      </c>
      <c r="C14" s="72" t="s">
        <v>353</v>
      </c>
      <c r="D14" s="72" t="s">
        <v>354</v>
      </c>
      <c r="E14" s="73" t="s">
        <v>370</v>
      </c>
      <c r="F14" s="73" t="s">
        <v>411</v>
      </c>
      <c r="AB14" s="195" t="s">
        <v>370</v>
      </c>
      <c r="AC14" s="195" t="s">
        <v>411</v>
      </c>
      <c r="AD14" s="252"/>
      <c r="AE14" s="195" t="s">
        <v>370</v>
      </c>
      <c r="AF14" s="195" t="s">
        <v>411</v>
      </c>
    </row>
    <row r="15" spans="1:32">
      <c r="A15" s="9">
        <v>1</v>
      </c>
      <c r="B15" s="9">
        <v>2</v>
      </c>
      <c r="C15" s="9">
        <v>3</v>
      </c>
      <c r="D15" s="9">
        <v>4</v>
      </c>
      <c r="E15" s="9">
        <v>5</v>
      </c>
      <c r="F15" s="9" t="s">
        <v>405</v>
      </c>
      <c r="AB15" s="197">
        <v>5</v>
      </c>
      <c r="AC15" s="197" t="s">
        <v>405</v>
      </c>
      <c r="AD15" s="252"/>
      <c r="AE15" s="197">
        <v>5</v>
      </c>
      <c r="AF15" s="197" t="s">
        <v>405</v>
      </c>
    </row>
    <row r="16" spans="1:32" s="471" customFormat="1" ht="15.6">
      <c r="A16" s="493" t="e">
        <f>'Sch-3 '!#REF!</f>
        <v>#REF!</v>
      </c>
      <c r="B16" s="493" t="e">
        <f>'Sch-3 '!#REF!</f>
        <v>#REF!</v>
      </c>
      <c r="C16" s="493"/>
      <c r="D16" s="493"/>
      <c r="E16" s="401"/>
      <c r="F16" s="401"/>
      <c r="G16" s="484"/>
      <c r="H16" s="485"/>
      <c r="I16" s="485"/>
      <c r="J16" s="485"/>
      <c r="K16" s="485"/>
      <c r="L16" s="485"/>
    </row>
    <row r="17" spans="1:20" s="481" customFormat="1" ht="15">
      <c r="A17" s="493" t="e">
        <f>'Sch-3 '!#REF!</f>
        <v>#REF!</v>
      </c>
      <c r="B17" s="493" t="e">
        <f>'Sch-3 '!#REF!</f>
        <v>#REF!</v>
      </c>
      <c r="C17" s="493"/>
      <c r="D17" s="493"/>
      <c r="E17" s="401"/>
      <c r="F17" s="401"/>
    </row>
    <row r="18" spans="1:20" s="481" customFormat="1" ht="15">
      <c r="A18" s="493"/>
      <c r="B18" s="493" t="e">
        <f>'Sch-3 '!#REF!</f>
        <v>#REF!</v>
      </c>
      <c r="C18" s="493" t="e">
        <f>'Sch-3 '!#REF!</f>
        <v>#REF!</v>
      </c>
      <c r="D18" s="493" t="e">
        <f>'Sch-3 '!#REF!</f>
        <v>#REF!</v>
      </c>
      <c r="E18" s="401" t="e">
        <f>'Sch-3 '!#REF!</f>
        <v>#REF!</v>
      </c>
      <c r="F18" s="401" t="e">
        <f t="shared" ref="F18:F60" si="0">IF(E18=0, "Included", IF(ISERROR(D18*E18), E18, D18*E18))</f>
        <v>#REF!</v>
      </c>
    </row>
    <row r="19" spans="1:20" s="481" customFormat="1" ht="15">
      <c r="A19" s="493"/>
      <c r="B19" s="493" t="e">
        <f>'Sch-3 '!#REF!</f>
        <v>#REF!</v>
      </c>
      <c r="C19" s="493" t="e">
        <f>'Sch-3 '!#REF!</f>
        <v>#REF!</v>
      </c>
      <c r="D19" s="493" t="e">
        <f>'Sch-3 '!#REF!</f>
        <v>#REF!</v>
      </c>
      <c r="E19" s="401" t="e">
        <f>'Sch-3 '!#REF!</f>
        <v>#REF!</v>
      </c>
      <c r="F19" s="401" t="e">
        <f t="shared" si="0"/>
        <v>#REF!</v>
      </c>
    </row>
    <row r="20" spans="1:20" s="481" customFormat="1" ht="15">
      <c r="A20" s="493"/>
      <c r="B20" s="493"/>
      <c r="C20" s="493"/>
      <c r="D20" s="493"/>
      <c r="E20" s="401"/>
      <c r="F20" s="401"/>
    </row>
    <row r="21" spans="1:20" s="481" customFormat="1" ht="18.75" customHeight="1">
      <c r="A21" s="493" t="e">
        <f>'Sch-3 '!#REF!</f>
        <v>#REF!</v>
      </c>
      <c r="B21" s="493" t="e">
        <f>'Sch-3 '!#REF!</f>
        <v>#REF!</v>
      </c>
      <c r="C21" s="493"/>
      <c r="D21" s="493"/>
      <c r="E21" s="401"/>
      <c r="F21" s="401"/>
      <c r="S21" s="481" t="s">
        <v>459</v>
      </c>
      <c r="T21" s="486" t="s">
        <v>465</v>
      </c>
    </row>
    <row r="22" spans="1:20" s="481" customFormat="1" ht="18.75" customHeight="1">
      <c r="A22" s="493"/>
      <c r="B22" s="493" t="e">
        <f>'Sch-3 '!#REF!</f>
        <v>#REF!</v>
      </c>
      <c r="C22" s="493" t="e">
        <f>'Sch-3 '!#REF!</f>
        <v>#REF!</v>
      </c>
      <c r="D22" s="493" t="e">
        <f>'Sch-3 '!#REF!</f>
        <v>#REF!</v>
      </c>
      <c r="E22" s="401" t="e">
        <f>'Sch-3 '!#REF!</f>
        <v>#REF!</v>
      </c>
      <c r="F22" s="401" t="e">
        <f t="shared" si="0"/>
        <v>#REF!</v>
      </c>
      <c r="S22" s="481" t="s">
        <v>460</v>
      </c>
      <c r="T22" s="486" t="s">
        <v>427</v>
      </c>
    </row>
    <row r="23" spans="1:20" s="481" customFormat="1" ht="16.5" customHeight="1">
      <c r="A23" s="493"/>
      <c r="B23" s="493" t="e">
        <f>'Sch-3 '!#REF!</f>
        <v>#REF!</v>
      </c>
      <c r="C23" s="493" t="e">
        <f>'Sch-3 '!#REF!</f>
        <v>#REF!</v>
      </c>
      <c r="D23" s="493" t="e">
        <f>'Sch-3 '!#REF!</f>
        <v>#REF!</v>
      </c>
      <c r="E23" s="401" t="e">
        <f>'Sch-3 '!#REF!</f>
        <v>#REF!</v>
      </c>
      <c r="F23" s="401" t="e">
        <f t="shared" si="0"/>
        <v>#REF!</v>
      </c>
      <c r="S23" s="481" t="s">
        <v>461</v>
      </c>
      <c r="T23" s="486" t="s">
        <v>466</v>
      </c>
    </row>
    <row r="24" spans="1:20" s="481" customFormat="1" ht="15">
      <c r="A24" s="493"/>
      <c r="B24" s="493" t="e">
        <f>'Sch-3 '!#REF!</f>
        <v>#REF!</v>
      </c>
      <c r="C24" s="493" t="e">
        <f>'Sch-3 '!#REF!</f>
        <v>#REF!</v>
      </c>
      <c r="D24" s="493" t="e">
        <f>'Sch-3 '!#REF!</f>
        <v>#REF!</v>
      </c>
      <c r="E24" s="401" t="e">
        <f>'Sch-3 '!#REF!</f>
        <v>#REF!</v>
      </c>
      <c r="F24" s="401" t="e">
        <f t="shared" si="0"/>
        <v>#REF!</v>
      </c>
      <c r="S24" s="481" t="s">
        <v>462</v>
      </c>
    </row>
    <row r="25" spans="1:20" s="481" customFormat="1" ht="15">
      <c r="A25" s="493"/>
      <c r="B25" s="493"/>
      <c r="C25" s="493"/>
      <c r="D25" s="493"/>
      <c r="E25" s="401"/>
      <c r="F25" s="401"/>
    </row>
    <row r="26" spans="1:20" s="481" customFormat="1" ht="16.5" customHeight="1">
      <c r="A26" s="493"/>
      <c r="B26" s="493"/>
      <c r="C26" s="493"/>
      <c r="D26" s="493"/>
      <c r="E26" s="401"/>
      <c r="F26" s="401"/>
    </row>
    <row r="27" spans="1:20" s="481" customFormat="1" ht="15">
      <c r="A27" s="493" t="e">
        <f>'Sch-3 '!#REF!</f>
        <v>#REF!</v>
      </c>
      <c r="B27" s="493" t="e">
        <f>'Sch-3 '!#REF!</f>
        <v>#REF!</v>
      </c>
      <c r="C27" s="493"/>
      <c r="D27" s="493"/>
      <c r="E27" s="401"/>
      <c r="F27" s="401"/>
    </row>
    <row r="28" spans="1:20" s="481" customFormat="1" ht="15">
      <c r="A28" s="493"/>
      <c r="B28" s="493" t="e">
        <f>'Sch-3 '!#REF!</f>
        <v>#REF!</v>
      </c>
      <c r="C28" s="493" t="e">
        <f>'Sch-3 '!#REF!</f>
        <v>#REF!</v>
      </c>
      <c r="D28" s="493" t="e">
        <f>'Sch-3 '!#REF!</f>
        <v>#REF!</v>
      </c>
      <c r="E28" s="401" t="e">
        <f>'Sch-3 '!#REF!</f>
        <v>#REF!</v>
      </c>
      <c r="F28" s="401" t="e">
        <f>IF(E28=0, "Included", IF(ISERROR(D28*E28), E28, D28*E28))</f>
        <v>#REF!</v>
      </c>
    </row>
    <row r="29" spans="1:20" s="481" customFormat="1" ht="15">
      <c r="A29" s="493"/>
      <c r="B29" s="493" t="e">
        <f>'Sch-3 '!#REF!</f>
        <v>#REF!</v>
      </c>
      <c r="C29" s="493" t="e">
        <f>'Sch-3 '!#REF!</f>
        <v>#REF!</v>
      </c>
      <c r="D29" s="493" t="e">
        <f>'Sch-3 '!#REF!</f>
        <v>#REF!</v>
      </c>
      <c r="E29" s="401" t="e">
        <f>'Sch-3 '!#REF!</f>
        <v>#REF!</v>
      </c>
      <c r="F29" s="401" t="e">
        <f t="shared" si="0"/>
        <v>#REF!</v>
      </c>
    </row>
    <row r="30" spans="1:20" s="481" customFormat="1" ht="15.6">
      <c r="A30" s="493"/>
      <c r="B30" s="493" t="e">
        <f>'Sch-3 '!#REF!</f>
        <v>#REF!</v>
      </c>
      <c r="C30" s="493" t="e">
        <f>'Sch-3 '!#REF!</f>
        <v>#REF!</v>
      </c>
      <c r="D30" s="493" t="e">
        <f>'Sch-3 '!#REF!</f>
        <v>#REF!</v>
      </c>
      <c r="E30" s="401" t="e">
        <f>'Sch-3 '!#REF!</f>
        <v>#REF!</v>
      </c>
      <c r="F30" s="401" t="e">
        <f t="shared" si="0"/>
        <v>#REF!</v>
      </c>
      <c r="S30" s="473"/>
      <c r="T30" s="487"/>
    </row>
    <row r="31" spans="1:20" s="481" customFormat="1" ht="15">
      <c r="A31" s="493"/>
      <c r="B31" s="493"/>
      <c r="C31" s="493"/>
      <c r="D31" s="493"/>
      <c r="E31" s="401"/>
      <c r="F31" s="401"/>
    </row>
    <row r="32" spans="1:20" s="481" customFormat="1" ht="15">
      <c r="A32" s="493" t="e">
        <f>'Sch-3 '!#REF!</f>
        <v>#REF!</v>
      </c>
      <c r="B32" s="493" t="e">
        <f>'Sch-3 '!#REF!</f>
        <v>#REF!</v>
      </c>
      <c r="C32" s="493"/>
      <c r="D32" s="493"/>
      <c r="E32" s="401"/>
      <c r="F32" s="401"/>
    </row>
    <row r="33" spans="1:6" s="481" customFormat="1" ht="15">
      <c r="A33" s="493" t="e">
        <f>'Sch-3 '!#REF!</f>
        <v>#REF!</v>
      </c>
      <c r="B33" s="493" t="e">
        <f>'Sch-3 '!#REF!</f>
        <v>#REF!</v>
      </c>
      <c r="C33" s="493"/>
      <c r="D33" s="493"/>
      <c r="E33" s="401"/>
      <c r="F33" s="401"/>
    </row>
    <row r="34" spans="1:6" s="481" customFormat="1" ht="15">
      <c r="A34" s="493"/>
      <c r="B34" s="493" t="e">
        <f>'Sch-3 '!#REF!</f>
        <v>#REF!</v>
      </c>
      <c r="C34" s="493" t="e">
        <f>'Sch-3 '!#REF!</f>
        <v>#REF!</v>
      </c>
      <c r="D34" s="493" t="e">
        <f>'Sch-3 '!#REF!</f>
        <v>#REF!</v>
      </c>
      <c r="E34" s="401" t="e">
        <f>'Sch-3 '!#REF!</f>
        <v>#REF!</v>
      </c>
      <c r="F34" s="401" t="e">
        <f t="shared" si="0"/>
        <v>#REF!</v>
      </c>
    </row>
    <row r="35" spans="1:6" s="481" customFormat="1" ht="15">
      <c r="A35" s="493"/>
      <c r="B35" s="493" t="e">
        <f>'Sch-3 '!#REF!</f>
        <v>#REF!</v>
      </c>
      <c r="C35" s="493" t="e">
        <f>'Sch-3 '!#REF!</f>
        <v>#REF!</v>
      </c>
      <c r="D35" s="493" t="e">
        <f>'Sch-3 '!#REF!</f>
        <v>#REF!</v>
      </c>
      <c r="E35" s="401" t="e">
        <f>'Sch-3 '!#REF!</f>
        <v>#REF!</v>
      </c>
      <c r="F35" s="401" t="e">
        <f t="shared" si="0"/>
        <v>#REF!</v>
      </c>
    </row>
    <row r="36" spans="1:6" s="481" customFormat="1" ht="15">
      <c r="A36" s="493"/>
      <c r="B36" s="493" t="e">
        <f>'Sch-3 '!#REF!</f>
        <v>#REF!</v>
      </c>
      <c r="C36" s="493" t="e">
        <f>'Sch-3 '!#REF!</f>
        <v>#REF!</v>
      </c>
      <c r="D36" s="493" t="e">
        <f>'Sch-3 '!#REF!</f>
        <v>#REF!</v>
      </c>
      <c r="E36" s="401" t="e">
        <f>'Sch-3 '!#REF!</f>
        <v>#REF!</v>
      </c>
      <c r="F36" s="401" t="e">
        <f t="shared" si="0"/>
        <v>#REF!</v>
      </c>
    </row>
    <row r="37" spans="1:6" s="481" customFormat="1" ht="15">
      <c r="A37" s="493"/>
      <c r="B37" s="493" t="e">
        <f>'Sch-3 '!#REF!</f>
        <v>#REF!</v>
      </c>
      <c r="C37" s="493" t="e">
        <f>'Sch-3 '!#REF!</f>
        <v>#REF!</v>
      </c>
      <c r="D37" s="493" t="e">
        <f>'Sch-3 '!#REF!</f>
        <v>#REF!</v>
      </c>
      <c r="E37" s="401" t="e">
        <f>'Sch-3 '!#REF!</f>
        <v>#REF!</v>
      </c>
      <c r="F37" s="401" t="e">
        <f t="shared" si="0"/>
        <v>#REF!</v>
      </c>
    </row>
    <row r="38" spans="1:6" s="481" customFormat="1" ht="20.25" customHeight="1">
      <c r="A38" s="493"/>
      <c r="B38" s="493" t="e">
        <f>'Sch-3 '!#REF!</f>
        <v>#REF!</v>
      </c>
      <c r="C38" s="493" t="e">
        <f>'Sch-3 '!#REF!</f>
        <v>#REF!</v>
      </c>
      <c r="D38" s="493" t="e">
        <f>'Sch-3 '!#REF!</f>
        <v>#REF!</v>
      </c>
      <c r="E38" s="401" t="e">
        <f>'Sch-3 '!#REF!</f>
        <v>#REF!</v>
      </c>
      <c r="F38" s="401" t="e">
        <f>IF(E38=0, "Included", IF(ISERROR(D38*E38), E38, D38*E38))</f>
        <v>#REF!</v>
      </c>
    </row>
    <row r="39" spans="1:6" s="481" customFormat="1" ht="15">
      <c r="A39" s="493" t="e">
        <f>'Sch-3 '!#REF!</f>
        <v>#REF!</v>
      </c>
      <c r="B39" s="493" t="e">
        <f>'Sch-3 '!#REF!</f>
        <v>#REF!</v>
      </c>
      <c r="C39" s="493"/>
      <c r="D39" s="493"/>
      <c r="E39" s="401"/>
      <c r="F39" s="401"/>
    </row>
    <row r="40" spans="1:6" s="481" customFormat="1" ht="15">
      <c r="A40" s="493"/>
      <c r="B40" s="493" t="e">
        <f>'Sch-3 '!#REF!</f>
        <v>#REF!</v>
      </c>
      <c r="C40" s="493" t="e">
        <f>'Sch-3 '!#REF!</f>
        <v>#REF!</v>
      </c>
      <c r="D40" s="493" t="e">
        <f>'Sch-3 '!#REF!</f>
        <v>#REF!</v>
      </c>
      <c r="E40" s="401" t="e">
        <f>'Sch-3 '!#REF!</f>
        <v>#REF!</v>
      </c>
      <c r="F40" s="401" t="e">
        <f t="shared" si="0"/>
        <v>#REF!</v>
      </c>
    </row>
    <row r="41" spans="1:6" s="481" customFormat="1" ht="15">
      <c r="A41" s="493"/>
      <c r="B41" s="493" t="e">
        <f>'Sch-3 '!#REF!</f>
        <v>#REF!</v>
      </c>
      <c r="C41" s="493" t="e">
        <f>'Sch-3 '!#REF!</f>
        <v>#REF!</v>
      </c>
      <c r="D41" s="493" t="e">
        <f>'Sch-3 '!#REF!</f>
        <v>#REF!</v>
      </c>
      <c r="E41" s="401" t="e">
        <f>'Sch-3 '!#REF!</f>
        <v>#REF!</v>
      </c>
      <c r="F41" s="401" t="e">
        <f t="shared" si="0"/>
        <v>#REF!</v>
      </c>
    </row>
    <row r="42" spans="1:6" s="481" customFormat="1" ht="15">
      <c r="A42" s="493"/>
      <c r="B42" s="493"/>
      <c r="C42" s="493"/>
      <c r="D42" s="493"/>
      <c r="E42" s="401"/>
      <c r="F42" s="401"/>
    </row>
    <row r="43" spans="1:6" s="481" customFormat="1" ht="15">
      <c r="A43" s="493" t="e">
        <f>'Sch-3 '!#REF!</f>
        <v>#REF!</v>
      </c>
      <c r="B43" s="493" t="e">
        <f>'Sch-3 '!#REF!</f>
        <v>#REF!</v>
      </c>
      <c r="C43" s="493" t="e">
        <f>'Sch-3 '!#REF!</f>
        <v>#REF!</v>
      </c>
      <c r="D43" s="493" t="e">
        <f>'Sch-3 '!#REF!</f>
        <v>#REF!</v>
      </c>
      <c r="E43" s="401" t="e">
        <f>'Sch-3 '!#REF!</f>
        <v>#REF!</v>
      </c>
      <c r="F43" s="401" t="e">
        <f t="shared" si="0"/>
        <v>#REF!</v>
      </c>
    </row>
    <row r="44" spans="1:6" s="481" customFormat="1" ht="15">
      <c r="A44" s="493"/>
      <c r="B44" s="493"/>
      <c r="C44" s="493"/>
      <c r="D44" s="493"/>
      <c r="E44" s="401"/>
      <c r="F44" s="401"/>
    </row>
    <row r="45" spans="1:6" s="481" customFormat="1" ht="15">
      <c r="A45" s="493" t="e">
        <f>'Sch-3 '!#REF!</f>
        <v>#REF!</v>
      </c>
      <c r="B45" s="493" t="e">
        <f>'Sch-3 '!#REF!</f>
        <v>#REF!</v>
      </c>
      <c r="C45" s="493" t="e">
        <f>'Sch-3 '!#REF!</f>
        <v>#REF!</v>
      </c>
      <c r="D45" s="493" t="e">
        <f>'Sch-3 '!#REF!</f>
        <v>#REF!</v>
      </c>
      <c r="E45" s="401" t="e">
        <f>'Sch-3 '!#REF!</f>
        <v>#REF!</v>
      </c>
      <c r="F45" s="401" t="e">
        <f t="shared" si="0"/>
        <v>#REF!</v>
      </c>
    </row>
    <row r="46" spans="1:6" s="481" customFormat="1" ht="15">
      <c r="A46" s="493"/>
      <c r="B46" s="493"/>
      <c r="C46" s="493"/>
      <c r="D46" s="493"/>
      <c r="E46" s="401"/>
      <c r="F46" s="401"/>
    </row>
    <row r="47" spans="1:6" s="481" customFormat="1" ht="15">
      <c r="A47" s="493" t="e">
        <f>'Sch-3 '!#REF!</f>
        <v>#REF!</v>
      </c>
      <c r="B47" s="493" t="e">
        <f>'Sch-3 '!#REF!</f>
        <v>#REF!</v>
      </c>
      <c r="C47" s="493"/>
      <c r="D47" s="493"/>
      <c r="E47" s="401"/>
      <c r="F47" s="401"/>
    </row>
    <row r="48" spans="1:6" s="481" customFormat="1" ht="15">
      <c r="A48" s="493"/>
      <c r="B48" s="493" t="e">
        <f>'Sch-3 '!#REF!</f>
        <v>#REF!</v>
      </c>
      <c r="C48" s="493" t="e">
        <f>'Sch-3 '!#REF!</f>
        <v>#REF!</v>
      </c>
      <c r="D48" s="493" t="e">
        <f>'Sch-3 '!#REF!</f>
        <v>#REF!</v>
      </c>
      <c r="E48" s="401" t="e">
        <f>'Sch-3 '!#REF!</f>
        <v>#REF!</v>
      </c>
      <c r="F48" s="401" t="e">
        <f t="shared" si="0"/>
        <v>#REF!</v>
      </c>
    </row>
    <row r="49" spans="1:6" s="481" customFormat="1" ht="15">
      <c r="A49" s="493"/>
      <c r="B49" s="493"/>
      <c r="C49" s="493"/>
      <c r="D49" s="493"/>
      <c r="E49" s="401"/>
      <c r="F49" s="401"/>
    </row>
    <row r="50" spans="1:6" s="481" customFormat="1" ht="15">
      <c r="A50" s="493" t="e">
        <f>'Sch-3 '!#REF!</f>
        <v>#REF!</v>
      </c>
      <c r="B50" s="493" t="e">
        <f>'Sch-3 '!#REF!</f>
        <v>#REF!</v>
      </c>
      <c r="C50" s="493"/>
      <c r="D50" s="493"/>
      <c r="E50" s="401"/>
      <c r="F50" s="401"/>
    </row>
    <row r="51" spans="1:6" s="481" customFormat="1" ht="15">
      <c r="A51" s="493"/>
      <c r="B51" s="493" t="e">
        <f>'Sch-3 '!#REF!</f>
        <v>#REF!</v>
      </c>
      <c r="C51" s="493" t="e">
        <f>'Sch-3 '!#REF!</f>
        <v>#REF!</v>
      </c>
      <c r="D51" s="493" t="e">
        <f>'Sch-3 '!#REF!</f>
        <v>#REF!</v>
      </c>
      <c r="E51" s="401" t="e">
        <f>'Sch-3 '!#REF!</f>
        <v>#REF!</v>
      </c>
      <c r="F51" s="401" t="e">
        <f t="shared" si="0"/>
        <v>#REF!</v>
      </c>
    </row>
    <row r="52" spans="1:6" s="481" customFormat="1" ht="15">
      <c r="A52" s="493"/>
      <c r="B52" s="493" t="e">
        <f>'Sch-3 '!#REF!</f>
        <v>#REF!</v>
      </c>
      <c r="C52" s="493" t="e">
        <f>'Sch-3 '!#REF!</f>
        <v>#REF!</v>
      </c>
      <c r="D52" s="493" t="e">
        <f>'Sch-3 '!#REF!</f>
        <v>#REF!</v>
      </c>
      <c r="E52" s="401" t="e">
        <f>'Sch-3 '!#REF!</f>
        <v>#REF!</v>
      </c>
      <c r="F52" s="401" t="e">
        <f t="shared" si="0"/>
        <v>#REF!</v>
      </c>
    </row>
    <row r="53" spans="1:6" s="481" customFormat="1" ht="15">
      <c r="A53" s="493"/>
      <c r="B53" s="493"/>
      <c r="C53" s="493"/>
      <c r="D53" s="493"/>
      <c r="E53" s="401"/>
      <c r="F53" s="401"/>
    </row>
    <row r="54" spans="1:6" s="481" customFormat="1" ht="15">
      <c r="A54" s="493" t="e">
        <f>'Sch-3 '!#REF!</f>
        <v>#REF!</v>
      </c>
      <c r="B54" s="493" t="e">
        <f>'Sch-3 '!#REF!</f>
        <v>#REF!</v>
      </c>
      <c r="C54" s="493"/>
      <c r="D54" s="493"/>
      <c r="E54" s="401"/>
      <c r="F54" s="401"/>
    </row>
    <row r="55" spans="1:6" s="481" customFormat="1" ht="15">
      <c r="A55" s="493"/>
      <c r="B55" s="493" t="e">
        <f>'Sch-3 '!#REF!</f>
        <v>#REF!</v>
      </c>
      <c r="C55" s="493" t="e">
        <f>'Sch-3 '!#REF!</f>
        <v>#REF!</v>
      </c>
      <c r="D55" s="493" t="e">
        <f>'Sch-3 '!#REF!</f>
        <v>#REF!</v>
      </c>
      <c r="E55" s="401" t="e">
        <f>'Sch-3 '!#REF!</f>
        <v>#REF!</v>
      </c>
      <c r="F55" s="401" t="e">
        <f t="shared" si="0"/>
        <v>#REF!</v>
      </c>
    </row>
    <row r="56" spans="1:6" s="481" customFormat="1" ht="15">
      <c r="A56" s="493"/>
      <c r="B56" s="493" t="e">
        <f>'Sch-3 '!#REF!</f>
        <v>#REF!</v>
      </c>
      <c r="C56" s="493" t="e">
        <f>'Sch-3 '!#REF!</f>
        <v>#REF!</v>
      </c>
      <c r="D56" s="493" t="e">
        <f>'Sch-3 '!#REF!</f>
        <v>#REF!</v>
      </c>
      <c r="E56" s="401" t="e">
        <f>'Sch-3 '!#REF!</f>
        <v>#REF!</v>
      </c>
      <c r="F56" s="401" t="e">
        <f t="shared" si="0"/>
        <v>#REF!</v>
      </c>
    </row>
    <row r="57" spans="1:6" s="481" customFormat="1" ht="15">
      <c r="A57" s="493"/>
      <c r="B57" s="493" t="e">
        <f>'Sch-3 '!#REF!</f>
        <v>#REF!</v>
      </c>
      <c r="C57" s="493" t="e">
        <f>'Sch-3 '!#REF!</f>
        <v>#REF!</v>
      </c>
      <c r="D57" s="493" t="e">
        <f>'Sch-3 '!#REF!</f>
        <v>#REF!</v>
      </c>
      <c r="E57" s="401" t="e">
        <f>'Sch-3 '!#REF!</f>
        <v>#REF!</v>
      </c>
      <c r="F57" s="401" t="e">
        <f t="shared" si="0"/>
        <v>#REF!</v>
      </c>
    </row>
    <row r="58" spans="1:6" s="481" customFormat="1" ht="15">
      <c r="A58" s="493"/>
      <c r="B58" s="493" t="e">
        <f>'Sch-3 '!#REF!</f>
        <v>#REF!</v>
      </c>
      <c r="C58" s="493" t="e">
        <f>'Sch-3 '!#REF!</f>
        <v>#REF!</v>
      </c>
      <c r="D58" s="493" t="e">
        <f>'Sch-3 '!#REF!</f>
        <v>#REF!</v>
      </c>
      <c r="E58" s="401" t="e">
        <f>'Sch-3 '!#REF!</f>
        <v>#REF!</v>
      </c>
      <c r="F58" s="401" t="e">
        <f t="shared" si="0"/>
        <v>#REF!</v>
      </c>
    </row>
    <row r="59" spans="1:6" s="481" customFormat="1" ht="15">
      <c r="A59" s="493"/>
      <c r="B59" s="493" t="e">
        <f>'Sch-3 '!#REF!</f>
        <v>#REF!</v>
      </c>
      <c r="C59" s="493" t="e">
        <f>'Sch-3 '!#REF!</f>
        <v>#REF!</v>
      </c>
      <c r="D59" s="493" t="e">
        <f>'Sch-3 '!#REF!</f>
        <v>#REF!</v>
      </c>
      <c r="E59" s="401" t="e">
        <f>'Sch-3 '!#REF!</f>
        <v>#REF!</v>
      </c>
      <c r="F59" s="401" t="e">
        <f t="shared" si="0"/>
        <v>#REF!</v>
      </c>
    </row>
    <row r="60" spans="1:6" s="481" customFormat="1" ht="15">
      <c r="A60" s="493"/>
      <c r="B60" s="493" t="e">
        <f>'Sch-3 '!#REF!</f>
        <v>#REF!</v>
      </c>
      <c r="C60" s="493" t="e">
        <f>'Sch-3 '!#REF!</f>
        <v>#REF!</v>
      </c>
      <c r="D60" s="493" t="e">
        <f>'Sch-3 '!#REF!</f>
        <v>#REF!</v>
      </c>
      <c r="E60" s="401" t="e">
        <f>'Sch-3 '!#REF!</f>
        <v>#REF!</v>
      </c>
      <c r="F60" s="401" t="e">
        <f t="shared" si="0"/>
        <v>#REF!</v>
      </c>
    </row>
    <row r="61" spans="1:6" s="481" customFormat="1" ht="15">
      <c r="A61" s="493"/>
      <c r="B61" s="493"/>
      <c r="C61" s="493"/>
      <c r="D61" s="493"/>
      <c r="E61" s="401"/>
      <c r="F61" s="401"/>
    </row>
    <row r="62" spans="1:6" s="481" customFormat="1" ht="15">
      <c r="A62" s="493"/>
      <c r="B62" s="493"/>
      <c r="C62" s="493"/>
      <c r="D62" s="493"/>
      <c r="E62" s="401"/>
      <c r="F62" s="401"/>
    </row>
    <row r="63" spans="1:6" s="481" customFormat="1" ht="15">
      <c r="A63" s="493"/>
      <c r="B63" s="493" t="e">
        <f>'Sch-3 '!#REF!</f>
        <v>#REF!</v>
      </c>
      <c r="C63" s="493"/>
      <c r="D63" s="493"/>
      <c r="E63" s="401"/>
      <c r="F63" s="401"/>
    </row>
    <row r="64" spans="1:6" s="481" customFormat="1" ht="15">
      <c r="A64" s="493"/>
      <c r="B64" s="493" t="e">
        <f>'Sch-3 '!#REF!</f>
        <v>#REF!</v>
      </c>
      <c r="C64" s="493" t="e">
        <f>'Sch-3 '!#REF!</f>
        <v>#REF!</v>
      </c>
      <c r="D64" s="493" t="e">
        <f>'Sch-3 '!#REF!</f>
        <v>#REF!</v>
      </c>
      <c r="E64" s="401" t="e">
        <f>'Sch-3 '!#REF!</f>
        <v>#REF!</v>
      </c>
      <c r="F64" s="401" t="e">
        <f>IF(E64=0, "Included", IF(ISERROR(D64*E64), E64, D64*E64))</f>
        <v>#REF!</v>
      </c>
    </row>
    <row r="65" spans="1:6" s="481" customFormat="1" ht="15">
      <c r="A65" s="493"/>
      <c r="B65" s="493" t="e">
        <f>'Sch-3 '!#REF!</f>
        <v>#REF!</v>
      </c>
      <c r="C65" s="493" t="e">
        <f>'Sch-3 '!#REF!</f>
        <v>#REF!</v>
      </c>
      <c r="D65" s="493" t="e">
        <f>'Sch-3 '!#REF!</f>
        <v>#REF!</v>
      </c>
      <c r="E65" s="401" t="e">
        <f>'Sch-3 '!#REF!</f>
        <v>#REF!</v>
      </c>
      <c r="F65" s="401" t="e">
        <f>IF(E65=0, "Included", IF(ISERROR(D65*E65), E65, D65*E65))</f>
        <v>#REF!</v>
      </c>
    </row>
    <row r="66" spans="1:6" s="481" customFormat="1" ht="15">
      <c r="A66" s="493"/>
      <c r="B66" s="493" t="e">
        <f>'Sch-3 '!#REF!</f>
        <v>#REF!</v>
      </c>
      <c r="C66" s="493" t="e">
        <f>'Sch-3 '!#REF!</f>
        <v>#REF!</v>
      </c>
      <c r="D66" s="493" t="e">
        <f>'Sch-3 '!#REF!</f>
        <v>#REF!</v>
      </c>
      <c r="E66" s="401" t="e">
        <f>'Sch-3 '!#REF!</f>
        <v>#REF!</v>
      </c>
      <c r="F66" s="401" t="e">
        <f>IF(E66=0, "Included", IF(ISERROR(D66*E66), E66, D66*E66))</f>
        <v>#REF!</v>
      </c>
    </row>
    <row r="67" spans="1:6" s="481" customFormat="1" ht="15">
      <c r="A67" s="493"/>
      <c r="B67" s="493" t="e">
        <f>'Sch-3 '!#REF!</f>
        <v>#REF!</v>
      </c>
      <c r="C67" s="493" t="e">
        <f>'Sch-3 '!#REF!</f>
        <v>#REF!</v>
      </c>
      <c r="D67" s="493" t="e">
        <f>'Sch-3 '!#REF!</f>
        <v>#REF!</v>
      </c>
      <c r="E67" s="401" t="e">
        <f>'Sch-3 '!#REF!</f>
        <v>#REF!</v>
      </c>
      <c r="F67" s="401" t="e">
        <f>IF(E67=0, "Included", IF(ISERROR(D67*E67), E67, D67*E67))</f>
        <v>#REF!</v>
      </c>
    </row>
    <row r="68" spans="1:6" s="481" customFormat="1" ht="15">
      <c r="A68" s="493"/>
      <c r="B68" s="493"/>
      <c r="C68" s="493"/>
      <c r="D68" s="493"/>
      <c r="E68" s="401"/>
      <c r="F68" s="401"/>
    </row>
    <row r="69" spans="1:6" s="481" customFormat="1" ht="15">
      <c r="A69" s="493" t="e">
        <f>'Sch-3 '!#REF!</f>
        <v>#REF!</v>
      </c>
      <c r="B69" s="493" t="e">
        <f>'Sch-3 '!#REF!</f>
        <v>#REF!</v>
      </c>
      <c r="C69" s="493"/>
      <c r="D69" s="493"/>
      <c r="E69" s="401"/>
      <c r="F69" s="401"/>
    </row>
    <row r="70" spans="1:6" s="481" customFormat="1" ht="15">
      <c r="A70" s="493"/>
      <c r="B70" s="493" t="e">
        <f>'Sch-3 '!#REF!</f>
        <v>#REF!</v>
      </c>
      <c r="C70" s="493"/>
      <c r="D70" s="493"/>
      <c r="E70" s="401"/>
      <c r="F70" s="401"/>
    </row>
    <row r="71" spans="1:6" s="481" customFormat="1" ht="15">
      <c r="A71" s="493"/>
      <c r="B71" s="493" t="e">
        <f>'Sch-3 '!#REF!</f>
        <v>#REF!</v>
      </c>
      <c r="C71" s="493" t="e">
        <f>'Sch-3 '!#REF!</f>
        <v>#REF!</v>
      </c>
      <c r="D71" s="493" t="e">
        <f>'Sch-3 '!#REF!</f>
        <v>#REF!</v>
      </c>
      <c r="E71" s="401" t="e">
        <f>'Sch-3 '!#REF!</f>
        <v>#REF!</v>
      </c>
      <c r="F71" s="401" t="e">
        <f>IF(E71=0, "Included", IF(ISERROR(D71*E71), E71, D71*E71))</f>
        <v>#REF!</v>
      </c>
    </row>
    <row r="72" spans="1:6" s="481" customFormat="1" ht="15">
      <c r="A72" s="493"/>
      <c r="B72" s="493"/>
      <c r="C72" s="493"/>
      <c r="D72" s="493"/>
      <c r="E72" s="401"/>
      <c r="F72" s="401"/>
    </row>
    <row r="73" spans="1:6" s="481" customFormat="1" ht="15">
      <c r="A73" s="493" t="e">
        <f>'Sch-3 '!#REF!</f>
        <v>#REF!</v>
      </c>
      <c r="B73" s="493" t="e">
        <f>'Sch-3 '!#REF!</f>
        <v>#REF!</v>
      </c>
      <c r="C73" s="493"/>
      <c r="D73" s="493"/>
      <c r="E73" s="401"/>
      <c r="F73" s="401"/>
    </row>
    <row r="74" spans="1:6" s="481" customFormat="1" ht="15">
      <c r="A74" s="493" t="e">
        <f>'Sch-3 '!#REF!</f>
        <v>#REF!</v>
      </c>
      <c r="B74" s="493" t="e">
        <f>'Sch-3 '!#REF!</f>
        <v>#REF!</v>
      </c>
      <c r="C74" s="493" t="e">
        <f>'Sch-3 '!#REF!</f>
        <v>#REF!</v>
      </c>
      <c r="D74" s="493" t="e">
        <f>'Sch-3 '!#REF!</f>
        <v>#REF!</v>
      </c>
      <c r="E74" s="401" t="e">
        <f>'Sch-3 '!#REF!</f>
        <v>#REF!</v>
      </c>
      <c r="F74" s="401" t="e">
        <f>IF(E74=0, "Included", IF(ISERROR(D74*E74), E74, D74*E74))</f>
        <v>#REF!</v>
      </c>
    </row>
    <row r="75" spans="1:6" s="481" customFormat="1" ht="15">
      <c r="A75" s="493" t="e">
        <f>'Sch-3 '!#REF!</f>
        <v>#REF!</v>
      </c>
      <c r="B75" s="493" t="e">
        <f>'Sch-3 '!#REF!</f>
        <v>#REF!</v>
      </c>
      <c r="C75" s="493"/>
      <c r="D75" s="493"/>
      <c r="E75" s="401"/>
      <c r="F75" s="401"/>
    </row>
    <row r="76" spans="1:6" s="481" customFormat="1" ht="15">
      <c r="A76" s="493" t="e">
        <f>'Sch-3 '!#REF!</f>
        <v>#REF!</v>
      </c>
      <c r="B76" s="493" t="e">
        <f>'Sch-3 '!#REF!</f>
        <v>#REF!</v>
      </c>
      <c r="C76" s="493" t="e">
        <f>'Sch-3 '!#REF!</f>
        <v>#REF!</v>
      </c>
      <c r="D76" s="493" t="e">
        <f>'Sch-3 '!#REF!</f>
        <v>#REF!</v>
      </c>
      <c r="E76" s="401" t="e">
        <f>'Sch-3 '!#REF!</f>
        <v>#REF!</v>
      </c>
      <c r="F76" s="401" t="e">
        <f>IF(E76=0, "Included", IF(ISERROR(D76*E76), E76, D76*E76))</f>
        <v>#REF!</v>
      </c>
    </row>
    <row r="77" spans="1:6" s="481" customFormat="1" ht="15">
      <c r="A77" s="493" t="e">
        <f>'Sch-3 '!#REF!</f>
        <v>#REF!</v>
      </c>
      <c r="B77" s="493" t="e">
        <f>'Sch-3 '!#REF!</f>
        <v>#REF!</v>
      </c>
      <c r="C77" s="493" t="e">
        <f>'Sch-3 '!#REF!</f>
        <v>#REF!</v>
      </c>
      <c r="D77" s="493" t="e">
        <f>'Sch-3 '!#REF!</f>
        <v>#REF!</v>
      </c>
      <c r="E77" s="401" t="e">
        <f>'Sch-3 '!#REF!</f>
        <v>#REF!</v>
      </c>
      <c r="F77" s="401" t="e">
        <f>IF(E77=0, "Included", IF(ISERROR(D77*E77), E77, D77*E77))</f>
        <v>#REF!</v>
      </c>
    </row>
    <row r="78" spans="1:6" s="481" customFormat="1" ht="15">
      <c r="A78" s="493"/>
      <c r="B78" s="493"/>
      <c r="C78" s="493"/>
      <c r="D78" s="493"/>
      <c r="E78" s="401"/>
      <c r="F78" s="401"/>
    </row>
    <row r="79" spans="1:6" s="481" customFormat="1" ht="15">
      <c r="A79" s="493" t="e">
        <f>'Sch-3 '!#REF!</f>
        <v>#REF!</v>
      </c>
      <c r="B79" s="493" t="e">
        <f>'Sch-3 '!#REF!</f>
        <v>#REF!</v>
      </c>
      <c r="C79" s="493"/>
      <c r="D79" s="493"/>
      <c r="E79" s="401"/>
      <c r="F79" s="401"/>
    </row>
    <row r="80" spans="1:6" s="481" customFormat="1" ht="15">
      <c r="A80" s="493"/>
      <c r="B80" s="493" t="e">
        <f>'Sch-3 '!#REF!</f>
        <v>#REF!</v>
      </c>
      <c r="C80" s="493" t="e">
        <f>'Sch-3 '!#REF!</f>
        <v>#REF!</v>
      </c>
      <c r="D80" s="493" t="e">
        <f>'Sch-3 '!#REF!</f>
        <v>#REF!</v>
      </c>
      <c r="E80" s="401" t="e">
        <f>'Sch-3 '!#REF!</f>
        <v>#REF!</v>
      </c>
      <c r="F80" s="401" t="e">
        <f>IF(E80=0, "Included", IF(ISERROR(D80*E80), E80, D80*E80))</f>
        <v>#REF!</v>
      </c>
    </row>
    <row r="81" spans="1:6">
      <c r="A81" s="488"/>
      <c r="B81" s="427" t="s">
        <v>20</v>
      </c>
      <c r="C81" s="427"/>
      <c r="D81" s="427"/>
      <c r="E81" s="412"/>
      <c r="F81" s="412" t="e">
        <f>SUM(F17:F80)</f>
        <v>#REF!</v>
      </c>
    </row>
    <row r="82" spans="1:6">
      <c r="A82" s="489"/>
      <c r="B82" s="415"/>
      <c r="C82" s="415"/>
      <c r="D82" s="415"/>
      <c r="E82" s="416"/>
      <c r="F82" s="416"/>
    </row>
    <row r="83" spans="1:6">
      <c r="A83" s="490"/>
      <c r="B83" s="491"/>
      <c r="C83" s="490"/>
      <c r="D83" s="490"/>
      <c r="E83" s="490"/>
      <c r="F83" s="490"/>
    </row>
    <row r="84" spans="1:6" ht="28.8">
      <c r="A84" s="417" t="s">
        <v>406</v>
      </c>
      <c r="B84" s="418" t="str">
        <f>'Sch-1'!B158</f>
        <v>--</v>
      </c>
      <c r="C84" s="419"/>
      <c r="D84" s="420"/>
      <c r="E84" s="421"/>
      <c r="F84" s="421"/>
    </row>
    <row r="85" spans="1:6" ht="28.8">
      <c r="A85" s="417" t="s">
        <v>407</v>
      </c>
      <c r="B85" s="418" t="str">
        <f>'Sch-1'!B159</f>
        <v/>
      </c>
      <c r="C85" s="421"/>
      <c r="D85" s="420" t="s">
        <v>408</v>
      </c>
      <c r="E85" s="422" t="str">
        <f>'Sch-1'!M159</f>
        <v/>
      </c>
      <c r="F85" s="421"/>
    </row>
    <row r="86" spans="1:6">
      <c r="A86" s="423"/>
      <c r="B86" s="424"/>
      <c r="C86" s="425"/>
      <c r="D86" s="420" t="s">
        <v>409</v>
      </c>
      <c r="E86" s="422" t="str">
        <f>'Sch-1'!M160</f>
        <v/>
      </c>
      <c r="F86" s="425"/>
    </row>
    <row r="87" spans="1:6">
      <c r="A87" s="417"/>
      <c r="B87" s="418"/>
      <c r="C87" s="419"/>
      <c r="D87" s="420"/>
      <c r="E87" s="421"/>
      <c r="F87" s="421"/>
    </row>
    <row r="88" spans="1:6">
      <c r="A88" s="3"/>
      <c r="B88" s="492"/>
      <c r="C88" s="3"/>
      <c r="D88" s="3"/>
      <c r="E88" s="3"/>
      <c r="F88" s="3"/>
    </row>
    <row r="100" spans="1:29" s="194" customFormat="1">
      <c r="A100" s="375"/>
      <c r="B100" s="376"/>
      <c r="C100" s="377"/>
      <c r="D100" s="378"/>
      <c r="E100" s="310"/>
      <c r="F100" s="310"/>
      <c r="AB100" s="380"/>
      <c r="AC100" s="380"/>
    </row>
    <row r="101" spans="1:29" s="194" customFormat="1">
      <c r="A101" s="375"/>
      <c r="B101" s="376"/>
      <c r="C101" s="377"/>
      <c r="D101" s="378"/>
      <c r="E101" s="310"/>
      <c r="F101" s="310"/>
      <c r="AB101" s="221"/>
      <c r="AC101" s="381"/>
    </row>
    <row r="102" spans="1:29" s="194" customFormat="1">
      <c r="A102" s="375"/>
      <c r="B102" s="376"/>
      <c r="C102" s="377"/>
      <c r="D102" s="378"/>
      <c r="E102" s="310"/>
      <c r="F102" s="310"/>
      <c r="AC102" s="241"/>
    </row>
    <row r="103" spans="1:29" s="194" customFormat="1">
      <c r="A103" s="202"/>
      <c r="B103" s="222"/>
      <c r="C103" s="202"/>
      <c r="D103" s="198"/>
      <c r="E103" s="221"/>
      <c r="F103" s="221"/>
    </row>
    <row r="104" spans="1:29">
      <c r="A104" s="202"/>
      <c r="B104" s="210"/>
      <c r="C104" s="202"/>
      <c r="D104" s="198"/>
      <c r="E104" s="221"/>
      <c r="F104" s="221"/>
    </row>
    <row r="105" spans="1:29">
      <c r="A105" s="373"/>
      <c r="B105" s="374"/>
      <c r="C105" s="373"/>
      <c r="D105" s="373"/>
      <c r="E105" s="373"/>
      <c r="F105" s="373"/>
    </row>
    <row r="106" spans="1:29">
      <c r="A106" s="373"/>
      <c r="B106" s="374"/>
      <c r="C106" s="373"/>
      <c r="D106" s="373"/>
      <c r="E106" s="373"/>
      <c r="F106" s="373"/>
    </row>
    <row r="107" spans="1:29">
      <c r="A107" s="186"/>
      <c r="B107" s="99"/>
      <c r="C107" s="189"/>
      <c r="D107" s="189"/>
      <c r="E107" s="188"/>
      <c r="F107" s="101"/>
    </row>
    <row r="108" spans="1:29">
      <c r="A108" s="373"/>
      <c r="B108" s="374"/>
      <c r="C108" s="373"/>
      <c r="D108" s="373"/>
      <c r="E108" s="373"/>
      <c r="F108" s="373"/>
    </row>
    <row r="109" spans="1:29">
      <c r="A109" s="373"/>
      <c r="B109" s="374"/>
      <c r="C109" s="373"/>
      <c r="D109" s="373"/>
      <c r="E109" s="373"/>
      <c r="F109" s="373"/>
    </row>
  </sheetData>
  <sheetProtection password="CFB5" sheet="1" objects="1" scenarios="1" formatColumns="0" formatRows="0" selectLockedCells="1"/>
  <customSheetViews>
    <customSheetView guid="{9AC181BA-F443-4EA7-A647-328174FE300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30" type="noConversion"/>
  <conditionalFormatting sqref="E16:E80">
    <cfRule type="expression" dxfId="3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zoomScale="70" zoomScaleNormal="100" zoomScaleSheetLayoutView="70" workbookViewId="0">
      <selection activeCell="I20" sqref="I20"/>
    </sheetView>
  </sheetViews>
  <sheetFormatPr defaultColWidth="9" defaultRowHeight="13.8"/>
  <cols>
    <col min="1" max="1" width="10.21875" style="103" customWidth="1"/>
    <col min="2" max="2" width="12" style="103" customWidth="1"/>
    <col min="3" max="3" width="9.88671875" style="103" customWidth="1"/>
    <col min="4" max="4" width="10.33203125" style="103" customWidth="1"/>
    <col min="5" max="5" width="10.109375" style="103" customWidth="1"/>
    <col min="6" max="7" width="12.109375" style="103" customWidth="1"/>
    <col min="8" max="8" width="10.6640625" style="103" customWidth="1"/>
    <col min="9" max="9" width="14.33203125" style="103" customWidth="1"/>
    <col min="10" max="10" width="11.21875" style="103" customWidth="1"/>
    <col min="11" max="11" width="14.21875" style="103" customWidth="1"/>
    <col min="12" max="12" width="19.21875" style="103" customWidth="1"/>
    <col min="13" max="13" width="7.88671875" style="103" customWidth="1"/>
    <col min="14" max="14" width="10.88671875" style="103" customWidth="1"/>
    <col min="15" max="15" width="14.88671875" style="103" customWidth="1"/>
    <col min="16" max="16" width="17.6640625" style="103" customWidth="1"/>
    <col min="17" max="17" width="19.33203125" style="103" customWidth="1"/>
    <col min="18" max="18" width="15.109375" style="103" hidden="1" customWidth="1"/>
    <col min="19" max="19" width="17.6640625" style="103" hidden="1" customWidth="1"/>
    <col min="20" max="16384" width="9" style="1161"/>
  </cols>
  <sheetData>
    <row r="1" spans="1:17" ht="18" customHeight="1">
      <c r="A1" s="81" t="str">
        <f>Cover!B3</f>
        <v>Specification No.: CC/NT/W-AIS/DOM/A00/23/02698</v>
      </c>
      <c r="B1" s="82"/>
      <c r="C1" s="83"/>
      <c r="D1" s="83"/>
      <c r="E1" s="83"/>
      <c r="F1" s="83"/>
      <c r="G1" s="83"/>
      <c r="H1" s="83"/>
      <c r="I1" s="83"/>
      <c r="J1" s="83"/>
      <c r="K1" s="83"/>
      <c r="L1" s="83"/>
      <c r="M1" s="83"/>
      <c r="N1" s="83"/>
      <c r="O1" s="83"/>
      <c r="P1" s="84"/>
      <c r="Q1" s="85" t="s">
        <v>562</v>
      </c>
    </row>
    <row r="2" spans="1:17" ht="18" customHeight="1">
      <c r="A2" s="1162"/>
      <c r="B2" s="1163"/>
      <c r="C2" s="544"/>
      <c r="D2" s="544"/>
      <c r="E2" s="544"/>
      <c r="F2" s="544"/>
      <c r="G2" s="544"/>
      <c r="H2" s="544"/>
      <c r="I2" s="544"/>
      <c r="J2" s="544"/>
      <c r="K2" s="544"/>
      <c r="L2" s="544"/>
      <c r="M2" s="544"/>
      <c r="N2" s="544"/>
      <c r="O2" s="544"/>
      <c r="P2" s="545"/>
      <c r="Q2" s="545"/>
    </row>
    <row r="3" spans="1:17" ht="33" customHeight="1">
      <c r="A3" s="1341" t="str">
        <f>Cover!$B$2</f>
        <v>400kV AIS Substation Extension Package SS-111 for Extension of 400/220 kV Jabalpur Substation associated with Western Region Expansion Scheme-XXXIII (WRES-XXXIII): Part A.</v>
      </c>
      <c r="B3" s="1341"/>
      <c r="C3" s="1341"/>
      <c r="D3" s="1341"/>
      <c r="E3" s="1341"/>
      <c r="F3" s="1341"/>
      <c r="G3" s="1341"/>
      <c r="H3" s="1341"/>
      <c r="I3" s="1341"/>
      <c r="J3" s="1341"/>
      <c r="K3" s="1341"/>
      <c r="L3" s="1341"/>
      <c r="M3" s="1341"/>
      <c r="N3" s="1341"/>
      <c r="O3" s="1341"/>
      <c r="P3" s="1341"/>
      <c r="Q3" s="1341"/>
    </row>
    <row r="4" spans="1:17" ht="22.2" customHeight="1">
      <c r="A4" s="1342" t="s">
        <v>24</v>
      </c>
      <c r="B4" s="1342"/>
      <c r="C4" s="1342"/>
      <c r="D4" s="1342"/>
      <c r="E4" s="1342"/>
      <c r="F4" s="1342"/>
      <c r="G4" s="1342"/>
      <c r="H4" s="1342"/>
      <c r="I4" s="1342"/>
      <c r="J4" s="1342"/>
      <c r="K4" s="1342"/>
      <c r="L4" s="1342"/>
      <c r="M4" s="1342"/>
      <c r="N4" s="1342"/>
      <c r="O4" s="1342"/>
      <c r="P4" s="1342"/>
      <c r="Q4" s="1342"/>
    </row>
    <row r="5" spans="1:17" ht="18" customHeight="1">
      <c r="A5" s="1164"/>
      <c r="B5" s="1165"/>
      <c r="C5" s="1164"/>
      <c r="D5" s="1164"/>
      <c r="E5" s="1164"/>
      <c r="F5" s="1164"/>
      <c r="G5" s="1164"/>
      <c r="H5" s="1164"/>
      <c r="I5" s="1164"/>
      <c r="J5" s="1164"/>
      <c r="K5" s="1164"/>
      <c r="L5" s="1164"/>
      <c r="M5" s="1164"/>
      <c r="N5" s="1164"/>
      <c r="O5" s="1164"/>
      <c r="P5" s="1164"/>
      <c r="Q5" s="1164"/>
    </row>
    <row r="6" spans="1:17" ht="18" customHeight="1">
      <c r="A6" s="31" t="str">
        <f>'Sch-1'!A6</f>
        <v>Bidder’s Name and Address (Sole Bidder) :</v>
      </c>
      <c r="B6" s="1166"/>
      <c r="C6" s="1166"/>
      <c r="D6" s="1166"/>
      <c r="E6" s="1166"/>
      <c r="F6" s="1166"/>
      <c r="G6" s="1166"/>
      <c r="H6" s="1166"/>
      <c r="I6" s="1166"/>
      <c r="J6" s="1166"/>
      <c r="K6" s="1166"/>
      <c r="L6" s="1166"/>
      <c r="M6" s="1166"/>
      <c r="N6" s="1166"/>
      <c r="O6" s="1166"/>
      <c r="P6" s="1167" t="s">
        <v>396</v>
      </c>
      <c r="Q6" s="545"/>
    </row>
    <row r="7" spans="1:17" ht="36" customHeight="1">
      <c r="A7" s="1309" t="str">
        <f>'Sch-1'!A7</f>
        <v/>
      </c>
      <c r="B7" s="1309"/>
      <c r="C7" s="1309"/>
      <c r="D7" s="1309"/>
      <c r="E7" s="1309"/>
      <c r="F7" s="1309"/>
      <c r="G7" s="1309"/>
      <c r="H7" s="1309"/>
      <c r="I7" s="1309"/>
      <c r="J7" s="1309"/>
      <c r="K7" s="1309"/>
      <c r="L7" s="1309"/>
      <c r="M7" s="1309"/>
      <c r="N7" s="1309"/>
      <c r="O7" s="1309"/>
      <c r="P7" s="1168" t="str">
        <f>'Sch-1'!M7</f>
        <v>Contracts Services, 3rd Floor</v>
      </c>
      <c r="Q7" s="545"/>
    </row>
    <row r="8" spans="1:17" ht="18" customHeight="1">
      <c r="A8" s="31" t="s">
        <v>397</v>
      </c>
      <c r="B8" s="1343" t="str">
        <f>IF('Sch-1'!C8=0, "", 'Sch-1'!C8)</f>
        <v xml:space="preserve">…….. …….. …….. …….. …….. …….. </v>
      </c>
      <c r="C8" s="1343"/>
      <c r="D8" s="1343"/>
      <c r="E8" s="1343"/>
      <c r="F8" s="1343"/>
      <c r="G8" s="1343"/>
      <c r="H8" s="1343"/>
      <c r="I8" s="1343"/>
      <c r="J8" s="1343"/>
      <c r="K8" s="1343"/>
      <c r="L8" s="1343"/>
      <c r="M8" s="1343"/>
      <c r="N8" s="1343"/>
      <c r="O8" s="1343"/>
      <c r="P8" s="1168" t="str">
        <f>'Sch-1'!M8</f>
        <v>Power Grid Corporation of India Ltd.,</v>
      </c>
      <c r="Q8" s="545"/>
    </row>
    <row r="9" spans="1:17" ht="18" customHeight="1">
      <c r="A9" s="31" t="s">
        <v>399</v>
      </c>
      <c r="B9" s="1343" t="str">
        <f>IF('Sch-1'!C9=0, "", 'Sch-1'!C9)</f>
        <v xml:space="preserve">…….. …….. …….. …….. …….. …….. </v>
      </c>
      <c r="C9" s="1343"/>
      <c r="D9" s="1343"/>
      <c r="E9" s="1343"/>
      <c r="F9" s="1343"/>
      <c r="G9" s="1343"/>
      <c r="H9" s="1343"/>
      <c r="I9" s="1343"/>
      <c r="J9" s="1343"/>
      <c r="K9" s="1343"/>
      <c r="L9" s="1343"/>
      <c r="M9" s="1343"/>
      <c r="N9" s="1343"/>
      <c r="O9" s="1343"/>
      <c r="P9" s="1168" t="str">
        <f>'Sch-1'!M9</f>
        <v>"Saudamini", Plot No.-2</v>
      </c>
      <c r="Q9" s="545"/>
    </row>
    <row r="10" spans="1:17" ht="18" customHeight="1">
      <c r="A10" s="1166"/>
      <c r="B10" s="1343" t="str">
        <f>IF('Sch-1'!C10=0, "", 'Sch-1'!C10)</f>
        <v xml:space="preserve">…….. …….. …….. …….. …….. …….. </v>
      </c>
      <c r="C10" s="1343"/>
      <c r="D10" s="1343"/>
      <c r="E10" s="1343"/>
      <c r="F10" s="1343"/>
      <c r="G10" s="1343"/>
      <c r="H10" s="1343"/>
      <c r="I10" s="1343"/>
      <c r="J10" s="1343"/>
      <c r="K10" s="1343"/>
      <c r="L10" s="1343"/>
      <c r="M10" s="1343"/>
      <c r="N10" s="1343"/>
      <c r="O10" s="1343"/>
      <c r="P10" s="1168" t="str">
        <f>'Sch-1'!M10</f>
        <v xml:space="preserve">Sector-29, </v>
      </c>
      <c r="Q10" s="545"/>
    </row>
    <row r="11" spans="1:17" ht="18" customHeight="1">
      <c r="A11" s="1166"/>
      <c r="B11" s="1343" t="str">
        <f>IF('Sch-1'!C11=0, "", 'Sch-1'!C11)</f>
        <v xml:space="preserve">…….. …….. …….. …….. …….. …….. </v>
      </c>
      <c r="C11" s="1343"/>
      <c r="D11" s="1343"/>
      <c r="E11" s="1343"/>
      <c r="F11" s="1343"/>
      <c r="G11" s="1343"/>
      <c r="H11" s="1343"/>
      <c r="I11" s="1343"/>
      <c r="J11" s="1343"/>
      <c r="K11" s="1343"/>
      <c r="L11" s="1343"/>
      <c r="M11" s="1343"/>
      <c r="N11" s="1343"/>
      <c r="O11" s="1343"/>
      <c r="P11" s="1168" t="str">
        <f>'Sch-1'!M11</f>
        <v>Gurgaon (Haryana) - 122001</v>
      </c>
      <c r="Q11" s="545"/>
    </row>
    <row r="12" spans="1:17" ht="18" customHeight="1">
      <c r="A12" s="1106"/>
      <c r="B12" s="181"/>
      <c r="C12" s="181"/>
      <c r="D12" s="181"/>
      <c r="E12" s="181"/>
      <c r="F12" s="181"/>
      <c r="G12" s="181"/>
      <c r="H12" s="181"/>
      <c r="I12" s="181"/>
      <c r="J12" s="181"/>
      <c r="K12" s="181"/>
      <c r="L12" s="181"/>
      <c r="M12" s="181"/>
      <c r="N12" s="181"/>
      <c r="O12" s="181"/>
      <c r="P12" s="1166"/>
      <c r="Q12" s="545"/>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20" t="s">
        <v>377</v>
      </c>
      <c r="B14" s="821"/>
      <c r="C14" s="822"/>
      <c r="D14" s="822"/>
      <c r="E14" s="822"/>
      <c r="F14" s="822"/>
      <c r="G14" s="822"/>
      <c r="H14" s="822"/>
      <c r="I14" s="822"/>
      <c r="J14" s="822"/>
      <c r="K14" s="822"/>
      <c r="L14" s="822"/>
      <c r="M14" s="822"/>
      <c r="N14" s="822"/>
      <c r="O14" s="822"/>
      <c r="P14" s="822"/>
      <c r="Q14" s="822"/>
    </row>
    <row r="15" spans="1:17" ht="15.6">
      <c r="A15" s="94"/>
      <c r="B15" s="93"/>
      <c r="C15" s="92"/>
      <c r="D15" s="92"/>
      <c r="E15" s="92"/>
      <c r="F15" s="92"/>
      <c r="G15" s="92"/>
      <c r="H15" s="92"/>
      <c r="I15" s="92"/>
      <c r="J15" s="92"/>
      <c r="K15" s="92"/>
      <c r="L15" s="92"/>
      <c r="M15" s="92"/>
      <c r="N15" s="92"/>
      <c r="O15" s="92"/>
      <c r="P15" s="92"/>
      <c r="Q15" s="92"/>
    </row>
    <row r="16" spans="1:17" ht="96.6">
      <c r="A16" s="1010" t="s">
        <v>361</v>
      </c>
      <c r="B16" s="1006" t="s">
        <v>514</v>
      </c>
      <c r="C16" s="1006" t="s">
        <v>515</v>
      </c>
      <c r="D16" s="1006" t="s">
        <v>521</v>
      </c>
      <c r="E16" s="1006" t="s">
        <v>522</v>
      </c>
      <c r="F16" s="1006" t="s">
        <v>516</v>
      </c>
      <c r="G16" s="1011" t="s">
        <v>523</v>
      </c>
      <c r="H16" s="1012" t="s">
        <v>491</v>
      </c>
      <c r="I16" s="1013" t="s">
        <v>532</v>
      </c>
      <c r="J16" s="1013" t="s">
        <v>486</v>
      </c>
      <c r="K16" s="1013" t="s">
        <v>512</v>
      </c>
      <c r="L16" s="1006" t="s">
        <v>368</v>
      </c>
      <c r="M16" s="1008" t="s">
        <v>353</v>
      </c>
      <c r="N16" s="1008" t="s">
        <v>354</v>
      </c>
      <c r="O16" s="1006" t="s">
        <v>541</v>
      </c>
      <c r="P16" s="1006" t="s">
        <v>542</v>
      </c>
      <c r="Q16" s="1014" t="s">
        <v>510</v>
      </c>
    </row>
    <row r="17" spans="1:30">
      <c r="A17" s="1015">
        <v>1</v>
      </c>
      <c r="B17" s="1016">
        <v>2</v>
      </c>
      <c r="C17" s="1016">
        <v>3</v>
      </c>
      <c r="D17" s="1016">
        <v>4</v>
      </c>
      <c r="E17" s="1016">
        <v>5</v>
      </c>
      <c r="F17" s="1017">
        <v>6</v>
      </c>
      <c r="G17" s="1016">
        <v>7</v>
      </c>
      <c r="H17" s="1018">
        <v>8</v>
      </c>
      <c r="I17" s="1019">
        <v>9</v>
      </c>
      <c r="J17" s="1019">
        <v>10</v>
      </c>
      <c r="K17" s="1019">
        <v>11</v>
      </c>
      <c r="L17" s="1020">
        <v>12</v>
      </c>
      <c r="M17" s="1020">
        <v>13</v>
      </c>
      <c r="N17" s="1020">
        <v>14</v>
      </c>
      <c r="O17" s="1020">
        <v>15</v>
      </c>
      <c r="P17" s="1020" t="s">
        <v>524</v>
      </c>
      <c r="Q17" s="1020">
        <v>17</v>
      </c>
    </row>
    <row r="18" spans="1:30" s="103" customFormat="1" ht="31.2">
      <c r="A18" s="1169"/>
      <c r="B18" s="1336"/>
      <c r="C18" s="1337"/>
      <c r="D18" s="1337"/>
      <c r="E18" s="1337"/>
      <c r="F18" s="1337"/>
      <c r="G18" s="1337"/>
      <c r="H18" s="1337"/>
      <c r="I18" s="1337"/>
      <c r="J18" s="1338"/>
      <c r="K18" s="839"/>
      <c r="L18" s="839"/>
      <c r="M18" s="839"/>
      <c r="N18" s="839"/>
      <c r="O18" s="839"/>
      <c r="P18" s="839"/>
      <c r="Q18" s="839"/>
      <c r="R18" s="788" t="s">
        <v>493</v>
      </c>
      <c r="S18" s="787" t="s">
        <v>494</v>
      </c>
    </row>
    <row r="19" spans="1:30" s="103" customFormat="1" ht="31.5" customHeight="1">
      <c r="A19" s="1344" t="s">
        <v>552</v>
      </c>
      <c r="B19" s="1345"/>
      <c r="C19" s="1345"/>
      <c r="D19" s="1345"/>
      <c r="E19" s="1345"/>
      <c r="F19" s="1345"/>
      <c r="G19" s="1345"/>
      <c r="H19" s="1345"/>
      <c r="I19" s="1345"/>
      <c r="J19" s="1345"/>
      <c r="K19" s="1345"/>
      <c r="L19" s="1345"/>
      <c r="M19" s="1345"/>
      <c r="N19" s="1345"/>
      <c r="O19" s="1345"/>
      <c r="P19" s="1345"/>
      <c r="Q19" s="1346"/>
      <c r="R19" s="788" t="s">
        <v>493</v>
      </c>
      <c r="S19" s="787" t="s">
        <v>494</v>
      </c>
    </row>
    <row r="20" spans="1:30" s="665" customFormat="1" ht="15.6">
      <c r="A20" s="817"/>
      <c r="B20" s="817"/>
      <c r="C20" s="817"/>
      <c r="D20" s="817"/>
      <c r="E20" s="817"/>
      <c r="F20" s="703"/>
      <c r="G20" s="817"/>
      <c r="H20" s="817"/>
      <c r="I20" s="1087"/>
      <c r="J20" s="1088"/>
      <c r="K20" s="1089"/>
      <c r="L20" s="1090"/>
      <c r="M20" s="1091"/>
      <c r="N20" s="1092"/>
      <c r="O20" s="1093"/>
      <c r="P20" s="1094" t="str">
        <f>IF(O20=0, "Included", IF(ISERROR(N20*O20), O20, N20*O20))</f>
        <v>Included</v>
      </c>
      <c r="Q20" s="1095">
        <f>S20</f>
        <v>0</v>
      </c>
      <c r="R20" s="665">
        <f>IF(P20="Included",0,P20)</f>
        <v>0</v>
      </c>
      <c r="S20" s="665">
        <f>IF(K20="",(R20*J20),(R20*K20))</f>
        <v>0</v>
      </c>
      <c r="T20" s="666"/>
      <c r="U20" s="666"/>
      <c r="AD20" s="799"/>
    </row>
    <row r="21" spans="1:30" s="103" customFormat="1" ht="19.5" customHeight="1">
      <c r="A21" s="95"/>
      <c r="B21" s="96"/>
      <c r="C21" s="96"/>
      <c r="D21" s="96"/>
      <c r="E21" s="96"/>
      <c r="F21" s="96"/>
      <c r="G21" s="96"/>
      <c r="H21" s="96"/>
      <c r="I21" s="96"/>
      <c r="J21" s="96"/>
      <c r="K21" s="96"/>
      <c r="L21" s="96"/>
      <c r="M21" s="96"/>
      <c r="N21" s="96"/>
      <c r="O21" s="96"/>
      <c r="P21" s="96"/>
      <c r="Q21" s="838"/>
    </row>
    <row r="22" spans="1:30" s="687" customFormat="1" ht="40.5" customHeight="1">
      <c r="A22" s="1327"/>
      <c r="B22" s="1328"/>
      <c r="C22" s="1328"/>
      <c r="D22" s="1328"/>
      <c r="E22" s="1328"/>
      <c r="F22" s="1328"/>
      <c r="G22" s="1328"/>
      <c r="H22" s="1328"/>
      <c r="I22" s="1329"/>
      <c r="J22" s="1347" t="s">
        <v>543</v>
      </c>
      <c r="K22" s="1348"/>
      <c r="L22" s="1348"/>
      <c r="M22" s="1348"/>
      <c r="N22" s="1348"/>
      <c r="O22" s="1349"/>
      <c r="P22" s="794">
        <f>SUM(P20:P20)</f>
        <v>0</v>
      </c>
      <c r="Q22" s="795"/>
      <c r="R22" s="686"/>
      <c r="S22" s="851">
        <f>SUM(S20:S20)</f>
        <v>0</v>
      </c>
    </row>
    <row r="23" spans="1:30" s="687" customFormat="1" ht="25.5" customHeight="1">
      <c r="A23" s="840"/>
      <c r="B23" s="841"/>
      <c r="C23" s="841"/>
      <c r="D23" s="841"/>
      <c r="E23" s="841"/>
      <c r="F23" s="841"/>
      <c r="G23" s="841"/>
      <c r="H23" s="842"/>
      <c r="I23" s="843"/>
      <c r="J23" s="1339" t="s">
        <v>510</v>
      </c>
      <c r="K23" s="1339"/>
      <c r="L23" s="1339"/>
      <c r="M23" s="1339"/>
      <c r="N23" s="1339"/>
      <c r="O23" s="1340"/>
      <c r="P23" s="794"/>
      <c r="Q23" s="796">
        <f>SUM(Q20:Q20)</f>
        <v>0</v>
      </c>
      <c r="R23" s="686"/>
      <c r="S23" s="686"/>
    </row>
    <row r="24" spans="1:30" s="103" customFormat="1" ht="15.6">
      <c r="A24" s="94"/>
      <c r="B24" s="93"/>
      <c r="C24" s="92"/>
      <c r="D24" s="92"/>
      <c r="E24" s="92"/>
      <c r="F24" s="92"/>
      <c r="G24" s="92"/>
      <c r="H24" s="92"/>
      <c r="I24" s="92"/>
      <c r="J24" s="92"/>
      <c r="K24" s="92"/>
      <c r="L24" s="92"/>
      <c r="M24" s="92"/>
      <c r="N24" s="92"/>
      <c r="O24" s="92"/>
      <c r="P24" s="92"/>
      <c r="Q24" s="92"/>
    </row>
    <row r="25" spans="1:30" s="103" customFormat="1" ht="21" customHeight="1">
      <c r="A25" s="97"/>
      <c r="B25" s="98"/>
      <c r="C25" s="98"/>
      <c r="D25" s="98"/>
      <c r="E25" s="98"/>
      <c r="F25" s="98"/>
      <c r="G25" s="98"/>
      <c r="H25" s="98"/>
      <c r="I25" s="98"/>
      <c r="J25" s="98"/>
      <c r="K25" s="98"/>
      <c r="L25" s="98"/>
      <c r="M25" s="98"/>
      <c r="N25" s="98"/>
      <c r="O25" s="1335"/>
      <c r="P25" s="1335"/>
      <c r="Q25" s="1335"/>
    </row>
    <row r="26" spans="1:30" s="103" customFormat="1" ht="33.6" customHeight="1">
      <c r="A26" s="99" t="s">
        <v>406</v>
      </c>
      <c r="B26" s="113" t="str">
        <f>IF('Sch-1'!B158=0,"", 'Sch-1'!B158)</f>
        <v>--</v>
      </c>
      <c r="C26" s="1170"/>
      <c r="D26" s="1170"/>
      <c r="E26" s="1170"/>
      <c r="F26" s="1170"/>
      <c r="G26" s="1170"/>
      <c r="H26" s="1170"/>
      <c r="I26" s="1170"/>
      <c r="J26" s="113"/>
      <c r="K26" s="1170"/>
      <c r="L26" s="1170"/>
      <c r="M26" s="113"/>
      <c r="N26" s="1170"/>
      <c r="O26" s="1335" t="str">
        <f>"Printed Name : " &amp; IF('Sch-1'!M159=0,"",'Sch-1'!M159)</f>
        <v xml:space="preserve">Printed Name : </v>
      </c>
      <c r="P26" s="1335"/>
      <c r="Q26" s="1335"/>
    </row>
    <row r="27" spans="1:30" s="103" customFormat="1" ht="33.6" customHeight="1">
      <c r="A27" s="99" t="s">
        <v>407</v>
      </c>
      <c r="B27" s="113" t="str">
        <f>IF('Sch-1'!B159=0,"", 'Sch-1'!B159)</f>
        <v/>
      </c>
      <c r="C27" s="545"/>
      <c r="D27" s="545"/>
      <c r="E27" s="545"/>
      <c r="F27" s="545"/>
      <c r="G27" s="545"/>
      <c r="H27" s="545"/>
      <c r="I27" s="545"/>
      <c r="J27" s="113"/>
      <c r="K27" s="545"/>
      <c r="L27" s="545"/>
      <c r="M27" s="113"/>
      <c r="N27" s="545"/>
      <c r="O27" s="1335" t="str">
        <f>"Designation   : " &amp; IF('Sch-1'!M160=0,"",'Sch-1'!M160)</f>
        <v xml:space="preserve">Designation   : </v>
      </c>
      <c r="P27" s="1335"/>
      <c r="Q27" s="1335"/>
    </row>
    <row r="28" spans="1:30" s="103" customFormat="1" ht="33.6" customHeight="1">
      <c r="A28" s="544"/>
      <c r="B28" s="1163"/>
      <c r="C28" s="545"/>
      <c r="D28" s="545"/>
      <c r="E28" s="545"/>
      <c r="F28" s="545"/>
      <c r="G28" s="545"/>
      <c r="H28" s="545"/>
      <c r="I28" s="545"/>
      <c r="J28" s="1163"/>
      <c r="K28" s="545"/>
      <c r="L28" s="545"/>
      <c r="M28" s="1163"/>
      <c r="N28" s="545"/>
      <c r="O28" s="1335"/>
      <c r="P28" s="1335"/>
      <c r="Q28" s="1335"/>
    </row>
    <row r="29" spans="1:30" s="103" customFormat="1" ht="33.6" customHeight="1">
      <c r="A29" s="544"/>
      <c r="B29" s="1163"/>
      <c r="C29" s="545"/>
      <c r="D29" s="545"/>
      <c r="E29" s="545"/>
      <c r="F29" s="545"/>
      <c r="G29" s="545"/>
      <c r="H29" s="545"/>
      <c r="I29" s="545"/>
      <c r="J29" s="544"/>
      <c r="K29" s="545"/>
      <c r="L29" s="544"/>
      <c r="M29" s="544"/>
      <c r="N29" s="545"/>
      <c r="O29" s="544"/>
      <c r="P29" s="186"/>
      <c r="Q29" s="1171"/>
    </row>
  </sheetData>
  <sheetProtection algorithmName="SHA-512" hashValue="GWVr6FBpstRlQUYvNJUzJpNbII9qQXf1SyDDWN5ZcaCIMEL/MdRmr/JgRM78PVF/r0VtcDn17oFhGGnkI03CIQ==" saltValue="j+QNUuKyZPbqcL3EEkq7ew==" spinCount="100000" sheet="1" formatColumns="0" formatRows="0" selectLockedCells="1"/>
  <customSheetViews>
    <customSheetView guid="{9AC181BA-F443-4EA7-A647-328174FE3004}"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4"/>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6"/>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D5F8AD2D-F014-4A7B-9CE7-589273BD9F11}" showPageBreaks="1" fitToPage="1" printArea="1" hiddenColumns="1" view="pageBreakPreview" topLeftCell="E5">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34" priority="5" stopIfTrue="1">
      <formula>H20&gt;0</formula>
    </cfRule>
  </conditionalFormatting>
  <conditionalFormatting sqref="K20">
    <cfRule type="expression" dxfId="33" priority="4" stopIfTrue="1">
      <formula>J20&gt;0</formula>
    </cfRule>
  </conditionalFormatting>
  <conditionalFormatting sqref="K20">
    <cfRule type="expression" dxfId="32" priority="3" stopIfTrue="1">
      <formula>H20&gt;0</formula>
    </cfRule>
  </conditionalFormatting>
  <conditionalFormatting sqref="K20">
    <cfRule type="cellIs" dxfId="31" priority="2" stopIfTrue="1" operator="equal">
      <formula>"a"</formula>
    </cfRule>
  </conditionalFormatting>
  <conditionalFormatting sqref="O20">
    <cfRule type="expression" dxfId="3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2"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8"/>
  <cols>
    <col min="1" max="1" width="5.88671875" style="103" customWidth="1"/>
    <col min="2" max="2" width="12.6640625" style="103" customWidth="1"/>
    <col min="3" max="3" width="8" style="103" customWidth="1"/>
    <col min="4" max="4" width="8.6640625" style="103" customWidth="1"/>
    <col min="5" max="5" width="8.33203125" style="103" customWidth="1"/>
    <col min="6" max="6" width="27.6640625" style="103" customWidth="1"/>
    <col min="7" max="7" width="12.33203125" style="103" customWidth="1"/>
    <col min="8" max="8" width="9.33203125" style="103" customWidth="1"/>
    <col min="9" max="9" width="15.33203125" style="103" customWidth="1"/>
    <col min="10" max="10" width="8.44140625" style="103" customWidth="1"/>
    <col min="11" max="11" width="18" style="103" customWidth="1"/>
    <col min="12" max="12" width="30" style="103" customWidth="1"/>
    <col min="13" max="13" width="9.44140625" style="103" customWidth="1"/>
    <col min="14" max="14" width="10.44140625" style="103" customWidth="1"/>
    <col min="15" max="15" width="12.44140625" style="103" customWidth="1"/>
    <col min="16" max="16" width="17.6640625" style="103" customWidth="1"/>
    <col min="17" max="17" width="17" style="103" customWidth="1"/>
    <col min="18" max="18" width="22.44140625" style="86" hidden="1" customWidth="1"/>
    <col min="19" max="19" width="20.88671875" style="86" hidden="1" customWidth="1"/>
    <col min="20" max="16384" width="9" style="87"/>
  </cols>
  <sheetData>
    <row r="1" spans="1:17" ht="18" customHeight="1">
      <c r="A1" s="81" t="str">
        <f>Cover!B3</f>
        <v>Specification No.: CC/NT/W-AIS/DOM/A00/23/02698</v>
      </c>
      <c r="B1" s="82"/>
      <c r="C1" s="83"/>
      <c r="D1" s="83"/>
      <c r="E1" s="83"/>
      <c r="F1" s="83"/>
      <c r="G1" s="83"/>
      <c r="H1" s="83"/>
      <c r="I1" s="83"/>
      <c r="J1" s="83"/>
      <c r="K1" s="83"/>
      <c r="L1" s="83"/>
      <c r="M1" s="83"/>
      <c r="N1" s="83"/>
      <c r="O1" s="83"/>
      <c r="P1" s="84"/>
      <c r="Q1" s="85" t="s">
        <v>555</v>
      </c>
    </row>
    <row r="2" spans="1:17" ht="18" customHeight="1">
      <c r="A2" s="67"/>
      <c r="B2" s="88"/>
      <c r="C2" s="89"/>
      <c r="D2" s="89"/>
      <c r="E2" s="89"/>
      <c r="F2" s="89"/>
      <c r="G2" s="89"/>
      <c r="H2" s="89"/>
      <c r="I2" s="89"/>
      <c r="J2" s="89"/>
      <c r="K2" s="89"/>
      <c r="L2" s="89"/>
      <c r="M2" s="89"/>
      <c r="N2" s="89"/>
      <c r="O2" s="89"/>
      <c r="P2" s="34"/>
      <c r="Q2" s="34"/>
    </row>
    <row r="3" spans="1:17" ht="61.5" customHeight="1">
      <c r="A3" s="1350" t="str">
        <f>Cover!$B$2</f>
        <v>400kV AIS Substation Extension Package SS-111 for Extension of 400/220 kV Jabalpur Substation associated with Western Region Expansion Scheme-XXXIII (WRES-XXXIII): Part A.</v>
      </c>
      <c r="B3" s="1350"/>
      <c r="C3" s="1350"/>
      <c r="D3" s="1350"/>
      <c r="E3" s="1350"/>
      <c r="F3" s="1350"/>
      <c r="G3" s="1350"/>
      <c r="H3" s="1350"/>
      <c r="I3" s="1350"/>
      <c r="J3" s="1350"/>
      <c r="K3" s="1350"/>
      <c r="L3" s="1350"/>
      <c r="M3" s="1350"/>
      <c r="N3" s="1350"/>
      <c r="O3" s="1350"/>
      <c r="P3" s="1350"/>
      <c r="Q3" s="1350"/>
    </row>
    <row r="4" spans="1:17" ht="22.2" customHeight="1">
      <c r="A4" s="1342" t="s">
        <v>24</v>
      </c>
      <c r="B4" s="1342"/>
      <c r="C4" s="1342"/>
      <c r="D4" s="1342"/>
      <c r="E4" s="1342"/>
      <c r="F4" s="1342"/>
      <c r="G4" s="1342"/>
      <c r="H4" s="1342"/>
      <c r="I4" s="1342"/>
      <c r="J4" s="1342"/>
      <c r="K4" s="1342"/>
      <c r="L4" s="1342"/>
      <c r="M4" s="1342"/>
      <c r="N4" s="1342"/>
      <c r="O4" s="1342"/>
      <c r="P4" s="1342"/>
      <c r="Q4" s="1342"/>
    </row>
    <row r="5" spans="1:17" ht="18" customHeight="1">
      <c r="A5" s="90"/>
      <c r="B5" s="91"/>
      <c r="C5" s="90"/>
      <c r="D5" s="90"/>
      <c r="E5" s="90"/>
      <c r="F5" s="90"/>
      <c r="G5" s="90"/>
      <c r="H5" s="90"/>
      <c r="I5" s="90"/>
      <c r="J5" s="90"/>
      <c r="K5" s="90"/>
      <c r="L5" s="90"/>
      <c r="M5" s="90"/>
      <c r="N5" s="90"/>
      <c r="O5" s="90"/>
      <c r="P5" s="90"/>
      <c r="Q5" s="90"/>
    </row>
    <row r="6" spans="1:17" ht="18" customHeight="1">
      <c r="A6" s="31" t="str">
        <f>'Sch-1'!A6</f>
        <v>Bidder’s Name and Address (Sole Bidder) :</v>
      </c>
      <c r="B6" s="32"/>
      <c r="C6" s="32"/>
      <c r="D6" s="32"/>
      <c r="E6" s="32"/>
      <c r="F6" s="32"/>
      <c r="G6" s="32"/>
      <c r="H6" s="32"/>
      <c r="I6" s="32"/>
      <c r="J6" s="32"/>
      <c r="K6" s="32"/>
      <c r="L6" s="32"/>
      <c r="M6" s="32"/>
      <c r="N6" s="32"/>
      <c r="O6" s="32"/>
      <c r="P6" s="63" t="s">
        <v>396</v>
      </c>
      <c r="Q6" s="34"/>
    </row>
    <row r="7" spans="1:17" ht="36" customHeight="1">
      <c r="A7" s="1309" t="str">
        <f>'Sch-1'!A7</f>
        <v/>
      </c>
      <c r="B7" s="1309"/>
      <c r="C7" s="1309"/>
      <c r="D7" s="1309"/>
      <c r="E7" s="1309"/>
      <c r="F7" s="1309"/>
      <c r="G7" s="1309"/>
      <c r="H7" s="1309"/>
      <c r="I7" s="1309"/>
      <c r="J7" s="1309"/>
      <c r="K7" s="1309"/>
      <c r="L7" s="1309"/>
      <c r="M7" s="1309"/>
      <c r="N7" s="1309"/>
      <c r="O7" s="1309"/>
      <c r="P7" s="62" t="str">
        <f>'Sch-1'!M7</f>
        <v>Contracts Services, 3rd Floor</v>
      </c>
      <c r="Q7" s="34"/>
    </row>
    <row r="8" spans="1:17" ht="18" customHeight="1">
      <c r="A8" s="31" t="s">
        <v>397</v>
      </c>
      <c r="B8" s="1310" t="str">
        <f>IF('Sch-1'!C8=0, "", 'Sch-1'!C8)</f>
        <v xml:space="preserve">…….. …….. …….. …….. …….. …….. </v>
      </c>
      <c r="C8" s="1310"/>
      <c r="D8" s="1310"/>
      <c r="E8" s="1310"/>
      <c r="F8" s="1310"/>
      <c r="G8" s="1310"/>
      <c r="H8" s="1310"/>
      <c r="I8" s="1310"/>
      <c r="J8" s="1310"/>
      <c r="K8" s="1310"/>
      <c r="L8" s="1310"/>
      <c r="M8" s="1310"/>
      <c r="N8" s="1310"/>
      <c r="O8" s="1310"/>
      <c r="P8" s="62" t="str">
        <f>'Sch-1'!M8</f>
        <v>Power Grid Corporation of India Ltd.,</v>
      </c>
      <c r="Q8" s="34"/>
    </row>
    <row r="9" spans="1:17" ht="18" customHeight="1">
      <c r="A9" s="31" t="s">
        <v>399</v>
      </c>
      <c r="B9" s="1310" t="str">
        <f>IF('Sch-1'!C9=0, "", 'Sch-1'!C9)</f>
        <v xml:space="preserve">…….. …….. …….. …….. …….. …….. </v>
      </c>
      <c r="C9" s="1310"/>
      <c r="D9" s="1310"/>
      <c r="E9" s="1310"/>
      <c r="F9" s="1310"/>
      <c r="G9" s="1310"/>
      <c r="H9" s="1310"/>
      <c r="I9" s="1310"/>
      <c r="J9" s="1310"/>
      <c r="K9" s="1310"/>
      <c r="L9" s="1310"/>
      <c r="M9" s="1310"/>
      <c r="N9" s="1310"/>
      <c r="O9" s="1310"/>
      <c r="P9" s="62" t="str">
        <f>'Sch-1'!M9</f>
        <v>"Saudamini", Plot No.-2</v>
      </c>
      <c r="Q9" s="34"/>
    </row>
    <row r="10" spans="1:17" ht="18" customHeight="1">
      <c r="A10" s="32"/>
      <c r="B10" s="1310" t="str">
        <f>IF('Sch-1'!C10=0, "", 'Sch-1'!C10)</f>
        <v xml:space="preserve">…….. …….. …….. …….. …….. …….. </v>
      </c>
      <c r="C10" s="1310"/>
      <c r="D10" s="1310"/>
      <c r="E10" s="1310"/>
      <c r="F10" s="1310"/>
      <c r="G10" s="1310"/>
      <c r="H10" s="1310"/>
      <c r="I10" s="1310"/>
      <c r="J10" s="1310"/>
      <c r="K10" s="1310"/>
      <c r="L10" s="1310"/>
      <c r="M10" s="1310"/>
      <c r="N10" s="1310"/>
      <c r="O10" s="1310"/>
      <c r="P10" s="62" t="str">
        <f>'Sch-1'!M10</f>
        <v xml:space="preserve">Sector-29, </v>
      </c>
      <c r="Q10" s="34"/>
    </row>
    <row r="11" spans="1:17" ht="18" customHeight="1">
      <c r="A11" s="32"/>
      <c r="B11" s="1310" t="str">
        <f>IF('Sch-1'!C11=0, "", 'Sch-1'!C11)</f>
        <v xml:space="preserve">…….. …….. …….. …….. …….. …….. </v>
      </c>
      <c r="C11" s="1310"/>
      <c r="D11" s="1310"/>
      <c r="E11" s="1310"/>
      <c r="F11" s="1310"/>
      <c r="G11" s="1310"/>
      <c r="H11" s="1310"/>
      <c r="I11" s="1310"/>
      <c r="J11" s="1310"/>
      <c r="K11" s="1310"/>
      <c r="L11" s="1310"/>
      <c r="M11" s="1310"/>
      <c r="N11" s="1310"/>
      <c r="O11" s="1310"/>
      <c r="P11" s="62" t="str">
        <f>'Sch-1'!M11</f>
        <v>Gurgaon (Haryana) - 122001</v>
      </c>
      <c r="Q11" s="34"/>
    </row>
    <row r="12" spans="1:17" ht="18" customHeight="1">
      <c r="A12" s="33"/>
      <c r="B12" s="181"/>
      <c r="C12" s="181"/>
      <c r="D12" s="181"/>
      <c r="E12" s="181"/>
      <c r="F12" s="181"/>
      <c r="G12" s="181"/>
      <c r="H12" s="181"/>
      <c r="I12" s="181"/>
      <c r="J12" s="181"/>
      <c r="K12" s="181"/>
      <c r="L12" s="181"/>
      <c r="M12" s="181"/>
      <c r="N12" s="181"/>
      <c r="O12" s="181"/>
      <c r="P12" s="32"/>
      <c r="Q12" s="3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20" t="s">
        <v>530</v>
      </c>
      <c r="B14" s="823"/>
      <c r="C14" s="824"/>
      <c r="D14" s="824"/>
      <c r="E14" s="824"/>
      <c r="F14" s="824"/>
      <c r="G14" s="824"/>
      <c r="H14" s="824"/>
      <c r="I14" s="824"/>
      <c r="J14" s="824"/>
      <c r="K14" s="824"/>
      <c r="L14" s="824"/>
      <c r="M14" s="824"/>
      <c r="N14" s="824"/>
      <c r="O14" s="824"/>
      <c r="P14" s="824"/>
      <c r="Q14" s="824"/>
    </row>
    <row r="15" spans="1:17" ht="15.6">
      <c r="A15" s="94"/>
      <c r="B15" s="93"/>
      <c r="C15" s="92"/>
      <c r="D15" s="92"/>
      <c r="E15" s="92"/>
      <c r="F15" s="92"/>
      <c r="G15" s="92"/>
      <c r="H15" s="92"/>
      <c r="I15" s="92"/>
      <c r="J15" s="92"/>
      <c r="K15" s="92"/>
      <c r="L15" s="92"/>
      <c r="M15" s="92"/>
      <c r="N15" s="92"/>
      <c r="O15" s="92"/>
      <c r="P15" s="92"/>
      <c r="Q15" s="92"/>
    </row>
    <row r="16" spans="1:17" ht="86.4">
      <c r="A16" s="827" t="s">
        <v>361</v>
      </c>
      <c r="B16" s="825" t="s">
        <v>514</v>
      </c>
      <c r="C16" s="825" t="s">
        <v>515</v>
      </c>
      <c r="D16" s="825" t="s">
        <v>521</v>
      </c>
      <c r="E16" s="825" t="s">
        <v>522</v>
      </c>
      <c r="F16" s="825" t="s">
        <v>516</v>
      </c>
      <c r="G16" s="828" t="s">
        <v>523</v>
      </c>
      <c r="H16" s="829" t="s">
        <v>491</v>
      </c>
      <c r="I16" s="830" t="s">
        <v>532</v>
      </c>
      <c r="J16" s="830" t="s">
        <v>486</v>
      </c>
      <c r="K16" s="830" t="s">
        <v>512</v>
      </c>
      <c r="L16" s="825" t="s">
        <v>368</v>
      </c>
      <c r="M16" s="826" t="s">
        <v>353</v>
      </c>
      <c r="N16" s="826" t="s">
        <v>354</v>
      </c>
      <c r="O16" s="825" t="s">
        <v>534</v>
      </c>
      <c r="P16" s="825" t="s">
        <v>535</v>
      </c>
      <c r="Q16" s="831" t="s">
        <v>510</v>
      </c>
    </row>
    <row r="17" spans="1:30" ht="15.6">
      <c r="A17" s="832">
        <v>1</v>
      </c>
      <c r="B17" s="833">
        <v>2</v>
      </c>
      <c r="C17" s="833">
        <v>3</v>
      </c>
      <c r="D17" s="833">
        <v>4</v>
      </c>
      <c r="E17" s="833">
        <v>5</v>
      </c>
      <c r="F17" s="834">
        <v>6</v>
      </c>
      <c r="G17" s="833">
        <v>7</v>
      </c>
      <c r="H17" s="835">
        <v>8</v>
      </c>
      <c r="I17" s="836">
        <v>9</v>
      </c>
      <c r="J17" s="836">
        <v>10</v>
      </c>
      <c r="K17" s="836">
        <v>11</v>
      </c>
      <c r="L17" s="837">
        <v>12</v>
      </c>
      <c r="M17" s="837">
        <v>13</v>
      </c>
      <c r="N17" s="837">
        <v>14</v>
      </c>
      <c r="O17" s="837">
        <v>15</v>
      </c>
      <c r="P17" s="837" t="s">
        <v>524</v>
      </c>
      <c r="Q17" s="837">
        <v>17</v>
      </c>
    </row>
    <row r="18" spans="1:30" ht="37.5" customHeight="1">
      <c r="A18" s="680"/>
      <c r="B18" s="1351">
        <f>'Sch-4'!B18:J18</f>
        <v>0</v>
      </c>
      <c r="C18" s="1352"/>
      <c r="D18" s="1352"/>
      <c r="E18" s="1352"/>
      <c r="F18" s="1352"/>
      <c r="G18" s="1352"/>
      <c r="H18" s="1352"/>
      <c r="I18" s="1352"/>
      <c r="J18" s="1352"/>
      <c r="K18" s="1352"/>
      <c r="L18" s="1352"/>
      <c r="M18" s="1352"/>
      <c r="N18" s="1352"/>
      <c r="O18" s="1352"/>
      <c r="P18" s="1352"/>
      <c r="Q18" s="1353"/>
      <c r="R18" s="788" t="s">
        <v>546</v>
      </c>
      <c r="S18" s="787" t="s">
        <v>494</v>
      </c>
    </row>
    <row r="19" spans="1:30" ht="37.5" customHeight="1">
      <c r="A19" s="860" t="s">
        <v>553</v>
      </c>
      <c r="B19" s="1354" t="e">
        <f>'Sch-3 '!#REF!</f>
        <v>#REF!</v>
      </c>
      <c r="C19" s="1355"/>
      <c r="D19" s="1355"/>
      <c r="E19" s="1355"/>
      <c r="F19" s="1355"/>
      <c r="G19" s="1355"/>
      <c r="H19" s="1355"/>
      <c r="I19" s="861"/>
      <c r="J19" s="861"/>
      <c r="K19" s="861"/>
      <c r="L19" s="861"/>
      <c r="M19" s="861"/>
      <c r="N19" s="861"/>
      <c r="O19" s="861"/>
      <c r="P19" s="861"/>
      <c r="Q19" s="862"/>
      <c r="R19" s="788" t="s">
        <v>546</v>
      </c>
      <c r="S19" s="787" t="s">
        <v>494</v>
      </c>
    </row>
    <row r="20" spans="1:30" s="665" customFormat="1" ht="15.6">
      <c r="A20" s="817">
        <v>1</v>
      </c>
      <c r="B20" s="817"/>
      <c r="C20" s="817"/>
      <c r="D20" s="817"/>
      <c r="E20" s="817"/>
      <c r="F20" s="858"/>
      <c r="G20" s="817"/>
      <c r="H20" s="817"/>
      <c r="I20" s="772"/>
      <c r="J20" s="797"/>
      <c r="K20" s="818"/>
      <c r="L20" s="681"/>
      <c r="M20" s="722"/>
      <c r="N20" s="717"/>
      <c r="O20" s="721"/>
      <c r="P20" s="718" t="str">
        <f>IF(O20=0, "Included", IF(ISERROR(N20*O20), O20, N20*O20))</f>
        <v>Included</v>
      </c>
      <c r="Q20" s="789">
        <f>S20</f>
        <v>0</v>
      </c>
      <c r="R20" s="665">
        <f>IF(P20="Included",0,P20)</f>
        <v>0</v>
      </c>
      <c r="S20" s="665">
        <f>IF(K20="",(R20*J20),(R20*K20))</f>
        <v>0</v>
      </c>
      <c r="T20" s="666"/>
      <c r="U20" s="666"/>
      <c r="AD20" s="799"/>
    </row>
    <row r="21" spans="1:30" s="665" customFormat="1" ht="15.6">
      <c r="A21" s="817">
        <v>2</v>
      </c>
      <c r="B21" s="817"/>
      <c r="C21" s="817"/>
      <c r="D21" s="817"/>
      <c r="E21" s="817"/>
      <c r="F21" s="858"/>
      <c r="G21" s="817"/>
      <c r="H21" s="817"/>
      <c r="I21" s="772"/>
      <c r="J21" s="797"/>
      <c r="K21" s="818"/>
      <c r="L21" s="719"/>
      <c r="M21" s="720"/>
      <c r="N21" s="717"/>
      <c r="O21" s="721"/>
      <c r="P21" s="718" t="str">
        <f>IF(O21=0, "Included", IF(ISERROR(N21*O21), O21, N21*O21))</f>
        <v>Included</v>
      </c>
      <c r="Q21" s="789">
        <f>S21</f>
        <v>0</v>
      </c>
      <c r="R21" s="665">
        <f>IF(P21="Included",0,P21)</f>
        <v>0</v>
      </c>
      <c r="S21" s="665">
        <f>IF(K21="",(R21*J21),(R21*K21))</f>
        <v>0</v>
      </c>
      <c r="T21" s="666"/>
      <c r="U21" s="666"/>
      <c r="AD21" s="799"/>
    </row>
    <row r="22" spans="1:30" s="665" customFormat="1" ht="15.6">
      <c r="A22" s="817">
        <v>3</v>
      </c>
      <c r="B22" s="817"/>
      <c r="C22" s="817"/>
      <c r="D22" s="817"/>
      <c r="E22" s="817"/>
      <c r="F22" s="858"/>
      <c r="G22" s="817"/>
      <c r="H22" s="817"/>
      <c r="I22" s="772"/>
      <c r="J22" s="797"/>
      <c r="K22" s="818"/>
      <c r="L22" s="719"/>
      <c r="M22" s="720"/>
      <c r="N22" s="717"/>
      <c r="O22" s="721"/>
      <c r="P22" s="718" t="str">
        <f>IF(O22=0, "Included", IF(ISERROR(N22*O22), O22, N22*O22))</f>
        <v>Included</v>
      </c>
      <c r="Q22" s="789">
        <f>S22</f>
        <v>0</v>
      </c>
      <c r="R22" s="665">
        <f>IF(P22="Included",0,P22)</f>
        <v>0</v>
      </c>
      <c r="S22" s="665">
        <f>IF(K22="",(R22*J22),(R22*K22))</f>
        <v>0</v>
      </c>
      <c r="T22" s="666"/>
      <c r="U22" s="666"/>
      <c r="AD22" s="799"/>
    </row>
    <row r="23" spans="1:30" s="665" customFormat="1" ht="15.6">
      <c r="A23" s="817">
        <v>4</v>
      </c>
      <c r="B23" s="817"/>
      <c r="C23" s="817"/>
      <c r="D23" s="817"/>
      <c r="E23" s="817"/>
      <c r="F23" s="858"/>
      <c r="G23" s="817"/>
      <c r="H23" s="817"/>
      <c r="I23" s="772"/>
      <c r="J23" s="797"/>
      <c r="K23" s="818"/>
      <c r="L23" s="719"/>
      <c r="M23" s="720"/>
      <c r="N23" s="717"/>
      <c r="O23" s="721"/>
      <c r="P23" s="718" t="str">
        <f>IF(O23=0, "Included", IF(ISERROR(N23*O23), O23, N23*O23))</f>
        <v>Included</v>
      </c>
      <c r="Q23" s="789">
        <f>S23</f>
        <v>0</v>
      </c>
      <c r="R23" s="665">
        <f>IF(P23="Included",0,P23)</f>
        <v>0</v>
      </c>
      <c r="S23" s="665">
        <f>IF(K23="",(R23*J23),(R23*K23))</f>
        <v>0</v>
      </c>
      <c r="T23" s="666"/>
      <c r="U23" s="666"/>
      <c r="AD23" s="799"/>
    </row>
    <row r="24" spans="1:30" ht="37.5" customHeight="1">
      <c r="A24" s="860" t="s">
        <v>554</v>
      </c>
      <c r="B24" s="1354" t="e">
        <f>'Sch-3 '!#REF!</f>
        <v>#REF!</v>
      </c>
      <c r="C24" s="1355"/>
      <c r="D24" s="1355"/>
      <c r="E24" s="1355"/>
      <c r="F24" s="1355"/>
      <c r="G24" s="1355"/>
      <c r="H24" s="1355"/>
      <c r="I24" s="861"/>
      <c r="J24" s="861"/>
      <c r="K24" s="861"/>
      <c r="L24" s="861"/>
      <c r="M24" s="861"/>
      <c r="N24" s="861"/>
      <c r="O24" s="861"/>
      <c r="P24" s="861"/>
      <c r="Q24" s="862"/>
      <c r="R24" s="788" t="s">
        <v>546</v>
      </c>
      <c r="S24" s="787" t="s">
        <v>494</v>
      </c>
    </row>
    <row r="25" spans="1:30" s="665" customFormat="1" ht="15.6">
      <c r="A25" s="817">
        <v>1</v>
      </c>
      <c r="B25" s="817"/>
      <c r="C25" s="817"/>
      <c r="D25" s="817"/>
      <c r="E25" s="817"/>
      <c r="F25" s="858"/>
      <c r="G25" s="817"/>
      <c r="H25" s="817"/>
      <c r="I25" s="772"/>
      <c r="J25" s="797"/>
      <c r="K25" s="818"/>
      <c r="L25" s="719"/>
      <c r="M25" s="720"/>
      <c r="N25" s="717"/>
      <c r="O25" s="721"/>
      <c r="P25" s="718" t="str">
        <f>IF(O25=0, "Included", IF(ISERROR(N25*O25), O25, N25*O25))</f>
        <v>Included</v>
      </c>
      <c r="Q25" s="789">
        <f>S25</f>
        <v>0</v>
      </c>
      <c r="R25" s="665">
        <f>IF(P25="Included",0,P25)</f>
        <v>0</v>
      </c>
      <c r="S25" s="665">
        <f>IF(K25="",(R25*J25),(R25*K25))</f>
        <v>0</v>
      </c>
      <c r="T25" s="666"/>
      <c r="U25" s="666"/>
      <c r="AD25" s="799"/>
    </row>
    <row r="26" spans="1:30" s="665" customFormat="1" ht="15.6">
      <c r="A26" s="817">
        <v>2</v>
      </c>
      <c r="B26" s="817"/>
      <c r="C26" s="817"/>
      <c r="D26" s="817"/>
      <c r="E26" s="817"/>
      <c r="F26" s="858"/>
      <c r="G26" s="817"/>
      <c r="H26" s="817"/>
      <c r="I26" s="772"/>
      <c r="J26" s="797"/>
      <c r="K26" s="818"/>
      <c r="L26" s="719"/>
      <c r="M26" s="720"/>
      <c r="N26" s="717"/>
      <c r="O26" s="721"/>
      <c r="P26" s="718" t="str">
        <f>IF(O26=0, "Included", IF(ISERROR(N26*O26), O26, N26*O26))</f>
        <v>Included</v>
      </c>
      <c r="Q26" s="789">
        <f>S26</f>
        <v>0</v>
      </c>
      <c r="R26" s="665">
        <f>IF(P26="Included",0,P26)</f>
        <v>0</v>
      </c>
      <c r="S26" s="665">
        <f>IF(K26="",(R26*J26),(R26*K26))</f>
        <v>0</v>
      </c>
      <c r="T26" s="666"/>
      <c r="U26" s="666"/>
      <c r="AD26" s="799"/>
    </row>
    <row r="27" spans="1:30" s="665" customFormat="1" ht="15.6">
      <c r="A27" s="817">
        <v>3</v>
      </c>
      <c r="B27" s="817"/>
      <c r="C27" s="817"/>
      <c r="D27" s="817"/>
      <c r="E27" s="817"/>
      <c r="F27" s="858"/>
      <c r="G27" s="817"/>
      <c r="H27" s="817"/>
      <c r="I27" s="772"/>
      <c r="J27" s="797"/>
      <c r="K27" s="818"/>
      <c r="L27" s="719"/>
      <c r="M27" s="720"/>
      <c r="N27" s="717"/>
      <c r="O27" s="721"/>
      <c r="P27" s="718" t="str">
        <f>IF(O27=0, "Included", IF(ISERROR(N27*O27), O27, N27*O27))</f>
        <v>Included</v>
      </c>
      <c r="Q27" s="789">
        <f>S27</f>
        <v>0</v>
      </c>
      <c r="R27" s="665">
        <f>IF(P27="Included",0,P27)</f>
        <v>0</v>
      </c>
      <c r="S27" s="665">
        <f>IF(K27="",(R27*J27),(R27*K27))</f>
        <v>0</v>
      </c>
      <c r="T27" s="666"/>
      <c r="U27" s="666"/>
      <c r="AD27" s="799"/>
    </row>
    <row r="28" spans="1:30" s="665" customFormat="1" ht="15.6">
      <c r="A28" s="817">
        <v>4</v>
      </c>
      <c r="B28" s="817"/>
      <c r="C28" s="817"/>
      <c r="D28" s="817"/>
      <c r="E28" s="817"/>
      <c r="F28" s="858"/>
      <c r="G28" s="817"/>
      <c r="H28" s="817"/>
      <c r="I28" s="772"/>
      <c r="J28" s="797"/>
      <c r="K28" s="818"/>
      <c r="L28" s="719"/>
      <c r="M28" s="720"/>
      <c r="N28" s="717"/>
      <c r="O28" s="721"/>
      <c r="P28" s="718" t="str">
        <f>IF(O28=0, "Included", IF(ISERROR(N28*O28), O28, N28*O28))</f>
        <v>Included</v>
      </c>
      <c r="Q28" s="789">
        <f>S28</f>
        <v>0</v>
      </c>
      <c r="R28" s="665">
        <f>IF(P28="Included",0,P28)</f>
        <v>0</v>
      </c>
      <c r="S28" s="665">
        <f>IF(K28="",(R28*J28),(R28*K28))</f>
        <v>0</v>
      </c>
      <c r="T28" s="666"/>
      <c r="U28" s="666"/>
      <c r="AD28" s="799"/>
    </row>
    <row r="29" spans="1:30" ht="19.5" customHeight="1">
      <c r="A29" s="95"/>
      <c r="B29" s="96"/>
      <c r="C29" s="96"/>
      <c r="D29" s="96"/>
      <c r="E29" s="96"/>
      <c r="F29" s="96"/>
      <c r="G29" s="96"/>
      <c r="H29" s="96"/>
      <c r="I29" s="96"/>
      <c r="J29" s="96"/>
      <c r="K29" s="96"/>
      <c r="L29" s="96"/>
      <c r="M29" s="96"/>
      <c r="N29" s="96"/>
      <c r="O29" s="96"/>
      <c r="P29" s="96"/>
      <c r="Q29" s="96"/>
    </row>
    <row r="30" spans="1:30" s="687" customFormat="1" ht="40.5" customHeight="1">
      <c r="A30" s="1327"/>
      <c r="B30" s="1328"/>
      <c r="C30" s="1328"/>
      <c r="D30" s="1328"/>
      <c r="E30" s="1328"/>
      <c r="F30" s="1328"/>
      <c r="G30" s="1328"/>
      <c r="H30" s="1328"/>
      <c r="I30" s="1329"/>
      <c r="J30" s="1347" t="s">
        <v>544</v>
      </c>
      <c r="K30" s="1348"/>
      <c r="L30" s="1348"/>
      <c r="M30" s="1348"/>
      <c r="N30" s="1348"/>
      <c r="O30" s="1349"/>
      <c r="P30" s="794">
        <f>SUM(P20:P28)</f>
        <v>0</v>
      </c>
      <c r="Q30" s="795"/>
      <c r="R30" s="686"/>
      <c r="S30" s="851">
        <f>SUM(S20:S28)</f>
        <v>0</v>
      </c>
    </row>
    <row r="31" spans="1:30" s="687" customFormat="1" ht="25.5" customHeight="1">
      <c r="A31" s="840"/>
      <c r="B31" s="841"/>
      <c r="C31" s="841"/>
      <c r="D31" s="841"/>
      <c r="E31" s="841"/>
      <c r="F31" s="841"/>
      <c r="G31" s="841"/>
      <c r="H31" s="842"/>
      <c r="I31" s="843"/>
      <c r="J31" s="1339" t="s">
        <v>510</v>
      </c>
      <c r="K31" s="1339"/>
      <c r="L31" s="1339"/>
      <c r="M31" s="1339"/>
      <c r="N31" s="1339"/>
      <c r="O31" s="1340"/>
      <c r="P31" s="794"/>
      <c r="Q31" s="796">
        <f>SUM(Q20:Q28)</f>
        <v>0</v>
      </c>
      <c r="R31" s="686"/>
      <c r="S31" s="686"/>
    </row>
    <row r="32" spans="1:30" ht="15.6">
      <c r="A32" s="94"/>
      <c r="B32" s="93"/>
      <c r="C32" s="92"/>
      <c r="D32" s="92"/>
      <c r="E32" s="92"/>
      <c r="F32" s="92"/>
      <c r="G32" s="92"/>
      <c r="H32" s="92"/>
      <c r="I32" s="92"/>
      <c r="J32" s="92"/>
      <c r="K32" s="92"/>
      <c r="L32" s="92"/>
      <c r="M32" s="92"/>
      <c r="N32" s="92"/>
      <c r="O32" s="92"/>
      <c r="P32" s="92"/>
      <c r="Q32" s="92"/>
    </row>
    <row r="33" spans="1:17" ht="21" customHeight="1">
      <c r="A33" s="97"/>
      <c r="B33" s="98"/>
      <c r="C33" s="98"/>
      <c r="D33" s="98"/>
      <c r="E33" s="98"/>
      <c r="F33" s="98"/>
      <c r="G33" s="98"/>
      <c r="H33" s="98"/>
      <c r="I33" s="98"/>
      <c r="J33" s="98"/>
      <c r="K33" s="98"/>
      <c r="L33" s="98"/>
      <c r="M33" s="98"/>
      <c r="N33" s="98"/>
      <c r="O33" s="1335"/>
      <c r="P33" s="1335"/>
      <c r="Q33" s="1335"/>
    </row>
    <row r="34" spans="1:17" ht="33.6" customHeight="1">
      <c r="A34" s="99" t="s">
        <v>406</v>
      </c>
      <c r="B34" s="113" t="str">
        <f>IF('Sch-1'!B158=0,"", 'Sch-1'!B158)</f>
        <v>--</v>
      </c>
      <c r="C34" s="100"/>
      <c r="D34" s="100"/>
      <c r="E34" s="100"/>
      <c r="F34" s="100"/>
      <c r="G34" s="100"/>
      <c r="H34" s="100"/>
      <c r="I34" s="100"/>
      <c r="J34" s="100"/>
      <c r="K34" s="100"/>
      <c r="L34" s="100"/>
      <c r="M34" s="100"/>
      <c r="N34" s="100"/>
      <c r="O34" s="1335" t="str">
        <f>"Printed Name : " &amp; IF('Sch-1'!M159=0,"",'Sch-1'!M159)</f>
        <v xml:space="preserve">Printed Name : </v>
      </c>
      <c r="P34" s="1335"/>
      <c r="Q34" s="1335"/>
    </row>
    <row r="35" spans="1:17" ht="33.6" customHeight="1">
      <c r="A35" s="99" t="s">
        <v>407</v>
      </c>
      <c r="B35" s="113" t="str">
        <f>IF('Sch-1'!B159=0,"", 'Sch-1'!B159)</f>
        <v/>
      </c>
      <c r="C35" s="34"/>
      <c r="D35" s="34"/>
      <c r="E35" s="34"/>
      <c r="F35" s="34"/>
      <c r="G35" s="34"/>
      <c r="H35" s="34"/>
      <c r="I35" s="34"/>
      <c r="J35" s="34"/>
      <c r="K35" s="34"/>
      <c r="L35" s="34"/>
      <c r="M35" s="34"/>
      <c r="N35" s="34"/>
      <c r="O35" s="1335" t="str">
        <f>"Designation   : " &amp; IF('Sch-1'!M160=0,"",'Sch-1'!M160)</f>
        <v xml:space="preserve">Designation   : </v>
      </c>
      <c r="P35" s="1335"/>
      <c r="Q35" s="1335"/>
    </row>
    <row r="36" spans="1:17" ht="33.6" customHeight="1">
      <c r="A36" s="89"/>
      <c r="B36" s="88"/>
      <c r="C36" s="34"/>
      <c r="D36" s="34"/>
      <c r="E36" s="34"/>
      <c r="F36" s="34"/>
      <c r="G36" s="34"/>
      <c r="H36" s="34"/>
      <c r="I36" s="34"/>
      <c r="J36" s="34"/>
      <c r="K36" s="34"/>
      <c r="L36" s="34"/>
      <c r="M36" s="34"/>
      <c r="N36" s="34"/>
      <c r="O36" s="1335"/>
      <c r="P36" s="1335"/>
      <c r="Q36" s="1335"/>
    </row>
    <row r="37" spans="1:17" ht="33.6" customHeight="1">
      <c r="A37" s="89"/>
      <c r="B37" s="88"/>
      <c r="C37" s="34"/>
      <c r="D37" s="34"/>
      <c r="E37" s="34"/>
      <c r="F37" s="34"/>
      <c r="G37" s="34"/>
      <c r="H37" s="34"/>
      <c r="I37" s="34"/>
      <c r="J37" s="34"/>
      <c r="K37" s="34"/>
      <c r="L37" s="34"/>
      <c r="M37" s="34"/>
      <c r="N37" s="34"/>
      <c r="O37" s="89"/>
      <c r="P37" s="186"/>
      <c r="Q37" s="102"/>
    </row>
  </sheetData>
  <sheetProtection formatColumns="0" formatRows="0" selectLockedCells="1"/>
  <customSheetViews>
    <customSheetView guid="{9AC181BA-F443-4EA7-A647-328174FE3004}" showPageBreaks="1" fitToPage="1" printArea="1" hiddenColumns="1" state="hidden" view="pageBreakPreview" topLeftCell="G13">
      <selection activeCell="M20" sqref="M20:N23"/>
      <pageMargins left="0.25" right="0.25" top="0.75" bottom="0.75" header="0.3" footer="0.3"/>
      <pageSetup scale="59" fitToHeight="0" orientation="landscape" r:id="rId1"/>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5"/>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6"/>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7"/>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9"/>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0"/>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1"/>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2"/>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4"/>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5"/>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6"/>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7"/>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8"/>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9"/>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20"/>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21"/>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23"/>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24"/>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25"/>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28"/>
      <headerFooter alignWithMargins="0">
        <oddFooter>&amp;R&amp;"Book Antiqua,Bold"&amp;10Schedule-4/ Page &amp;P of &amp;N</oddFooter>
      </headerFooter>
    </customSheetView>
  </customSheetViews>
  <mergeCells count="17">
    <mergeCell ref="B11:O11"/>
    <mergeCell ref="A7:O7"/>
    <mergeCell ref="O33:Q33"/>
    <mergeCell ref="O36:Q36"/>
    <mergeCell ref="O35:Q35"/>
    <mergeCell ref="O34:Q34"/>
    <mergeCell ref="B18:Q18"/>
    <mergeCell ref="A30:I30"/>
    <mergeCell ref="J31:O31"/>
    <mergeCell ref="J30:O30"/>
    <mergeCell ref="B19:H19"/>
    <mergeCell ref="B24:H24"/>
    <mergeCell ref="A3:Q3"/>
    <mergeCell ref="A4:Q4"/>
    <mergeCell ref="B8:O8"/>
    <mergeCell ref="B9:O9"/>
    <mergeCell ref="B10:O10"/>
  </mergeCells>
  <phoneticPr fontId="2" type="noConversion"/>
  <conditionalFormatting sqref="O20">
    <cfRule type="expression" dxfId="29" priority="54" stopIfTrue="1">
      <formula>N20&gt;0</formula>
    </cfRule>
  </conditionalFormatting>
  <conditionalFormatting sqref="O21">
    <cfRule type="expression" dxfId="28" priority="52" stopIfTrue="1">
      <formula>N21&gt;0</formula>
    </cfRule>
  </conditionalFormatting>
  <conditionalFormatting sqref="O27">
    <cfRule type="expression" dxfId="27" priority="50" stopIfTrue="1">
      <formula>N27&gt;0</formula>
    </cfRule>
  </conditionalFormatting>
  <conditionalFormatting sqref="O28">
    <cfRule type="expression" dxfId="26" priority="48" stopIfTrue="1">
      <formula>N28&gt;0</formula>
    </cfRule>
  </conditionalFormatting>
  <conditionalFormatting sqref="I20">
    <cfRule type="expression" dxfId="25" priority="9" stopIfTrue="1">
      <formula>H20&gt;0</formula>
    </cfRule>
  </conditionalFormatting>
  <conditionalFormatting sqref="K20:K23">
    <cfRule type="cellIs" dxfId="24" priority="6" stopIfTrue="1" operator="equal">
      <formula>"a"</formula>
    </cfRule>
  </conditionalFormatting>
  <conditionalFormatting sqref="K20:K23">
    <cfRule type="expression" dxfId="23" priority="5" stopIfTrue="1">
      <formula>J20&gt;0</formula>
    </cfRule>
  </conditionalFormatting>
  <conditionalFormatting sqref="O22">
    <cfRule type="expression" dxfId="22" priority="16" stopIfTrue="1">
      <formula>N22&gt;0</formula>
    </cfRule>
  </conditionalFormatting>
  <conditionalFormatting sqref="O23">
    <cfRule type="expression" dxfId="21" priority="14" stopIfTrue="1">
      <formula>N23&gt;0</formula>
    </cfRule>
  </conditionalFormatting>
  <conditionalFormatting sqref="O25">
    <cfRule type="expression" dxfId="20" priority="12" stopIfTrue="1">
      <formula>N25&gt;0</formula>
    </cfRule>
  </conditionalFormatting>
  <conditionalFormatting sqref="O26">
    <cfRule type="expression" dxfId="19" priority="10" stopIfTrue="1">
      <formula>N26&gt;0</formula>
    </cfRule>
  </conditionalFormatting>
  <conditionalFormatting sqref="I21:I23">
    <cfRule type="expression" dxfId="18" priority="8" stopIfTrue="1">
      <formula>H21&gt;0</formula>
    </cfRule>
  </conditionalFormatting>
  <conditionalFormatting sqref="K20:K23">
    <cfRule type="expression" dxfId="17" priority="7" stopIfTrue="1">
      <formula>H20&gt;0</formula>
    </cfRule>
  </conditionalFormatting>
  <conditionalFormatting sqref="I25:I28">
    <cfRule type="expression" dxfId="16" priority="4" stopIfTrue="1">
      <formula>H25&gt;0</formula>
    </cfRule>
  </conditionalFormatting>
  <conditionalFormatting sqref="K25:K28">
    <cfRule type="expression" dxfId="15" priority="3" stopIfTrue="1">
      <formula>H25&gt;0</formula>
    </cfRule>
  </conditionalFormatting>
  <conditionalFormatting sqref="K25:K28">
    <cfRule type="cellIs" dxfId="14" priority="2" stopIfTrue="1" operator="equal">
      <formula>"a"</formula>
    </cfRule>
  </conditionalFormatting>
  <conditionalFormatting sqref="K25:K28">
    <cfRule type="expression" dxfId="13" priority="1" stopIfTrue="1">
      <formula>J25&gt;0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9"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10" zoomScaleNormal="100" zoomScaleSheetLayoutView="100" workbookViewId="0">
      <selection activeCell="A3" sqref="A3:E3"/>
    </sheetView>
  </sheetViews>
  <sheetFormatPr defaultColWidth="10" defaultRowHeight="15.6"/>
  <cols>
    <col min="1" max="1" width="10.33203125" style="41" customWidth="1"/>
    <col min="2" max="2" width="40.88671875" style="41" customWidth="1"/>
    <col min="3" max="3" width="17.44140625" style="41" customWidth="1"/>
    <col min="4" max="4" width="20.44140625" style="41" customWidth="1"/>
    <col min="5" max="5" width="20" style="41" customWidth="1"/>
    <col min="6" max="6" width="10" style="159" customWidth="1"/>
    <col min="7" max="7" width="29.88671875" style="159" customWidth="1"/>
    <col min="8" max="8" width="10" style="159" customWidth="1"/>
    <col min="9" max="9" width="12.21875" style="159" hidden="1" customWidth="1"/>
    <col min="10" max="10" width="12.6640625" style="159" hidden="1" customWidth="1"/>
    <col min="11" max="11" width="15" style="159" hidden="1" customWidth="1"/>
    <col min="12" max="13" width="10" style="159" hidden="1" customWidth="1"/>
    <col min="14" max="14" width="18.6640625" style="159" hidden="1" customWidth="1"/>
    <col min="15" max="15" width="16" style="159" hidden="1" customWidth="1"/>
    <col min="16" max="16" width="10" style="159" hidden="1" customWidth="1"/>
    <col min="17" max="17" width="10" style="159" customWidth="1"/>
    <col min="18" max="18" width="10" style="38" customWidth="1"/>
    <col min="19" max="24" width="10" style="159" customWidth="1"/>
    <col min="25" max="16384" width="10" style="38"/>
  </cols>
  <sheetData>
    <row r="1" spans="1:15" ht="18" customHeight="1">
      <c r="A1" s="59" t="str">
        <f>Cover!B3</f>
        <v>Specification No.: CC/NT/W-AIS/DOM/A00/23/02698</v>
      </c>
      <c r="B1" s="60"/>
      <c r="C1" s="61"/>
      <c r="D1" s="61"/>
      <c r="E1" s="8" t="s">
        <v>428</v>
      </c>
    </row>
    <row r="2" spans="1:15" ht="8.1" customHeight="1">
      <c r="A2" s="4"/>
      <c r="B2" s="13"/>
      <c r="C2" s="6"/>
      <c r="D2" s="6"/>
      <c r="E2" s="1"/>
      <c r="F2" s="194"/>
    </row>
    <row r="3" spans="1:15" ht="50.4" customHeight="1">
      <c r="A3" s="1376" t="str">
        <f>Cover!$B$2</f>
        <v>400kV AIS Substation Extension Package SS-111 for Extension of 400/220 kV Jabalpur Substation associated with Western Region Expansion Scheme-XXXIII (WRES-XXXIII): Part A.</v>
      </c>
      <c r="B3" s="1376"/>
      <c r="C3" s="1376"/>
      <c r="D3" s="1376"/>
      <c r="E3" s="1376"/>
    </row>
    <row r="4" spans="1:15" ht="22.2" customHeight="1">
      <c r="A4" s="1380" t="s">
        <v>25</v>
      </c>
      <c r="B4" s="1380"/>
      <c r="C4" s="1380"/>
      <c r="D4" s="1380"/>
      <c r="E4" s="1380"/>
    </row>
    <row r="5" spans="1:15" ht="12" customHeight="1">
      <c r="A5" s="44"/>
      <c r="B5" s="39"/>
      <c r="C5" s="39"/>
      <c r="D5" s="39"/>
      <c r="E5" s="39"/>
    </row>
    <row r="6" spans="1:15" ht="18" customHeight="1">
      <c r="A6" s="31" t="str">
        <f>'Sch-1'!A6</f>
        <v>Bidder’s Name and Address (Sole Bidder) :</v>
      </c>
      <c r="D6" s="64" t="s">
        <v>396</v>
      </c>
    </row>
    <row r="7" spans="1:15" ht="18" customHeight="1">
      <c r="A7" s="180" t="str">
        <f>'Sch-1'!A7</f>
        <v/>
      </c>
      <c r="D7" s="65" t="str">
        <f>'Sch-1'!M7</f>
        <v>Contracts Services, 3rd Floor</v>
      </c>
    </row>
    <row r="8" spans="1:15" ht="18" customHeight="1">
      <c r="A8" s="42" t="s">
        <v>412</v>
      </c>
      <c r="B8" s="1379" t="str">
        <f>IF('Sch-1'!C8=0, "", 'Sch-1'!C8)</f>
        <v xml:space="preserve">…….. …….. …….. …….. …….. …….. </v>
      </c>
      <c r="C8" s="1379"/>
      <c r="D8" s="65" t="str">
        <f>'Sch-1'!M8</f>
        <v>Power Grid Corporation of India Ltd.,</v>
      </c>
    </row>
    <row r="9" spans="1:15" ht="18" customHeight="1">
      <c r="A9" s="42" t="s">
        <v>413</v>
      </c>
      <c r="B9" s="1379" t="str">
        <f>IF('Sch-1'!C9=0, "", 'Sch-1'!C9)</f>
        <v xml:space="preserve">…….. …….. …….. …….. …….. …….. </v>
      </c>
      <c r="C9" s="1379"/>
      <c r="D9" s="65" t="str">
        <f>'Sch-1'!M9</f>
        <v>"Saudamini", Plot No.-2</v>
      </c>
    </row>
    <row r="10" spans="1:15" ht="18" customHeight="1">
      <c r="A10" s="43"/>
      <c r="B10" s="1379" t="str">
        <f>IF('Sch-1'!C10=0, "", 'Sch-1'!C10)</f>
        <v xml:space="preserve">…….. …….. …….. …….. …….. …….. </v>
      </c>
      <c r="C10" s="1379"/>
      <c r="D10" s="65" t="str">
        <f>'Sch-1'!M10</f>
        <v xml:space="preserve">Sector-29, </v>
      </c>
    </row>
    <row r="11" spans="1:15" ht="18" customHeight="1">
      <c r="A11" s="43"/>
      <c r="B11" s="1379" t="str">
        <f>IF('Sch-1'!C11=0, "", 'Sch-1'!C11)</f>
        <v xml:space="preserve">…….. …….. …….. …….. …….. …….. </v>
      </c>
      <c r="C11" s="1379"/>
      <c r="D11" s="65" t="str">
        <f>'Sch-1'!M11</f>
        <v>Gurgaon (Haryana) - 122001</v>
      </c>
    </row>
    <row r="12" spans="1:15" ht="8.1" customHeight="1"/>
    <row r="13" spans="1:15" ht="22.2" customHeight="1">
      <c r="A13" s="76" t="s">
        <v>378</v>
      </c>
      <c r="B13" s="1381" t="s">
        <v>379</v>
      </c>
      <c r="C13" s="1382"/>
      <c r="D13" s="1377" t="s">
        <v>380</v>
      </c>
      <c r="E13" s="1378"/>
      <c r="I13" s="1375" t="s">
        <v>257</v>
      </c>
      <c r="J13" s="1375"/>
      <c r="K13" s="1375"/>
      <c r="M13" s="1375" t="s">
        <v>283</v>
      </c>
      <c r="N13" s="1375"/>
      <c r="O13" s="1375"/>
    </row>
    <row r="14" spans="1:15" ht="18" customHeight="1">
      <c r="A14" s="45" t="s">
        <v>381</v>
      </c>
      <c r="B14" s="1365" t="s">
        <v>495</v>
      </c>
      <c r="C14" s="1366"/>
      <c r="D14" s="1371"/>
      <c r="E14" s="1372"/>
      <c r="I14" s="271" t="s">
        <v>232</v>
      </c>
      <c r="K14" s="271" t="e">
        <f>ROUND('Sch-1'!AE3*#REF!,0)</f>
        <v>#REF!</v>
      </c>
      <c r="M14" s="271" t="s">
        <v>232</v>
      </c>
      <c r="O14" s="271" t="e">
        <f>ROUND('Sch-1'!AE5*#REF!,0)</f>
        <v>#REF!</v>
      </c>
    </row>
    <row r="15" spans="1:15" ht="89.25" customHeight="1">
      <c r="A15" s="46"/>
      <c r="B15" s="1368" t="s">
        <v>496</v>
      </c>
      <c r="C15" s="1369"/>
      <c r="D15" s="1363">
        <f>'Sch-1'!N153+'Sch-7'!N21</f>
        <v>0</v>
      </c>
      <c r="E15" s="1364"/>
      <c r="G15" s="571"/>
    </row>
    <row r="16" spans="1:15" ht="18" customHeight="1">
      <c r="A16" s="45" t="s">
        <v>382</v>
      </c>
      <c r="B16" s="1365" t="s">
        <v>497</v>
      </c>
      <c r="C16" s="1366"/>
      <c r="D16" s="1370"/>
      <c r="E16" s="1370"/>
      <c r="I16" s="271" t="s">
        <v>258</v>
      </c>
      <c r="K16" s="272">
        <f>IF(ISERROR(ROUND((#REF!+#REF!)*#REF!,0)),0, ROUND((#REF!+#REF!)*#REF!,0))</f>
        <v>0</v>
      </c>
      <c r="M16" s="271" t="s">
        <v>258</v>
      </c>
      <c r="O16" s="272">
        <f>IF(ISERROR(ROUND((#REF!+#REF!)*#REF!,0)),0, ROUND((#REF!+#REF!)*#REF!,0))</f>
        <v>0</v>
      </c>
    </row>
    <row r="17" spans="1:15" ht="72.75" customHeight="1">
      <c r="A17" s="46"/>
      <c r="B17" s="1368" t="s">
        <v>559</v>
      </c>
      <c r="C17" s="1369"/>
      <c r="D17" s="1363">
        <f>'Sch-3 '!S159+'Sch-4'!Q23+'Sch-4b'!Q31</f>
        <v>0</v>
      </c>
      <c r="E17" s="1364"/>
      <c r="G17" s="569"/>
      <c r="I17" s="273" t="e">
        <f>#REF!/'Sch-1'!AE1</f>
        <v>#REF!</v>
      </c>
      <c r="K17" s="159">
        <f>'Sch-1'!AE3</f>
        <v>0</v>
      </c>
      <c r="M17" s="273" t="e">
        <f>I17</f>
        <v>#REF!</v>
      </c>
      <c r="O17" s="159">
        <f>'Sch-1'!AE5</f>
        <v>0</v>
      </c>
    </row>
    <row r="18" spans="1:15" ht="18" customHeight="1">
      <c r="A18" s="1367"/>
      <c r="B18" s="1361" t="s">
        <v>500</v>
      </c>
      <c r="C18" s="1362"/>
      <c r="D18" s="1373">
        <f>D17+D15</f>
        <v>0</v>
      </c>
      <c r="E18" s="1374"/>
      <c r="I18" s="159" t="s">
        <v>274</v>
      </c>
      <c r="K18" s="274" t="e">
        <f>K14+K16+#REF!</f>
        <v>#REF!</v>
      </c>
      <c r="M18" s="159" t="s">
        <v>284</v>
      </c>
      <c r="O18" s="274" t="e">
        <f>O14+O16+#REF!</f>
        <v>#REF!</v>
      </c>
    </row>
    <row r="19" spans="1:15" ht="24.75" customHeight="1">
      <c r="A19" s="1367"/>
      <c r="B19" s="1359"/>
      <c r="C19" s="1360"/>
      <c r="D19" s="1357"/>
      <c r="E19" s="1358"/>
    </row>
    <row r="20" spans="1:15" ht="18" customHeight="1">
      <c r="B20" s="48"/>
      <c r="C20" s="48"/>
      <c r="D20" s="49"/>
      <c r="E20" s="49"/>
    </row>
    <row r="21" spans="1:15" ht="24" customHeight="1">
      <c r="A21" s="71"/>
      <c r="B21" s="1356"/>
      <c r="C21" s="1356"/>
      <c r="D21" s="1356"/>
      <c r="E21" s="1356"/>
    </row>
    <row r="22" spans="1:15" ht="18" customHeight="1">
      <c r="A22" s="50"/>
      <c r="B22" s="50"/>
      <c r="C22" s="50"/>
      <c r="D22" s="50"/>
      <c r="E22" s="50"/>
    </row>
    <row r="23" spans="1:15" ht="30" customHeight="1">
      <c r="A23" s="50"/>
      <c r="B23" s="50"/>
      <c r="C23" s="36"/>
      <c r="D23" s="50"/>
      <c r="E23" s="50"/>
    </row>
    <row r="24" spans="1:15" ht="30" customHeight="1">
      <c r="A24" s="35" t="s">
        <v>72</v>
      </c>
      <c r="B24" s="112" t="str">
        <f>IF('Sch-1'!B158=0,"", 'Sch-1'!B158)</f>
        <v>--</v>
      </c>
      <c r="C24" s="36" t="s">
        <v>408</v>
      </c>
      <c r="D24" s="106" t="str">
        <f>IF('Sch-1'!M159=0,"",'Sch-1'!M159)</f>
        <v/>
      </c>
      <c r="F24" s="275"/>
    </row>
    <row r="25" spans="1:15" ht="30" customHeight="1">
      <c r="A25" s="35" t="s">
        <v>457</v>
      </c>
      <c r="B25" s="105" t="str">
        <f>IF('Sch-1'!B159=0,"", 'Sch-1'!B159)</f>
        <v/>
      </c>
      <c r="C25" s="36" t="s">
        <v>409</v>
      </c>
      <c r="D25" s="106" t="str">
        <f>IF('Sch-1'!M160=0,"",'Sch-1'!M160)</f>
        <v/>
      </c>
      <c r="F25" s="275"/>
    </row>
    <row r="26" spans="1:15" ht="30" customHeight="1">
      <c r="A26" s="201"/>
      <c r="B26" s="200"/>
      <c r="C26" s="36"/>
      <c r="D26" s="159"/>
      <c r="E26" s="159"/>
      <c r="F26" s="275"/>
    </row>
    <row r="27" spans="1:15" ht="33" customHeight="1">
      <c r="A27" s="201"/>
      <c r="B27" s="200"/>
      <c r="C27" s="194"/>
      <c r="D27" s="209"/>
      <c r="E27" s="224"/>
      <c r="F27" s="275"/>
    </row>
    <row r="28" spans="1:15" ht="22.2" customHeight="1">
      <c r="A28" s="225"/>
      <c r="B28" s="225"/>
      <c r="C28" s="225"/>
      <c r="D28" s="225"/>
      <c r="E28" s="226"/>
    </row>
    <row r="29" spans="1:15" ht="22.2" customHeight="1">
      <c r="A29" s="225"/>
      <c r="B29" s="225"/>
      <c r="C29" s="225"/>
      <c r="D29" s="225"/>
      <c r="E29" s="226"/>
    </row>
    <row r="30" spans="1:15" ht="22.2" customHeight="1">
      <c r="A30" s="225"/>
      <c r="B30" s="225"/>
      <c r="C30" s="225"/>
      <c r="D30" s="225"/>
      <c r="E30" s="226"/>
    </row>
    <row r="31" spans="1:15" ht="22.2" customHeight="1">
      <c r="A31" s="225"/>
      <c r="B31" s="225"/>
      <c r="C31" s="225"/>
      <c r="D31" s="225"/>
      <c r="E31" s="226"/>
    </row>
    <row r="32" spans="1:15" ht="22.2" customHeight="1">
      <c r="A32" s="225"/>
      <c r="B32" s="225"/>
      <c r="C32" s="225"/>
      <c r="D32" s="225"/>
      <c r="E32" s="226"/>
    </row>
    <row r="33" spans="1:5" ht="22.2" customHeight="1">
      <c r="A33" s="225"/>
      <c r="B33" s="225"/>
      <c r="C33" s="225"/>
      <c r="D33" s="225"/>
      <c r="E33" s="226"/>
    </row>
    <row r="34" spans="1:5" ht="25.2" customHeight="1">
      <c r="A34" s="224"/>
      <c r="B34" s="224"/>
      <c r="C34" s="224"/>
      <c r="D34" s="224"/>
      <c r="E34" s="224"/>
    </row>
    <row r="35" spans="1:5" ht="25.2" customHeight="1">
      <c r="A35" s="224"/>
      <c r="B35" s="224"/>
      <c r="C35" s="224"/>
      <c r="D35" s="224"/>
      <c r="E35" s="224"/>
    </row>
    <row r="36" spans="1:5" ht="25.2" customHeight="1">
      <c r="A36" s="224"/>
      <c r="B36" s="224"/>
      <c r="C36" s="224"/>
      <c r="D36" s="224"/>
      <c r="E36" s="224"/>
    </row>
    <row r="37" spans="1:5" ht="25.2" customHeight="1">
      <c r="A37" s="224"/>
      <c r="B37" s="224"/>
      <c r="C37" s="224"/>
      <c r="D37" s="224"/>
      <c r="E37" s="224"/>
    </row>
    <row r="38" spans="1:5" ht="25.2" customHeight="1">
      <c r="A38" s="224"/>
      <c r="B38" s="224"/>
      <c r="C38" s="224"/>
      <c r="D38" s="224"/>
      <c r="E38" s="224"/>
    </row>
    <row r="39" spans="1:5" ht="25.2" customHeight="1">
      <c r="A39" s="224"/>
      <c r="B39" s="224"/>
      <c r="C39" s="224"/>
      <c r="D39" s="224"/>
      <c r="E39" s="224"/>
    </row>
    <row r="40" spans="1:5" ht="25.2" customHeight="1">
      <c r="A40" s="224"/>
      <c r="B40" s="224"/>
      <c r="C40" s="224"/>
      <c r="D40" s="224"/>
      <c r="E40" s="224"/>
    </row>
    <row r="41" spans="1:5" ht="25.2" customHeight="1">
      <c r="A41" s="224"/>
      <c r="B41" s="224"/>
      <c r="C41" s="224"/>
      <c r="D41" s="224"/>
      <c r="E41" s="224"/>
    </row>
    <row r="42" spans="1:5" ht="25.2" customHeight="1">
      <c r="A42" s="224"/>
      <c r="B42" s="224"/>
      <c r="C42" s="224"/>
      <c r="D42" s="224"/>
      <c r="E42" s="224"/>
    </row>
    <row r="43" spans="1:5" ht="25.2" customHeight="1">
      <c r="A43" s="224"/>
      <c r="B43" s="224"/>
      <c r="C43" s="224"/>
      <c r="D43" s="224"/>
      <c r="E43" s="224"/>
    </row>
    <row r="44" spans="1:5" ht="25.2" customHeight="1">
      <c r="A44" s="224"/>
      <c r="B44" s="224"/>
      <c r="C44" s="224"/>
      <c r="D44" s="224"/>
      <c r="E44" s="224"/>
    </row>
    <row r="45" spans="1:5" ht="25.2" customHeight="1">
      <c r="A45" s="224"/>
      <c r="B45" s="224"/>
      <c r="C45" s="224"/>
      <c r="D45" s="224"/>
      <c r="E45" s="224"/>
    </row>
    <row r="46" spans="1:5" ht="25.2" customHeight="1">
      <c r="A46" s="224"/>
      <c r="B46" s="224"/>
      <c r="C46" s="224"/>
      <c r="D46" s="224"/>
      <c r="E46" s="224"/>
    </row>
    <row r="47" spans="1:5" ht="25.2" customHeight="1">
      <c r="A47" s="224"/>
      <c r="B47" s="224"/>
      <c r="C47" s="224"/>
      <c r="D47" s="224"/>
      <c r="E47" s="224"/>
    </row>
    <row r="48" spans="1:5" ht="25.2" customHeight="1">
      <c r="A48" s="224"/>
      <c r="B48" s="224"/>
      <c r="C48" s="224"/>
      <c r="D48" s="224"/>
      <c r="E48" s="224"/>
    </row>
    <row r="49" spans="1:5" ht="25.2" customHeight="1">
      <c r="A49" s="224"/>
      <c r="B49" s="224"/>
      <c r="C49" s="224"/>
      <c r="D49" s="224"/>
      <c r="E49" s="224"/>
    </row>
    <row r="50" spans="1:5" ht="25.2" customHeight="1">
      <c r="A50" s="224"/>
      <c r="B50" s="224"/>
      <c r="C50" s="224"/>
      <c r="D50" s="224"/>
      <c r="E50" s="224"/>
    </row>
    <row r="51" spans="1:5" ht="25.2" customHeight="1">
      <c r="A51" s="224"/>
      <c r="B51" s="224"/>
      <c r="C51" s="224"/>
      <c r="D51" s="224"/>
      <c r="E51" s="224"/>
    </row>
    <row r="52" spans="1:5" ht="25.2" customHeight="1">
      <c r="A52" s="224"/>
      <c r="B52" s="224"/>
      <c r="C52" s="224"/>
      <c r="D52" s="224"/>
      <c r="E52" s="224"/>
    </row>
    <row r="53" spans="1:5" ht="25.2" customHeight="1">
      <c r="A53" s="224"/>
      <c r="B53" s="224"/>
      <c r="C53" s="224"/>
      <c r="D53" s="224"/>
      <c r="E53" s="224"/>
    </row>
    <row r="54" spans="1:5" ht="25.2" customHeight="1">
      <c r="A54" s="224"/>
      <c r="B54" s="224"/>
      <c r="C54" s="224"/>
      <c r="D54" s="224"/>
      <c r="E54" s="224"/>
    </row>
    <row r="55" spans="1:5" ht="25.2" customHeight="1">
      <c r="A55" s="224"/>
      <c r="B55" s="224"/>
      <c r="C55" s="224"/>
      <c r="D55" s="224"/>
      <c r="E55" s="224"/>
    </row>
    <row r="56" spans="1:5" ht="25.2"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algorithmName="SHA-512" hashValue="RS2OWpPHJ77q04nyDxJCxQbu8YDDzdDo+5+i7K+MNqJrZOFhZGhziw0rT8+oq7i9HT3MidB8FmVs7C1bFvGOJA==" saltValue="K995mRykEApRNIubbtzeHg==" spinCount="100000" sheet="1" formatColumns="0" formatRows="0" selectLockedCells="1"/>
  <dataConsolidate/>
  <customSheetViews>
    <customSheetView guid="{9AC181BA-F443-4EA7-A647-328174FE3004}" showPageBreaks="1" printArea="1" hiddenColumns="1" view="pageBreakPreview">
      <selection activeCell="A3" sqref="A3:E3"/>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M13:O13"/>
    <mergeCell ref="A3:E3"/>
    <mergeCell ref="D13:E13"/>
    <mergeCell ref="B8:C8"/>
    <mergeCell ref="B10:C10"/>
    <mergeCell ref="A4:E4"/>
    <mergeCell ref="B11:C11"/>
    <mergeCell ref="B9:C9"/>
    <mergeCell ref="B13:C13"/>
    <mergeCell ref="I13:K13"/>
    <mergeCell ref="A18:A19"/>
    <mergeCell ref="B17:C17"/>
    <mergeCell ref="D16:E16"/>
    <mergeCell ref="D14:E14"/>
    <mergeCell ref="B15:C15"/>
    <mergeCell ref="B14:C14"/>
    <mergeCell ref="D18:E18"/>
    <mergeCell ref="B21:E21"/>
    <mergeCell ref="D19:E19"/>
    <mergeCell ref="B19:C19"/>
    <mergeCell ref="B18:C18"/>
    <mergeCell ref="D15:E15"/>
    <mergeCell ref="D17:E17"/>
    <mergeCell ref="B16:C16"/>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90"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5.6"/>
  <cols>
    <col min="1" max="1" width="10.33203125" style="41" customWidth="1"/>
    <col min="2" max="2" width="40.88671875" style="41" customWidth="1"/>
    <col min="3" max="3" width="17.44140625" style="41" customWidth="1"/>
    <col min="4" max="4" width="20.44140625" style="41" customWidth="1"/>
    <col min="5" max="5" width="20" style="41" customWidth="1"/>
    <col min="6" max="8" width="10" style="159" customWidth="1"/>
    <col min="9" max="9" width="12.21875" style="159" customWidth="1"/>
    <col min="10" max="10" width="12.6640625" style="159" customWidth="1"/>
    <col min="11" max="11" width="15" style="159" customWidth="1"/>
    <col min="12" max="13" width="10" style="159" customWidth="1"/>
    <col min="14" max="14" width="18.6640625" style="159" customWidth="1"/>
    <col min="15" max="15" width="16" style="159" customWidth="1"/>
    <col min="16" max="17" width="10" style="159" customWidth="1"/>
    <col min="18" max="18" width="10" style="38" customWidth="1"/>
    <col min="19" max="24" width="10" style="159" customWidth="1"/>
    <col min="25" max="16384" width="10" style="38"/>
  </cols>
  <sheetData>
    <row r="1" spans="1:15" ht="18" customHeight="1">
      <c r="A1" s="59" t="str">
        <f>Cover!B3</f>
        <v>Specification No.: CC/NT/W-AIS/DOM/A00/23/02698</v>
      </c>
      <c r="B1" s="60"/>
      <c r="C1" s="61"/>
      <c r="D1" s="61"/>
      <c r="E1" s="8" t="s">
        <v>428</v>
      </c>
    </row>
    <row r="2" spans="1:15" ht="8.1" customHeight="1">
      <c r="A2" s="4"/>
      <c r="B2" s="13"/>
      <c r="C2" s="6"/>
      <c r="D2" s="6"/>
      <c r="E2" s="1"/>
      <c r="F2" s="194"/>
    </row>
    <row r="3" spans="1:15" ht="66" customHeight="1">
      <c r="A3" s="1383" t="str">
        <f>Cover!$B$2</f>
        <v>400kV AIS Substation Extension Package SS-111 for Extension of 400/220 kV Jabalpur Substation associated with Western Region Expansion Scheme-XXXIII (WRES-XXXIII): Part A.</v>
      </c>
      <c r="B3" s="1383"/>
      <c r="C3" s="1383"/>
      <c r="D3" s="1383"/>
      <c r="E3" s="1383"/>
    </row>
    <row r="4" spans="1:15" ht="22.2" customHeight="1">
      <c r="A4" s="1380" t="s">
        <v>414</v>
      </c>
      <c r="B4" s="1380"/>
      <c r="C4" s="1380"/>
      <c r="D4" s="1380"/>
      <c r="E4" s="1380"/>
    </row>
    <row r="5" spans="1:15" ht="12" customHeight="1">
      <c r="A5" s="44"/>
      <c r="B5" s="39"/>
      <c r="C5" s="39"/>
      <c r="D5" s="39"/>
      <c r="E5" s="39"/>
    </row>
    <row r="6" spans="1:15" ht="18" customHeight="1">
      <c r="A6" s="31" t="str">
        <f>'Sch-1'!A6</f>
        <v>Bidder’s Name and Address (Sole Bidder) :</v>
      </c>
      <c r="D6" s="64" t="s">
        <v>396</v>
      </c>
    </row>
    <row r="7" spans="1:15" ht="18" customHeight="1">
      <c r="A7" s="180" t="str">
        <f>'Sch-1'!A7</f>
        <v/>
      </c>
      <c r="D7" s="65" t="str">
        <f>'Sch-1'!M7</f>
        <v>Contracts Services, 3rd Floor</v>
      </c>
    </row>
    <row r="8" spans="1:15" ht="18" customHeight="1">
      <c r="A8" s="42" t="s">
        <v>412</v>
      </c>
      <c r="B8" s="1379" t="str">
        <f>IF('Sch-1'!C8=0, "", 'Sch-1'!C8)</f>
        <v xml:space="preserve">…….. …….. …….. …….. …….. …….. </v>
      </c>
      <c r="C8" s="1379"/>
      <c r="D8" s="65" t="str">
        <f>'Sch-1'!M8</f>
        <v>Power Grid Corporation of India Ltd.,</v>
      </c>
    </row>
    <row r="9" spans="1:15" ht="18" customHeight="1">
      <c r="A9" s="42" t="s">
        <v>413</v>
      </c>
      <c r="B9" s="1379" t="str">
        <f>IF('Sch-1'!C9=0, "", 'Sch-1'!C9)</f>
        <v xml:space="preserve">…….. …….. …….. …….. …….. …….. </v>
      </c>
      <c r="C9" s="1379"/>
      <c r="D9" s="65" t="str">
        <f>'Sch-1'!M9</f>
        <v>"Saudamini", Plot No.-2</v>
      </c>
    </row>
    <row r="10" spans="1:15" ht="18" customHeight="1">
      <c r="A10" s="43"/>
      <c r="B10" s="1379" t="str">
        <f>IF('Sch-1'!C10=0, "", 'Sch-1'!C10)</f>
        <v xml:space="preserve">…….. …….. …….. …….. …….. …….. </v>
      </c>
      <c r="C10" s="1379"/>
      <c r="D10" s="65" t="str">
        <f>'Sch-1'!M10</f>
        <v xml:space="preserve">Sector-29, </v>
      </c>
    </row>
    <row r="11" spans="1:15" ht="18" customHeight="1">
      <c r="A11" s="43"/>
      <c r="B11" s="1379" t="str">
        <f>IF('Sch-1'!C11=0, "", 'Sch-1'!C11)</f>
        <v xml:space="preserve">…….. …….. …….. …….. …….. …….. </v>
      </c>
      <c r="C11" s="1379"/>
      <c r="D11" s="65" t="str">
        <f>'Sch-1'!M11</f>
        <v>Gurgaon (Haryana) - 122001</v>
      </c>
    </row>
    <row r="12" spans="1:15" ht="8.1" customHeight="1"/>
    <row r="13" spans="1:15" ht="22.2" customHeight="1">
      <c r="A13" s="76" t="s">
        <v>378</v>
      </c>
      <c r="B13" s="1381" t="s">
        <v>379</v>
      </c>
      <c r="C13" s="1382"/>
      <c r="D13" s="1377" t="s">
        <v>380</v>
      </c>
      <c r="E13" s="1378"/>
      <c r="I13" s="1375"/>
      <c r="J13" s="1375"/>
      <c r="K13" s="1375"/>
      <c r="M13" s="1375"/>
      <c r="N13" s="1375"/>
      <c r="O13" s="1375"/>
    </row>
    <row r="14" spans="1:15" ht="18" customHeight="1">
      <c r="A14" s="45" t="s">
        <v>381</v>
      </c>
      <c r="B14" s="1365" t="s">
        <v>495</v>
      </c>
      <c r="C14" s="1366"/>
      <c r="D14" s="781">
        <f>'Sch-1'!N153*(1-Discount!K18)+'Sch-7'!N21*(1-Discount!K23)</f>
        <v>0</v>
      </c>
      <c r="E14" s="782"/>
      <c r="I14" s="271"/>
      <c r="K14" s="271"/>
      <c r="M14" s="271"/>
      <c r="O14" s="271"/>
    </row>
    <row r="15" spans="1:15" ht="75.75" customHeight="1">
      <c r="A15" s="46"/>
      <c r="B15" s="1368" t="s">
        <v>496</v>
      </c>
      <c r="C15" s="1369"/>
      <c r="D15" s="773"/>
      <c r="E15" s="774"/>
    </row>
    <row r="16" spans="1:15" ht="18" customHeight="1">
      <c r="A16" s="45" t="s">
        <v>382</v>
      </c>
      <c r="B16" s="1365" t="s">
        <v>497</v>
      </c>
      <c r="C16" s="1366"/>
      <c r="D16" s="779">
        <f>'Sch-3 '!Q160*(1-Discount!K20)+'Sch-4'!Q23*(1-Discount!K21)+'Sch-4b'!Q31*(1-Discount!K22)</f>
        <v>0</v>
      </c>
      <c r="E16" s="780"/>
      <c r="I16" s="271"/>
      <c r="K16" s="272"/>
      <c r="M16" s="271"/>
      <c r="O16" s="272"/>
    </row>
    <row r="17" spans="1:15" ht="72.75" customHeight="1">
      <c r="A17" s="46"/>
      <c r="B17" s="1368" t="s">
        <v>531</v>
      </c>
      <c r="C17" s="1369"/>
      <c r="D17" s="775"/>
      <c r="E17" s="776"/>
      <c r="I17" s="273"/>
      <c r="M17" s="273"/>
    </row>
    <row r="18" spans="1:15" ht="18" customHeight="1">
      <c r="A18" s="1367"/>
      <c r="B18" s="1361" t="s">
        <v>500</v>
      </c>
      <c r="C18" s="1362"/>
      <c r="D18" s="777">
        <f>D16+D14</f>
        <v>0</v>
      </c>
      <c r="E18" s="778"/>
      <c r="K18" s="274"/>
      <c r="O18" s="274"/>
    </row>
    <row r="19" spans="1:15" ht="50.1" customHeight="1">
      <c r="A19" s="1367"/>
      <c r="B19" s="1359"/>
      <c r="C19" s="1360"/>
      <c r="D19" s="1357"/>
      <c r="E19" s="1358"/>
    </row>
    <row r="20" spans="1:15" ht="18" customHeight="1">
      <c r="B20" s="48"/>
      <c r="C20" s="48"/>
      <c r="D20" s="49"/>
      <c r="E20" s="49"/>
    </row>
    <row r="21" spans="1:15" ht="21.75" customHeight="1">
      <c r="A21" s="71"/>
      <c r="B21" s="1356"/>
      <c r="C21" s="1356"/>
      <c r="D21" s="1356"/>
      <c r="E21" s="1356"/>
    </row>
    <row r="22" spans="1:15" ht="18" customHeight="1">
      <c r="A22" s="50"/>
      <c r="B22" s="50"/>
      <c r="C22" s="50"/>
      <c r="D22" s="50"/>
      <c r="E22" s="50"/>
    </row>
    <row r="23" spans="1:15" ht="30" customHeight="1">
      <c r="A23" s="50"/>
      <c r="B23" s="50"/>
      <c r="C23" s="36"/>
      <c r="D23" s="50"/>
      <c r="E23" s="50"/>
    </row>
    <row r="24" spans="1:15" ht="30" customHeight="1">
      <c r="A24" s="35" t="s">
        <v>72</v>
      </c>
      <c r="B24" s="112" t="str">
        <f>IF('Sch-1'!B158=0,"", 'Sch-1'!B158)</f>
        <v>--</v>
      </c>
      <c r="C24" s="36" t="s">
        <v>408</v>
      </c>
      <c r="D24" s="106" t="str">
        <f>IF('Sch-1'!M159=0,"",'Sch-1'!M159)</f>
        <v/>
      </c>
      <c r="F24" s="275"/>
    </row>
    <row r="25" spans="1:15" ht="30" customHeight="1">
      <c r="A25" s="35" t="s">
        <v>457</v>
      </c>
      <c r="B25" s="105" t="str">
        <f>IF('Sch-1'!B159=0,"", 'Sch-1'!B159)</f>
        <v/>
      </c>
      <c r="C25" s="36" t="s">
        <v>409</v>
      </c>
      <c r="D25" s="106" t="str">
        <f>IF('Sch-1'!M160=0,"",'Sch-1'!M160)</f>
        <v/>
      </c>
      <c r="F25" s="275"/>
    </row>
    <row r="26" spans="1:15" ht="30" customHeight="1">
      <c r="A26" s="201"/>
      <c r="B26" s="200"/>
      <c r="C26" s="36"/>
      <c r="D26" s="159"/>
      <c r="E26" s="159"/>
      <c r="F26" s="275"/>
    </row>
    <row r="27" spans="1:15" ht="33" customHeight="1">
      <c r="A27" s="201"/>
      <c r="B27" s="200"/>
      <c r="C27" s="194"/>
      <c r="D27" s="209"/>
      <c r="E27" s="224"/>
      <c r="F27" s="275"/>
    </row>
    <row r="28" spans="1:15" ht="22.2" customHeight="1">
      <c r="A28" s="225"/>
      <c r="B28" s="225"/>
      <c r="C28" s="225"/>
      <c r="D28" s="225"/>
      <c r="E28" s="226"/>
    </row>
    <row r="29" spans="1:15" ht="22.2" customHeight="1">
      <c r="A29" s="225"/>
      <c r="B29" s="225"/>
      <c r="C29" s="225"/>
      <c r="D29" s="225"/>
      <c r="E29" s="226"/>
    </row>
    <row r="30" spans="1:15" ht="22.2" customHeight="1">
      <c r="A30" s="225"/>
      <c r="B30" s="225"/>
      <c r="C30" s="225"/>
      <c r="D30" s="225"/>
      <c r="E30" s="226"/>
    </row>
    <row r="31" spans="1:15" ht="22.2" customHeight="1">
      <c r="A31" s="225"/>
      <c r="B31" s="225"/>
      <c r="C31" s="225"/>
      <c r="D31" s="225"/>
      <c r="E31" s="226"/>
    </row>
    <row r="32" spans="1:15" ht="22.2" customHeight="1">
      <c r="A32" s="225"/>
      <c r="B32" s="225"/>
      <c r="C32" s="225"/>
      <c r="D32" s="225"/>
      <c r="E32" s="226"/>
    </row>
    <row r="33" spans="1:5" ht="22.2" customHeight="1">
      <c r="A33" s="225"/>
      <c r="B33" s="225"/>
      <c r="C33" s="225"/>
      <c r="D33" s="225"/>
      <c r="E33" s="226"/>
    </row>
    <row r="34" spans="1:5" ht="25.2" customHeight="1">
      <c r="A34" s="224"/>
      <c r="B34" s="224"/>
      <c r="C34" s="224"/>
      <c r="D34" s="224"/>
      <c r="E34" s="224"/>
    </row>
    <row r="35" spans="1:5" ht="25.2" customHeight="1">
      <c r="A35" s="224"/>
      <c r="B35" s="224"/>
      <c r="C35" s="224"/>
      <c r="D35" s="224"/>
      <c r="E35" s="224"/>
    </row>
    <row r="36" spans="1:5" ht="25.2" customHeight="1">
      <c r="A36" s="224"/>
      <c r="B36" s="224"/>
      <c r="C36" s="224"/>
      <c r="D36" s="224"/>
      <c r="E36" s="224"/>
    </row>
    <row r="37" spans="1:5" ht="25.2" customHeight="1">
      <c r="A37" s="224"/>
      <c r="B37" s="224"/>
      <c r="C37" s="224"/>
      <c r="D37" s="224"/>
      <c r="E37" s="224"/>
    </row>
    <row r="38" spans="1:5" ht="25.2" customHeight="1">
      <c r="A38" s="224"/>
      <c r="B38" s="224"/>
      <c r="C38" s="224"/>
      <c r="D38" s="224"/>
      <c r="E38" s="224"/>
    </row>
    <row r="39" spans="1:5" ht="25.2" customHeight="1">
      <c r="A39" s="224"/>
      <c r="B39" s="224"/>
      <c r="C39" s="224"/>
      <c r="D39" s="224"/>
      <c r="E39" s="224"/>
    </row>
    <row r="40" spans="1:5" ht="25.2" customHeight="1">
      <c r="A40" s="224"/>
      <c r="B40" s="224"/>
      <c r="C40" s="224"/>
      <c r="D40" s="224"/>
      <c r="E40" s="224"/>
    </row>
    <row r="41" spans="1:5" ht="25.2" customHeight="1">
      <c r="A41" s="224"/>
      <c r="B41" s="224"/>
      <c r="C41" s="224"/>
      <c r="D41" s="224"/>
      <c r="E41" s="224"/>
    </row>
    <row r="42" spans="1:5" ht="25.2" customHeight="1">
      <c r="A42" s="224"/>
      <c r="B42" s="224"/>
      <c r="C42" s="224"/>
      <c r="D42" s="224"/>
      <c r="E42" s="224"/>
    </row>
    <row r="43" spans="1:5" ht="25.2" customHeight="1">
      <c r="A43" s="224"/>
      <c r="B43" s="224"/>
      <c r="C43" s="224"/>
      <c r="D43" s="224"/>
      <c r="E43" s="224"/>
    </row>
    <row r="44" spans="1:5" ht="25.2" customHeight="1">
      <c r="A44" s="224"/>
      <c r="B44" s="224"/>
      <c r="C44" s="224"/>
      <c r="D44" s="224"/>
      <c r="E44" s="224"/>
    </row>
    <row r="45" spans="1:5" ht="25.2" customHeight="1">
      <c r="A45" s="224"/>
      <c r="B45" s="224"/>
      <c r="C45" s="224"/>
      <c r="D45" s="224"/>
      <c r="E45" s="224"/>
    </row>
    <row r="46" spans="1:5" ht="25.2" customHeight="1">
      <c r="A46" s="224"/>
      <c r="B46" s="224"/>
      <c r="C46" s="224"/>
      <c r="D46" s="224"/>
      <c r="E46" s="224"/>
    </row>
    <row r="47" spans="1:5" ht="25.2" customHeight="1">
      <c r="A47" s="224"/>
      <c r="B47" s="224"/>
      <c r="C47" s="224"/>
      <c r="D47" s="224"/>
      <c r="E47" s="224"/>
    </row>
    <row r="48" spans="1:5" ht="25.2" customHeight="1">
      <c r="A48" s="224"/>
      <c r="B48" s="224"/>
      <c r="C48" s="224"/>
      <c r="D48" s="224"/>
      <c r="E48" s="224"/>
    </row>
    <row r="49" spans="1:5" ht="25.2" customHeight="1">
      <c r="A49" s="224"/>
      <c r="B49" s="224"/>
      <c r="C49" s="224"/>
      <c r="D49" s="224"/>
      <c r="E49" s="224"/>
    </row>
    <row r="50" spans="1:5" ht="25.2" customHeight="1">
      <c r="A50" s="224"/>
      <c r="B50" s="224"/>
      <c r="C50" s="224"/>
      <c r="D50" s="224"/>
      <c r="E50" s="224"/>
    </row>
    <row r="51" spans="1:5" ht="25.2" customHeight="1">
      <c r="A51" s="224"/>
      <c r="B51" s="224"/>
      <c r="C51" s="224"/>
      <c r="D51" s="224"/>
      <c r="E51" s="224"/>
    </row>
    <row r="52" spans="1:5" ht="25.2" customHeight="1">
      <c r="A52" s="224"/>
      <c r="B52" s="224"/>
      <c r="C52" s="224"/>
      <c r="D52" s="224"/>
      <c r="E52" s="224"/>
    </row>
    <row r="53" spans="1:5" ht="25.2" customHeight="1">
      <c r="A53" s="224"/>
      <c r="B53" s="224"/>
      <c r="C53" s="224"/>
      <c r="D53" s="224"/>
      <c r="E53" s="224"/>
    </row>
    <row r="54" spans="1:5" ht="25.2" customHeight="1">
      <c r="A54" s="224"/>
      <c r="B54" s="224"/>
      <c r="C54" s="224"/>
      <c r="D54" s="224"/>
      <c r="E54" s="224"/>
    </row>
    <row r="55" spans="1:5" ht="25.2" customHeight="1">
      <c r="A55" s="224"/>
      <c r="B55" s="224"/>
      <c r="C55" s="224"/>
      <c r="D55" s="224"/>
      <c r="E55" s="224"/>
    </row>
    <row r="56" spans="1:5" ht="25.2"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formatColumns="0" formatRows="0" selectLockedCells="1"/>
  <dataConsolidate/>
  <customSheetViews>
    <customSheetView guid="{9AC181BA-F443-4EA7-A647-328174FE3004}"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A3:E3"/>
    <mergeCell ref="A4:E4"/>
    <mergeCell ref="B8:C8"/>
    <mergeCell ref="B9:C9"/>
    <mergeCell ref="B14:C14"/>
    <mergeCell ref="B10:C10"/>
    <mergeCell ref="B11:C11"/>
    <mergeCell ref="B21:E21"/>
    <mergeCell ref="A18:A19"/>
    <mergeCell ref="B18:C18"/>
    <mergeCell ref="B19:C19"/>
    <mergeCell ref="D19:E19"/>
    <mergeCell ref="M13:O13"/>
    <mergeCell ref="B13:C13"/>
    <mergeCell ref="B17:C17"/>
    <mergeCell ref="B16:C16"/>
    <mergeCell ref="B15:C15"/>
    <mergeCell ref="D13:E13"/>
    <mergeCell ref="I13:K13"/>
  </mergeCells>
  <phoneticPr fontId="30"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8" zoomScaleNormal="100" zoomScaleSheetLayoutView="100" workbookViewId="0">
      <selection activeCell="A3" sqref="A3:D3"/>
    </sheetView>
  </sheetViews>
  <sheetFormatPr defaultColWidth="10" defaultRowHeight="15.6"/>
  <cols>
    <col min="1" max="1" width="10.6640625" style="41" customWidth="1"/>
    <col min="2" max="2" width="27.44140625" style="41" customWidth="1"/>
    <col min="3" max="3" width="21" style="41" customWidth="1"/>
    <col min="4" max="4" width="34.33203125" style="41" customWidth="1"/>
    <col min="5" max="16384" width="10" style="38"/>
  </cols>
  <sheetData>
    <row r="1" spans="1:6" ht="18" customHeight="1">
      <c r="A1" s="81" t="str">
        <f>Cover!B3</f>
        <v>Specification No.: CC/NT/W-AIS/DOM/A00/23/02698</v>
      </c>
      <c r="B1" s="82"/>
      <c r="C1" s="84"/>
      <c r="D1" s="85" t="s">
        <v>429</v>
      </c>
    </row>
    <row r="2" spans="1:6" ht="18" customHeight="1">
      <c r="A2" s="67"/>
      <c r="B2" s="88"/>
      <c r="C2" s="34"/>
      <c r="D2" s="34"/>
    </row>
    <row r="3" spans="1:6" ht="89.4" customHeight="1">
      <c r="A3" s="1390" t="str">
        <f>Cover!$B$2</f>
        <v>400kV AIS Substation Extension Package SS-111 for Extension of 400/220 kV Jabalpur Substation associated with Western Region Expansion Scheme-XXXIII (WRES-XXXIII): Part A.</v>
      </c>
      <c r="B3" s="1390"/>
      <c r="C3" s="1390"/>
      <c r="D3" s="1390"/>
      <c r="E3" s="52"/>
      <c r="F3" s="52"/>
    </row>
    <row r="4" spans="1:6" ht="22.2" customHeight="1">
      <c r="A4" s="1380" t="s">
        <v>384</v>
      </c>
      <c r="B4" s="1380"/>
      <c r="C4" s="1380"/>
      <c r="D4" s="1380"/>
    </row>
    <row r="5" spans="1:6" ht="18" customHeight="1">
      <c r="A5" s="40"/>
    </row>
    <row r="6" spans="1:6" ht="18" customHeight="1">
      <c r="A6" s="31" t="str">
        <f>'Sch-1'!A6</f>
        <v>Bidder’s Name and Address (Sole Bidder) :</v>
      </c>
      <c r="D6" s="64" t="s">
        <v>396</v>
      </c>
    </row>
    <row r="7" spans="1:6" ht="36" customHeight="1">
      <c r="A7" s="1389" t="str">
        <f>'Sch-1'!A7</f>
        <v/>
      </c>
      <c r="B7" s="1389"/>
      <c r="C7" s="1389"/>
      <c r="D7" s="65" t="str">
        <f>'Sch-1'!M7</f>
        <v>Contracts Services, 3rd Floor</v>
      </c>
    </row>
    <row r="8" spans="1:6" ht="18" customHeight="1">
      <c r="A8" s="42" t="s">
        <v>412</v>
      </c>
      <c r="B8" s="1379" t="str">
        <f>IF('Sch-1'!C8=0, "", 'Sch-1'!C8)</f>
        <v xml:space="preserve">…….. …….. …….. …….. …….. …….. </v>
      </c>
      <c r="C8" s="1379"/>
      <c r="D8" s="65" t="str">
        <f>'Sch-1'!M8</f>
        <v>Power Grid Corporation of India Ltd.,</v>
      </c>
    </row>
    <row r="9" spans="1:6" ht="18" customHeight="1">
      <c r="A9" s="42" t="s">
        <v>413</v>
      </c>
      <c r="B9" s="1379" t="str">
        <f>IF('Sch-1'!C9=0, "", 'Sch-1'!C9)</f>
        <v xml:space="preserve">…….. …….. …….. …….. …….. …….. </v>
      </c>
      <c r="C9" s="1379"/>
      <c r="D9" s="65" t="str">
        <f>'Sch-1'!M9</f>
        <v>"Saudamini", Plot No.-2</v>
      </c>
    </row>
    <row r="10" spans="1:6" ht="18" customHeight="1">
      <c r="A10" s="43"/>
      <c r="B10" s="1379" t="str">
        <f>IF('Sch-1'!C10=0, "", 'Sch-1'!C10)</f>
        <v xml:space="preserve">…….. …….. …….. …….. …….. …….. </v>
      </c>
      <c r="C10" s="1379"/>
      <c r="D10" s="65" t="str">
        <f>'Sch-1'!M10</f>
        <v xml:space="preserve">Sector-29, </v>
      </c>
    </row>
    <row r="11" spans="1:6" ht="18" customHeight="1">
      <c r="A11" s="43"/>
      <c r="B11" s="1379" t="str">
        <f>IF('Sch-1'!C11=0, "", 'Sch-1'!C11)</f>
        <v xml:space="preserve">…….. …….. …….. …….. …….. …….. </v>
      </c>
      <c r="C11" s="1379"/>
      <c r="D11" s="65" t="str">
        <f>'Sch-1'!M11</f>
        <v>Gurgaon (Haryana) - 122001</v>
      </c>
    </row>
    <row r="12" spans="1:6" ht="18" customHeight="1">
      <c r="A12" s="53"/>
      <c r="B12" s="53"/>
      <c r="C12" s="53"/>
      <c r="D12" s="64"/>
    </row>
    <row r="13" spans="1:6" ht="22.2" customHeight="1">
      <c r="A13" s="54" t="s">
        <v>378</v>
      </c>
      <c r="B13" s="1377" t="s">
        <v>368</v>
      </c>
      <c r="C13" s="1378"/>
      <c r="D13" s="55" t="s">
        <v>380</v>
      </c>
    </row>
    <row r="14" spans="1:6" ht="22.2" customHeight="1">
      <c r="A14" s="45" t="s">
        <v>381</v>
      </c>
      <c r="B14" s="1387" t="s">
        <v>415</v>
      </c>
      <c r="C14" s="1387"/>
      <c r="D14" s="69">
        <f>'Sch-1'!N152</f>
        <v>0</v>
      </c>
    </row>
    <row r="15" spans="1:6" ht="35.1" customHeight="1">
      <c r="A15" s="56"/>
      <c r="B15" s="1384" t="s">
        <v>385</v>
      </c>
      <c r="C15" s="1385"/>
      <c r="D15" s="47"/>
    </row>
    <row r="16" spans="1:6" ht="22.2" customHeight="1">
      <c r="A16" s="45" t="s">
        <v>382</v>
      </c>
      <c r="B16" s="1387" t="s">
        <v>416</v>
      </c>
      <c r="C16" s="1387"/>
      <c r="D16" s="69">
        <f>'Sch-2'!J151</f>
        <v>0</v>
      </c>
    </row>
    <row r="17" spans="1:6" ht="35.1" customHeight="1">
      <c r="A17" s="56"/>
      <c r="B17" s="1388" t="s">
        <v>529</v>
      </c>
      <c r="C17" s="1385"/>
      <c r="D17" s="47"/>
    </row>
    <row r="18" spans="1:6" ht="22.2" customHeight="1">
      <c r="A18" s="45" t="s">
        <v>383</v>
      </c>
      <c r="B18" s="1387" t="s">
        <v>417</v>
      </c>
      <c r="C18" s="1387"/>
      <c r="D18" s="69">
        <f>'Sch-3 '!P159</f>
        <v>0</v>
      </c>
    </row>
    <row r="19" spans="1:6" ht="30" customHeight="1">
      <c r="A19" s="56"/>
      <c r="B19" s="1384" t="s">
        <v>386</v>
      </c>
      <c r="C19" s="1385"/>
      <c r="D19" s="47"/>
    </row>
    <row r="20" spans="1:6" ht="22.2" customHeight="1">
      <c r="A20" s="45" t="s">
        <v>556</v>
      </c>
      <c r="B20" s="1387" t="s">
        <v>557</v>
      </c>
      <c r="C20" s="1387"/>
      <c r="D20" s="743">
        <f>'Sch-4'!P22</f>
        <v>0</v>
      </c>
    </row>
    <row r="21" spans="1:6" ht="30" customHeight="1">
      <c r="A21" s="56"/>
      <c r="B21" s="1384" t="s">
        <v>387</v>
      </c>
      <c r="C21" s="1385"/>
      <c r="D21" s="47"/>
    </row>
    <row r="22" spans="1:6" ht="22.2" hidden="1" customHeight="1">
      <c r="A22" s="45" t="s">
        <v>537</v>
      </c>
      <c r="B22" s="1387" t="s">
        <v>536</v>
      </c>
      <c r="C22" s="1387"/>
      <c r="D22" s="743">
        <f>'Sch-4b'!P30</f>
        <v>0</v>
      </c>
    </row>
    <row r="23" spans="1:6" ht="44.25" hidden="1" customHeight="1">
      <c r="A23" s="56"/>
      <c r="B23" s="1388" t="s">
        <v>530</v>
      </c>
      <c r="C23" s="1385"/>
      <c r="D23" s="47"/>
    </row>
    <row r="24" spans="1:6" ht="30" customHeight="1">
      <c r="A24" s="45">
        <v>5</v>
      </c>
      <c r="B24" s="1387" t="s">
        <v>432</v>
      </c>
      <c r="C24" s="1387"/>
      <c r="D24" s="69">
        <f>'Sch-5'!D18:E18</f>
        <v>0</v>
      </c>
    </row>
    <row r="25" spans="1:6" ht="51" customHeight="1">
      <c r="A25" s="56"/>
      <c r="B25" s="1384" t="s">
        <v>388</v>
      </c>
      <c r="C25" s="1385"/>
      <c r="D25" s="648"/>
    </row>
    <row r="26" spans="1:6" ht="22.2" customHeight="1">
      <c r="A26" s="45" t="s">
        <v>389</v>
      </c>
      <c r="B26" s="1387" t="s">
        <v>433</v>
      </c>
      <c r="C26" s="1387"/>
      <c r="D26" s="256">
        <f>'Sch-7'!M20</f>
        <v>0</v>
      </c>
    </row>
    <row r="27" spans="1:6" ht="35.1" customHeight="1">
      <c r="A27" s="56"/>
      <c r="B27" s="1384" t="s">
        <v>67</v>
      </c>
      <c r="C27" s="1385"/>
      <c r="D27" s="47"/>
    </row>
    <row r="28" spans="1:6" ht="28.5" customHeight="1">
      <c r="A28" s="1367"/>
      <c r="B28" s="1386" t="s">
        <v>390</v>
      </c>
      <c r="C28" s="1386"/>
      <c r="D28" s="70">
        <f>SUM(D14,D16,D18,D20,D24)</f>
        <v>0</v>
      </c>
    </row>
    <row r="29" spans="1:6" ht="30" customHeight="1">
      <c r="A29" s="1367"/>
      <c r="B29" s="1386"/>
      <c r="C29" s="1386"/>
      <c r="D29" s="187"/>
    </row>
    <row r="30" spans="1:6" ht="18.75" customHeight="1">
      <c r="A30" s="77"/>
      <c r="B30" s="78"/>
      <c r="C30" s="78"/>
      <c r="D30" s="79"/>
    </row>
    <row r="31" spans="1:6" ht="28.2" customHeight="1">
      <c r="A31" s="77"/>
      <c r="B31" s="78"/>
      <c r="C31" s="101"/>
      <c r="D31" s="79"/>
    </row>
    <row r="32" spans="1:6" ht="28.2" customHeight="1">
      <c r="A32" s="99" t="s">
        <v>406</v>
      </c>
      <c r="B32" s="114" t="str">
        <f>IF('Sch-1'!B158=0,"", 'Sch-1'!B158)</f>
        <v>--</v>
      </c>
      <c r="C32" s="101" t="s">
        <v>408</v>
      </c>
      <c r="D32" s="110" t="str">
        <f>IF('Sch-1'!M159=0,"",'Sch-1'!M159)</f>
        <v/>
      </c>
      <c r="F32" s="102"/>
    </row>
    <row r="33" spans="1:6" ht="28.2" customHeight="1">
      <c r="A33" s="99" t="s">
        <v>407</v>
      </c>
      <c r="B33" s="114" t="str">
        <f>IF('Sch-1'!B159=0,"", 'Sch-1'!B159)</f>
        <v/>
      </c>
      <c r="C33" s="101" t="s">
        <v>409</v>
      </c>
      <c r="D33" s="110" t="str">
        <f>IF('Sch-1'!M160=0,"",'Sch-1'!M160)</f>
        <v/>
      </c>
      <c r="F33" s="67"/>
    </row>
    <row r="34" spans="1:6" ht="28.2" customHeight="1">
      <c r="A34" s="89"/>
      <c r="B34" s="88"/>
      <c r="C34" s="101"/>
      <c r="F34" s="67"/>
    </row>
    <row r="35" spans="1:6" ht="30" customHeight="1">
      <c r="A35" s="89"/>
      <c r="B35" s="88"/>
      <c r="C35" s="101"/>
      <c r="D35" s="89"/>
      <c r="F35" s="102"/>
    </row>
    <row r="36" spans="1:6" ht="30" customHeight="1">
      <c r="A36" s="51"/>
      <c r="B36" s="51"/>
      <c r="C36" s="57"/>
      <c r="E36" s="58"/>
    </row>
  </sheetData>
  <sheetProtection algorithmName="SHA-512" hashValue="tN6p4kerGQWlcbP13wtF6Wz4FLbVYx1naPPneMqQIR6qMgwEOMavBm96m8oc2Lb0b4c3eHxn7OoVChlgumyLSQ==" saltValue="H2YGNRZNSkfDbBpkHFg4Gw==" spinCount="100000" sheet="1" formatColumns="0" formatRows="0" selectLockedCells="1"/>
  <customSheetViews>
    <customSheetView guid="{9AC181BA-F443-4EA7-A647-328174FE3004}" showPageBreaks="1" fitToPage="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B17:C17"/>
    <mergeCell ref="B18:C18"/>
    <mergeCell ref="B16:C16"/>
    <mergeCell ref="B11:C11"/>
    <mergeCell ref="B14:C14"/>
    <mergeCell ref="A7:C7"/>
    <mergeCell ref="B10:C10"/>
    <mergeCell ref="B15:C15"/>
    <mergeCell ref="A3:D3"/>
    <mergeCell ref="A4:D4"/>
    <mergeCell ref="B13:C13"/>
    <mergeCell ref="B8:C8"/>
    <mergeCell ref="B9:C9"/>
    <mergeCell ref="A28:A29"/>
    <mergeCell ref="B19:C19"/>
    <mergeCell ref="B27:C27"/>
    <mergeCell ref="B28:C29"/>
    <mergeCell ref="B25:C25"/>
    <mergeCell ref="B26:C26"/>
    <mergeCell ref="B21:C21"/>
    <mergeCell ref="B24:C24"/>
    <mergeCell ref="B22:C22"/>
    <mergeCell ref="B23:C23"/>
    <mergeCell ref="B20:C20"/>
  </mergeCells>
  <phoneticPr fontId="1" type="noConversion"/>
  <printOptions horizontalCentered="1"/>
  <pageMargins left="0.5" right="0.38" top="0.56999999999999995" bottom="0.48" header="0.38" footer="0.24"/>
  <pageSetup paperSize="9"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zoomScaleNormal="100" zoomScaleSheetLayoutView="100" workbookViewId="0">
      <selection activeCell="A3" sqref="A3:D3"/>
    </sheetView>
  </sheetViews>
  <sheetFormatPr defaultColWidth="10" defaultRowHeight="15.6"/>
  <cols>
    <col min="1" max="1" width="10.6640625" style="41" customWidth="1"/>
    <col min="2" max="2" width="27.44140625" style="41" customWidth="1"/>
    <col min="3" max="3" width="21" style="41" customWidth="1"/>
    <col min="4" max="4" width="34.33203125" style="41" customWidth="1"/>
    <col min="5" max="16384" width="10" style="38"/>
  </cols>
  <sheetData>
    <row r="1" spans="1:6" ht="18" customHeight="1">
      <c r="A1" s="81" t="str">
        <f>Cover!B3</f>
        <v>Specification No.: CC/NT/W-AIS/DOM/A00/23/02698</v>
      </c>
      <c r="B1" s="82"/>
      <c r="C1" s="84"/>
      <c r="D1" s="85" t="s">
        <v>65</v>
      </c>
    </row>
    <row r="2" spans="1:6" ht="18" customHeight="1">
      <c r="A2" s="67"/>
      <c r="B2" s="88"/>
      <c r="C2" s="34"/>
      <c r="D2" s="34"/>
    </row>
    <row r="3" spans="1:6" ht="47.4" customHeight="1">
      <c r="A3" s="1391" t="str">
        <f>Cover!$B$2</f>
        <v>400kV AIS Substation Extension Package SS-111 for Extension of 400/220 kV Jabalpur Substation associated with Western Region Expansion Scheme-XXXIII (WRES-XXXIII): Part A.</v>
      </c>
      <c r="B3" s="1391"/>
      <c r="C3" s="1391"/>
      <c r="D3" s="1391"/>
      <c r="E3" s="52"/>
      <c r="F3" s="52"/>
    </row>
    <row r="4" spans="1:6" ht="22.2" customHeight="1">
      <c r="A4" s="1380" t="s">
        <v>384</v>
      </c>
      <c r="B4" s="1380"/>
      <c r="C4" s="1380"/>
      <c r="D4" s="1380"/>
    </row>
    <row r="5" spans="1:6" ht="18" customHeight="1">
      <c r="A5" s="40"/>
    </row>
    <row r="6" spans="1:6" ht="18" customHeight="1">
      <c r="A6" s="31" t="str">
        <f>'Sch-1'!A6</f>
        <v>Bidder’s Name and Address (Sole Bidder) :</v>
      </c>
      <c r="D6" s="64" t="s">
        <v>396</v>
      </c>
    </row>
    <row r="7" spans="1:6" ht="36" customHeight="1">
      <c r="A7" s="1389" t="str">
        <f>'Sch-1'!A7</f>
        <v/>
      </c>
      <c r="B7" s="1389"/>
      <c r="C7" s="1389"/>
      <c r="D7" s="65" t="str">
        <f>'Sch-1'!M7</f>
        <v>Contracts Services, 3rd Floor</v>
      </c>
    </row>
    <row r="8" spans="1:6" ht="18" customHeight="1">
      <c r="A8" s="42" t="s">
        <v>412</v>
      </c>
      <c r="B8" s="1379" t="str">
        <f>IF('Sch-1'!C8=0, "", 'Sch-1'!C8)</f>
        <v xml:space="preserve">…….. …….. …….. …….. …….. …….. </v>
      </c>
      <c r="C8" s="1379"/>
      <c r="D8" s="65" t="str">
        <f>'Sch-1'!M8</f>
        <v>Power Grid Corporation of India Ltd.,</v>
      </c>
    </row>
    <row r="9" spans="1:6" ht="18" customHeight="1">
      <c r="A9" s="42" t="s">
        <v>413</v>
      </c>
      <c r="B9" s="1379" t="str">
        <f>IF('Sch-1'!C9=0, "", 'Sch-1'!C9)</f>
        <v xml:space="preserve">…….. …….. …….. …….. …….. …….. </v>
      </c>
      <c r="C9" s="1379"/>
      <c r="D9" s="65" t="str">
        <f>'Sch-1'!M9</f>
        <v>"Saudamini", Plot No.-2</v>
      </c>
    </row>
    <row r="10" spans="1:6" ht="18" customHeight="1">
      <c r="A10" s="43"/>
      <c r="B10" s="1379" t="str">
        <f>IF('Sch-1'!C10=0, "", 'Sch-1'!C10)</f>
        <v xml:space="preserve">…….. …….. …….. …….. …….. …….. </v>
      </c>
      <c r="C10" s="1379"/>
      <c r="D10" s="65" t="str">
        <f>'Sch-1'!M10</f>
        <v xml:space="preserve">Sector-29, </v>
      </c>
    </row>
    <row r="11" spans="1:6" ht="18" customHeight="1">
      <c r="A11" s="43"/>
      <c r="B11" s="1379" t="str">
        <f>IF('Sch-1'!C11=0, "", 'Sch-1'!C11)</f>
        <v xml:space="preserve">…….. …….. …….. …….. …….. …….. </v>
      </c>
      <c r="C11" s="1379"/>
      <c r="D11" s="65" t="str">
        <f>'Sch-1'!M11</f>
        <v>Gurgaon (Haryana) - 122001</v>
      </c>
    </row>
    <row r="12" spans="1:6" ht="18" customHeight="1">
      <c r="A12" s="53"/>
      <c r="B12" s="53"/>
      <c r="C12" s="53"/>
      <c r="D12" s="64"/>
    </row>
    <row r="13" spans="1:6" ht="22.2" customHeight="1">
      <c r="A13" s="54" t="s">
        <v>378</v>
      </c>
      <c r="B13" s="1377" t="s">
        <v>368</v>
      </c>
      <c r="C13" s="1378"/>
      <c r="D13" s="55" t="s">
        <v>380</v>
      </c>
    </row>
    <row r="14" spans="1:6" ht="22.2" customHeight="1">
      <c r="A14" s="45" t="s">
        <v>381</v>
      </c>
      <c r="B14" s="1387" t="s">
        <v>415</v>
      </c>
      <c r="C14" s="1387"/>
      <c r="D14" s="69">
        <f>'Sch-1'!N150*(1-Discount!K18)+(1-Discount!K23)*'Sch-1'!N151</f>
        <v>0</v>
      </c>
    </row>
    <row r="15" spans="1:6" ht="35.1" customHeight="1">
      <c r="A15" s="56"/>
      <c r="B15" s="1384" t="s">
        <v>385</v>
      </c>
      <c r="C15" s="1385"/>
      <c r="D15" s="47"/>
    </row>
    <row r="16" spans="1:6" ht="22.2" customHeight="1">
      <c r="A16" s="45" t="s">
        <v>382</v>
      </c>
      <c r="B16" s="1387" t="s">
        <v>416</v>
      </c>
      <c r="C16" s="1387"/>
      <c r="D16" s="69">
        <f>'Sch-6'!D16*(1-Discount!K19)</f>
        <v>0</v>
      </c>
    </row>
    <row r="17" spans="1:6" ht="35.1" customHeight="1">
      <c r="A17" s="56"/>
      <c r="B17" s="1388" t="s">
        <v>529</v>
      </c>
      <c r="C17" s="1385"/>
      <c r="D17" s="47"/>
    </row>
    <row r="18" spans="1:6" ht="22.2" customHeight="1">
      <c r="A18" s="45" t="s">
        <v>383</v>
      </c>
      <c r="B18" s="1387" t="s">
        <v>417</v>
      </c>
      <c r="C18" s="1387"/>
      <c r="D18" s="69">
        <f>'Sch-6'!D18*(1-Discount!K20)</f>
        <v>0</v>
      </c>
    </row>
    <row r="19" spans="1:6" ht="30" customHeight="1">
      <c r="A19" s="56"/>
      <c r="B19" s="1384" t="s">
        <v>386</v>
      </c>
      <c r="C19" s="1385"/>
      <c r="D19" s="47"/>
    </row>
    <row r="20" spans="1:6" ht="22.2" customHeight="1">
      <c r="A20" s="45" t="s">
        <v>556</v>
      </c>
      <c r="B20" s="1387" t="s">
        <v>557</v>
      </c>
      <c r="C20" s="1387"/>
      <c r="D20" s="256">
        <f>'Sch-6'!D20*(1-Discount!K21)</f>
        <v>0</v>
      </c>
    </row>
    <row r="21" spans="1:6" ht="30" customHeight="1">
      <c r="A21" s="56"/>
      <c r="B21" s="1384" t="s">
        <v>387</v>
      </c>
      <c r="C21" s="1385"/>
      <c r="D21" s="47"/>
    </row>
    <row r="22" spans="1:6" ht="22.2" hidden="1" customHeight="1">
      <c r="A22" s="45" t="s">
        <v>537</v>
      </c>
      <c r="B22" s="1387" t="s">
        <v>536</v>
      </c>
      <c r="C22" s="1387"/>
      <c r="D22" s="256">
        <f>'Sch-6'!D22*(1-Discount!K22)</f>
        <v>0</v>
      </c>
    </row>
    <row r="23" spans="1:6" ht="38.25" hidden="1" customHeight="1">
      <c r="A23" s="56"/>
      <c r="B23" s="1388" t="s">
        <v>530</v>
      </c>
      <c r="C23" s="1385"/>
      <c r="D23" s="47"/>
    </row>
    <row r="24" spans="1:6" ht="30" customHeight="1">
      <c r="A24" s="45">
        <v>5</v>
      </c>
      <c r="B24" s="1387" t="s">
        <v>432</v>
      </c>
      <c r="C24" s="1387"/>
      <c r="D24" s="69">
        <f>'Sch-5 Dis'!D18</f>
        <v>0</v>
      </c>
    </row>
    <row r="25" spans="1:6" ht="51" customHeight="1">
      <c r="A25" s="56"/>
      <c r="B25" s="1384" t="s">
        <v>388</v>
      </c>
      <c r="C25" s="1385"/>
      <c r="D25" s="255"/>
    </row>
    <row r="26" spans="1:6" ht="22.2" customHeight="1">
      <c r="A26" s="45" t="s">
        <v>389</v>
      </c>
      <c r="B26" s="1387" t="s">
        <v>433</v>
      </c>
      <c r="C26" s="1387"/>
      <c r="D26" s="256">
        <f>'Sch-6'!D26*(1-Discount!K23)</f>
        <v>0</v>
      </c>
    </row>
    <row r="27" spans="1:6" ht="35.1" customHeight="1">
      <c r="A27" s="56"/>
      <c r="B27" s="1384" t="s">
        <v>67</v>
      </c>
      <c r="C27" s="1385"/>
      <c r="D27" s="47"/>
    </row>
    <row r="28" spans="1:6" ht="28.5" customHeight="1">
      <c r="A28" s="1367"/>
      <c r="B28" s="1386" t="s">
        <v>390</v>
      </c>
      <c r="C28" s="1386"/>
      <c r="D28" s="70">
        <f>SUM(D14,D16,D18,D20,D24)</f>
        <v>0</v>
      </c>
    </row>
    <row r="29" spans="1:6" ht="25.5" customHeight="1">
      <c r="A29" s="1367"/>
      <c r="B29" s="1386"/>
      <c r="C29" s="1386"/>
      <c r="D29" s="187"/>
    </row>
    <row r="30" spans="1:6" ht="18.75" customHeight="1">
      <c r="A30" s="77"/>
      <c r="B30" s="78"/>
      <c r="C30" s="78"/>
      <c r="D30" s="79"/>
    </row>
    <row r="31" spans="1:6" ht="28.2" customHeight="1">
      <c r="A31" s="77"/>
      <c r="B31" s="78"/>
      <c r="C31" s="101"/>
      <c r="D31" s="79"/>
    </row>
    <row r="32" spans="1:6" ht="28.2" customHeight="1">
      <c r="A32" s="99" t="s">
        <v>406</v>
      </c>
      <c r="B32" s="114" t="str">
        <f>IF('Sch-1'!B158=0,"", 'Sch-1'!B158)</f>
        <v>--</v>
      </c>
      <c r="C32" s="101" t="s">
        <v>408</v>
      </c>
      <c r="D32" s="110" t="str">
        <f>IF('Sch-1'!M159=0,"",'Sch-1'!M159)</f>
        <v/>
      </c>
      <c r="F32" s="102"/>
    </row>
    <row r="33" spans="1:6" ht="28.2" customHeight="1">
      <c r="A33" s="99" t="s">
        <v>407</v>
      </c>
      <c r="B33" s="114" t="str">
        <f>IF('Sch-1'!B159=0,"", 'Sch-1'!B159)</f>
        <v/>
      </c>
      <c r="C33" s="101" t="s">
        <v>409</v>
      </c>
      <c r="D33" s="110" t="str">
        <f>IF('Sch-1'!M160=0,"",'Sch-1'!M160)</f>
        <v/>
      </c>
      <c r="F33" s="67"/>
    </row>
    <row r="34" spans="1:6" ht="28.2" customHeight="1">
      <c r="A34" s="89"/>
      <c r="B34" s="88"/>
      <c r="C34" s="101"/>
      <c r="F34" s="67"/>
    </row>
    <row r="35" spans="1:6" ht="30" customHeight="1">
      <c r="A35" s="89"/>
      <c r="B35" s="88"/>
      <c r="C35" s="101"/>
      <c r="D35" s="89"/>
      <c r="F35" s="102"/>
    </row>
    <row r="36" spans="1:6" ht="30" customHeight="1">
      <c r="A36" s="51"/>
      <c r="B36" s="51"/>
      <c r="C36" s="57"/>
      <c r="E36" s="58"/>
    </row>
  </sheetData>
  <sheetProtection algorithmName="SHA-512" hashValue="QnSNOcP1nmHYm4duHXpn1ugdidRb1ZVTjOyZwDUE5tOXnmEydUC894ZFOVv8P9x4UeA8KmykYdGxsEyIzBI71A==" saltValue="ZE6KHRaW48HejlvsYKZojQ==" spinCount="100000" sheet="1" formatColumns="0" formatRows="0" selectLockedCells="1"/>
  <customSheetViews>
    <customSheetView guid="{9AC181BA-F443-4EA7-A647-328174FE3004}" showPageBreaks="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s>
  <mergeCells count="24">
    <mergeCell ref="A28:A29"/>
    <mergeCell ref="B28:C29"/>
    <mergeCell ref="B20:C20"/>
    <mergeCell ref="B21:C21"/>
    <mergeCell ref="B24:C24"/>
    <mergeCell ref="B25:C25"/>
    <mergeCell ref="B26:C26"/>
    <mergeCell ref="B27:C27"/>
    <mergeCell ref="B22:C22"/>
    <mergeCell ref="B23:C23"/>
    <mergeCell ref="B13:C13"/>
    <mergeCell ref="B9:C9"/>
    <mergeCell ref="B10:C10"/>
    <mergeCell ref="B18:C18"/>
    <mergeCell ref="B19:C19"/>
    <mergeCell ref="B14:C14"/>
    <mergeCell ref="B15:C15"/>
    <mergeCell ref="B16:C16"/>
    <mergeCell ref="B17:C17"/>
    <mergeCell ref="A3:D3"/>
    <mergeCell ref="A4:D4"/>
    <mergeCell ref="A7:C7"/>
    <mergeCell ref="B8:C8"/>
    <mergeCell ref="B11:C11"/>
  </mergeCells>
  <phoneticPr fontId="30" type="noConversion"/>
  <printOptions horizontalCentered="1"/>
  <pageMargins left="0.5" right="0.38" top="0.56999999999999995" bottom="0.48" header="0.38" footer="0.24"/>
  <pageSetup paperSize="9"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7" zoomScale="70" zoomScaleNormal="100" zoomScaleSheetLayoutView="70" workbookViewId="0">
      <selection activeCell="H15" sqref="H15"/>
    </sheetView>
  </sheetViews>
  <sheetFormatPr defaultColWidth="9" defaultRowHeight="14.4"/>
  <cols>
    <col min="1" max="8" width="11.33203125" style="379" customWidth="1"/>
    <col min="9" max="9" width="31.33203125" style="332" customWidth="1"/>
    <col min="10" max="10" width="7.6640625" style="332" customWidth="1"/>
    <col min="11" max="11" width="10.21875" style="332" customWidth="1"/>
    <col min="12" max="12" width="15.33203125" style="332" customWidth="1"/>
    <col min="13" max="13" width="15.77734375" style="332" customWidth="1"/>
    <col min="14" max="14" width="23.6640625" style="258" customWidth="1"/>
    <col min="15" max="15" width="9" style="384" customWidth="1"/>
    <col min="16" max="16" width="0" style="184" hidden="1" customWidth="1"/>
    <col min="17" max="17" width="18.44140625" style="184" hidden="1" customWidth="1"/>
    <col min="18" max="18" width="34.21875" style="184" hidden="1" customWidth="1"/>
    <col min="19" max="32" width="9" style="184"/>
    <col min="33" max="33" width="0" style="184" hidden="1" customWidth="1"/>
    <col min="34" max="34" width="13.88671875" style="184" hidden="1" customWidth="1"/>
    <col min="35" max="35" width="13.6640625" style="184" hidden="1" customWidth="1"/>
    <col min="36" max="36" width="21.33203125" style="184" hidden="1" customWidth="1"/>
    <col min="37" max="37" width="12" style="184" hidden="1" customWidth="1"/>
    <col min="38" max="39" width="0" style="184" hidden="1" customWidth="1"/>
    <col min="40" max="48" width="9" style="184"/>
    <col min="49" max="16384" width="9" style="384"/>
  </cols>
  <sheetData>
    <row r="1" spans="1:48" ht="18" customHeight="1">
      <c r="A1" s="81" t="str">
        <f>Cover!B3</f>
        <v>Specification No.: CC/NT/W-AIS/DOM/A00/23/02698</v>
      </c>
      <c r="B1" s="81"/>
      <c r="C1" s="81"/>
      <c r="D1" s="81"/>
      <c r="E1" s="81"/>
      <c r="F1" s="81"/>
      <c r="G1" s="81"/>
      <c r="H1" s="81"/>
      <c r="I1" s="82"/>
      <c r="J1" s="83"/>
      <c r="K1" s="83"/>
      <c r="L1" s="83"/>
      <c r="M1" s="85" t="s">
        <v>442</v>
      </c>
    </row>
    <row r="2" spans="1:48" ht="3" customHeight="1">
      <c r="A2" s="385"/>
      <c r="B2" s="385"/>
      <c r="C2" s="385"/>
      <c r="D2" s="385"/>
      <c r="E2" s="385"/>
      <c r="F2" s="385"/>
      <c r="G2" s="385"/>
      <c r="H2" s="385"/>
      <c r="I2" s="386"/>
      <c r="J2" s="387"/>
      <c r="K2" s="387"/>
      <c r="L2" s="387"/>
      <c r="M2" s="387"/>
    </row>
    <row r="3" spans="1:48" ht="80.400000000000006" customHeight="1">
      <c r="A3" s="1407" t="str">
        <f>Cover!$B$2</f>
        <v>400kV AIS Substation Extension Package SS-111 for Extension of 400/220 kV Jabalpur Substation associated with Western Region Expansion Scheme-XXXIII (WRES-XXXIII): Part A.</v>
      </c>
      <c r="B3" s="1407"/>
      <c r="C3" s="1407"/>
      <c r="D3" s="1407"/>
      <c r="E3" s="1407"/>
      <c r="F3" s="1407"/>
      <c r="G3" s="1407"/>
      <c r="H3" s="1407"/>
      <c r="I3" s="1407"/>
      <c r="J3" s="1407"/>
      <c r="K3" s="1407"/>
      <c r="L3" s="1407"/>
      <c r="M3" s="1407"/>
      <c r="N3" s="1407"/>
      <c r="AG3" s="199" t="s">
        <v>342</v>
      </c>
      <c r="AI3" s="220">
        <f>IF(ISERROR(#REF!/('Sch-6'!D14+'Sch-6'!D16+'Sch-6'!D18)),0,#REF!/( 'Sch-6'!D14+'Sch-6'!D16+'Sch-6'!D18))</f>
        <v>0</v>
      </c>
    </row>
    <row r="4" spans="1:48" ht="22.2" customHeight="1">
      <c r="A4" s="1342" t="s">
        <v>24</v>
      </c>
      <c r="B4" s="1342"/>
      <c r="C4" s="1342"/>
      <c r="D4" s="1342"/>
      <c r="E4" s="1342"/>
      <c r="F4" s="1342"/>
      <c r="G4" s="1342"/>
      <c r="H4" s="1342"/>
      <c r="I4" s="1342"/>
      <c r="J4" s="1342"/>
      <c r="K4" s="1342"/>
      <c r="L4" s="1342"/>
      <c r="M4" s="1342"/>
      <c r="N4" s="1342"/>
      <c r="AG4" s="199" t="s">
        <v>343</v>
      </c>
      <c r="AI4" s="220" t="e">
        <f>#REF!</f>
        <v>#REF!</v>
      </c>
    </row>
    <row r="5" spans="1:48" ht="18.600000000000001" customHeight="1">
      <c r="A5" s="68"/>
      <c r="B5" s="68"/>
      <c r="C5" s="68"/>
      <c r="D5" s="68"/>
      <c r="E5" s="68"/>
      <c r="F5" s="68"/>
      <c r="G5" s="68"/>
      <c r="H5" s="68"/>
      <c r="I5" s="107"/>
      <c r="J5" s="107"/>
      <c r="K5" s="107"/>
      <c r="L5" s="107"/>
      <c r="M5" s="107"/>
      <c r="AG5" s="199" t="s">
        <v>350</v>
      </c>
      <c r="AI5" s="220">
        <f>IF(ISERROR(#REF!/#REF!),0,#REF! /#REF!)</f>
        <v>0</v>
      </c>
    </row>
    <row r="6" spans="1:48" ht="28.2" customHeight="1">
      <c r="A6" s="31" t="str">
        <f>'Sch-1'!A6</f>
        <v>Bidder’s Name and Address (Sole Bidder) :</v>
      </c>
      <c r="B6" s="31"/>
      <c r="C6" s="31"/>
      <c r="D6" s="31"/>
      <c r="E6" s="31"/>
      <c r="F6" s="31"/>
      <c r="G6" s="31"/>
      <c r="H6" s="31"/>
      <c r="I6" s="41"/>
      <c r="J6" s="41"/>
      <c r="K6" s="549" t="s">
        <v>396</v>
      </c>
      <c r="M6" s="41"/>
      <c r="AG6" s="199" t="s">
        <v>351</v>
      </c>
      <c r="AI6" s="220" t="e">
        <f>#REF!</f>
        <v>#REF!</v>
      </c>
    </row>
    <row r="7" spans="1:48" ht="36" customHeight="1">
      <c r="A7" s="1396" t="str">
        <f>'Sch-1'!A7</f>
        <v/>
      </c>
      <c r="B7" s="1396"/>
      <c r="C7" s="1396"/>
      <c r="D7" s="1396"/>
      <c r="E7" s="1396"/>
      <c r="F7" s="1396"/>
      <c r="G7" s="1396"/>
      <c r="H7" s="1396"/>
      <c r="I7" s="1396"/>
      <c r="J7" s="1396"/>
      <c r="K7" s="90" t="str">
        <f>'Sch-1'!M7</f>
        <v>Contracts Services, 3rd Floor</v>
      </c>
      <c r="M7" s="467"/>
      <c r="AG7" s="199" t="s">
        <v>346</v>
      </c>
      <c r="AI7" s="220" t="e">
        <f>SUM(AI3:AI6)</f>
        <v>#REF!</v>
      </c>
    </row>
    <row r="8" spans="1:48" ht="28.2" customHeight="1">
      <c r="A8" s="42" t="s">
        <v>412</v>
      </c>
      <c r="B8" s="42"/>
      <c r="C8" s="42"/>
      <c r="D8" s="42"/>
      <c r="E8" s="42"/>
      <c r="F8" s="42"/>
      <c r="G8" s="42"/>
      <c r="H8" s="42"/>
      <c r="I8" s="1379" t="str">
        <f>IF('Sch-1'!C8=0, "", 'Sch-1'!C8)</f>
        <v xml:space="preserve">…….. …….. …….. …….. …….. …….. </v>
      </c>
      <c r="J8" s="1379"/>
      <c r="K8" s="90" t="str">
        <f>'Sch-1'!M8</f>
        <v>Power Grid Corporation of India Ltd.,</v>
      </c>
      <c r="M8" s="466"/>
    </row>
    <row r="9" spans="1:48" ht="28.2" customHeight="1">
      <c r="A9" s="42" t="s">
        <v>413</v>
      </c>
      <c r="B9" s="42"/>
      <c r="C9" s="42"/>
      <c r="D9" s="42"/>
      <c r="E9" s="42"/>
      <c r="F9" s="42"/>
      <c r="G9" s="42"/>
      <c r="H9" s="42"/>
      <c r="I9" s="1379" t="str">
        <f>IF('Sch-1'!C9=0, "", 'Sch-1'!C9)</f>
        <v xml:space="preserve">…….. …….. …….. …….. …….. …….. </v>
      </c>
      <c r="J9" s="1379"/>
      <c r="K9" s="90" t="str">
        <f>'Sch-1'!M9</f>
        <v>"Saudamini", Plot No.-2</v>
      </c>
      <c r="M9" s="466"/>
    </row>
    <row r="10" spans="1:48" ht="28.2" customHeight="1">
      <c r="A10" s="388"/>
      <c r="B10" s="388"/>
      <c r="C10" s="388"/>
      <c r="D10" s="388"/>
      <c r="E10" s="388"/>
      <c r="F10" s="388"/>
      <c r="G10" s="388"/>
      <c r="H10" s="388"/>
      <c r="I10" s="1410" t="str">
        <f>IF('Sch-1'!C10=0, "", 'Sch-1'!C10)</f>
        <v xml:space="preserve">…….. …….. …….. …….. …….. …….. </v>
      </c>
      <c r="J10" s="1410"/>
      <c r="K10" s="90" t="str">
        <f>'Sch-1'!M10</f>
        <v xml:space="preserve">Sector-29, </v>
      </c>
      <c r="M10" s="389"/>
      <c r="AG10" s="199" t="s">
        <v>276</v>
      </c>
      <c r="AI10" s="227">
        <f>'Sch-1'!AA10</f>
        <v>0</v>
      </c>
    </row>
    <row r="11" spans="1:48" ht="28.2" customHeight="1">
      <c r="A11" s="388"/>
      <c r="B11" s="388"/>
      <c r="C11" s="388"/>
      <c r="D11" s="388"/>
      <c r="E11" s="388"/>
      <c r="F11" s="388"/>
      <c r="G11" s="388"/>
      <c r="H11" s="388"/>
      <c r="I11" s="1410" t="str">
        <f>IF('Sch-1'!C11=0, "", 'Sch-1'!C11)</f>
        <v xml:space="preserve">…….. …….. …….. …….. …….. …….. </v>
      </c>
      <c r="J11" s="1410"/>
      <c r="K11" s="90" t="str">
        <f>'Sch-1'!M11</f>
        <v>Gurgaon (Haryana) - 122001</v>
      </c>
      <c r="M11" s="389"/>
      <c r="AG11" s="199"/>
      <c r="AI11" s="220"/>
    </row>
    <row r="12" spans="1:48" ht="7.5" customHeight="1">
      <c r="A12" s="388"/>
      <c r="B12" s="388"/>
      <c r="C12" s="388"/>
      <c r="D12" s="388"/>
      <c r="E12" s="388"/>
      <c r="F12" s="388"/>
      <c r="G12" s="388"/>
      <c r="H12" s="388"/>
      <c r="I12" s="389"/>
      <c r="J12" s="389"/>
      <c r="K12" s="389"/>
      <c r="L12" s="389"/>
      <c r="M12" s="389"/>
      <c r="N12" s="646"/>
      <c r="O12" s="647"/>
      <c r="P12" s="647"/>
      <c r="Q12" s="647"/>
      <c r="R12" s="647"/>
      <c r="S12" s="647"/>
      <c r="T12" s="647"/>
      <c r="AG12" s="199"/>
      <c r="AI12" s="220"/>
    </row>
    <row r="13" spans="1:48" s="269" customFormat="1" ht="28.2" customHeight="1" thickBot="1">
      <c r="A13" s="1411" t="s">
        <v>474</v>
      </c>
      <c r="B13" s="1411"/>
      <c r="C13" s="1411"/>
      <c r="D13" s="1411"/>
      <c r="E13" s="1411"/>
      <c r="F13" s="1411"/>
      <c r="G13" s="1411"/>
      <c r="H13" s="1411"/>
      <c r="I13" s="1411"/>
      <c r="J13" s="1411"/>
      <c r="K13" s="1411"/>
      <c r="L13" s="1411"/>
      <c r="M13" s="1411"/>
      <c r="N13" s="208"/>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row>
    <row r="14" spans="1:48" s="269" customFormat="1" ht="171.6">
      <c r="A14" s="844" t="s">
        <v>434</v>
      </c>
      <c r="B14" s="845" t="s">
        <v>514</v>
      </c>
      <c r="C14" s="845" t="s">
        <v>525</v>
      </c>
      <c r="D14" s="846" t="s">
        <v>526</v>
      </c>
      <c r="E14" s="1172" t="s">
        <v>485</v>
      </c>
      <c r="F14" s="1172" t="s">
        <v>513</v>
      </c>
      <c r="G14" s="1172" t="s">
        <v>486</v>
      </c>
      <c r="H14" s="1172" t="s">
        <v>512</v>
      </c>
      <c r="I14" s="847" t="s">
        <v>372</v>
      </c>
      <c r="J14" s="847" t="s">
        <v>353</v>
      </c>
      <c r="K14" s="847" t="s">
        <v>354</v>
      </c>
      <c r="L14" s="847" t="s">
        <v>62</v>
      </c>
      <c r="M14" s="848" t="s">
        <v>373</v>
      </c>
      <c r="N14" s="831" t="s">
        <v>510</v>
      </c>
      <c r="O14" s="184"/>
      <c r="P14" s="184"/>
      <c r="Q14" s="787" t="s">
        <v>545</v>
      </c>
      <c r="R14" s="787" t="s">
        <v>494</v>
      </c>
      <c r="S14" s="184"/>
      <c r="T14" s="184"/>
      <c r="U14" s="184"/>
      <c r="V14" s="184"/>
      <c r="W14" s="184"/>
      <c r="X14" s="184"/>
      <c r="Y14" s="184"/>
      <c r="Z14" s="184"/>
      <c r="AA14" s="184"/>
      <c r="AB14" s="184"/>
      <c r="AC14" s="184"/>
      <c r="AD14" s="184"/>
      <c r="AE14" s="184"/>
      <c r="AF14" s="184"/>
      <c r="AG14" s="184"/>
      <c r="AH14" s="1395" t="s">
        <v>277</v>
      </c>
      <c r="AI14" s="1395"/>
      <c r="AJ14" s="201" t="s">
        <v>285</v>
      </c>
      <c r="AK14" s="1395" t="s">
        <v>278</v>
      </c>
      <c r="AL14" s="1395"/>
      <c r="AM14" s="184"/>
      <c r="AN14" s="184"/>
      <c r="AO14" s="184"/>
      <c r="AP14" s="184"/>
      <c r="AQ14" s="184"/>
      <c r="AR14" s="184"/>
      <c r="AS14" s="184"/>
      <c r="AT14" s="184"/>
      <c r="AU14" s="184"/>
      <c r="AV14" s="184"/>
    </row>
    <row r="15" spans="1:48" s="1174" customFormat="1" ht="15.6">
      <c r="A15" s="849">
        <v>1</v>
      </c>
      <c r="B15" s="849">
        <v>2</v>
      </c>
      <c r="C15" s="849">
        <v>3</v>
      </c>
      <c r="D15" s="849">
        <v>4</v>
      </c>
      <c r="E15" s="1173">
        <v>5</v>
      </c>
      <c r="F15" s="1173">
        <v>6</v>
      </c>
      <c r="G15" s="1173">
        <v>7</v>
      </c>
      <c r="H15" s="1173">
        <v>8</v>
      </c>
      <c r="I15" s="847">
        <v>9</v>
      </c>
      <c r="J15" s="847">
        <v>10</v>
      </c>
      <c r="K15" s="847">
        <v>11</v>
      </c>
      <c r="L15" s="847">
        <v>12</v>
      </c>
      <c r="M15" s="848" t="s">
        <v>527</v>
      </c>
      <c r="N15" s="837">
        <v>14</v>
      </c>
      <c r="O15" s="800"/>
      <c r="P15" s="800"/>
      <c r="Q15" s="687"/>
      <c r="R15" s="770"/>
      <c r="S15" s="800"/>
      <c r="T15" s="800"/>
      <c r="U15" s="800"/>
      <c r="V15" s="800"/>
      <c r="W15" s="800"/>
      <c r="X15" s="800"/>
      <c r="Y15" s="800"/>
      <c r="Z15" s="800"/>
      <c r="AA15" s="800"/>
      <c r="AB15" s="800"/>
      <c r="AC15" s="800"/>
      <c r="AD15" s="800"/>
      <c r="AE15" s="800"/>
      <c r="AF15" s="800"/>
      <c r="AG15" s="800"/>
      <c r="AH15" s="784"/>
      <c r="AI15" s="784"/>
      <c r="AJ15" s="201"/>
      <c r="AK15" s="784"/>
      <c r="AL15" s="784"/>
      <c r="AM15" s="800"/>
      <c r="AN15" s="800"/>
      <c r="AO15" s="800"/>
      <c r="AP15" s="800"/>
      <c r="AQ15" s="800"/>
      <c r="AR15" s="800"/>
      <c r="AS15" s="800"/>
      <c r="AT15" s="800"/>
      <c r="AU15" s="800"/>
      <c r="AV15" s="800"/>
    </row>
    <row r="16" spans="1:48" s="1174" customFormat="1" ht="15.6">
      <c r="A16" s="857" t="s">
        <v>340</v>
      </c>
      <c r="B16" s="1404"/>
      <c r="C16" s="1405"/>
      <c r="D16" s="1405"/>
      <c r="E16" s="1405"/>
      <c r="F16" s="1405"/>
      <c r="G16" s="1405"/>
      <c r="H16" s="1405"/>
      <c r="I16" s="1405"/>
      <c r="J16" s="1405"/>
      <c r="K16" s="1405"/>
      <c r="L16" s="1405"/>
      <c r="M16" s="1405"/>
      <c r="N16" s="1406"/>
      <c r="O16" s="800"/>
      <c r="P16" s="800"/>
      <c r="Q16" s="687"/>
      <c r="R16" s="770"/>
      <c r="S16" s="800"/>
      <c r="T16" s="800"/>
      <c r="U16" s="800"/>
      <c r="V16" s="800"/>
      <c r="W16" s="800"/>
      <c r="X16" s="800"/>
      <c r="Y16" s="800"/>
      <c r="Z16" s="800"/>
      <c r="AA16" s="800"/>
      <c r="AB16" s="800"/>
      <c r="AC16" s="800"/>
      <c r="AD16" s="800"/>
      <c r="AE16" s="800"/>
      <c r="AF16" s="800"/>
      <c r="AG16" s="800"/>
      <c r="AH16" s="784"/>
      <c r="AI16" s="784"/>
      <c r="AJ16" s="201"/>
      <c r="AK16" s="784"/>
      <c r="AL16" s="784"/>
      <c r="AM16" s="800"/>
      <c r="AN16" s="800"/>
      <c r="AO16" s="800"/>
      <c r="AP16" s="800"/>
      <c r="AQ16" s="800"/>
      <c r="AR16" s="800"/>
      <c r="AS16" s="800"/>
      <c r="AT16" s="800"/>
      <c r="AU16" s="800"/>
      <c r="AV16" s="800"/>
    </row>
    <row r="17" spans="1:48" s="687" customFormat="1" ht="15.6" hidden="1">
      <c r="A17" s="1175">
        <v>1</v>
      </c>
      <c r="B17" s="1176"/>
      <c r="C17" s="1176"/>
      <c r="D17" s="1176"/>
      <c r="E17" s="1175"/>
      <c r="F17" s="769"/>
      <c r="G17" s="745"/>
      <c r="H17" s="771"/>
      <c r="I17" s="1177"/>
      <c r="J17" s="557"/>
      <c r="K17" s="558"/>
      <c r="L17" s="554"/>
      <c r="M17" s="401" t="str">
        <f>IF(L17=0, "Included", IF(ISERROR(K17*L17), L17, K17*L17))</f>
        <v>Included</v>
      </c>
      <c r="N17" s="1178">
        <f>R17</f>
        <v>0</v>
      </c>
      <c r="O17" s="686"/>
      <c r="P17" s="686"/>
      <c r="Q17" s="687">
        <f>IF(M17="Included",0,M17)</f>
        <v>0</v>
      </c>
      <c r="R17" s="770">
        <f>IF(H17="", G17*Q17,H17*Q17)</f>
        <v>0</v>
      </c>
      <c r="S17" s="686"/>
      <c r="T17" s="686"/>
    </row>
    <row r="18" spans="1:48" s="687" customFormat="1" ht="15.6" hidden="1">
      <c r="A18" s="1175">
        <v>2</v>
      </c>
      <c r="B18" s="1176"/>
      <c r="C18" s="1176"/>
      <c r="D18" s="1176"/>
      <c r="E18" s="1175"/>
      <c r="F18" s="769"/>
      <c r="G18" s="745"/>
      <c r="H18" s="771"/>
      <c r="I18" s="1177"/>
      <c r="J18" s="557"/>
      <c r="K18" s="558"/>
      <c r="L18" s="554"/>
      <c r="M18" s="401" t="str">
        <f>IF(L18=0, "Included", IF(ISERROR(K18*L18), L18, K18*L18))</f>
        <v>Included</v>
      </c>
      <c r="N18" s="1178">
        <f>R18</f>
        <v>0</v>
      </c>
      <c r="O18" s="686"/>
      <c r="P18" s="686"/>
      <c r="Q18" s="687">
        <f>IF(M18="Included",0,M18)</f>
        <v>0</v>
      </c>
      <c r="R18" s="770">
        <f>IF(H18="", G18*Q18,H18*Q18)</f>
        <v>0</v>
      </c>
      <c r="S18" s="686"/>
      <c r="T18" s="686"/>
    </row>
    <row r="19" spans="1:48" s="269" customFormat="1" ht="45" customHeight="1">
      <c r="A19" s="43"/>
      <c r="B19" s="43"/>
      <c r="C19" s="43"/>
      <c r="D19" s="43"/>
      <c r="E19" s="43"/>
      <c r="F19" s="1345" t="s">
        <v>552</v>
      </c>
      <c r="G19" s="1345"/>
      <c r="H19" s="1345"/>
      <c r="I19" s="1345"/>
      <c r="J19" s="1345"/>
      <c r="K19" s="1345"/>
      <c r="L19" s="1345"/>
      <c r="M19" s="466"/>
      <c r="N19" s="208"/>
      <c r="O19" s="184"/>
      <c r="P19" s="184"/>
      <c r="Q19" s="184"/>
      <c r="R19" s="184"/>
      <c r="S19" s="184"/>
      <c r="T19" s="184"/>
      <c r="U19" s="184"/>
      <c r="V19" s="184"/>
      <c r="W19" s="184"/>
      <c r="X19" s="184"/>
      <c r="Y19" s="184"/>
      <c r="Z19" s="184"/>
      <c r="AA19" s="184"/>
      <c r="AB19" s="184"/>
      <c r="AC19" s="184"/>
      <c r="AD19" s="184"/>
      <c r="AE19" s="184"/>
      <c r="AF19" s="184"/>
      <c r="AG19" s="199"/>
      <c r="AH19" s="184"/>
      <c r="AI19" s="220"/>
      <c r="AJ19" s="184"/>
      <c r="AK19" s="184"/>
      <c r="AL19" s="184"/>
      <c r="AM19" s="184"/>
      <c r="AN19" s="184"/>
      <c r="AO19" s="184"/>
      <c r="AP19" s="184"/>
      <c r="AQ19" s="184"/>
      <c r="AR19" s="184"/>
      <c r="AS19" s="184"/>
      <c r="AT19" s="184"/>
      <c r="AU19" s="184"/>
      <c r="AV19" s="184"/>
    </row>
    <row r="20" spans="1:48" s="687" customFormat="1" ht="24.75" customHeight="1">
      <c r="A20" s="1398"/>
      <c r="B20" s="1399"/>
      <c r="C20" s="1399"/>
      <c r="D20" s="1399"/>
      <c r="E20" s="1399"/>
      <c r="F20" s="1399"/>
      <c r="G20" s="1399"/>
      <c r="H20" s="1400"/>
      <c r="I20" s="852" t="s">
        <v>473</v>
      </c>
      <c r="J20" s="852"/>
      <c r="K20" s="852"/>
      <c r="L20" s="852"/>
      <c r="M20" s="853">
        <f>SUM(M17:M18)</f>
        <v>0</v>
      </c>
      <c r="N20" s="795"/>
      <c r="O20" s="686"/>
      <c r="P20" s="686"/>
      <c r="Q20" s="686"/>
      <c r="R20" s="686"/>
      <c r="S20" s="686"/>
      <c r="T20" s="686"/>
    </row>
    <row r="21" spans="1:48" s="269" customFormat="1" ht="36" customHeight="1">
      <c r="A21" s="1401"/>
      <c r="B21" s="1402"/>
      <c r="C21" s="1402"/>
      <c r="D21" s="1402"/>
      <c r="E21" s="1402"/>
      <c r="F21" s="1402"/>
      <c r="G21" s="1402"/>
      <c r="H21" s="1403"/>
      <c r="I21" s="854" t="s">
        <v>510</v>
      </c>
      <c r="J21" s="854"/>
      <c r="K21" s="854"/>
      <c r="L21" s="854"/>
      <c r="M21" s="854"/>
      <c r="N21" s="853">
        <f>SUM(N17:N18)</f>
        <v>0</v>
      </c>
      <c r="O21" s="184"/>
      <c r="P21" s="184"/>
      <c r="Q21" s="184"/>
      <c r="R21" s="184"/>
      <c r="S21" s="184"/>
      <c r="T21" s="184"/>
      <c r="U21" s="184"/>
      <c r="V21" s="184"/>
      <c r="W21" s="184"/>
      <c r="X21" s="184"/>
      <c r="Y21" s="184"/>
      <c r="Z21" s="184"/>
      <c r="AA21" s="184"/>
      <c r="AB21" s="184"/>
      <c r="AC21" s="184"/>
      <c r="AD21" s="184"/>
      <c r="AE21" s="184"/>
      <c r="AF21" s="184"/>
      <c r="AG21" s="184"/>
      <c r="AH21" s="228"/>
      <c r="AI21" s="228"/>
      <c r="AJ21" s="184"/>
      <c r="AK21" s="228"/>
      <c r="AL21" s="228"/>
    </row>
    <row r="22" spans="1:48" s="269" customFormat="1" ht="19.5" customHeight="1">
      <c r="A22" s="390"/>
      <c r="B22" s="390"/>
      <c r="C22" s="390"/>
      <c r="D22" s="390"/>
      <c r="E22" s="390"/>
      <c r="F22" s="390"/>
      <c r="G22" s="390"/>
      <c r="H22" s="390"/>
      <c r="I22" s="390"/>
      <c r="J22" s="1335"/>
      <c r="K22" s="1335"/>
      <c r="L22" s="1335"/>
      <c r="M22" s="1335"/>
      <c r="N22" s="258"/>
      <c r="P22" s="184"/>
      <c r="Q22" s="184"/>
      <c r="R22" s="184"/>
      <c r="S22" s="184"/>
      <c r="T22" s="184"/>
      <c r="U22" s="184"/>
      <c r="V22" s="184"/>
      <c r="W22" s="184"/>
      <c r="X22" s="184"/>
      <c r="Y22" s="184"/>
      <c r="Z22" s="184"/>
      <c r="AA22" s="184"/>
      <c r="AB22" s="184"/>
      <c r="AC22" s="184"/>
      <c r="AD22" s="184"/>
      <c r="AE22" s="184"/>
      <c r="AF22" s="184"/>
      <c r="AG22" s="184"/>
      <c r="AH22" s="257"/>
      <c r="AI22" s="229"/>
      <c r="AJ22" s="184"/>
      <c r="AK22" s="184"/>
      <c r="AL22" s="184"/>
    </row>
    <row r="23" spans="1:48" s="269" customFormat="1" ht="19.5" customHeight="1">
      <c r="A23" s="99" t="s">
        <v>406</v>
      </c>
      <c r="B23" s="99"/>
      <c r="C23" s="99"/>
      <c r="D23" s="99"/>
      <c r="E23" s="114" t="str">
        <f>'Sch-1'!B158</f>
        <v>--</v>
      </c>
      <c r="F23" s="99"/>
      <c r="G23" s="99"/>
      <c r="H23" s="99"/>
      <c r="I23" s="32"/>
      <c r="J23" s="1335" t="str">
        <f>"Printed Name   : " &amp; 'Sch-1'!M159</f>
        <v xml:space="preserve">Printed Name   : </v>
      </c>
      <c r="K23" s="1335"/>
      <c r="L23" s="1335"/>
      <c r="M23" s="1335"/>
      <c r="N23" s="258"/>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row>
    <row r="24" spans="1:48" s="269" customFormat="1" ht="27.75" customHeight="1">
      <c r="A24" s="99" t="s">
        <v>407</v>
      </c>
      <c r="B24" s="99"/>
      <c r="C24" s="99"/>
      <c r="D24" s="99"/>
      <c r="E24" s="110" t="str">
        <f>'Sch-1'!B159</f>
        <v/>
      </c>
      <c r="F24" s="99"/>
      <c r="G24" s="99"/>
      <c r="H24" s="99"/>
      <c r="I24" s="32"/>
      <c r="J24" s="1335" t="str">
        <f>"Designation      : " &amp; 'Sch-1'!M160</f>
        <v xml:space="preserve">Designation      : </v>
      </c>
      <c r="K24" s="1335"/>
      <c r="L24" s="1335"/>
      <c r="M24" s="1335"/>
      <c r="N24" s="258"/>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row>
    <row r="25" spans="1:48" s="269" customFormat="1" ht="36.75" customHeight="1">
      <c r="A25" s="111" t="s">
        <v>66</v>
      </c>
      <c r="B25" s="111"/>
      <c r="C25" s="111"/>
      <c r="D25" s="111"/>
      <c r="E25" s="1397" t="s">
        <v>375</v>
      </c>
      <c r="F25" s="1397"/>
      <c r="G25" s="1397"/>
      <c r="H25" s="1397"/>
      <c r="I25" s="1397"/>
      <c r="J25" s="1397"/>
      <c r="K25" s="1397"/>
      <c r="L25" s="1397"/>
      <c r="M25" s="1397"/>
      <c r="N25" s="258"/>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row>
    <row r="26" spans="1:48" ht="31.5" customHeight="1">
      <c r="N26" s="260"/>
      <c r="AM26" s="384"/>
      <c r="AN26" s="384"/>
      <c r="AO26" s="384"/>
      <c r="AP26" s="384"/>
      <c r="AQ26" s="384"/>
      <c r="AR26" s="384"/>
      <c r="AS26" s="384"/>
      <c r="AT26" s="384"/>
      <c r="AU26" s="384"/>
      <c r="AV26" s="384"/>
    </row>
    <row r="95" spans="1:15" s="184" customFormat="1">
      <c r="A95" s="205"/>
      <c r="B95" s="205"/>
      <c r="C95" s="205"/>
      <c r="D95" s="205"/>
      <c r="E95" s="205"/>
      <c r="F95" s="205"/>
      <c r="G95" s="205"/>
      <c r="H95" s="205"/>
      <c r="I95" s="193"/>
      <c r="J95" s="193"/>
      <c r="K95" s="193"/>
      <c r="L95" s="193"/>
      <c r="M95" s="193"/>
      <c r="N95" s="258"/>
      <c r="O95" s="384"/>
    </row>
    <row r="96" spans="1:15" s="184" customFormat="1">
      <c r="A96" s="205"/>
      <c r="B96" s="205"/>
      <c r="C96" s="205"/>
      <c r="D96" s="205"/>
      <c r="E96" s="205"/>
      <c r="F96" s="205"/>
      <c r="G96" s="205"/>
      <c r="H96" s="205"/>
      <c r="I96" s="193"/>
      <c r="J96" s="193"/>
      <c r="K96" s="193"/>
      <c r="L96" s="193"/>
      <c r="M96" s="193"/>
      <c r="N96" s="258"/>
      <c r="O96" s="384"/>
    </row>
    <row r="97" spans="1:38" s="184" customFormat="1">
      <c r="A97" s="205"/>
      <c r="B97" s="205"/>
      <c r="C97" s="205"/>
      <c r="D97" s="205"/>
      <c r="E97" s="205"/>
      <c r="F97" s="205"/>
      <c r="G97" s="205"/>
      <c r="H97" s="205"/>
      <c r="I97" s="193"/>
      <c r="J97" s="193"/>
      <c r="K97" s="193"/>
      <c r="L97" s="193"/>
      <c r="M97" s="193"/>
      <c r="N97" s="258"/>
      <c r="O97" s="384"/>
    </row>
    <row r="98" spans="1:38" s="269" customFormat="1" hidden="1">
      <c r="A98" s="186" t="str">
        <f>A1</f>
        <v>Specification No.: CC/NT/W-AIS/DOM/A00/23/02698</v>
      </c>
      <c r="B98" s="186"/>
      <c r="C98" s="186"/>
      <c r="D98" s="186"/>
      <c r="E98" s="186"/>
      <c r="F98" s="186"/>
      <c r="G98" s="186"/>
      <c r="H98" s="186"/>
      <c r="I98" s="99"/>
      <c r="J98" s="189"/>
      <c r="K98" s="189"/>
      <c r="L98" s="189"/>
      <c r="M98" s="189"/>
      <c r="N98" s="188"/>
    </row>
    <row r="99" spans="1:38" s="269" customFormat="1" hidden="1">
      <c r="A99" s="67"/>
      <c r="B99" s="67"/>
      <c r="C99" s="67"/>
      <c r="D99" s="67"/>
      <c r="E99" s="67"/>
      <c r="F99" s="67"/>
      <c r="G99" s="67"/>
      <c r="H99" s="67"/>
      <c r="I99" s="88"/>
      <c r="J99" s="89"/>
      <c r="K99" s="89"/>
      <c r="L99" s="89"/>
      <c r="M99" s="89"/>
      <c r="N99" s="188"/>
    </row>
    <row r="100" spans="1:38" s="269" customFormat="1" ht="35.25" hidden="1" customHeight="1">
      <c r="A100" s="1408" t="str">
        <f>A3</f>
        <v>400kV AIS Substation Extension Package SS-111 for Extension of 400/220 kV Jabalpur Substation associated with Western Region Expansion Scheme-XXXIII (WRES-XXXIII): Part A.</v>
      </c>
      <c r="B100" s="1408"/>
      <c r="C100" s="1408"/>
      <c r="D100" s="1408"/>
      <c r="E100" s="1408"/>
      <c r="F100" s="1408"/>
      <c r="G100" s="1408"/>
      <c r="H100" s="1408"/>
      <c r="I100" s="1408">
        <f>I3</f>
        <v>0</v>
      </c>
      <c r="J100" s="1408">
        <f>J3</f>
        <v>0</v>
      </c>
      <c r="K100" s="1408"/>
      <c r="L100" s="1408"/>
      <c r="M100" s="1408"/>
      <c r="N100" s="188"/>
    </row>
    <row r="101" spans="1:38" s="269" customFormat="1" hidden="1">
      <c r="A101" s="1409" t="str">
        <f>A4</f>
        <v>(SCHEDULE OF RATES AND PRICES )</v>
      </c>
      <c r="B101" s="1409"/>
      <c r="C101" s="1409"/>
      <c r="D101" s="1409"/>
      <c r="E101" s="1409"/>
      <c r="F101" s="1409"/>
      <c r="G101" s="1409"/>
      <c r="H101" s="1409"/>
      <c r="I101" s="1409">
        <f>I4</f>
        <v>0</v>
      </c>
      <c r="J101" s="1409">
        <f>J4</f>
        <v>0</v>
      </c>
      <c r="K101" s="1409"/>
      <c r="L101" s="1409"/>
      <c r="M101" s="1409"/>
      <c r="N101" s="188"/>
    </row>
    <row r="102" spans="1:38" s="269" customFormat="1" hidden="1">
      <c r="A102" s="68"/>
      <c r="B102" s="68"/>
      <c r="C102" s="68"/>
      <c r="D102" s="68"/>
      <c r="E102" s="68"/>
      <c r="F102" s="68"/>
      <c r="G102" s="68"/>
      <c r="H102" s="68"/>
      <c r="I102" s="107"/>
      <c r="J102" s="107"/>
      <c r="K102" s="107"/>
      <c r="L102" s="107"/>
      <c r="M102" s="107"/>
      <c r="N102" s="188"/>
    </row>
    <row r="103" spans="1:38" s="269" customFormat="1" hidden="1">
      <c r="A103" s="31" t="str">
        <f>A6</f>
        <v>Bidder’s Name and Address (Sole Bidder) :</v>
      </c>
      <c r="B103" s="31"/>
      <c r="C103" s="31"/>
      <c r="D103" s="31"/>
      <c r="E103" s="31"/>
      <c r="F103" s="31"/>
      <c r="G103" s="31"/>
      <c r="H103" s="31"/>
      <c r="I103" s="41"/>
      <c r="J103" s="41"/>
      <c r="K103" s="41"/>
      <c r="L103" s="41"/>
      <c r="M103" s="41"/>
      <c r="N103" s="188"/>
    </row>
    <row r="104" spans="1:38" s="269" customFormat="1" hidden="1">
      <c r="A104" s="1396" t="str">
        <f>A7</f>
        <v/>
      </c>
      <c r="B104" s="1396"/>
      <c r="C104" s="1396"/>
      <c r="D104" s="1396"/>
      <c r="E104" s="1396"/>
      <c r="F104" s="1396"/>
      <c r="G104" s="1396"/>
      <c r="H104" s="1396"/>
      <c r="I104" s="1396">
        <f t="shared" ref="I104:J108" si="0">I7</f>
        <v>0</v>
      </c>
      <c r="J104" s="1396">
        <f t="shared" si="0"/>
        <v>0</v>
      </c>
      <c r="K104" s="467"/>
      <c r="L104" s="467"/>
      <c r="M104" s="467"/>
      <c r="N104" s="188"/>
    </row>
    <row r="105" spans="1:38" s="269" customFormat="1" hidden="1">
      <c r="A105" s="42" t="str">
        <f>A8</f>
        <v>Name     :</v>
      </c>
      <c r="B105" s="42"/>
      <c r="C105" s="42"/>
      <c r="D105" s="42"/>
      <c r="E105" s="42"/>
      <c r="F105" s="42"/>
      <c r="G105" s="42"/>
      <c r="H105" s="42"/>
      <c r="I105" s="1379" t="str">
        <f t="shared" si="0"/>
        <v xml:space="preserve">…….. …….. …….. …….. …….. …….. </v>
      </c>
      <c r="J105" s="1379">
        <f t="shared" si="0"/>
        <v>0</v>
      </c>
      <c r="K105" s="466"/>
      <c r="L105" s="466"/>
      <c r="M105" s="466"/>
      <c r="N105" s="188"/>
    </row>
    <row r="106" spans="1:38" s="269" customFormat="1" hidden="1">
      <c r="A106" s="42" t="str">
        <f>A9</f>
        <v>Address :</v>
      </c>
      <c r="B106" s="42"/>
      <c r="C106" s="42"/>
      <c r="D106" s="42"/>
      <c r="E106" s="42"/>
      <c r="F106" s="42"/>
      <c r="G106" s="42"/>
      <c r="H106" s="42"/>
      <c r="I106" s="1379" t="str">
        <f t="shared" si="0"/>
        <v xml:space="preserve">…….. …….. …….. …….. …….. …….. </v>
      </c>
      <c r="J106" s="1379">
        <f t="shared" si="0"/>
        <v>0</v>
      </c>
      <c r="K106" s="466"/>
      <c r="L106" s="466"/>
      <c r="M106" s="466"/>
      <c r="N106" s="188"/>
    </row>
    <row r="107" spans="1:38" s="269" customFormat="1" hidden="1">
      <c r="A107" s="43"/>
      <c r="B107" s="43"/>
      <c r="C107" s="43"/>
      <c r="D107" s="43"/>
      <c r="E107" s="43"/>
      <c r="F107" s="43"/>
      <c r="G107" s="43"/>
      <c r="H107" s="43"/>
      <c r="I107" s="1379" t="str">
        <f t="shared" si="0"/>
        <v xml:space="preserve">…….. …….. …….. …….. …….. …….. </v>
      </c>
      <c r="J107" s="1379">
        <f t="shared" si="0"/>
        <v>0</v>
      </c>
      <c r="K107" s="466"/>
      <c r="L107" s="466"/>
      <c r="M107" s="466"/>
      <c r="N107" s="188"/>
    </row>
    <row r="108" spans="1:38" s="269" customFormat="1" hidden="1">
      <c r="A108" s="43"/>
      <c r="B108" s="43"/>
      <c r="C108" s="43"/>
      <c r="D108" s="43"/>
      <c r="E108" s="43"/>
      <c r="F108" s="43"/>
      <c r="G108" s="43"/>
      <c r="H108" s="43"/>
      <c r="I108" s="1379" t="str">
        <f t="shared" si="0"/>
        <v xml:space="preserve">…….. …….. …….. …….. …….. …….. </v>
      </c>
      <c r="J108" s="1379">
        <f t="shared" si="0"/>
        <v>0</v>
      </c>
      <c r="K108" s="466"/>
      <c r="L108" s="466"/>
      <c r="M108" s="466"/>
      <c r="N108" s="188"/>
    </row>
    <row r="109" spans="1:38" s="269" customFormat="1" hidden="1">
      <c r="A109" s="309"/>
      <c r="B109" s="309"/>
      <c r="C109" s="309"/>
      <c r="D109" s="309"/>
      <c r="E109" s="309"/>
      <c r="F109" s="309"/>
      <c r="G109" s="309"/>
      <c r="H109" s="309"/>
      <c r="I109" s="32"/>
      <c r="J109" s="32"/>
      <c r="K109" s="32"/>
      <c r="L109" s="32"/>
      <c r="M109" s="32"/>
      <c r="N109" s="188"/>
    </row>
    <row r="110" spans="1:38" s="269" customFormat="1" ht="33.75" hidden="1" customHeight="1">
      <c r="A110" s="307" t="str">
        <f>A14</f>
        <v>SL. NO.</v>
      </c>
      <c r="B110" s="307"/>
      <c r="C110" s="307"/>
      <c r="D110" s="307"/>
      <c r="E110" s="307"/>
      <c r="F110" s="307"/>
      <c r="G110" s="307"/>
      <c r="H110" s="307"/>
      <c r="I110" s="312" t="str">
        <f>I14</f>
        <v>Description of Test</v>
      </c>
      <c r="J110" s="1393" t="e">
        <f>#REF!</f>
        <v>#REF!</v>
      </c>
      <c r="K110" s="1393"/>
      <c r="L110" s="1393"/>
      <c r="M110" s="1393"/>
      <c r="N110" s="188"/>
      <c r="AH110" s="1393"/>
      <c r="AI110" s="1393"/>
      <c r="AK110" s="1393"/>
      <c r="AL110" s="1393"/>
    </row>
    <row r="111" spans="1:38" s="269" customFormat="1" hidden="1">
      <c r="A111" s="107" t="e">
        <f>#REF!</f>
        <v>#REF!</v>
      </c>
      <c r="B111" s="107"/>
      <c r="C111" s="107"/>
      <c r="D111" s="107"/>
      <c r="E111" s="107"/>
      <c r="F111" s="107"/>
      <c r="G111" s="107"/>
      <c r="H111" s="107"/>
      <c r="I111" s="107" t="e">
        <f>#REF!</f>
        <v>#REF!</v>
      </c>
      <c r="J111" s="1394" t="e">
        <f>#REF!</f>
        <v>#REF!</v>
      </c>
      <c r="K111" s="1394"/>
      <c r="L111" s="1394"/>
      <c r="M111" s="1394"/>
      <c r="N111" s="188"/>
      <c r="AH111" s="1394"/>
      <c r="AI111" s="1394"/>
      <c r="AK111" s="1394"/>
      <c r="AL111" s="1394"/>
    </row>
    <row r="112" spans="1:38" s="269" customFormat="1" hidden="1">
      <c r="A112" s="314" t="e">
        <f>#REF!</f>
        <v>#REF!</v>
      </c>
      <c r="B112" s="314"/>
      <c r="C112" s="314"/>
      <c r="D112" s="314"/>
      <c r="E112" s="314"/>
      <c r="F112" s="314"/>
      <c r="G112" s="314"/>
      <c r="H112" s="314"/>
      <c r="I112" s="315" t="e">
        <f>#REF!</f>
        <v>#REF!</v>
      </c>
      <c r="J112" s="1394"/>
      <c r="K112" s="1394"/>
      <c r="L112" s="1394"/>
      <c r="M112" s="1394"/>
      <c r="N112" s="188"/>
      <c r="AH112" s="1394"/>
      <c r="AI112" s="1394"/>
      <c r="AK112" s="1394"/>
      <c r="AL112" s="1394"/>
    </row>
    <row r="113" spans="1:38" s="269" customFormat="1" hidden="1">
      <c r="A113" s="316" t="e">
        <f>#REF!</f>
        <v>#REF!</v>
      </c>
      <c r="B113" s="316"/>
      <c r="C113" s="316"/>
      <c r="D113" s="316"/>
      <c r="E113" s="316"/>
      <c r="F113" s="316"/>
      <c r="G113" s="316"/>
      <c r="H113" s="316"/>
      <c r="I113" s="317" t="e">
        <f>#REF!</f>
        <v>#REF!</v>
      </c>
      <c r="J113" s="1392" t="e">
        <f>#REF!</f>
        <v>#REF!</v>
      </c>
      <c r="K113" s="1392"/>
      <c r="L113" s="1392"/>
      <c r="M113" s="1392"/>
      <c r="N113" s="186"/>
      <c r="AH113" s="318"/>
      <c r="AI113" s="318"/>
      <c r="AK113" s="318"/>
      <c r="AL113" s="318"/>
    </row>
    <row r="114" spans="1:38" s="269" customFormat="1" hidden="1">
      <c r="A114" s="316" t="e">
        <f>#REF!</f>
        <v>#REF!</v>
      </c>
      <c r="B114" s="316"/>
      <c r="C114" s="316"/>
      <c r="D114" s="316"/>
      <c r="E114" s="316"/>
      <c r="F114" s="316"/>
      <c r="G114" s="316"/>
      <c r="H114" s="316"/>
      <c r="I114" s="317" t="e">
        <f>#REF!</f>
        <v>#REF!</v>
      </c>
      <c r="J114" s="1392" t="e">
        <f>#REF!</f>
        <v>#REF!</v>
      </c>
      <c r="K114" s="1392"/>
      <c r="L114" s="1392"/>
      <c r="M114" s="1392"/>
      <c r="N114" s="186"/>
      <c r="AH114" s="319"/>
      <c r="AI114" s="319"/>
      <c r="AK114" s="318"/>
      <c r="AL114" s="319"/>
    </row>
    <row r="115" spans="1:38" s="269" customFormat="1" ht="20.100000000000001" hidden="1" customHeight="1">
      <c r="A115" s="320"/>
      <c r="B115" s="320"/>
      <c r="C115" s="320"/>
      <c r="D115" s="320"/>
      <c r="E115" s="320"/>
      <c r="F115" s="320"/>
      <c r="G115" s="320"/>
      <c r="H115" s="320"/>
      <c r="I115" s="315" t="e">
        <f>#REF!</f>
        <v>#REF!</v>
      </c>
      <c r="J115" s="1392" t="e">
        <f>#REF!</f>
        <v>#REF!</v>
      </c>
      <c r="K115" s="1392"/>
      <c r="L115" s="1392"/>
      <c r="M115" s="1392"/>
      <c r="N115" s="188"/>
      <c r="AH115" s="319"/>
      <c r="AI115" s="319"/>
      <c r="AK115" s="319"/>
      <c r="AL115" s="319"/>
    </row>
    <row r="116" spans="1:38" s="269" customFormat="1" hidden="1">
      <c r="A116" s="314" t="e">
        <f>#REF!</f>
        <v>#REF!</v>
      </c>
      <c r="B116" s="314"/>
      <c r="C116" s="314"/>
      <c r="D116" s="314"/>
      <c r="E116" s="314"/>
      <c r="F116" s="314"/>
      <c r="G116" s="314"/>
      <c r="H116" s="314"/>
      <c r="I116" s="315" t="e">
        <f>#REF!</f>
        <v>#REF!</v>
      </c>
      <c r="J116" s="1392"/>
      <c r="K116" s="1392"/>
      <c r="L116" s="1392"/>
      <c r="M116" s="1392"/>
      <c r="N116" s="188"/>
      <c r="AH116" s="1392"/>
      <c r="AI116" s="1392"/>
      <c r="AK116" s="1392"/>
      <c r="AL116" s="1392"/>
    </row>
    <row r="117" spans="1:38" s="269" customFormat="1" hidden="1">
      <c r="A117" s="321" t="e">
        <f>#REF!</f>
        <v>#REF!</v>
      </c>
      <c r="B117" s="321"/>
      <c r="C117" s="321"/>
      <c r="D117" s="321"/>
      <c r="E117" s="321"/>
      <c r="F117" s="321"/>
      <c r="G117" s="321"/>
      <c r="H117" s="321"/>
      <c r="I117" s="315" t="e">
        <f>#REF!</f>
        <v>#REF!</v>
      </c>
      <c r="J117" s="1392"/>
      <c r="K117" s="1392"/>
      <c r="L117" s="1392"/>
      <c r="M117" s="1392"/>
      <c r="N117" s="188"/>
      <c r="AH117" s="1392"/>
      <c r="AI117" s="1392"/>
      <c r="AK117" s="1392"/>
      <c r="AL117" s="1392"/>
    </row>
    <row r="118" spans="1:38" s="269" customFormat="1" hidden="1">
      <c r="A118" s="322" t="e">
        <f>#REF!</f>
        <v>#REF!</v>
      </c>
      <c r="B118" s="322"/>
      <c r="C118" s="322"/>
      <c r="D118" s="322"/>
      <c r="E118" s="322"/>
      <c r="F118" s="322"/>
      <c r="G118" s="322"/>
      <c r="H118" s="322"/>
      <c r="I118" s="315" t="e">
        <f>#REF!</f>
        <v>#REF!</v>
      </c>
      <c r="J118" s="1392"/>
      <c r="K118" s="1392"/>
      <c r="L118" s="1392"/>
      <c r="M118" s="1392"/>
      <c r="N118" s="188"/>
      <c r="AH118" s="1392"/>
      <c r="AI118" s="1392"/>
      <c r="AK118" s="1392"/>
      <c r="AL118" s="1392"/>
    </row>
    <row r="119" spans="1:38" s="269" customFormat="1" hidden="1">
      <c r="A119" s="316" t="e">
        <f>#REF!</f>
        <v>#REF!</v>
      </c>
      <c r="B119" s="316"/>
      <c r="C119" s="316"/>
      <c r="D119" s="316"/>
      <c r="E119" s="316"/>
      <c r="F119" s="316"/>
      <c r="G119" s="316"/>
      <c r="H119" s="316"/>
      <c r="I119" s="317" t="e">
        <f>#REF!</f>
        <v>#REF!</v>
      </c>
      <c r="J119" s="1392" t="e">
        <f>#REF!</f>
        <v>#REF!</v>
      </c>
      <c r="K119" s="1392"/>
      <c r="L119" s="1392"/>
      <c r="M119" s="1392"/>
      <c r="N119" s="186"/>
      <c r="AH119" s="319"/>
      <c r="AI119" s="319"/>
      <c r="AK119" s="318"/>
      <c r="AL119" s="319"/>
    </row>
    <row r="120" spans="1:38" s="269" customFormat="1" hidden="1">
      <c r="A120" s="316" t="e">
        <f>#REF!</f>
        <v>#REF!</v>
      </c>
      <c r="B120" s="316"/>
      <c r="C120" s="316"/>
      <c r="D120" s="316"/>
      <c r="E120" s="316"/>
      <c r="F120" s="316"/>
      <c r="G120" s="316"/>
      <c r="H120" s="316"/>
      <c r="I120" s="317" t="e">
        <f>#REF!</f>
        <v>#REF!</v>
      </c>
      <c r="J120" s="1392" t="e">
        <f>#REF!</f>
        <v>#REF!</v>
      </c>
      <c r="K120" s="1392"/>
      <c r="L120" s="1392"/>
      <c r="M120" s="1392"/>
      <c r="N120" s="186"/>
      <c r="AH120" s="319"/>
      <c r="AI120" s="319"/>
      <c r="AK120" s="318"/>
      <c r="AL120" s="319"/>
    </row>
    <row r="121" spans="1:38" s="269" customFormat="1" hidden="1">
      <c r="A121" s="316" t="e">
        <f>#REF!</f>
        <v>#REF!</v>
      </c>
      <c r="B121" s="316"/>
      <c r="C121" s="316"/>
      <c r="D121" s="316"/>
      <c r="E121" s="316"/>
      <c r="F121" s="316"/>
      <c r="G121" s="316"/>
      <c r="H121" s="316"/>
      <c r="I121" s="317" t="e">
        <f>#REF!</f>
        <v>#REF!</v>
      </c>
      <c r="J121" s="1392" t="e">
        <f>#REF!</f>
        <v>#REF!</v>
      </c>
      <c r="K121" s="1392"/>
      <c r="L121" s="1392"/>
      <c r="M121" s="1392"/>
      <c r="N121" s="186"/>
      <c r="AH121" s="319"/>
      <c r="AI121" s="319"/>
      <c r="AK121" s="318"/>
      <c r="AL121" s="319"/>
    </row>
    <row r="122" spans="1:38" s="269" customFormat="1" hidden="1">
      <c r="A122" s="316" t="e">
        <f>#REF!</f>
        <v>#REF!</v>
      </c>
      <c r="B122" s="316"/>
      <c r="C122" s="316"/>
      <c r="D122" s="316"/>
      <c r="E122" s="316"/>
      <c r="F122" s="316"/>
      <c r="G122" s="316"/>
      <c r="H122" s="316"/>
      <c r="I122" s="317" t="e">
        <f>#REF!</f>
        <v>#REF!</v>
      </c>
      <c r="J122" s="1392" t="e">
        <f>#REF!</f>
        <v>#REF!</v>
      </c>
      <c r="K122" s="1392"/>
      <c r="L122" s="1392"/>
      <c r="M122" s="1392"/>
      <c r="N122" s="186"/>
      <c r="AH122" s="319"/>
      <c r="AI122" s="319"/>
      <c r="AK122" s="318"/>
      <c r="AL122" s="319"/>
    </row>
    <row r="123" spans="1:38" s="269" customFormat="1" hidden="1">
      <c r="A123" s="316"/>
      <c r="B123" s="316"/>
      <c r="C123" s="316"/>
      <c r="D123" s="316"/>
      <c r="E123" s="316"/>
      <c r="F123" s="316"/>
      <c r="G123" s="316"/>
      <c r="H123" s="316"/>
      <c r="I123" s="315" t="e">
        <f>#REF!</f>
        <v>#REF!</v>
      </c>
      <c r="J123" s="1392" t="e">
        <f>#REF!</f>
        <v>#REF!</v>
      </c>
      <c r="K123" s="1392"/>
      <c r="L123" s="1392"/>
      <c r="M123" s="1392"/>
      <c r="N123" s="186"/>
      <c r="AH123" s="319"/>
      <c r="AI123" s="319"/>
      <c r="AK123" s="319"/>
      <c r="AL123" s="319"/>
    </row>
    <row r="124" spans="1:38" s="269" customFormat="1" ht="20.100000000000001" hidden="1" customHeight="1">
      <c r="A124" s="322" t="e">
        <f>#REF!</f>
        <v>#REF!</v>
      </c>
      <c r="B124" s="322"/>
      <c r="C124" s="322"/>
      <c r="D124" s="322"/>
      <c r="E124" s="322"/>
      <c r="F124" s="322"/>
      <c r="G124" s="322"/>
      <c r="H124" s="322"/>
      <c r="I124" s="315" t="e">
        <f>#REF!</f>
        <v>#REF!</v>
      </c>
      <c r="J124" s="1392"/>
      <c r="K124" s="1392"/>
      <c r="L124" s="1392"/>
      <c r="M124" s="1392"/>
      <c r="N124" s="186"/>
      <c r="AH124" s="319"/>
      <c r="AI124" s="319"/>
      <c r="AK124" s="319"/>
      <c r="AL124" s="319"/>
    </row>
    <row r="125" spans="1:38" s="269" customFormat="1" hidden="1">
      <c r="A125" s="316" t="e">
        <f>#REF!</f>
        <v>#REF!</v>
      </c>
      <c r="B125" s="316"/>
      <c r="C125" s="316"/>
      <c r="D125" s="316"/>
      <c r="E125" s="316"/>
      <c r="F125" s="316"/>
      <c r="G125" s="316"/>
      <c r="H125" s="316"/>
      <c r="I125" s="317" t="e">
        <f>#REF!</f>
        <v>#REF!</v>
      </c>
      <c r="J125" s="1392" t="e">
        <f>#REF!</f>
        <v>#REF!</v>
      </c>
      <c r="K125" s="1392"/>
      <c r="L125" s="1392"/>
      <c r="M125" s="1392"/>
      <c r="N125" s="186"/>
      <c r="AH125" s="319"/>
      <c r="AI125" s="319"/>
      <c r="AK125" s="318"/>
      <c r="AL125" s="319"/>
    </row>
    <row r="126" spans="1:38" s="269" customFormat="1" hidden="1">
      <c r="A126" s="316" t="e">
        <f>#REF!</f>
        <v>#REF!</v>
      </c>
      <c r="B126" s="316"/>
      <c r="C126" s="316"/>
      <c r="D126" s="316"/>
      <c r="E126" s="316"/>
      <c r="F126" s="316"/>
      <c r="G126" s="316"/>
      <c r="H126" s="316"/>
      <c r="I126" s="317" t="e">
        <f>#REF!</f>
        <v>#REF!</v>
      </c>
      <c r="J126" s="1392" t="e">
        <f>#REF!</f>
        <v>#REF!</v>
      </c>
      <c r="K126" s="1392"/>
      <c r="L126" s="1392"/>
      <c r="M126" s="1392"/>
      <c r="N126" s="186"/>
      <c r="AH126" s="319"/>
      <c r="AI126" s="319"/>
      <c r="AK126" s="318"/>
      <c r="AL126" s="319"/>
    </row>
    <row r="127" spans="1:38" s="269" customFormat="1" ht="20.100000000000001" hidden="1" customHeight="1">
      <c r="A127" s="316" t="e">
        <f>#REF!</f>
        <v>#REF!</v>
      </c>
      <c r="B127" s="316"/>
      <c r="C127" s="316"/>
      <c r="D127" s="316"/>
      <c r="E127" s="316"/>
      <c r="F127" s="316"/>
      <c r="G127" s="316"/>
      <c r="H127" s="316"/>
      <c r="I127" s="317" t="e">
        <f>#REF!</f>
        <v>#REF!</v>
      </c>
      <c r="J127" s="1392" t="e">
        <f>#REF!</f>
        <v>#REF!</v>
      </c>
      <c r="K127" s="1392"/>
      <c r="L127" s="1392"/>
      <c r="M127" s="1392"/>
      <c r="N127" s="186"/>
      <c r="AH127" s="319"/>
      <c r="AI127" s="319"/>
      <c r="AK127" s="318"/>
      <c r="AL127" s="319"/>
    </row>
    <row r="128" spans="1:38" s="269" customFormat="1" hidden="1">
      <c r="A128" s="316" t="e">
        <f>#REF!</f>
        <v>#REF!</v>
      </c>
      <c r="B128" s="316"/>
      <c r="C128" s="316"/>
      <c r="D128" s="316"/>
      <c r="E128" s="316"/>
      <c r="F128" s="316"/>
      <c r="G128" s="316"/>
      <c r="H128" s="316"/>
      <c r="I128" s="317" t="e">
        <f>#REF!</f>
        <v>#REF!</v>
      </c>
      <c r="J128" s="1392" t="e">
        <f>#REF!</f>
        <v>#REF!</v>
      </c>
      <c r="K128" s="1392"/>
      <c r="L128" s="1392"/>
      <c r="M128" s="1392"/>
      <c r="N128" s="186"/>
      <c r="AH128" s="319"/>
      <c r="AI128" s="319"/>
      <c r="AK128" s="318"/>
      <c r="AL128" s="319"/>
    </row>
    <row r="129" spans="1:38" s="270" customFormat="1" ht="20.100000000000001" hidden="1" customHeight="1">
      <c r="A129" s="323"/>
      <c r="B129" s="323"/>
      <c r="C129" s="323"/>
      <c r="D129" s="323"/>
      <c r="E129" s="323"/>
      <c r="F129" s="323"/>
      <c r="G129" s="323"/>
      <c r="H129" s="323"/>
      <c r="I129" s="315" t="e">
        <f>#REF!</f>
        <v>#REF!</v>
      </c>
      <c r="J129" s="1392" t="e">
        <f>#REF!</f>
        <v>#REF!</v>
      </c>
      <c r="K129" s="1392"/>
      <c r="L129" s="1392"/>
      <c r="M129" s="1392"/>
      <c r="N129" s="186"/>
      <c r="AH129" s="319"/>
      <c r="AI129" s="319"/>
      <c r="AK129" s="319"/>
      <c r="AL129" s="319"/>
    </row>
    <row r="130" spans="1:38" s="269" customFormat="1" ht="24" hidden="1" customHeight="1">
      <c r="A130" s="322" t="e">
        <f>#REF!</f>
        <v>#REF!</v>
      </c>
      <c r="B130" s="322"/>
      <c r="C130" s="322"/>
      <c r="D130" s="322"/>
      <c r="E130" s="322"/>
      <c r="F130" s="322"/>
      <c r="G130" s="322"/>
      <c r="H130" s="322"/>
      <c r="I130" s="315" t="e">
        <f>#REF!</f>
        <v>#REF!</v>
      </c>
      <c r="J130" s="1392"/>
      <c r="K130" s="1392"/>
      <c r="L130" s="1392"/>
      <c r="M130" s="1392"/>
      <c r="N130" s="186"/>
      <c r="AH130" s="319"/>
      <c r="AI130" s="319"/>
      <c r="AK130" s="319"/>
      <c r="AL130" s="319"/>
    </row>
    <row r="131" spans="1:38" s="269" customFormat="1" hidden="1">
      <c r="A131" s="316" t="e">
        <f>#REF!</f>
        <v>#REF!</v>
      </c>
      <c r="B131" s="316"/>
      <c r="C131" s="316"/>
      <c r="D131" s="316"/>
      <c r="E131" s="316"/>
      <c r="F131" s="316"/>
      <c r="G131" s="316"/>
      <c r="H131" s="316"/>
      <c r="I131" s="317" t="e">
        <f>#REF!</f>
        <v>#REF!</v>
      </c>
      <c r="J131" s="1392" t="e">
        <f>#REF!</f>
        <v>#REF!</v>
      </c>
      <c r="K131" s="1392"/>
      <c r="L131" s="1392"/>
      <c r="M131" s="1392"/>
      <c r="N131" s="186"/>
      <c r="AH131" s="319"/>
      <c r="AI131" s="319"/>
      <c r="AK131" s="318"/>
      <c r="AL131" s="319"/>
    </row>
    <row r="132" spans="1:38" s="269" customFormat="1" hidden="1">
      <c r="A132" s="316" t="e">
        <f>#REF!</f>
        <v>#REF!</v>
      </c>
      <c r="B132" s="316"/>
      <c r="C132" s="316"/>
      <c r="D132" s="316"/>
      <c r="E132" s="316"/>
      <c r="F132" s="316"/>
      <c r="G132" s="316"/>
      <c r="H132" s="316"/>
      <c r="I132" s="317" t="e">
        <f>#REF!</f>
        <v>#REF!</v>
      </c>
      <c r="J132" s="1392" t="e">
        <f>#REF!</f>
        <v>#REF!</v>
      </c>
      <c r="K132" s="1392"/>
      <c r="L132" s="1392"/>
      <c r="M132" s="1392"/>
      <c r="N132" s="186"/>
      <c r="AH132" s="319"/>
      <c r="AI132" s="319"/>
      <c r="AK132" s="318"/>
      <c r="AL132" s="319"/>
    </row>
    <row r="133" spans="1:38" s="269" customFormat="1" ht="33" hidden="1" customHeight="1">
      <c r="A133" s="316" t="e">
        <f>#REF!</f>
        <v>#REF!</v>
      </c>
      <c r="B133" s="316"/>
      <c r="C133" s="316"/>
      <c r="D133" s="316"/>
      <c r="E133" s="316"/>
      <c r="F133" s="316"/>
      <c r="G133" s="316"/>
      <c r="H133" s="316"/>
      <c r="I133" s="317" t="e">
        <f>#REF!</f>
        <v>#REF!</v>
      </c>
      <c r="J133" s="1392" t="e">
        <f>#REF!</f>
        <v>#REF!</v>
      </c>
      <c r="K133" s="1392"/>
      <c r="L133" s="1392"/>
      <c r="M133" s="1392"/>
      <c r="N133" s="186"/>
      <c r="AH133" s="319"/>
      <c r="AI133" s="319"/>
      <c r="AK133" s="318"/>
      <c r="AL133" s="319"/>
    </row>
    <row r="134" spans="1:38" s="270" customFormat="1" ht="20.100000000000001" hidden="1" customHeight="1">
      <c r="A134" s="316"/>
      <c r="B134" s="316"/>
      <c r="C134" s="316"/>
      <c r="D134" s="316"/>
      <c r="E134" s="316"/>
      <c r="F134" s="316"/>
      <c r="G134" s="316"/>
      <c r="H134" s="316"/>
      <c r="I134" s="315" t="e">
        <f>#REF!</f>
        <v>#REF!</v>
      </c>
      <c r="J134" s="1392" t="e">
        <f>#REF!</f>
        <v>#REF!</v>
      </c>
      <c r="K134" s="1392"/>
      <c r="L134" s="1392"/>
      <c r="M134" s="1392"/>
      <c r="N134" s="186"/>
      <c r="AH134" s="319"/>
      <c r="AI134" s="319"/>
      <c r="AK134" s="319"/>
      <c r="AL134" s="319"/>
    </row>
    <row r="135" spans="1:38" s="269" customFormat="1" ht="20.100000000000001" hidden="1" customHeight="1">
      <c r="A135" s="322" t="e">
        <f>#REF!</f>
        <v>#REF!</v>
      </c>
      <c r="B135" s="322"/>
      <c r="C135" s="322"/>
      <c r="D135" s="322"/>
      <c r="E135" s="322"/>
      <c r="F135" s="322"/>
      <c r="G135" s="322"/>
      <c r="H135" s="322"/>
      <c r="I135" s="315" t="e">
        <f>#REF!</f>
        <v>#REF!</v>
      </c>
      <c r="J135" s="1392"/>
      <c r="K135" s="1392"/>
      <c r="L135" s="1392"/>
      <c r="M135" s="1392"/>
      <c r="N135" s="186"/>
      <c r="AH135" s="319"/>
      <c r="AI135" s="319"/>
      <c r="AK135" s="319"/>
      <c r="AL135" s="319"/>
    </row>
    <row r="136" spans="1:38" s="269" customFormat="1" hidden="1">
      <c r="A136" s="316" t="e">
        <f>#REF!</f>
        <v>#REF!</v>
      </c>
      <c r="B136" s="316"/>
      <c r="C136" s="316"/>
      <c r="D136" s="316"/>
      <c r="E136" s="316"/>
      <c r="F136" s="316"/>
      <c r="G136" s="316"/>
      <c r="H136" s="316"/>
      <c r="I136" s="317" t="e">
        <f>#REF!</f>
        <v>#REF!</v>
      </c>
      <c r="J136" s="1392" t="e">
        <f>#REF!</f>
        <v>#REF!</v>
      </c>
      <c r="K136" s="1392"/>
      <c r="L136" s="1392"/>
      <c r="M136" s="1392"/>
      <c r="N136" s="186"/>
      <c r="AH136" s="319"/>
      <c r="AI136" s="319"/>
      <c r="AK136" s="318"/>
      <c r="AL136" s="319"/>
    </row>
    <row r="137" spans="1:38" s="269" customFormat="1" hidden="1">
      <c r="A137" s="316" t="e">
        <f>#REF!</f>
        <v>#REF!</v>
      </c>
      <c r="B137" s="316"/>
      <c r="C137" s="316"/>
      <c r="D137" s="316"/>
      <c r="E137" s="316"/>
      <c r="F137" s="316"/>
      <c r="G137" s="316"/>
      <c r="H137" s="316"/>
      <c r="I137" s="317" t="e">
        <f>#REF!</f>
        <v>#REF!</v>
      </c>
      <c r="J137" s="1392" t="e">
        <f>#REF!</f>
        <v>#REF!</v>
      </c>
      <c r="K137" s="1392"/>
      <c r="L137" s="1392"/>
      <c r="M137" s="1392"/>
      <c r="N137" s="186"/>
      <c r="AH137" s="319"/>
      <c r="AI137" s="319"/>
      <c r="AK137" s="318"/>
      <c r="AL137" s="319"/>
    </row>
    <row r="138" spans="1:38" s="269" customFormat="1" hidden="1">
      <c r="A138" s="316" t="e">
        <f>#REF!</f>
        <v>#REF!</v>
      </c>
      <c r="B138" s="316"/>
      <c r="C138" s="316"/>
      <c r="D138" s="316"/>
      <c r="E138" s="316"/>
      <c r="F138" s="316"/>
      <c r="G138" s="316"/>
      <c r="H138" s="316"/>
      <c r="I138" s="317" t="e">
        <f>#REF!</f>
        <v>#REF!</v>
      </c>
      <c r="J138" s="1392" t="e">
        <f>#REF!</f>
        <v>#REF!</v>
      </c>
      <c r="K138" s="1392"/>
      <c r="L138" s="1392"/>
      <c r="M138" s="1392"/>
      <c r="N138" s="186"/>
      <c r="AH138" s="319"/>
      <c r="AI138" s="319"/>
      <c r="AK138" s="318"/>
      <c r="AL138" s="319"/>
    </row>
    <row r="139" spans="1:38" s="269" customFormat="1" hidden="1">
      <c r="A139" s="316"/>
      <c r="B139" s="316"/>
      <c r="C139" s="316"/>
      <c r="D139" s="316"/>
      <c r="E139" s="316"/>
      <c r="F139" s="316"/>
      <c r="G139" s="316"/>
      <c r="H139" s="316"/>
      <c r="I139" s="315" t="e">
        <f>#REF!</f>
        <v>#REF!</v>
      </c>
      <c r="J139" s="1392" t="e">
        <f>#REF!</f>
        <v>#REF!</v>
      </c>
      <c r="K139" s="1392"/>
      <c r="L139" s="1392"/>
      <c r="M139" s="1392"/>
      <c r="N139" s="186"/>
      <c r="AH139" s="319"/>
      <c r="AI139" s="319"/>
      <c r="AK139" s="319"/>
      <c r="AL139" s="319"/>
    </row>
    <row r="140" spans="1:38" s="269" customFormat="1" ht="20.100000000000001" hidden="1" customHeight="1">
      <c r="A140" s="322" t="e">
        <f>#REF!</f>
        <v>#REF!</v>
      </c>
      <c r="B140" s="322"/>
      <c r="C140" s="322"/>
      <c r="D140" s="322"/>
      <c r="E140" s="322"/>
      <c r="F140" s="322"/>
      <c r="G140" s="322"/>
      <c r="H140" s="322"/>
      <c r="I140" s="315" t="e">
        <f>#REF!</f>
        <v>#REF!</v>
      </c>
      <c r="J140" s="1392"/>
      <c r="K140" s="1392"/>
      <c r="L140" s="1392"/>
      <c r="M140" s="1392"/>
      <c r="N140" s="186"/>
      <c r="AH140" s="319"/>
      <c r="AI140" s="319"/>
      <c r="AK140" s="319"/>
      <c r="AL140" s="319"/>
    </row>
    <row r="141" spans="1:38" s="269" customFormat="1" hidden="1">
      <c r="A141" s="316" t="e">
        <f>#REF!</f>
        <v>#REF!</v>
      </c>
      <c r="B141" s="316"/>
      <c r="C141" s="316"/>
      <c r="D141" s="316"/>
      <c r="E141" s="316"/>
      <c r="F141" s="316"/>
      <c r="G141" s="316"/>
      <c r="H141" s="316"/>
      <c r="I141" s="317" t="e">
        <f>#REF!</f>
        <v>#REF!</v>
      </c>
      <c r="J141" s="1392" t="e">
        <f>#REF!</f>
        <v>#REF!</v>
      </c>
      <c r="K141" s="1392"/>
      <c r="L141" s="1392"/>
      <c r="M141" s="1392"/>
      <c r="N141" s="186"/>
      <c r="AH141" s="319"/>
      <c r="AI141" s="319"/>
      <c r="AK141" s="318"/>
      <c r="AL141" s="319"/>
    </row>
    <row r="142" spans="1:38" s="269" customFormat="1" hidden="1">
      <c r="A142" s="316" t="e">
        <f>#REF!</f>
        <v>#REF!</v>
      </c>
      <c r="B142" s="316"/>
      <c r="C142" s="316"/>
      <c r="D142" s="316"/>
      <c r="E142" s="316"/>
      <c r="F142" s="316"/>
      <c r="G142" s="316"/>
      <c r="H142" s="316"/>
      <c r="I142" s="317" t="e">
        <f>#REF!</f>
        <v>#REF!</v>
      </c>
      <c r="J142" s="1392" t="e">
        <f>#REF!</f>
        <v>#REF!</v>
      </c>
      <c r="K142" s="1392"/>
      <c r="L142" s="1392"/>
      <c r="M142" s="1392"/>
      <c r="N142" s="186"/>
      <c r="AH142" s="319"/>
      <c r="AI142" s="319"/>
      <c r="AK142" s="318"/>
      <c r="AL142" s="319"/>
    </row>
    <row r="143" spans="1:38" s="269" customFormat="1" hidden="1">
      <c r="A143" s="316" t="e">
        <f>#REF!</f>
        <v>#REF!</v>
      </c>
      <c r="B143" s="316"/>
      <c r="C143" s="316"/>
      <c r="D143" s="316"/>
      <c r="E143" s="316"/>
      <c r="F143" s="316"/>
      <c r="G143" s="316"/>
      <c r="H143" s="316"/>
      <c r="I143" s="317" t="e">
        <f>#REF!</f>
        <v>#REF!</v>
      </c>
      <c r="J143" s="1392" t="e">
        <f>#REF!</f>
        <v>#REF!</v>
      </c>
      <c r="K143" s="1392"/>
      <c r="L143" s="1392"/>
      <c r="M143" s="1392"/>
      <c r="N143" s="186"/>
      <c r="AH143" s="319"/>
      <c r="AI143" s="319"/>
      <c r="AK143" s="318"/>
      <c r="AL143" s="319"/>
    </row>
    <row r="144" spans="1:38" s="269" customFormat="1" hidden="1">
      <c r="A144" s="316" t="e">
        <f>#REF!</f>
        <v>#REF!</v>
      </c>
      <c r="B144" s="316"/>
      <c r="C144" s="316"/>
      <c r="D144" s="316"/>
      <c r="E144" s="316"/>
      <c r="F144" s="316"/>
      <c r="G144" s="316"/>
      <c r="H144" s="316"/>
      <c r="I144" s="317" t="e">
        <f>#REF!</f>
        <v>#REF!</v>
      </c>
      <c r="J144" s="1392" t="e">
        <f>#REF!</f>
        <v>#REF!</v>
      </c>
      <c r="K144" s="1392"/>
      <c r="L144" s="1392"/>
      <c r="M144" s="1392"/>
      <c r="N144" s="186"/>
      <c r="AH144" s="319"/>
      <c r="AI144" s="319"/>
      <c r="AK144" s="318"/>
      <c r="AL144" s="319"/>
    </row>
    <row r="145" spans="1:38" s="270" customFormat="1" ht="20.100000000000001" hidden="1" customHeight="1">
      <c r="A145" s="316"/>
      <c r="B145" s="316"/>
      <c r="C145" s="316"/>
      <c r="D145" s="316"/>
      <c r="E145" s="316"/>
      <c r="F145" s="316"/>
      <c r="G145" s="316"/>
      <c r="H145" s="316"/>
      <c r="I145" s="315" t="e">
        <f>#REF!</f>
        <v>#REF!</v>
      </c>
      <c r="J145" s="1392" t="e">
        <f>#REF!</f>
        <v>#REF!</v>
      </c>
      <c r="K145" s="1392"/>
      <c r="L145" s="1392"/>
      <c r="M145" s="1392"/>
      <c r="N145" s="186"/>
      <c r="AH145" s="319"/>
      <c r="AI145" s="319"/>
      <c r="AK145" s="319"/>
      <c r="AL145" s="319"/>
    </row>
    <row r="146" spans="1:38" s="269" customFormat="1" ht="20.100000000000001" hidden="1" customHeight="1">
      <c r="A146" s="324"/>
      <c r="B146" s="324"/>
      <c r="C146" s="324"/>
      <c r="D146" s="324"/>
      <c r="E146" s="324"/>
      <c r="F146" s="324"/>
      <c r="G146" s="324"/>
      <c r="H146" s="324"/>
      <c r="I146" s="315" t="e">
        <f>#REF!</f>
        <v>#REF!</v>
      </c>
      <c r="J146" s="1392" t="e">
        <f>#REF!</f>
        <v>#REF!</v>
      </c>
      <c r="K146" s="1392"/>
      <c r="L146" s="1392"/>
      <c r="M146" s="1392"/>
      <c r="N146" s="186"/>
      <c r="AH146" s="319"/>
      <c r="AI146" s="319"/>
      <c r="AK146" s="319"/>
      <c r="AL146" s="319"/>
    </row>
    <row r="147" spans="1:38" s="269" customFormat="1" hidden="1">
      <c r="A147" s="324"/>
      <c r="B147" s="324"/>
      <c r="C147" s="324"/>
      <c r="D147" s="324"/>
      <c r="E147" s="324"/>
      <c r="F147" s="324"/>
      <c r="G147" s="324"/>
      <c r="H147" s="324"/>
      <c r="I147" s="315"/>
      <c r="J147" s="1392"/>
      <c r="K147" s="1392"/>
      <c r="L147" s="1392"/>
      <c r="M147" s="1392"/>
      <c r="N147" s="186"/>
      <c r="AH147" s="319"/>
      <c r="AI147" s="319"/>
      <c r="AK147" s="319"/>
      <c r="AL147" s="319"/>
    </row>
    <row r="148" spans="1:38" s="269" customFormat="1" ht="20.100000000000001" hidden="1" customHeight="1">
      <c r="A148" s="321" t="e">
        <f>#REF!</f>
        <v>#REF!</v>
      </c>
      <c r="B148" s="321"/>
      <c r="C148" s="321"/>
      <c r="D148" s="321"/>
      <c r="E148" s="321"/>
      <c r="F148" s="321"/>
      <c r="G148" s="321"/>
      <c r="H148" s="321"/>
      <c r="I148" s="315" t="e">
        <f>#REF!</f>
        <v>#REF!</v>
      </c>
      <c r="J148" s="1392"/>
      <c r="K148" s="1392"/>
      <c r="L148" s="1392"/>
      <c r="M148" s="1392"/>
      <c r="N148" s="186"/>
      <c r="AH148" s="319"/>
      <c r="AI148" s="319"/>
      <c r="AK148" s="319"/>
      <c r="AL148" s="319"/>
    </row>
    <row r="149" spans="1:38" s="269" customFormat="1" ht="30" hidden="1" customHeight="1">
      <c r="A149" s="322" t="e">
        <f>#REF!</f>
        <v>#REF!</v>
      </c>
      <c r="B149" s="322"/>
      <c r="C149" s="322"/>
      <c r="D149" s="322"/>
      <c r="E149" s="322"/>
      <c r="F149" s="322"/>
      <c r="G149" s="322"/>
      <c r="H149" s="322"/>
      <c r="I149" s="315" t="e">
        <f>#REF!</f>
        <v>#REF!</v>
      </c>
      <c r="J149" s="1392"/>
      <c r="K149" s="1392"/>
      <c r="L149" s="1392"/>
      <c r="M149" s="1392"/>
      <c r="N149" s="186"/>
      <c r="AH149" s="319"/>
      <c r="AI149" s="319"/>
      <c r="AK149" s="319"/>
      <c r="AL149" s="319"/>
    </row>
    <row r="150" spans="1:38" s="269" customFormat="1" hidden="1">
      <c r="A150" s="316" t="e">
        <f>#REF!</f>
        <v>#REF!</v>
      </c>
      <c r="B150" s="316"/>
      <c r="C150" s="316"/>
      <c r="D150" s="316"/>
      <c r="E150" s="316"/>
      <c r="F150" s="316"/>
      <c r="G150" s="316"/>
      <c r="H150" s="316"/>
      <c r="I150" s="317" t="e">
        <f>#REF!</f>
        <v>#REF!</v>
      </c>
      <c r="J150" s="1392" t="e">
        <f>#REF!</f>
        <v>#REF!</v>
      </c>
      <c r="K150" s="1392"/>
      <c r="L150" s="1392"/>
      <c r="M150" s="1392"/>
      <c r="N150" s="186"/>
      <c r="AH150" s="319"/>
      <c r="AI150" s="319"/>
      <c r="AK150" s="318"/>
      <c r="AL150" s="319"/>
    </row>
    <row r="151" spans="1:38" s="269" customFormat="1" hidden="1">
      <c r="A151" s="316" t="e">
        <f>#REF!</f>
        <v>#REF!</v>
      </c>
      <c r="B151" s="316"/>
      <c r="C151" s="316"/>
      <c r="D151" s="316"/>
      <c r="E151" s="316"/>
      <c r="F151" s="316"/>
      <c r="G151" s="316"/>
      <c r="H151" s="316"/>
      <c r="I151" s="317" t="e">
        <f>#REF!</f>
        <v>#REF!</v>
      </c>
      <c r="J151" s="1392" t="e">
        <f>#REF!</f>
        <v>#REF!</v>
      </c>
      <c r="K151" s="1392"/>
      <c r="L151" s="1392"/>
      <c r="M151" s="1392"/>
      <c r="N151" s="186"/>
      <c r="AH151" s="319"/>
      <c r="AI151" s="319"/>
      <c r="AK151" s="318"/>
      <c r="AL151" s="319"/>
    </row>
    <row r="152" spans="1:38" s="269" customFormat="1" hidden="1">
      <c r="A152" s="316" t="e">
        <f>#REF!</f>
        <v>#REF!</v>
      </c>
      <c r="B152" s="316"/>
      <c r="C152" s="316"/>
      <c r="D152" s="316"/>
      <c r="E152" s="316"/>
      <c r="F152" s="316"/>
      <c r="G152" s="316"/>
      <c r="H152" s="316"/>
      <c r="I152" s="317" t="e">
        <f>#REF!</f>
        <v>#REF!</v>
      </c>
      <c r="J152" s="1392" t="e">
        <f>#REF!</f>
        <v>#REF!</v>
      </c>
      <c r="K152" s="1392"/>
      <c r="L152" s="1392"/>
      <c r="M152" s="1392"/>
      <c r="N152" s="186"/>
      <c r="AH152" s="319"/>
      <c r="AI152" s="319"/>
      <c r="AK152" s="318"/>
      <c r="AL152" s="319"/>
    </row>
    <row r="153" spans="1:38" s="269" customFormat="1" ht="20.100000000000001" hidden="1" customHeight="1">
      <c r="A153" s="325"/>
      <c r="B153" s="325"/>
      <c r="C153" s="325"/>
      <c r="D153" s="325"/>
      <c r="E153" s="325"/>
      <c r="F153" s="325"/>
      <c r="G153" s="325"/>
      <c r="H153" s="325"/>
      <c r="I153" s="315" t="e">
        <f>#REF!</f>
        <v>#REF!</v>
      </c>
      <c r="J153" s="1392" t="e">
        <f>#REF!</f>
        <v>#REF!</v>
      </c>
      <c r="K153" s="1392"/>
      <c r="L153" s="1392"/>
      <c r="M153" s="1392"/>
      <c r="N153" s="186"/>
      <c r="AH153" s="319"/>
      <c r="AI153" s="319"/>
      <c r="AK153" s="319"/>
      <c r="AL153" s="319"/>
    </row>
    <row r="154" spans="1:38" s="269" customFormat="1" ht="20.100000000000001" hidden="1" customHeight="1">
      <c r="A154" s="324"/>
      <c r="B154" s="324"/>
      <c r="C154" s="324"/>
      <c r="D154" s="324"/>
      <c r="E154" s="324"/>
      <c r="F154" s="324"/>
      <c r="G154" s="324"/>
      <c r="H154" s="324"/>
      <c r="I154" s="315" t="e">
        <f>#REF!</f>
        <v>#REF!</v>
      </c>
      <c r="J154" s="1392" t="e">
        <f>#REF!</f>
        <v>#REF!</v>
      </c>
      <c r="K154" s="1392"/>
      <c r="L154" s="1392"/>
      <c r="M154" s="1392"/>
      <c r="N154" s="186"/>
      <c r="AH154" s="319"/>
      <c r="AI154" s="319"/>
      <c r="AK154" s="319"/>
      <c r="AL154" s="319"/>
    </row>
    <row r="155" spans="1:38" s="269" customFormat="1" ht="20.100000000000001" hidden="1" customHeight="1">
      <c r="A155" s="314" t="e">
        <f>#REF!</f>
        <v>#REF!</v>
      </c>
      <c r="B155" s="314"/>
      <c r="C155" s="314"/>
      <c r="D155" s="314"/>
      <c r="E155" s="314"/>
      <c r="F155" s="314"/>
      <c r="G155" s="314"/>
      <c r="H155" s="314"/>
      <c r="I155" s="315" t="e">
        <f>#REF!</f>
        <v>#REF!</v>
      </c>
      <c r="J155" s="1392"/>
      <c r="K155" s="1392"/>
      <c r="L155" s="1392"/>
      <c r="M155" s="1392"/>
      <c r="N155" s="186"/>
      <c r="AH155" s="319"/>
      <c r="AI155" s="319"/>
      <c r="AK155" s="319"/>
      <c r="AL155" s="319"/>
    </row>
    <row r="156" spans="1:38" s="269" customFormat="1" ht="30" hidden="1" customHeight="1">
      <c r="A156" s="321" t="e">
        <f>#REF!</f>
        <v>#REF!</v>
      </c>
      <c r="B156" s="321"/>
      <c r="C156" s="321"/>
      <c r="D156" s="321"/>
      <c r="E156" s="321"/>
      <c r="F156" s="321"/>
      <c r="G156" s="321"/>
      <c r="H156" s="321"/>
      <c r="I156" s="315" t="e">
        <f>#REF!</f>
        <v>#REF!</v>
      </c>
      <c r="J156" s="1392"/>
      <c r="K156" s="1392"/>
      <c r="L156" s="1392"/>
      <c r="M156" s="1392"/>
      <c r="N156" s="186"/>
      <c r="AH156" s="319"/>
      <c r="AI156" s="319"/>
      <c r="AK156" s="319"/>
      <c r="AL156" s="319"/>
    </row>
    <row r="157" spans="1:38" s="269" customFormat="1" ht="20.100000000000001" hidden="1" customHeight="1">
      <c r="A157" s="316" t="e">
        <f>#REF!</f>
        <v>#REF!</v>
      </c>
      <c r="B157" s="316"/>
      <c r="C157" s="316"/>
      <c r="D157" s="316"/>
      <c r="E157" s="316"/>
      <c r="F157" s="316"/>
      <c r="G157" s="316"/>
      <c r="H157" s="316"/>
      <c r="I157" s="317" t="e">
        <f>#REF!</f>
        <v>#REF!</v>
      </c>
      <c r="J157" s="1392" t="e">
        <f>#REF!</f>
        <v>#REF!</v>
      </c>
      <c r="K157" s="1392"/>
      <c r="L157" s="1392"/>
      <c r="M157" s="1392"/>
      <c r="N157" s="186"/>
      <c r="AH157" s="319"/>
      <c r="AI157" s="319"/>
      <c r="AK157" s="318"/>
      <c r="AL157" s="319"/>
    </row>
    <row r="158" spans="1:38" s="269" customFormat="1" ht="20.100000000000001" hidden="1" customHeight="1">
      <c r="A158" s="316" t="e">
        <f>#REF!</f>
        <v>#REF!</v>
      </c>
      <c r="B158" s="316"/>
      <c r="C158" s="316"/>
      <c r="D158" s="316"/>
      <c r="E158" s="316"/>
      <c r="F158" s="316"/>
      <c r="G158" s="316"/>
      <c r="H158" s="316"/>
      <c r="I158" s="317" t="e">
        <f>#REF!</f>
        <v>#REF!</v>
      </c>
      <c r="J158" s="1392" t="e">
        <f>#REF!</f>
        <v>#REF!</v>
      </c>
      <c r="K158" s="1392"/>
      <c r="L158" s="1392"/>
      <c r="M158" s="1392"/>
      <c r="N158" s="186"/>
      <c r="AH158" s="319"/>
      <c r="AI158" s="319"/>
      <c r="AK158" s="318"/>
      <c r="AL158" s="319"/>
    </row>
    <row r="159" spans="1:38" s="269" customFormat="1" ht="20.100000000000001" hidden="1" customHeight="1">
      <c r="A159" s="316" t="e">
        <f>#REF!</f>
        <v>#REF!</v>
      </c>
      <c r="B159" s="316"/>
      <c r="C159" s="316"/>
      <c r="D159" s="316"/>
      <c r="E159" s="316"/>
      <c r="F159" s="316"/>
      <c r="G159" s="316"/>
      <c r="H159" s="316"/>
      <c r="I159" s="317" t="e">
        <f>#REF!</f>
        <v>#REF!</v>
      </c>
      <c r="J159" s="1392" t="e">
        <f>#REF!</f>
        <v>#REF!</v>
      </c>
      <c r="K159" s="1392"/>
      <c r="L159" s="1392"/>
      <c r="M159" s="1392"/>
      <c r="N159" s="186"/>
      <c r="AH159" s="319"/>
      <c r="AI159" s="319"/>
      <c r="AK159" s="318"/>
      <c r="AL159" s="319"/>
    </row>
    <row r="160" spans="1:38" s="269" customFormat="1" ht="20.100000000000001" hidden="1" customHeight="1">
      <c r="A160" s="316" t="e">
        <f>#REF!</f>
        <v>#REF!</v>
      </c>
      <c r="B160" s="316"/>
      <c r="C160" s="316"/>
      <c r="D160" s="316"/>
      <c r="E160" s="316"/>
      <c r="F160" s="316"/>
      <c r="G160" s="316"/>
      <c r="H160" s="316"/>
      <c r="I160" s="317" t="e">
        <f>#REF!</f>
        <v>#REF!</v>
      </c>
      <c r="J160" s="1392" t="e">
        <f>#REF!</f>
        <v>#REF!</v>
      </c>
      <c r="K160" s="1392"/>
      <c r="L160" s="1392"/>
      <c r="M160" s="1392"/>
      <c r="N160" s="186"/>
      <c r="AH160" s="319"/>
      <c r="AI160" s="319"/>
      <c r="AK160" s="318"/>
      <c r="AL160" s="319"/>
    </row>
    <row r="161" spans="1:38" s="269" customFormat="1" ht="20.100000000000001" hidden="1" customHeight="1">
      <c r="A161" s="316" t="e">
        <f>#REF!</f>
        <v>#REF!</v>
      </c>
      <c r="B161" s="316"/>
      <c r="C161" s="316"/>
      <c r="D161" s="316"/>
      <c r="E161" s="316"/>
      <c r="F161" s="316"/>
      <c r="G161" s="316"/>
      <c r="H161" s="316"/>
      <c r="I161" s="317" t="e">
        <f>#REF!</f>
        <v>#REF!</v>
      </c>
      <c r="J161" s="1392" t="e">
        <f>#REF!</f>
        <v>#REF!</v>
      </c>
      <c r="K161" s="1392"/>
      <c r="L161" s="1392"/>
      <c r="M161" s="1392"/>
      <c r="N161" s="186"/>
      <c r="AH161" s="319"/>
      <c r="AI161" s="319"/>
      <c r="AK161" s="318"/>
      <c r="AL161" s="319"/>
    </row>
    <row r="162" spans="1:38" s="269" customFormat="1" ht="20.100000000000001" hidden="1" customHeight="1">
      <c r="A162" s="320"/>
      <c r="B162" s="320"/>
      <c r="C162" s="320"/>
      <c r="D162" s="320"/>
      <c r="E162" s="320"/>
      <c r="F162" s="320"/>
      <c r="G162" s="320"/>
      <c r="H162" s="320"/>
      <c r="I162" s="315" t="e">
        <f>#REF!</f>
        <v>#REF!</v>
      </c>
      <c r="J162" s="1392" t="e">
        <f>#REF!</f>
        <v>#REF!</v>
      </c>
      <c r="K162" s="1392"/>
      <c r="L162" s="1392"/>
      <c r="M162" s="1392"/>
      <c r="N162" s="186"/>
      <c r="AH162" s="319"/>
      <c r="AI162" s="319"/>
      <c r="AK162" s="319"/>
      <c r="AL162" s="319"/>
    </row>
    <row r="163" spans="1:38" s="269" customFormat="1" ht="20.100000000000001" hidden="1" customHeight="1">
      <c r="A163" s="321" t="e">
        <f>#REF!</f>
        <v>#REF!</v>
      </c>
      <c r="B163" s="321"/>
      <c r="C163" s="321"/>
      <c r="D163" s="321"/>
      <c r="E163" s="321"/>
      <c r="F163" s="321"/>
      <c r="G163" s="321"/>
      <c r="H163" s="321"/>
      <c r="I163" s="315" t="e">
        <f>#REF!</f>
        <v>#REF!</v>
      </c>
      <c r="J163" s="1392"/>
      <c r="K163" s="1392"/>
      <c r="L163" s="1392"/>
      <c r="M163" s="1392"/>
      <c r="N163" s="186"/>
      <c r="AH163" s="319"/>
      <c r="AI163" s="319"/>
      <c r="AK163" s="319"/>
      <c r="AL163" s="319"/>
    </row>
    <row r="164" spans="1:38" s="269" customFormat="1" ht="20.100000000000001" hidden="1" customHeight="1">
      <c r="A164" s="316" t="e">
        <f>#REF!</f>
        <v>#REF!</v>
      </c>
      <c r="B164" s="316"/>
      <c r="C164" s="316"/>
      <c r="D164" s="316"/>
      <c r="E164" s="316"/>
      <c r="F164" s="316"/>
      <c r="G164" s="316"/>
      <c r="H164" s="316"/>
      <c r="I164" s="326" t="e">
        <f>#REF!</f>
        <v>#REF!</v>
      </c>
      <c r="J164" s="1392" t="e">
        <f>#REF!</f>
        <v>#REF!</v>
      </c>
      <c r="K164" s="1392"/>
      <c r="L164" s="1392"/>
      <c r="M164" s="1392"/>
      <c r="N164" s="186"/>
      <c r="AH164" s="319"/>
      <c r="AI164" s="319"/>
      <c r="AK164" s="318"/>
      <c r="AL164" s="319"/>
    </row>
    <row r="165" spans="1:38" s="269" customFormat="1" ht="20.100000000000001" hidden="1" customHeight="1">
      <c r="A165" s="316" t="e">
        <f>#REF!</f>
        <v>#REF!</v>
      </c>
      <c r="B165" s="316"/>
      <c r="C165" s="316"/>
      <c r="D165" s="316"/>
      <c r="E165" s="316"/>
      <c r="F165" s="316"/>
      <c r="G165" s="316"/>
      <c r="H165" s="316"/>
      <c r="I165" s="326" t="e">
        <f>#REF!</f>
        <v>#REF!</v>
      </c>
      <c r="J165" s="1392" t="e">
        <f>#REF!</f>
        <v>#REF!</v>
      </c>
      <c r="K165" s="1392"/>
      <c r="L165" s="1392"/>
      <c r="M165" s="1392"/>
      <c r="N165" s="186"/>
      <c r="AH165" s="319"/>
      <c r="AI165" s="319"/>
      <c r="AK165" s="318"/>
      <c r="AL165" s="319"/>
    </row>
    <row r="166" spans="1:38" s="269" customFormat="1" ht="20.100000000000001" hidden="1" customHeight="1">
      <c r="A166" s="316" t="e">
        <f>#REF!</f>
        <v>#REF!</v>
      </c>
      <c r="B166" s="316"/>
      <c r="C166" s="316"/>
      <c r="D166" s="316"/>
      <c r="E166" s="316"/>
      <c r="F166" s="316"/>
      <c r="G166" s="316"/>
      <c r="H166" s="316"/>
      <c r="I166" s="326" t="e">
        <f>#REF!</f>
        <v>#REF!</v>
      </c>
      <c r="J166" s="1392" t="e">
        <f>#REF!</f>
        <v>#REF!</v>
      </c>
      <c r="K166" s="1392"/>
      <c r="L166" s="1392"/>
      <c r="M166" s="1392"/>
      <c r="N166" s="186"/>
      <c r="AH166" s="319"/>
      <c r="AI166" s="319"/>
      <c r="AK166" s="318"/>
      <c r="AL166" s="319"/>
    </row>
    <row r="167" spans="1:38" s="269" customFormat="1" ht="20.100000000000001" hidden="1" customHeight="1">
      <c r="A167" s="316" t="e">
        <f>#REF!</f>
        <v>#REF!</v>
      </c>
      <c r="B167" s="316"/>
      <c r="C167" s="316"/>
      <c r="D167" s="316"/>
      <c r="E167" s="316"/>
      <c r="F167" s="316"/>
      <c r="G167" s="316"/>
      <c r="H167" s="316"/>
      <c r="I167" s="326" t="e">
        <f>#REF!</f>
        <v>#REF!</v>
      </c>
      <c r="J167" s="1392" t="e">
        <f>#REF!</f>
        <v>#REF!</v>
      </c>
      <c r="K167" s="1392"/>
      <c r="L167" s="1392"/>
      <c r="M167" s="1392"/>
      <c r="N167" s="186"/>
      <c r="AH167" s="319"/>
      <c r="AI167" s="319"/>
      <c r="AK167" s="318"/>
      <c r="AL167" s="319"/>
    </row>
    <row r="168" spans="1:38" s="269" customFormat="1" ht="20.100000000000001" hidden="1" customHeight="1">
      <c r="A168" s="316" t="e">
        <f>#REF!</f>
        <v>#REF!</v>
      </c>
      <c r="B168" s="316"/>
      <c r="C168" s="316"/>
      <c r="D168" s="316"/>
      <c r="E168" s="316"/>
      <c r="F168" s="316"/>
      <c r="G168" s="316"/>
      <c r="H168" s="316"/>
      <c r="I168" s="326" t="e">
        <f>#REF!</f>
        <v>#REF!</v>
      </c>
      <c r="J168" s="1392" t="e">
        <f>#REF!</f>
        <v>#REF!</v>
      </c>
      <c r="K168" s="1392"/>
      <c r="L168" s="1392"/>
      <c r="M168" s="1392"/>
      <c r="N168" s="186"/>
      <c r="AH168" s="319"/>
      <c r="AI168" s="319"/>
      <c r="AK168" s="318"/>
      <c r="AL168" s="319"/>
    </row>
    <row r="169" spans="1:38" s="269" customFormat="1" ht="20.100000000000001" hidden="1" customHeight="1">
      <c r="A169" s="316" t="e">
        <f>#REF!</f>
        <v>#REF!</v>
      </c>
      <c r="B169" s="316"/>
      <c r="C169" s="316"/>
      <c r="D169" s="316"/>
      <c r="E169" s="316"/>
      <c r="F169" s="316"/>
      <c r="G169" s="316"/>
      <c r="H169" s="316"/>
      <c r="I169" s="326" t="e">
        <f>#REF!</f>
        <v>#REF!</v>
      </c>
      <c r="J169" s="1392" t="e">
        <f>#REF!</f>
        <v>#REF!</v>
      </c>
      <c r="K169" s="1392"/>
      <c r="L169" s="1392"/>
      <c r="M169" s="1392"/>
      <c r="N169" s="186"/>
      <c r="AH169" s="319"/>
      <c r="AI169" s="319"/>
      <c r="AK169" s="318"/>
      <c r="AL169" s="319"/>
    </row>
    <row r="170" spans="1:38" s="269" customFormat="1" ht="20.100000000000001" hidden="1" customHeight="1">
      <c r="A170" s="327"/>
      <c r="B170" s="327"/>
      <c r="C170" s="327"/>
      <c r="D170" s="327"/>
      <c r="E170" s="327"/>
      <c r="F170" s="327"/>
      <c r="G170" s="327"/>
      <c r="H170" s="327"/>
      <c r="I170" s="315" t="e">
        <f>#REF!</f>
        <v>#REF!</v>
      </c>
      <c r="J170" s="1392" t="e">
        <f>#REF!</f>
        <v>#REF!</v>
      </c>
      <c r="K170" s="1392"/>
      <c r="L170" s="1392"/>
      <c r="M170" s="1392"/>
      <c r="N170" s="186"/>
      <c r="AH170" s="319"/>
      <c r="AI170" s="319"/>
      <c r="AK170" s="319"/>
      <c r="AL170" s="319"/>
    </row>
    <row r="171" spans="1:38" s="269" customFormat="1" ht="35.25" hidden="1" customHeight="1">
      <c r="A171" s="321" t="e">
        <f>#REF!</f>
        <v>#REF!</v>
      </c>
      <c r="B171" s="321"/>
      <c r="C171" s="321"/>
      <c r="D171" s="321"/>
      <c r="E171" s="321"/>
      <c r="F171" s="321"/>
      <c r="G171" s="321"/>
      <c r="H171" s="321"/>
      <c r="I171" s="315" t="e">
        <f>#REF!</f>
        <v>#REF!</v>
      </c>
      <c r="J171" s="1392"/>
      <c r="K171" s="1392"/>
      <c r="L171" s="1392"/>
      <c r="M171" s="1392"/>
      <c r="N171" s="186"/>
      <c r="AH171" s="319"/>
      <c r="AI171" s="319"/>
      <c r="AK171" s="319"/>
      <c r="AL171" s="319"/>
    </row>
    <row r="172" spans="1:38" s="269" customFormat="1" ht="19.5" hidden="1" customHeight="1">
      <c r="A172" s="316" t="e">
        <f>#REF!</f>
        <v>#REF!</v>
      </c>
      <c r="B172" s="316"/>
      <c r="C172" s="316"/>
      <c r="D172" s="316"/>
      <c r="E172" s="316"/>
      <c r="F172" s="316"/>
      <c r="G172" s="316"/>
      <c r="H172" s="316"/>
      <c r="I172" s="326" t="e">
        <f>#REF!</f>
        <v>#REF!</v>
      </c>
      <c r="J172" s="1392" t="e">
        <f>#REF!</f>
        <v>#REF!</v>
      </c>
      <c r="K172" s="1392"/>
      <c r="L172" s="1392"/>
      <c r="M172" s="1392"/>
      <c r="N172" s="186"/>
      <c r="AH172" s="319"/>
      <c r="AI172" s="319"/>
      <c r="AK172" s="318"/>
      <c r="AL172" s="319"/>
    </row>
    <row r="173" spans="1:38" s="269" customFormat="1" ht="19.5" hidden="1" customHeight="1">
      <c r="A173" s="316" t="e">
        <f>#REF!</f>
        <v>#REF!</v>
      </c>
      <c r="B173" s="316"/>
      <c r="C173" s="316"/>
      <c r="D173" s="316"/>
      <c r="E173" s="316"/>
      <c r="F173" s="316"/>
      <c r="G173" s="316"/>
      <c r="H173" s="316"/>
      <c r="I173" s="326" t="e">
        <f>#REF!</f>
        <v>#REF!</v>
      </c>
      <c r="J173" s="1392" t="e">
        <f>#REF!</f>
        <v>#REF!</v>
      </c>
      <c r="K173" s="1392"/>
      <c r="L173" s="1392"/>
      <c r="M173" s="1392"/>
      <c r="N173" s="186"/>
      <c r="AH173" s="319"/>
      <c r="AI173" s="319"/>
      <c r="AK173" s="318"/>
      <c r="AL173" s="319"/>
    </row>
    <row r="174" spans="1:38" s="269" customFormat="1" ht="19.5" hidden="1" customHeight="1">
      <c r="A174" s="316" t="e">
        <f>#REF!</f>
        <v>#REF!</v>
      </c>
      <c r="B174" s="316"/>
      <c r="C174" s="316"/>
      <c r="D174" s="316"/>
      <c r="E174" s="316"/>
      <c r="F174" s="316"/>
      <c r="G174" s="316"/>
      <c r="H174" s="316"/>
      <c r="I174" s="326" t="e">
        <f>#REF!</f>
        <v>#REF!</v>
      </c>
      <c r="J174" s="1392" t="e">
        <f>#REF!</f>
        <v>#REF!</v>
      </c>
      <c r="K174" s="1392"/>
      <c r="L174" s="1392"/>
      <c r="M174" s="1392"/>
      <c r="N174" s="186"/>
      <c r="AH174" s="319"/>
      <c r="AI174" s="319"/>
      <c r="AK174" s="318"/>
      <c r="AL174" s="319"/>
    </row>
    <row r="175" spans="1:38" s="269" customFormat="1" ht="19.5" hidden="1" customHeight="1">
      <c r="A175" s="316" t="e">
        <f>#REF!</f>
        <v>#REF!</v>
      </c>
      <c r="B175" s="316"/>
      <c r="C175" s="316"/>
      <c r="D175" s="316"/>
      <c r="E175" s="316"/>
      <c r="F175" s="316"/>
      <c r="G175" s="316"/>
      <c r="H175" s="316"/>
      <c r="I175" s="326" t="e">
        <f>#REF!</f>
        <v>#REF!</v>
      </c>
      <c r="J175" s="1392" t="e">
        <f>#REF!</f>
        <v>#REF!</v>
      </c>
      <c r="K175" s="1392"/>
      <c r="L175" s="1392"/>
      <c r="M175" s="1392"/>
      <c r="N175" s="186"/>
      <c r="AH175" s="319"/>
      <c r="AI175" s="319"/>
      <c r="AK175" s="318"/>
      <c r="AL175" s="319"/>
    </row>
    <row r="176" spans="1:38" s="269" customFormat="1" ht="33" hidden="1" customHeight="1">
      <c r="A176" s="316" t="e">
        <f>#REF!</f>
        <v>#REF!</v>
      </c>
      <c r="B176" s="316"/>
      <c r="C176" s="316"/>
      <c r="D176" s="316"/>
      <c r="E176" s="316"/>
      <c r="F176" s="316"/>
      <c r="G176" s="316"/>
      <c r="H176" s="316"/>
      <c r="I176" s="326" t="e">
        <f>#REF!</f>
        <v>#REF!</v>
      </c>
      <c r="J176" s="1392" t="e">
        <f>#REF!</f>
        <v>#REF!</v>
      </c>
      <c r="K176" s="1392"/>
      <c r="L176" s="1392"/>
      <c r="M176" s="1392"/>
      <c r="N176" s="186"/>
      <c r="AH176" s="319"/>
      <c r="AI176" s="319"/>
      <c r="AK176" s="318"/>
      <c r="AL176" s="319"/>
    </row>
    <row r="177" spans="1:38" s="269" customFormat="1" ht="19.5" hidden="1" customHeight="1">
      <c r="A177" s="316" t="e">
        <f>#REF!</f>
        <v>#REF!</v>
      </c>
      <c r="B177" s="316"/>
      <c r="C177" s="316"/>
      <c r="D177" s="316"/>
      <c r="E177" s="316"/>
      <c r="F177" s="316"/>
      <c r="G177" s="316"/>
      <c r="H177" s="316"/>
      <c r="I177" s="326" t="e">
        <f>#REF!</f>
        <v>#REF!</v>
      </c>
      <c r="J177" s="1392" t="e">
        <f>#REF!</f>
        <v>#REF!</v>
      </c>
      <c r="K177" s="1392"/>
      <c r="L177" s="1392"/>
      <c r="M177" s="1392"/>
      <c r="N177" s="186"/>
      <c r="AH177" s="319"/>
      <c r="AI177" s="319"/>
      <c r="AK177" s="318"/>
      <c r="AL177" s="319"/>
    </row>
    <row r="178" spans="1:38" s="269" customFormat="1" ht="19.5" hidden="1" customHeight="1">
      <c r="A178" s="316" t="e">
        <f>#REF!</f>
        <v>#REF!</v>
      </c>
      <c r="B178" s="316"/>
      <c r="C178" s="316"/>
      <c r="D178" s="316"/>
      <c r="E178" s="316"/>
      <c r="F178" s="316"/>
      <c r="G178" s="316"/>
      <c r="H178" s="316"/>
      <c r="I178" s="326" t="e">
        <f>#REF!</f>
        <v>#REF!</v>
      </c>
      <c r="J178" s="1392" t="e">
        <f>#REF!</f>
        <v>#REF!</v>
      </c>
      <c r="K178" s="1392"/>
      <c r="L178" s="1392"/>
      <c r="M178" s="1392"/>
      <c r="N178" s="186"/>
      <c r="AH178" s="319"/>
      <c r="AI178" s="319"/>
      <c r="AK178" s="318"/>
      <c r="AL178" s="319"/>
    </row>
    <row r="179" spans="1:38" s="269" customFormat="1" ht="19.5" hidden="1" customHeight="1">
      <c r="A179" s="316" t="e">
        <f>#REF!</f>
        <v>#REF!</v>
      </c>
      <c r="B179" s="316"/>
      <c r="C179" s="316"/>
      <c r="D179" s="316"/>
      <c r="E179" s="316"/>
      <c r="F179" s="316"/>
      <c r="G179" s="316"/>
      <c r="H179" s="316"/>
      <c r="I179" s="326" t="e">
        <f>#REF!</f>
        <v>#REF!</v>
      </c>
      <c r="J179" s="1392" t="e">
        <f>#REF!</f>
        <v>#REF!</v>
      </c>
      <c r="K179" s="1392"/>
      <c r="L179" s="1392"/>
      <c r="M179" s="1392"/>
      <c r="N179" s="186"/>
      <c r="AH179" s="319"/>
      <c r="AI179" s="319"/>
      <c r="AK179" s="318"/>
      <c r="AL179" s="319"/>
    </row>
    <row r="180" spans="1:38" s="269" customFormat="1" ht="19.5" hidden="1" customHeight="1">
      <c r="A180" s="316" t="e">
        <f>#REF!</f>
        <v>#REF!</v>
      </c>
      <c r="B180" s="316"/>
      <c r="C180" s="316"/>
      <c r="D180" s="316"/>
      <c r="E180" s="316"/>
      <c r="F180" s="316"/>
      <c r="G180" s="316"/>
      <c r="H180" s="316"/>
      <c r="I180" s="326" t="e">
        <f>#REF!</f>
        <v>#REF!</v>
      </c>
      <c r="J180" s="1392" t="e">
        <f>#REF!</f>
        <v>#REF!</v>
      </c>
      <c r="K180" s="1392"/>
      <c r="L180" s="1392"/>
      <c r="M180" s="1392"/>
      <c r="N180" s="186"/>
      <c r="AH180" s="319"/>
      <c r="AI180" s="319"/>
      <c r="AK180" s="318"/>
      <c r="AL180" s="319"/>
    </row>
    <row r="181" spans="1:38" s="269" customFormat="1" ht="19.5" hidden="1" customHeight="1">
      <c r="A181" s="327"/>
      <c r="B181" s="327"/>
      <c r="C181" s="327"/>
      <c r="D181" s="327"/>
      <c r="E181" s="327"/>
      <c r="F181" s="327"/>
      <c r="G181" s="327"/>
      <c r="H181" s="327"/>
      <c r="I181" s="315" t="e">
        <f>#REF!</f>
        <v>#REF!</v>
      </c>
      <c r="J181" s="1392" t="e">
        <f>#REF!</f>
        <v>#REF!</v>
      </c>
      <c r="K181" s="1392"/>
      <c r="L181" s="1392"/>
      <c r="M181" s="1392"/>
      <c r="N181" s="186"/>
      <c r="AH181" s="319"/>
      <c r="AI181" s="319"/>
      <c r="AK181" s="319"/>
      <c r="AL181" s="319"/>
    </row>
    <row r="182" spans="1:38" s="269" customFormat="1" ht="19.5" hidden="1" customHeight="1">
      <c r="A182" s="321" t="e">
        <f>#REF!</f>
        <v>#REF!</v>
      </c>
      <c r="B182" s="321"/>
      <c r="C182" s="321"/>
      <c r="D182" s="321"/>
      <c r="E182" s="321"/>
      <c r="F182" s="321"/>
      <c r="G182" s="321"/>
      <c r="H182" s="321"/>
      <c r="I182" s="315" t="e">
        <f>#REF!</f>
        <v>#REF!</v>
      </c>
      <c r="J182" s="1392"/>
      <c r="K182" s="1392"/>
      <c r="L182" s="1392"/>
      <c r="M182" s="1392"/>
      <c r="N182" s="186"/>
      <c r="AH182" s="319"/>
      <c r="AI182" s="319"/>
      <c r="AK182" s="319"/>
      <c r="AL182" s="319"/>
    </row>
    <row r="183" spans="1:38" s="269" customFormat="1" ht="19.5" hidden="1" customHeight="1">
      <c r="A183" s="316" t="e">
        <f>#REF!</f>
        <v>#REF!</v>
      </c>
      <c r="B183" s="316"/>
      <c r="C183" s="316"/>
      <c r="D183" s="316"/>
      <c r="E183" s="316"/>
      <c r="F183" s="316"/>
      <c r="G183" s="316"/>
      <c r="H183" s="316"/>
      <c r="I183" s="317" t="e">
        <f>#REF!</f>
        <v>#REF!</v>
      </c>
      <c r="J183" s="1392" t="e">
        <f>#REF!</f>
        <v>#REF!</v>
      </c>
      <c r="K183" s="1392"/>
      <c r="L183" s="1392"/>
      <c r="M183" s="1392"/>
      <c r="N183" s="186"/>
      <c r="AH183" s="319"/>
      <c r="AI183" s="319"/>
      <c r="AK183" s="318"/>
      <c r="AL183" s="319"/>
    </row>
    <row r="184" spans="1:38" s="269" customFormat="1" ht="19.5" hidden="1" customHeight="1">
      <c r="A184" s="316" t="e">
        <f>#REF!</f>
        <v>#REF!</v>
      </c>
      <c r="B184" s="316"/>
      <c r="C184" s="316"/>
      <c r="D184" s="316"/>
      <c r="E184" s="316"/>
      <c r="F184" s="316"/>
      <c r="G184" s="316"/>
      <c r="H184" s="316"/>
      <c r="I184" s="317" t="e">
        <f>#REF!</f>
        <v>#REF!</v>
      </c>
      <c r="J184" s="1392" t="e">
        <f>#REF!</f>
        <v>#REF!</v>
      </c>
      <c r="K184" s="1392"/>
      <c r="L184" s="1392"/>
      <c r="M184" s="1392"/>
      <c r="N184" s="186"/>
      <c r="AH184" s="319"/>
      <c r="AI184" s="319"/>
      <c r="AK184" s="318"/>
      <c r="AL184" s="319"/>
    </row>
    <row r="185" spans="1:38" s="269" customFormat="1" ht="19.5" hidden="1" customHeight="1">
      <c r="A185" s="316" t="e">
        <f>#REF!</f>
        <v>#REF!</v>
      </c>
      <c r="B185" s="316"/>
      <c r="C185" s="316"/>
      <c r="D185" s="316"/>
      <c r="E185" s="316"/>
      <c r="F185" s="316"/>
      <c r="G185" s="316"/>
      <c r="H185" s="316"/>
      <c r="I185" s="317" t="e">
        <f>#REF!</f>
        <v>#REF!</v>
      </c>
      <c r="J185" s="1392" t="e">
        <f>#REF!</f>
        <v>#REF!</v>
      </c>
      <c r="K185" s="1392"/>
      <c r="L185" s="1392"/>
      <c r="M185" s="1392"/>
      <c r="N185" s="186"/>
      <c r="AH185" s="319"/>
      <c r="AI185" s="319"/>
      <c r="AK185" s="318"/>
      <c r="AL185" s="319"/>
    </row>
    <row r="186" spans="1:38" s="269" customFormat="1" ht="19.5" hidden="1" customHeight="1">
      <c r="A186" s="327"/>
      <c r="B186" s="327"/>
      <c r="C186" s="327"/>
      <c r="D186" s="327"/>
      <c r="E186" s="327"/>
      <c r="F186" s="327"/>
      <c r="G186" s="327"/>
      <c r="H186" s="327"/>
      <c r="I186" s="315" t="e">
        <f>#REF!</f>
        <v>#REF!</v>
      </c>
      <c r="J186" s="1392" t="e">
        <f>#REF!</f>
        <v>#REF!</v>
      </c>
      <c r="K186" s="1392"/>
      <c r="L186" s="1392"/>
      <c r="M186" s="1392"/>
      <c r="N186" s="186"/>
      <c r="AH186" s="319"/>
      <c r="AI186" s="319"/>
      <c r="AK186" s="319"/>
      <c r="AL186" s="319"/>
    </row>
    <row r="187" spans="1:38" s="269" customFormat="1" ht="33" hidden="1" customHeight="1">
      <c r="A187" s="321" t="e">
        <f>#REF!</f>
        <v>#REF!</v>
      </c>
      <c r="B187" s="321"/>
      <c r="C187" s="321"/>
      <c r="D187" s="321"/>
      <c r="E187" s="321"/>
      <c r="F187" s="321"/>
      <c r="G187" s="321"/>
      <c r="H187" s="321"/>
      <c r="I187" s="315" t="e">
        <f>#REF!</f>
        <v>#REF!</v>
      </c>
      <c r="J187" s="1392"/>
      <c r="K187" s="1392"/>
      <c r="L187" s="1392"/>
      <c r="M187" s="1392"/>
      <c r="N187" s="186"/>
      <c r="AH187" s="319"/>
      <c r="AI187" s="319"/>
      <c r="AK187" s="319"/>
      <c r="AL187" s="319"/>
    </row>
    <row r="188" spans="1:38" s="269" customFormat="1" ht="19.5" hidden="1" customHeight="1">
      <c r="A188" s="327" t="e">
        <f>#REF!</f>
        <v>#REF!</v>
      </c>
      <c r="B188" s="327"/>
      <c r="C188" s="327"/>
      <c r="D188" s="327"/>
      <c r="E188" s="327"/>
      <c r="F188" s="327"/>
      <c r="G188" s="327"/>
      <c r="H188" s="327"/>
      <c r="I188" s="317" t="e">
        <f>#REF!</f>
        <v>#REF!</v>
      </c>
      <c r="J188" s="1392" t="e">
        <f>#REF!</f>
        <v>#REF!</v>
      </c>
      <c r="K188" s="1392"/>
      <c r="L188" s="1392"/>
      <c r="M188" s="1392"/>
      <c r="N188" s="186"/>
      <c r="AH188" s="319"/>
      <c r="AI188" s="319"/>
      <c r="AK188" s="318"/>
      <c r="AL188" s="319"/>
    </row>
    <row r="189" spans="1:38" s="269" customFormat="1" ht="19.5" hidden="1" customHeight="1">
      <c r="A189" s="327" t="e">
        <f>#REF!</f>
        <v>#REF!</v>
      </c>
      <c r="B189" s="327"/>
      <c r="C189" s="327"/>
      <c r="D189" s="327"/>
      <c r="E189" s="327"/>
      <c r="F189" s="327"/>
      <c r="G189" s="327"/>
      <c r="H189" s="327"/>
      <c r="I189" s="317" t="e">
        <f>#REF!</f>
        <v>#REF!</v>
      </c>
      <c r="J189" s="1392" t="e">
        <f>#REF!</f>
        <v>#REF!</v>
      </c>
      <c r="K189" s="1392"/>
      <c r="L189" s="1392"/>
      <c r="M189" s="1392"/>
      <c r="N189" s="186"/>
      <c r="AH189" s="319"/>
      <c r="AI189" s="319"/>
      <c r="AK189" s="318"/>
      <c r="AL189" s="319"/>
    </row>
    <row r="190" spans="1:38" s="269" customFormat="1" ht="19.5" hidden="1" customHeight="1">
      <c r="A190" s="327" t="e">
        <f>#REF!</f>
        <v>#REF!</v>
      </c>
      <c r="B190" s="327"/>
      <c r="C190" s="327"/>
      <c r="D190" s="327"/>
      <c r="E190" s="327"/>
      <c r="F190" s="327"/>
      <c r="G190" s="327"/>
      <c r="H190" s="327"/>
      <c r="I190" s="317" t="e">
        <f>#REF!</f>
        <v>#REF!</v>
      </c>
      <c r="J190" s="1392" t="e">
        <f>#REF!</f>
        <v>#REF!</v>
      </c>
      <c r="K190" s="1392"/>
      <c r="L190" s="1392"/>
      <c r="M190" s="1392"/>
      <c r="N190" s="186"/>
      <c r="AH190" s="319"/>
      <c r="AI190" s="319"/>
      <c r="AK190" s="318"/>
      <c r="AL190" s="319"/>
    </row>
    <row r="191" spans="1:38" s="269" customFormat="1" ht="19.5" hidden="1" customHeight="1">
      <c r="A191" s="327"/>
      <c r="B191" s="327"/>
      <c r="C191" s="327"/>
      <c r="D191" s="327"/>
      <c r="E191" s="327"/>
      <c r="F191" s="327"/>
      <c r="G191" s="327"/>
      <c r="H191" s="327"/>
      <c r="I191" s="315" t="e">
        <f>#REF!</f>
        <v>#REF!</v>
      </c>
      <c r="J191" s="1392" t="e">
        <f>#REF!</f>
        <v>#REF!</v>
      </c>
      <c r="K191" s="1392"/>
      <c r="L191" s="1392"/>
      <c r="M191" s="1392"/>
      <c r="N191" s="186"/>
      <c r="AH191" s="319"/>
      <c r="AI191" s="319"/>
      <c r="AK191" s="319"/>
      <c r="AL191" s="319"/>
    </row>
    <row r="192" spans="1:38" s="269" customFormat="1" ht="19.5" hidden="1" customHeight="1">
      <c r="A192" s="321" t="e">
        <f>#REF!</f>
        <v>#REF!</v>
      </c>
      <c r="B192" s="321"/>
      <c r="C192" s="321"/>
      <c r="D192" s="321"/>
      <c r="E192" s="321"/>
      <c r="F192" s="321"/>
      <c r="G192" s="321"/>
      <c r="H192" s="321"/>
      <c r="I192" s="315" t="e">
        <f>#REF!</f>
        <v>#REF!</v>
      </c>
      <c r="J192" s="1392"/>
      <c r="K192" s="1392"/>
      <c r="L192" s="1392"/>
      <c r="M192" s="1392"/>
      <c r="N192" s="186"/>
      <c r="AH192" s="319"/>
      <c r="AI192" s="319"/>
      <c r="AK192" s="319"/>
      <c r="AL192" s="319"/>
    </row>
    <row r="193" spans="1:38" s="269" customFormat="1" ht="19.5" hidden="1" customHeight="1">
      <c r="A193" s="316" t="e">
        <f>#REF!</f>
        <v>#REF!</v>
      </c>
      <c r="B193" s="316"/>
      <c r="C193" s="316"/>
      <c r="D193" s="316"/>
      <c r="E193" s="316"/>
      <c r="F193" s="316"/>
      <c r="G193" s="316"/>
      <c r="H193" s="316"/>
      <c r="I193" s="317" t="e">
        <f>#REF!</f>
        <v>#REF!</v>
      </c>
      <c r="J193" s="1392" t="e">
        <f>#REF!</f>
        <v>#REF!</v>
      </c>
      <c r="K193" s="1392"/>
      <c r="L193" s="1392"/>
      <c r="M193" s="1392"/>
      <c r="N193" s="186"/>
      <c r="AH193" s="319"/>
      <c r="AI193" s="319"/>
      <c r="AK193" s="318"/>
      <c r="AL193" s="319"/>
    </row>
    <row r="194" spans="1:38" s="269" customFormat="1" ht="19.5" hidden="1" customHeight="1">
      <c r="A194" s="316" t="e">
        <f>#REF!</f>
        <v>#REF!</v>
      </c>
      <c r="B194" s="316"/>
      <c r="C194" s="316"/>
      <c r="D194" s="316"/>
      <c r="E194" s="316"/>
      <c r="F194" s="316"/>
      <c r="G194" s="316"/>
      <c r="H194" s="316"/>
      <c r="I194" s="317" t="e">
        <f>#REF!</f>
        <v>#REF!</v>
      </c>
      <c r="J194" s="1392" t="e">
        <f>#REF!</f>
        <v>#REF!</v>
      </c>
      <c r="K194" s="1392"/>
      <c r="L194" s="1392"/>
      <c r="M194" s="1392"/>
      <c r="N194" s="186"/>
      <c r="AH194" s="319"/>
      <c r="AI194" s="319"/>
      <c r="AK194" s="318"/>
      <c r="AL194" s="319"/>
    </row>
    <row r="195" spans="1:38" s="269" customFormat="1" ht="19.5" hidden="1" customHeight="1">
      <c r="A195" s="327"/>
      <c r="B195" s="327"/>
      <c r="C195" s="327"/>
      <c r="D195" s="327"/>
      <c r="E195" s="327"/>
      <c r="F195" s="327"/>
      <c r="G195" s="327"/>
      <c r="H195" s="327"/>
      <c r="I195" s="315" t="e">
        <f>#REF!</f>
        <v>#REF!</v>
      </c>
      <c r="J195" s="1392" t="e">
        <f>#REF!</f>
        <v>#REF!</v>
      </c>
      <c r="K195" s="1392"/>
      <c r="L195" s="1392"/>
      <c r="M195" s="1392"/>
      <c r="N195" s="186"/>
      <c r="AH195" s="319"/>
      <c r="AI195" s="319"/>
      <c r="AK195" s="319"/>
      <c r="AL195" s="319"/>
    </row>
    <row r="196" spans="1:38" s="269" customFormat="1" ht="33" hidden="1" customHeight="1">
      <c r="A196" s="321" t="e">
        <f>#REF!</f>
        <v>#REF!</v>
      </c>
      <c r="B196" s="321"/>
      <c r="C196" s="321"/>
      <c r="D196" s="321"/>
      <c r="E196" s="321"/>
      <c r="F196" s="321"/>
      <c r="G196" s="321"/>
      <c r="H196" s="321"/>
      <c r="I196" s="315" t="e">
        <f>#REF!</f>
        <v>#REF!</v>
      </c>
      <c r="J196" s="1392"/>
      <c r="K196" s="1392"/>
      <c r="L196" s="1392"/>
      <c r="M196" s="1392"/>
      <c r="N196" s="186"/>
      <c r="AH196" s="319"/>
      <c r="AI196" s="319"/>
      <c r="AK196" s="319"/>
      <c r="AL196" s="319"/>
    </row>
    <row r="197" spans="1:38" s="269" customFormat="1" ht="19.5" hidden="1" customHeight="1">
      <c r="A197" s="316" t="e">
        <f>#REF!</f>
        <v>#REF!</v>
      </c>
      <c r="B197" s="316"/>
      <c r="C197" s="316"/>
      <c r="D197" s="316"/>
      <c r="E197" s="316"/>
      <c r="F197" s="316"/>
      <c r="G197" s="316"/>
      <c r="H197" s="316"/>
      <c r="I197" s="317" t="e">
        <f>#REF!</f>
        <v>#REF!</v>
      </c>
      <c r="J197" s="1392" t="e">
        <f>#REF!</f>
        <v>#REF!</v>
      </c>
      <c r="K197" s="1392"/>
      <c r="L197" s="1392"/>
      <c r="M197" s="1392"/>
      <c r="N197" s="186"/>
      <c r="AH197" s="319"/>
      <c r="AI197" s="319"/>
      <c r="AK197" s="318"/>
      <c r="AL197" s="319"/>
    </row>
    <row r="198" spans="1:38" s="269" customFormat="1" ht="19.5" hidden="1" customHeight="1">
      <c r="A198" s="316" t="e">
        <f>#REF!</f>
        <v>#REF!</v>
      </c>
      <c r="B198" s="316"/>
      <c r="C198" s="316"/>
      <c r="D198" s="316"/>
      <c r="E198" s="316"/>
      <c r="F198" s="316"/>
      <c r="G198" s="316"/>
      <c r="H198" s="316"/>
      <c r="I198" s="317" t="e">
        <f>#REF!</f>
        <v>#REF!</v>
      </c>
      <c r="J198" s="1392" t="e">
        <f>#REF!</f>
        <v>#REF!</v>
      </c>
      <c r="K198" s="1392"/>
      <c r="L198" s="1392"/>
      <c r="M198" s="1392"/>
      <c r="N198" s="186"/>
      <c r="AH198" s="319"/>
      <c r="AI198" s="319"/>
      <c r="AK198" s="318"/>
      <c r="AL198" s="319"/>
    </row>
    <row r="199" spans="1:38" s="269" customFormat="1" ht="19.5" hidden="1" customHeight="1">
      <c r="A199" s="316" t="e">
        <f>#REF!</f>
        <v>#REF!</v>
      </c>
      <c r="B199" s="316"/>
      <c r="C199" s="316"/>
      <c r="D199" s="316"/>
      <c r="E199" s="316"/>
      <c r="F199" s="316"/>
      <c r="G199" s="316"/>
      <c r="H199" s="316"/>
      <c r="I199" s="317" t="e">
        <f>#REF!</f>
        <v>#REF!</v>
      </c>
      <c r="J199" s="1392" t="e">
        <f>#REF!</f>
        <v>#REF!</v>
      </c>
      <c r="K199" s="1392"/>
      <c r="L199" s="1392"/>
      <c r="M199" s="1392"/>
      <c r="N199" s="186"/>
      <c r="AH199" s="319"/>
      <c r="AI199" s="319"/>
      <c r="AK199" s="318"/>
      <c r="AL199" s="319"/>
    </row>
    <row r="200" spans="1:38" s="269" customFormat="1" ht="19.5" hidden="1" customHeight="1">
      <c r="A200" s="316" t="e">
        <f>#REF!</f>
        <v>#REF!</v>
      </c>
      <c r="B200" s="316"/>
      <c r="C200" s="316"/>
      <c r="D200" s="316"/>
      <c r="E200" s="316"/>
      <c r="F200" s="316"/>
      <c r="G200" s="316"/>
      <c r="H200" s="316"/>
      <c r="I200" s="317" t="e">
        <f>#REF!</f>
        <v>#REF!</v>
      </c>
      <c r="J200" s="1392" t="e">
        <f>#REF!</f>
        <v>#REF!</v>
      </c>
      <c r="K200" s="1392"/>
      <c r="L200" s="1392"/>
      <c r="M200" s="1392"/>
      <c r="N200" s="186"/>
      <c r="AH200" s="319"/>
      <c r="AI200" s="319"/>
      <c r="AK200" s="318"/>
      <c r="AL200" s="319"/>
    </row>
    <row r="201" spans="1:38" s="269" customFormat="1" ht="19.5" hidden="1" customHeight="1">
      <c r="A201" s="316" t="e">
        <f>#REF!</f>
        <v>#REF!</v>
      </c>
      <c r="B201" s="316"/>
      <c r="C201" s="316"/>
      <c r="D201" s="316"/>
      <c r="E201" s="316"/>
      <c r="F201" s="316"/>
      <c r="G201" s="316"/>
      <c r="H201" s="316"/>
      <c r="I201" s="317" t="e">
        <f>#REF!</f>
        <v>#REF!</v>
      </c>
      <c r="J201" s="1392" t="e">
        <f>#REF!</f>
        <v>#REF!</v>
      </c>
      <c r="K201" s="1392"/>
      <c r="L201" s="1392"/>
      <c r="M201" s="1392"/>
      <c r="N201" s="186"/>
      <c r="AH201" s="319"/>
      <c r="AI201" s="319"/>
      <c r="AK201" s="318"/>
      <c r="AL201" s="319"/>
    </row>
    <row r="202" spans="1:38" s="269" customFormat="1" ht="19.5" hidden="1" customHeight="1">
      <c r="A202" s="316" t="e">
        <f>#REF!</f>
        <v>#REF!</v>
      </c>
      <c r="B202" s="316"/>
      <c r="C202" s="316"/>
      <c r="D202" s="316"/>
      <c r="E202" s="316"/>
      <c r="F202" s="316"/>
      <c r="G202" s="316"/>
      <c r="H202" s="316"/>
      <c r="I202" s="317" t="e">
        <f>#REF!</f>
        <v>#REF!</v>
      </c>
      <c r="J202" s="1392" t="e">
        <f>#REF!</f>
        <v>#REF!</v>
      </c>
      <c r="K202" s="1392"/>
      <c r="L202" s="1392"/>
      <c r="M202" s="1392"/>
      <c r="N202" s="186"/>
      <c r="AH202" s="319"/>
      <c r="AI202" s="319"/>
      <c r="AK202" s="318"/>
      <c r="AL202" s="319"/>
    </row>
    <row r="203" spans="1:38" s="269" customFormat="1" ht="19.5" hidden="1" customHeight="1">
      <c r="A203" s="327"/>
      <c r="B203" s="327"/>
      <c r="C203" s="327"/>
      <c r="D203" s="327"/>
      <c r="E203" s="327"/>
      <c r="F203" s="327"/>
      <c r="G203" s="327"/>
      <c r="H203" s="327"/>
      <c r="I203" s="315" t="e">
        <f>#REF!</f>
        <v>#REF!</v>
      </c>
      <c r="J203" s="1392" t="e">
        <f>#REF!</f>
        <v>#REF!</v>
      </c>
      <c r="K203" s="1392"/>
      <c r="L203" s="1392"/>
      <c r="M203" s="1392"/>
      <c r="N203" s="186"/>
      <c r="AH203" s="319"/>
      <c r="AI203" s="319"/>
      <c r="AK203" s="319"/>
      <c r="AL203" s="319"/>
    </row>
    <row r="204" spans="1:38" s="269" customFormat="1" ht="33" hidden="1" customHeight="1">
      <c r="A204" s="321" t="e">
        <f>#REF!</f>
        <v>#REF!</v>
      </c>
      <c r="B204" s="321"/>
      <c r="C204" s="321"/>
      <c r="D204" s="321"/>
      <c r="E204" s="321"/>
      <c r="F204" s="321"/>
      <c r="G204" s="321"/>
      <c r="H204" s="321"/>
      <c r="I204" s="315" t="e">
        <f>#REF!</f>
        <v>#REF!</v>
      </c>
      <c r="J204" s="1392"/>
      <c r="K204" s="1392"/>
      <c r="L204" s="1392"/>
      <c r="M204" s="1392"/>
      <c r="N204" s="186"/>
      <c r="AH204" s="319"/>
      <c r="AI204" s="319"/>
      <c r="AK204" s="319"/>
      <c r="AL204" s="319"/>
    </row>
    <row r="205" spans="1:38" s="269" customFormat="1" ht="33" hidden="1" customHeight="1">
      <c r="A205" s="316" t="e">
        <f>#REF!</f>
        <v>#REF!</v>
      </c>
      <c r="B205" s="316"/>
      <c r="C205" s="316"/>
      <c r="D205" s="316"/>
      <c r="E205" s="316"/>
      <c r="F205" s="316"/>
      <c r="G205" s="316"/>
      <c r="H205" s="316"/>
      <c r="I205" s="317" t="e">
        <f>#REF!</f>
        <v>#REF!</v>
      </c>
      <c r="J205" s="1392" t="e">
        <f>#REF!</f>
        <v>#REF!</v>
      </c>
      <c r="K205" s="1392"/>
      <c r="L205" s="1392"/>
      <c r="M205" s="1392"/>
      <c r="N205" s="186"/>
      <c r="AH205" s="319"/>
      <c r="AI205" s="319"/>
      <c r="AK205" s="318"/>
      <c r="AL205" s="319"/>
    </row>
    <row r="206" spans="1:38" s="269" customFormat="1" ht="19.5" hidden="1" customHeight="1">
      <c r="A206" s="316" t="e">
        <f>#REF!</f>
        <v>#REF!</v>
      </c>
      <c r="B206" s="316"/>
      <c r="C206" s="316"/>
      <c r="D206" s="316"/>
      <c r="E206" s="316"/>
      <c r="F206" s="316"/>
      <c r="G206" s="316"/>
      <c r="H206" s="316"/>
      <c r="I206" s="317" t="e">
        <f>#REF!</f>
        <v>#REF!</v>
      </c>
      <c r="J206" s="1392" t="e">
        <f>#REF!</f>
        <v>#REF!</v>
      </c>
      <c r="K206" s="1392"/>
      <c r="L206" s="1392"/>
      <c r="M206" s="1392"/>
      <c r="N206" s="186"/>
      <c r="AH206" s="319"/>
      <c r="AI206" s="319"/>
      <c r="AK206" s="318"/>
      <c r="AL206" s="319"/>
    </row>
    <row r="207" spans="1:38" s="269" customFormat="1" ht="19.5" hidden="1" customHeight="1">
      <c r="A207" s="316" t="e">
        <f>#REF!</f>
        <v>#REF!</v>
      </c>
      <c r="B207" s="316"/>
      <c r="C207" s="316"/>
      <c r="D207" s="316"/>
      <c r="E207" s="316"/>
      <c r="F207" s="316"/>
      <c r="G207" s="316"/>
      <c r="H207" s="316"/>
      <c r="I207" s="317" t="e">
        <f>#REF!</f>
        <v>#REF!</v>
      </c>
      <c r="J207" s="1392" t="e">
        <f>#REF!</f>
        <v>#REF!</v>
      </c>
      <c r="K207" s="1392"/>
      <c r="L207" s="1392"/>
      <c r="M207" s="1392"/>
      <c r="N207" s="186"/>
      <c r="AH207" s="319"/>
      <c r="AI207" s="319"/>
      <c r="AK207" s="318"/>
      <c r="AL207" s="319"/>
    </row>
    <row r="208" spans="1:38" s="269" customFormat="1" ht="19.5" hidden="1" customHeight="1">
      <c r="A208" s="327" t="e">
        <f>#REF!</f>
        <v>#REF!</v>
      </c>
      <c r="B208" s="327"/>
      <c r="C208" s="327"/>
      <c r="D208" s="327"/>
      <c r="E208" s="327"/>
      <c r="F208" s="327"/>
      <c r="G208" s="327"/>
      <c r="H208" s="327"/>
      <c r="I208" s="315" t="e">
        <f>#REF!</f>
        <v>#REF!</v>
      </c>
      <c r="J208" s="1392" t="e">
        <f>#REF!</f>
        <v>#REF!</v>
      </c>
      <c r="K208" s="1392"/>
      <c r="L208" s="1392"/>
      <c r="M208" s="1392"/>
      <c r="N208" s="186"/>
      <c r="AH208" s="319"/>
      <c r="AI208" s="319"/>
      <c r="AK208" s="319"/>
      <c r="AL208" s="319"/>
    </row>
    <row r="209" spans="1:38" s="269" customFormat="1" ht="33" hidden="1" customHeight="1">
      <c r="A209" s="321" t="e">
        <f>#REF!</f>
        <v>#REF!</v>
      </c>
      <c r="B209" s="321"/>
      <c r="C209" s="321"/>
      <c r="D209" s="321"/>
      <c r="E209" s="321"/>
      <c r="F209" s="321"/>
      <c r="G209" s="321"/>
      <c r="H209" s="321"/>
      <c r="I209" s="315" t="e">
        <f>#REF!</f>
        <v>#REF!</v>
      </c>
      <c r="J209" s="1392"/>
      <c r="K209" s="1392"/>
      <c r="L209" s="1392"/>
      <c r="M209" s="1392"/>
      <c r="N209" s="186"/>
      <c r="AH209" s="319"/>
      <c r="AI209" s="319"/>
      <c r="AK209" s="319"/>
      <c r="AL209" s="319"/>
    </row>
    <row r="210" spans="1:38" s="269" customFormat="1" ht="19.5" hidden="1" customHeight="1">
      <c r="A210" s="316" t="e">
        <f>#REF!</f>
        <v>#REF!</v>
      </c>
      <c r="B210" s="316"/>
      <c r="C210" s="316"/>
      <c r="D210" s="316"/>
      <c r="E210" s="316"/>
      <c r="F210" s="316"/>
      <c r="G210" s="316"/>
      <c r="H210" s="316"/>
      <c r="I210" s="317" t="e">
        <f>#REF!</f>
        <v>#REF!</v>
      </c>
      <c r="J210" s="1392" t="e">
        <f>#REF!</f>
        <v>#REF!</v>
      </c>
      <c r="K210" s="1392"/>
      <c r="L210" s="1392"/>
      <c r="M210" s="1392"/>
      <c r="N210" s="186"/>
      <c r="AH210" s="319"/>
      <c r="AI210" s="319"/>
      <c r="AK210" s="318"/>
      <c r="AL210" s="319"/>
    </row>
    <row r="211" spans="1:38" s="269" customFormat="1" ht="19.5" hidden="1" customHeight="1">
      <c r="A211" s="316" t="e">
        <f>#REF!</f>
        <v>#REF!</v>
      </c>
      <c r="B211" s="316"/>
      <c r="C211" s="316"/>
      <c r="D211" s="316"/>
      <c r="E211" s="316"/>
      <c r="F211" s="316"/>
      <c r="G211" s="316"/>
      <c r="H211" s="316"/>
      <c r="I211" s="317" t="e">
        <f>#REF!</f>
        <v>#REF!</v>
      </c>
      <c r="J211" s="1392" t="e">
        <f>#REF!</f>
        <v>#REF!</v>
      </c>
      <c r="K211" s="1392"/>
      <c r="L211" s="1392"/>
      <c r="M211" s="1392"/>
      <c r="N211" s="186"/>
      <c r="AH211" s="319"/>
      <c r="AI211" s="319"/>
      <c r="AK211" s="318"/>
      <c r="AL211" s="319"/>
    </row>
    <row r="212" spans="1:38" s="269" customFormat="1" ht="32.25" hidden="1" customHeight="1">
      <c r="A212" s="316" t="e">
        <f>#REF!</f>
        <v>#REF!</v>
      </c>
      <c r="B212" s="316"/>
      <c r="C212" s="316"/>
      <c r="D212" s="316"/>
      <c r="E212" s="316"/>
      <c r="F212" s="316"/>
      <c r="G212" s="316"/>
      <c r="H212" s="316"/>
      <c r="I212" s="317" t="e">
        <f>#REF!</f>
        <v>#REF!</v>
      </c>
      <c r="J212" s="1392" t="e">
        <f>#REF!</f>
        <v>#REF!</v>
      </c>
      <c r="K212" s="1392"/>
      <c r="L212" s="1392"/>
      <c r="M212" s="1392"/>
      <c r="N212" s="186"/>
      <c r="AH212" s="319"/>
      <c r="AI212" s="319"/>
      <c r="AK212" s="318"/>
      <c r="AL212" s="319"/>
    </row>
    <row r="213" spans="1:38" s="269" customFormat="1" ht="19.5" hidden="1" customHeight="1">
      <c r="A213" s="316" t="e">
        <f>#REF!</f>
        <v>#REF!</v>
      </c>
      <c r="B213" s="316"/>
      <c r="C213" s="316"/>
      <c r="D213" s="316"/>
      <c r="E213" s="316"/>
      <c r="F213" s="316"/>
      <c r="G213" s="316"/>
      <c r="H213" s="316"/>
      <c r="I213" s="317" t="e">
        <f>#REF!</f>
        <v>#REF!</v>
      </c>
      <c r="J213" s="1392" t="e">
        <f>#REF!</f>
        <v>#REF!</v>
      </c>
      <c r="K213" s="1392"/>
      <c r="L213" s="1392"/>
      <c r="M213" s="1392"/>
      <c r="N213" s="186"/>
      <c r="AH213" s="319"/>
      <c r="AI213" s="319"/>
      <c r="AK213" s="318"/>
      <c r="AL213" s="319"/>
    </row>
    <row r="214" spans="1:38" s="269" customFormat="1" ht="19.5" hidden="1" customHeight="1">
      <c r="A214" s="320"/>
      <c r="B214" s="320"/>
      <c r="C214" s="320"/>
      <c r="D214" s="320"/>
      <c r="E214" s="320"/>
      <c r="F214" s="320"/>
      <c r="G214" s="320"/>
      <c r="H214" s="320"/>
      <c r="I214" s="315" t="e">
        <f>#REF!</f>
        <v>#REF!</v>
      </c>
      <c r="J214" s="1392" t="e">
        <f>#REF!</f>
        <v>#REF!</v>
      </c>
      <c r="K214" s="1392"/>
      <c r="L214" s="1392"/>
      <c r="M214" s="1392"/>
      <c r="N214" s="188"/>
      <c r="AH214" s="319"/>
      <c r="AI214" s="319"/>
      <c r="AK214" s="319"/>
      <c r="AL214" s="319"/>
    </row>
    <row r="215" spans="1:38" s="269" customFormat="1" hidden="1">
      <c r="A215" s="323"/>
      <c r="B215" s="323"/>
      <c r="C215" s="323"/>
      <c r="D215" s="323"/>
      <c r="E215" s="323"/>
      <c r="F215" s="323"/>
      <c r="G215" s="323"/>
      <c r="H215" s="323"/>
      <c r="I215" s="315" t="e">
        <f>#REF!</f>
        <v>#REF!</v>
      </c>
      <c r="J215" s="1392" t="e">
        <f>#REF!</f>
        <v>#REF!</v>
      </c>
      <c r="K215" s="1392"/>
      <c r="L215" s="1392"/>
      <c r="M215" s="1392"/>
      <c r="N215" s="188"/>
      <c r="AH215" s="319"/>
      <c r="AI215" s="319"/>
      <c r="AK215" s="319"/>
      <c r="AL215" s="319"/>
    </row>
    <row r="216" spans="1:38" s="269" customFormat="1" ht="19.5" hidden="1" customHeight="1">
      <c r="A216" s="324"/>
      <c r="B216" s="324"/>
      <c r="C216" s="324"/>
      <c r="D216" s="324"/>
      <c r="E216" s="324"/>
      <c r="F216" s="324"/>
      <c r="G216" s="324"/>
      <c r="H216" s="324"/>
      <c r="I216" s="315" t="e">
        <f>#REF!</f>
        <v>#REF!</v>
      </c>
      <c r="J216" s="1392" t="e">
        <f>#REF!</f>
        <v>#REF!</v>
      </c>
      <c r="K216" s="1392"/>
      <c r="L216" s="1392"/>
      <c r="M216" s="1392"/>
      <c r="N216" s="188"/>
      <c r="AH216" s="319"/>
      <c r="AI216" s="319"/>
      <c r="AK216" s="319"/>
      <c r="AL216" s="319"/>
    </row>
    <row r="217" spans="1:38" s="184" customFormat="1">
      <c r="A217" s="230"/>
      <c r="B217" s="230"/>
      <c r="C217" s="230"/>
      <c r="D217" s="230"/>
      <c r="E217" s="230"/>
      <c r="F217" s="230"/>
      <c r="G217" s="230"/>
      <c r="H217" s="230"/>
      <c r="I217" s="223"/>
      <c r="J217" s="1395"/>
      <c r="K217" s="1395"/>
      <c r="L217" s="1395"/>
      <c r="M217" s="1395"/>
      <c r="N217" s="258"/>
      <c r="O217" s="384"/>
    </row>
    <row r="218" spans="1:38" s="184" customFormat="1">
      <c r="A218" s="205"/>
      <c r="B218" s="205"/>
      <c r="C218" s="205"/>
      <c r="D218" s="205"/>
      <c r="E218" s="205"/>
      <c r="F218" s="205"/>
      <c r="G218" s="205"/>
      <c r="H218" s="205"/>
      <c r="I218" s="193"/>
      <c r="J218" s="193"/>
      <c r="K218" s="193"/>
      <c r="L218" s="193"/>
      <c r="M218" s="193"/>
      <c r="N218" s="258"/>
      <c r="O218" s="384"/>
    </row>
    <row r="219" spans="1:38" s="184" customFormat="1">
      <c r="A219" s="205"/>
      <c r="B219" s="205"/>
      <c r="C219" s="205"/>
      <c r="D219" s="205"/>
      <c r="E219" s="205"/>
      <c r="F219" s="205"/>
      <c r="G219" s="205"/>
      <c r="H219" s="205"/>
      <c r="I219" s="193"/>
      <c r="J219" s="193"/>
      <c r="K219" s="193"/>
      <c r="L219" s="193"/>
      <c r="M219" s="193"/>
      <c r="N219" s="258"/>
      <c r="O219" s="384"/>
    </row>
  </sheetData>
  <sheetProtection algorithmName="SHA-512" hashValue="Ys01kwO3/UpvCBtyjA0lrDZE05zCL4JWojWh2Vpye3C4eaMmhNu7ctL49pkv8JvguPVUwZf3YHylfFDbOl50Ww==" saltValue="2HpYIrg8rD6mv9m9CjmSEg==" spinCount="100000" sheet="1" formatColumns="0" formatRows="0" selectLockedCells="1"/>
  <customSheetViews>
    <customSheetView guid="{9AC181BA-F443-4EA7-A647-328174FE3004}"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5"/>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6"/>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7"/>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1"/>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2"/>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22"/>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2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25"/>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A4:N4"/>
    <mergeCell ref="A3:N3"/>
    <mergeCell ref="A100:M100"/>
    <mergeCell ref="A101:M101"/>
    <mergeCell ref="I10:J10"/>
    <mergeCell ref="I11:J11"/>
    <mergeCell ref="I8:J8"/>
    <mergeCell ref="I9:J9"/>
    <mergeCell ref="A7:J7"/>
    <mergeCell ref="A13:M13"/>
    <mergeCell ref="AK14:AL14"/>
    <mergeCell ref="AH14:AI14"/>
    <mergeCell ref="A104:J104"/>
    <mergeCell ref="J24:M24"/>
    <mergeCell ref="J23:M23"/>
    <mergeCell ref="J22:M22"/>
    <mergeCell ref="E25:M25"/>
    <mergeCell ref="A20:H20"/>
    <mergeCell ref="A21:H21"/>
    <mergeCell ref="B16:N16"/>
    <mergeCell ref="F19:L19"/>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60:M160"/>
    <mergeCell ref="J161:M161"/>
    <mergeCell ref="J162:M162"/>
    <mergeCell ref="J163:M163"/>
    <mergeCell ref="J150:M150"/>
    <mergeCell ref="J151:M151"/>
    <mergeCell ref="J154:M154"/>
    <mergeCell ref="J155:M155"/>
    <mergeCell ref="J156:M156"/>
    <mergeCell ref="J157:M15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80:M180"/>
    <mergeCell ref="J181:M181"/>
    <mergeCell ref="J184:M184"/>
    <mergeCell ref="J185:M185"/>
    <mergeCell ref="J182:M182"/>
    <mergeCell ref="J183:M183"/>
    <mergeCell ref="J178:M178"/>
    <mergeCell ref="J179:M179"/>
    <mergeCell ref="J176:M176"/>
    <mergeCell ref="J177:M177"/>
    <mergeCell ref="J201:M201"/>
    <mergeCell ref="J186:M186"/>
    <mergeCell ref="J187:M187"/>
    <mergeCell ref="J188:M188"/>
    <mergeCell ref="J189:M189"/>
    <mergeCell ref="J190:M190"/>
    <mergeCell ref="J191:M191"/>
    <mergeCell ref="J196:M196"/>
    <mergeCell ref="J197:M197"/>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s>
  <phoneticPr fontId="2" type="noConversion"/>
  <conditionalFormatting sqref="N20">
    <cfRule type="expression" dxfId="12" priority="49" stopIfTrue="1">
      <formula>#REF!=""</formula>
    </cfRule>
  </conditionalFormatting>
  <conditionalFormatting sqref="L18">
    <cfRule type="expression" dxfId="11" priority="29" stopIfTrue="1">
      <formula>K18&gt;0</formula>
    </cfRule>
  </conditionalFormatting>
  <conditionalFormatting sqref="N17">
    <cfRule type="expression" dxfId="10" priority="24" stopIfTrue="1">
      <formula>#REF!=""</formula>
    </cfRule>
  </conditionalFormatting>
  <conditionalFormatting sqref="L17">
    <cfRule type="expression" dxfId="9" priority="23" stopIfTrue="1">
      <formula>K17&gt;0</formula>
    </cfRule>
  </conditionalFormatting>
  <conditionalFormatting sqref="F17">
    <cfRule type="expression" dxfId="8" priority="4" stopIfTrue="1">
      <formula>E17&gt;0</formula>
    </cfRule>
  </conditionalFormatting>
  <conditionalFormatting sqref="F18">
    <cfRule type="expression" dxfId="7" priority="3" stopIfTrue="1">
      <formula>E18&gt;0</formula>
    </cfRule>
  </conditionalFormatting>
  <conditionalFormatting sqref="H17:H18">
    <cfRule type="expression" dxfId="6" priority="2" stopIfTrue="1">
      <formula>G17&gt;0</formula>
    </cfRule>
  </conditionalFormatting>
  <conditionalFormatting sqref="N18">
    <cfRule type="expression" dxfId="5" priority="1"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4.4"/>
  <cols>
    <col min="1" max="1" width="11.33203125" style="379" customWidth="1"/>
    <col min="2" max="2" width="38.109375" style="332" customWidth="1"/>
    <col min="3" max="3" width="7.6640625" style="332" customWidth="1"/>
    <col min="4" max="4" width="10.21875" style="332" customWidth="1"/>
    <col min="5" max="5" width="15.33203125" style="332" customWidth="1"/>
    <col min="6" max="6" width="11.33203125" style="332" customWidth="1"/>
    <col min="7" max="7" width="13.6640625" style="332" customWidth="1"/>
    <col min="8" max="8" width="20.88671875" style="258" customWidth="1"/>
    <col min="9" max="12" width="9" style="384"/>
    <col min="13" max="29" width="9" style="184"/>
    <col min="30" max="30" width="0" style="184" hidden="1" customWidth="1"/>
    <col min="31" max="31" width="13.88671875" style="184" hidden="1" customWidth="1"/>
    <col min="32" max="32" width="13.6640625" style="184" hidden="1" customWidth="1"/>
    <col min="33" max="33" width="21.33203125" style="184" hidden="1" customWidth="1"/>
    <col min="34" max="34" width="12" style="184" hidden="1" customWidth="1"/>
    <col min="35" max="36" width="0" style="184" hidden="1" customWidth="1"/>
    <col min="37" max="45" width="9" style="184"/>
    <col min="46" max="16384" width="9" style="384"/>
  </cols>
  <sheetData>
    <row r="1" spans="1:35" ht="18" customHeight="1">
      <c r="A1" s="81" t="str">
        <f>Cover!B3</f>
        <v>Specification No.: CC/NT/W-AIS/DOM/A00/23/02698</v>
      </c>
      <c r="B1" s="82"/>
      <c r="C1" s="83"/>
      <c r="D1" s="83"/>
      <c r="E1" s="83"/>
      <c r="F1" s="83"/>
      <c r="G1" s="83"/>
    </row>
    <row r="2" spans="1:35" ht="18.600000000000001" customHeight="1">
      <c r="A2" s="385"/>
      <c r="B2" s="386"/>
      <c r="C2" s="387"/>
      <c r="D2" s="387"/>
      <c r="E2" s="387"/>
      <c r="F2" s="387"/>
      <c r="G2" s="387"/>
    </row>
    <row r="3" spans="1:35" ht="55.5" customHeight="1">
      <c r="A3" s="1408" t="str">
        <f>Cover!$B$2</f>
        <v>400kV AIS Substation Extension Package SS-111 for Extension of 400/220 kV Jabalpur Substation associated with Western Region Expansion Scheme-XXXIII (WRES-XXXIII): Part A.</v>
      </c>
      <c r="B3" s="1408"/>
      <c r="C3" s="1408"/>
      <c r="D3" s="1408"/>
      <c r="E3" s="1408"/>
      <c r="F3" s="1408"/>
      <c r="G3" s="1408"/>
      <c r="AD3" s="199" t="s">
        <v>342</v>
      </c>
      <c r="AF3" s="220">
        <f>IF(ISERROR(#REF!/('Sch-6'!D14+'Sch-6'!D16+'Sch-6'!D18)),0,#REF!/( 'Sch-6'!D14+'Sch-6'!D16+'Sch-6'!D18))</f>
        <v>0</v>
      </c>
    </row>
    <row r="4" spans="1:35" ht="22.2" customHeight="1">
      <c r="A4" s="1342" t="s">
        <v>419</v>
      </c>
      <c r="B4" s="1342"/>
      <c r="C4" s="1342"/>
      <c r="D4" s="1342"/>
      <c r="E4" s="1342"/>
      <c r="F4" s="1342"/>
      <c r="G4" s="1342"/>
      <c r="AD4" s="199" t="s">
        <v>343</v>
      </c>
      <c r="AF4" s="220" t="e">
        <f>#REF!</f>
        <v>#REF!</v>
      </c>
    </row>
    <row r="5" spans="1:35" ht="18.600000000000001" customHeight="1">
      <c r="A5" s="68"/>
      <c r="B5" s="107"/>
      <c r="C5" s="107"/>
      <c r="D5" s="107"/>
      <c r="E5" s="107"/>
      <c r="F5" s="107"/>
      <c r="G5" s="107"/>
      <c r="AD5" s="199" t="s">
        <v>350</v>
      </c>
      <c r="AF5" s="220">
        <f>IF(ISERROR(#REF!/#REF!),0,#REF! /#REF!)</f>
        <v>0</v>
      </c>
    </row>
    <row r="6" spans="1:35" ht="28.2" customHeight="1">
      <c r="A6" s="31" t="str">
        <f>'Sch-1'!A6</f>
        <v>Bidder’s Name and Address (Sole Bidder) :</v>
      </c>
      <c r="B6" s="41"/>
      <c r="C6" s="41"/>
      <c r="D6" s="41"/>
      <c r="E6" s="549" t="s">
        <v>396</v>
      </c>
      <c r="F6" s="41"/>
      <c r="G6" s="63"/>
      <c r="AD6" s="199" t="s">
        <v>351</v>
      </c>
      <c r="AF6" s="220" t="e">
        <f>#REF!</f>
        <v>#REF!</v>
      </c>
    </row>
    <row r="7" spans="1:35" ht="36" customHeight="1">
      <c r="A7" s="1396" t="str">
        <f>'Sch-1'!A7</f>
        <v/>
      </c>
      <c r="B7" s="1396"/>
      <c r="C7" s="1396"/>
      <c r="D7" s="467"/>
      <c r="E7" s="550" t="str">
        <f>'Sch-1'!M7</f>
        <v>Contracts Services, 3rd Floor</v>
      </c>
      <c r="F7" s="467"/>
      <c r="G7" s="62"/>
      <c r="AD7" s="199" t="s">
        <v>346</v>
      </c>
      <c r="AF7" s="220" t="e">
        <f>SUM(AF3:AF6)</f>
        <v>#REF!</v>
      </c>
    </row>
    <row r="8" spans="1:35" ht="28.2" customHeight="1">
      <c r="A8" s="42" t="s">
        <v>412</v>
      </c>
      <c r="B8" s="1379" t="str">
        <f>IF('Sch-1'!C8=0, "", 'Sch-1'!C8)</f>
        <v xml:space="preserve">…….. …….. …….. …….. …….. …….. </v>
      </c>
      <c r="C8" s="1379"/>
      <c r="D8" s="466"/>
      <c r="E8" s="550" t="str">
        <f>'Sch-1'!M8</f>
        <v>Power Grid Corporation of India Ltd.,</v>
      </c>
      <c r="F8" s="466"/>
      <c r="G8" s="62"/>
    </row>
    <row r="9" spans="1:35" ht="28.2" customHeight="1">
      <c r="A9" s="42" t="s">
        <v>413</v>
      </c>
      <c r="B9" s="1379" t="str">
        <f>IF('Sch-1'!C9=0, "", 'Sch-1'!C9)</f>
        <v xml:space="preserve">…….. …….. …….. …….. …….. …….. </v>
      </c>
      <c r="C9" s="1379"/>
      <c r="D9" s="466"/>
      <c r="E9" s="550" t="str">
        <f>'Sch-1'!M9</f>
        <v>"Saudamini", Plot No.-2</v>
      </c>
      <c r="F9" s="466"/>
      <c r="G9" s="62"/>
    </row>
    <row r="10" spans="1:35" ht="28.2" customHeight="1">
      <c r="A10" s="388"/>
      <c r="B10" s="1410" t="str">
        <f>IF('Sch-1'!C10=0, "", 'Sch-1'!C10)</f>
        <v xml:space="preserve">…….. …….. …….. …….. …….. …….. </v>
      </c>
      <c r="C10" s="1410"/>
      <c r="D10" s="389"/>
      <c r="E10" s="550" t="str">
        <f>'Sch-1'!M10</f>
        <v xml:space="preserve">Sector-29, </v>
      </c>
      <c r="F10" s="389"/>
      <c r="G10" s="333"/>
      <c r="AD10" s="199" t="s">
        <v>276</v>
      </c>
      <c r="AF10" s="227">
        <f>'Sch-1'!AA10</f>
        <v>0</v>
      </c>
    </row>
    <row r="11" spans="1:35" ht="28.2" customHeight="1">
      <c r="A11" s="388"/>
      <c r="B11" s="1410" t="str">
        <f>IF('Sch-1'!C11=0, "", 'Sch-1'!C11)</f>
        <v xml:space="preserve">…….. …….. …….. …….. …….. …….. </v>
      </c>
      <c r="C11" s="1410"/>
      <c r="D11" s="389"/>
      <c r="E11" s="550" t="str">
        <f>'Sch-1'!M11</f>
        <v>Gurgaon (Haryana) - 122001</v>
      </c>
      <c r="F11" s="389"/>
      <c r="G11" s="333"/>
      <c r="AD11" s="199"/>
      <c r="AF11" s="220"/>
    </row>
    <row r="12" spans="1:35" ht="18.600000000000001" customHeight="1">
      <c r="A12" s="388"/>
      <c r="B12" s="389"/>
      <c r="C12" s="389"/>
      <c r="D12" s="389"/>
      <c r="E12" s="389"/>
      <c r="F12" s="389"/>
      <c r="G12" s="333"/>
      <c r="AD12" s="199"/>
      <c r="AF12" s="220"/>
    </row>
    <row r="13" spans="1:35" ht="28.2" customHeight="1">
      <c r="A13" s="1411" t="s">
        <v>69</v>
      </c>
      <c r="B13" s="1411"/>
      <c r="C13" s="1411"/>
      <c r="D13" s="1411"/>
      <c r="E13" s="1411"/>
      <c r="F13" s="1411"/>
      <c r="G13" s="1412"/>
    </row>
    <row r="14" spans="1:35" ht="33.75" customHeight="1">
      <c r="A14" s="108" t="s">
        <v>434</v>
      </c>
      <c r="B14" s="534" t="s">
        <v>372</v>
      </c>
      <c r="C14" s="534" t="s">
        <v>353</v>
      </c>
      <c r="D14" s="534" t="s">
        <v>354</v>
      </c>
      <c r="E14" s="534" t="s">
        <v>62</v>
      </c>
      <c r="F14" s="109" t="s">
        <v>373</v>
      </c>
      <c r="G14" s="313"/>
      <c r="AE14" s="1395" t="s">
        <v>277</v>
      </c>
      <c r="AF14" s="1395"/>
      <c r="AG14" s="201" t="s">
        <v>285</v>
      </c>
      <c r="AH14" s="1395" t="s">
        <v>278</v>
      </c>
      <c r="AI14" s="1395"/>
    </row>
    <row r="15" spans="1:35" s="471" customFormat="1" ht="15.6">
      <c r="A15" s="555" t="s">
        <v>340</v>
      </c>
      <c r="B15" s="551" t="e">
        <f>'Sch-7'!#REF!</f>
        <v>#REF!</v>
      </c>
      <c r="C15" s="551"/>
      <c r="D15" s="551"/>
      <c r="E15" s="552"/>
      <c r="F15" s="553"/>
    </row>
    <row r="16" spans="1:35" s="471" customFormat="1" ht="15.6">
      <c r="A16" s="556" t="s">
        <v>459</v>
      </c>
      <c r="B16" s="551" t="e">
        <f>'Sch-7'!#REF!</f>
        <v>#REF!</v>
      </c>
      <c r="C16" s="551" t="e">
        <f>'Sch-7'!#REF!</f>
        <v>#REF!</v>
      </c>
      <c r="D16" s="551" t="e">
        <f>'Sch-7'!#REF!</f>
        <v>#REF!</v>
      </c>
      <c r="E16" s="552" t="e">
        <f>'Sch-7'!#REF!</f>
        <v>#REF!</v>
      </c>
      <c r="F16" s="553" t="e">
        <f>IF(E16=0, "Included", IF(ISERROR(D16*E16), E16, D16*E16))</f>
        <v>#REF!</v>
      </c>
    </row>
    <row r="17" spans="1:35" s="471" customFormat="1" ht="15.6">
      <c r="A17" s="556" t="s">
        <v>460</v>
      </c>
      <c r="B17" s="551" t="e">
        <f>'Sch-7'!#REF!</f>
        <v>#REF!</v>
      </c>
      <c r="C17" s="551" t="e">
        <f>'Sch-7'!#REF!</f>
        <v>#REF!</v>
      </c>
      <c r="D17" s="551" t="e">
        <f>'Sch-7'!#REF!</f>
        <v>#REF!</v>
      </c>
      <c r="E17" s="552" t="e">
        <f>'Sch-7'!#REF!</f>
        <v>#REF!</v>
      </c>
      <c r="F17" s="553" t="e">
        <f>IF(E17=0, "Included", IF(ISERROR(D17*E17), E17, D17*E17))</f>
        <v>#REF!</v>
      </c>
    </row>
    <row r="18" spans="1:35" s="471" customFormat="1" ht="15.6">
      <c r="A18" s="559"/>
      <c r="B18" s="561" t="s">
        <v>21</v>
      </c>
      <c r="C18" s="561"/>
      <c r="D18" s="561"/>
      <c r="E18" s="561"/>
      <c r="F18" s="562" t="e">
        <f>SUM(F16:F17)</f>
        <v>#REF!</v>
      </c>
    </row>
    <row r="19" spans="1:35" s="471" customFormat="1" ht="15.6">
      <c r="A19" s="560"/>
      <c r="B19" s="561" t="s">
        <v>22</v>
      </c>
      <c r="C19" s="561"/>
      <c r="D19" s="561"/>
      <c r="E19" s="561"/>
      <c r="F19" s="563" t="e">
        <f>F18</f>
        <v>#REF!</v>
      </c>
    </row>
    <row r="20" spans="1:35" ht="18.600000000000001" customHeight="1">
      <c r="A20" s="548"/>
      <c r="B20" s="307"/>
      <c r="C20" s="307"/>
      <c r="D20" s="307"/>
      <c r="E20" s="307"/>
      <c r="F20" s="307"/>
      <c r="G20" s="547"/>
      <c r="AE20" s="228"/>
      <c r="AF20" s="228"/>
      <c r="AH20" s="228"/>
      <c r="AI20" s="228"/>
    </row>
    <row r="21" spans="1:35" ht="30.75" customHeight="1">
      <c r="A21" s="468"/>
      <c r="B21" s="468"/>
      <c r="C21" s="468"/>
      <c r="D21" s="468"/>
      <c r="E21" s="468"/>
      <c r="F21" s="468"/>
      <c r="G21" s="468"/>
      <c r="H21" s="259"/>
      <c r="AD21" s="257" t="s">
        <v>260</v>
      </c>
      <c r="AE21" s="229" t="e">
        <f>#REF!-#REF!</f>
        <v>#REF!</v>
      </c>
      <c r="AG21" s="257" t="s">
        <v>279</v>
      </c>
      <c r="AH21" s="229" t="e">
        <f>#REF!-#REF!</f>
        <v>#REF!</v>
      </c>
    </row>
    <row r="22" spans="1:35" ht="18.600000000000001" customHeight="1">
      <c r="A22" s="1413"/>
      <c r="B22" s="1413"/>
      <c r="C22" s="1413"/>
      <c r="D22" s="1413"/>
      <c r="E22" s="1413"/>
      <c r="F22" s="1413"/>
      <c r="G22" s="1413"/>
      <c r="AD22" s="184" t="s">
        <v>285</v>
      </c>
      <c r="AE22" s="257" t="e">
        <f>IF(#REF!&gt;0,#REF!&amp; " Item(s) in Sch-3", "")</f>
        <v>#REF!</v>
      </c>
      <c r="AF22" s="229"/>
    </row>
    <row r="23" spans="1:35" ht="28.2" customHeight="1">
      <c r="A23" s="390"/>
      <c r="B23" s="390"/>
      <c r="C23" s="1335" t="s">
        <v>367</v>
      </c>
      <c r="D23" s="1335"/>
      <c r="E23" s="1335"/>
      <c r="F23" s="1335"/>
      <c r="G23" s="1335"/>
      <c r="AE23" s="257"/>
      <c r="AF23" s="229"/>
    </row>
    <row r="24" spans="1:35" ht="28.2" customHeight="1">
      <c r="A24" s="99" t="s">
        <v>406</v>
      </c>
      <c r="B24" s="114" t="str">
        <f>'Sch-1'!B158</f>
        <v>--</v>
      </c>
      <c r="C24" s="1335" t="str">
        <f>"Printed Name   : " &amp; 'Sch-1'!M159</f>
        <v xml:space="preserve">Printed Name   : </v>
      </c>
      <c r="D24" s="1335"/>
      <c r="E24" s="1335"/>
      <c r="F24" s="1335"/>
      <c r="G24" s="1335"/>
    </row>
    <row r="25" spans="1:35" ht="28.2" customHeight="1">
      <c r="A25" s="99" t="s">
        <v>407</v>
      </c>
      <c r="B25" s="110" t="str">
        <f>'Sch-1'!B159</f>
        <v/>
      </c>
      <c r="C25" s="1335" t="str">
        <f>"Designation      : " &amp; 'Sch-1'!M160</f>
        <v xml:space="preserve">Designation      : </v>
      </c>
      <c r="D25" s="1335"/>
      <c r="E25" s="1335"/>
      <c r="F25" s="1335"/>
      <c r="G25" s="1335"/>
    </row>
    <row r="26" spans="1:35" ht="28.2" customHeight="1">
      <c r="A26" s="387"/>
      <c r="B26" s="386"/>
      <c r="C26" s="1335" t="s">
        <v>310</v>
      </c>
      <c r="D26" s="1335"/>
      <c r="E26" s="1335"/>
      <c r="F26" s="1335"/>
      <c r="G26" s="1335"/>
    </row>
    <row r="27" spans="1:35" ht="28.2" customHeight="1">
      <c r="A27" s="387"/>
      <c r="B27" s="386"/>
      <c r="C27" s="307"/>
      <c r="D27" s="307"/>
      <c r="E27" s="307"/>
      <c r="F27" s="307"/>
      <c r="G27" s="307"/>
    </row>
    <row r="28" spans="1:35" ht="36.75" customHeight="1">
      <c r="A28" s="111" t="s">
        <v>66</v>
      </c>
      <c r="B28" s="1414" t="s">
        <v>375</v>
      </c>
      <c r="C28" s="1414"/>
      <c r="D28" s="1414"/>
      <c r="E28" s="1414"/>
      <c r="F28" s="1414"/>
      <c r="G28" s="1414"/>
    </row>
    <row r="29" spans="1:35" ht="31.5" customHeight="1">
      <c r="H29" s="260"/>
    </row>
    <row r="101" spans="1:12" s="184" customFormat="1">
      <c r="A101" s="205"/>
      <c r="B101" s="193"/>
      <c r="C101" s="193"/>
      <c r="D101" s="193"/>
      <c r="E101" s="193"/>
      <c r="F101" s="193"/>
      <c r="G101" s="193"/>
      <c r="H101" s="258"/>
      <c r="I101" s="384"/>
      <c r="J101" s="384"/>
      <c r="K101" s="384"/>
      <c r="L101" s="384"/>
    </row>
    <row r="102" spans="1:12" s="184" customFormat="1">
      <c r="A102" s="205"/>
      <c r="B102" s="193"/>
      <c r="C102" s="193"/>
      <c r="D102" s="193"/>
      <c r="E102" s="193"/>
      <c r="F102" s="193"/>
      <c r="G102" s="193"/>
      <c r="H102" s="258"/>
      <c r="I102" s="384"/>
      <c r="J102" s="384"/>
      <c r="K102" s="384"/>
      <c r="L102" s="384"/>
    </row>
    <row r="103" spans="1:12" s="184" customFormat="1">
      <c r="A103" s="205"/>
      <c r="B103" s="193"/>
      <c r="C103" s="193"/>
      <c r="D103" s="193"/>
      <c r="E103" s="193"/>
      <c r="F103" s="193"/>
      <c r="G103" s="193"/>
      <c r="H103" s="258"/>
      <c r="I103" s="384"/>
      <c r="J103" s="384"/>
      <c r="K103" s="384"/>
      <c r="L103" s="384"/>
    </row>
    <row r="104" spans="1:12" s="269" customFormat="1" hidden="1">
      <c r="A104" s="186" t="str">
        <f>A1</f>
        <v>Specification No.: CC/NT/W-AIS/DOM/A00/23/02698</v>
      </c>
      <c r="B104" s="99"/>
      <c r="C104" s="189"/>
      <c r="D104" s="189"/>
      <c r="E104" s="189"/>
      <c r="F104" s="189"/>
      <c r="G104" s="189"/>
      <c r="H104" s="188"/>
    </row>
    <row r="105" spans="1:12" s="269" customFormat="1" hidden="1">
      <c r="A105" s="67"/>
      <c r="B105" s="88"/>
      <c r="C105" s="89"/>
      <c r="D105" s="89"/>
      <c r="E105" s="89"/>
      <c r="F105" s="89"/>
      <c r="G105" s="89"/>
      <c r="H105" s="188"/>
    </row>
    <row r="106" spans="1:12" s="269" customFormat="1" ht="35.25" hidden="1" customHeight="1">
      <c r="A106" s="1408" t="str">
        <f t="shared" ref="A106:C107" si="0">A3</f>
        <v>400kV AIS Substation Extension Package SS-111 for Extension of 400/220 kV Jabalpur Substation associated with Western Region Expansion Scheme-XXXIII (WRES-XXXIII): Part A.</v>
      </c>
      <c r="B106" s="1408">
        <f t="shared" si="0"/>
        <v>0</v>
      </c>
      <c r="C106" s="1408">
        <f t="shared" si="0"/>
        <v>0</v>
      </c>
      <c r="D106" s="1408"/>
      <c r="E106" s="1408"/>
      <c r="F106" s="1408"/>
      <c r="G106" s="1408">
        <f>G3</f>
        <v>0</v>
      </c>
      <c r="H106" s="188"/>
    </row>
    <row r="107" spans="1:12" s="269" customFormat="1" hidden="1">
      <c r="A107" s="1409" t="str">
        <f t="shared" si="0"/>
        <v>(SCHEDULE OF RATES AND PRICES : TYPE TEST CHARGES)</v>
      </c>
      <c r="B107" s="1409">
        <f t="shared" si="0"/>
        <v>0</v>
      </c>
      <c r="C107" s="1409">
        <f t="shared" si="0"/>
        <v>0</v>
      </c>
      <c r="D107" s="1409"/>
      <c r="E107" s="1409"/>
      <c r="F107" s="1409"/>
      <c r="G107" s="1409">
        <f>G4</f>
        <v>0</v>
      </c>
      <c r="H107" s="188"/>
    </row>
    <row r="108" spans="1:12" s="269" customFormat="1" hidden="1">
      <c r="A108" s="68"/>
      <c r="B108" s="107"/>
      <c r="C108" s="107"/>
      <c r="D108" s="107"/>
      <c r="E108" s="107"/>
      <c r="F108" s="107"/>
      <c r="G108" s="107"/>
      <c r="H108" s="188"/>
    </row>
    <row r="109" spans="1:12" s="269" customFormat="1" hidden="1">
      <c r="A109" s="31" t="str">
        <f>A6</f>
        <v>Bidder’s Name and Address (Sole Bidder) :</v>
      </c>
      <c r="B109" s="41"/>
      <c r="C109" s="41"/>
      <c r="D109" s="41"/>
      <c r="E109" s="41"/>
      <c r="F109" s="41"/>
      <c r="G109" s="63">
        <f t="shared" ref="G109:G114" si="1">G6</f>
        <v>0</v>
      </c>
      <c r="H109" s="188"/>
    </row>
    <row r="110" spans="1:12" s="269" customFormat="1" hidden="1">
      <c r="A110" s="1396" t="str">
        <f>A7</f>
        <v/>
      </c>
      <c r="B110" s="1396">
        <f t="shared" ref="B110:C114" si="2">B7</f>
        <v>0</v>
      </c>
      <c r="C110" s="1396">
        <f t="shared" si="2"/>
        <v>0</v>
      </c>
      <c r="D110" s="467"/>
      <c r="E110" s="467"/>
      <c r="F110" s="467"/>
      <c r="G110" s="62">
        <f t="shared" si="1"/>
        <v>0</v>
      </c>
      <c r="H110" s="188"/>
    </row>
    <row r="111" spans="1:12" s="269" customFormat="1" hidden="1">
      <c r="A111" s="42" t="str">
        <f>A8</f>
        <v>Name     :</v>
      </c>
      <c r="B111" s="1379" t="str">
        <f t="shared" si="2"/>
        <v xml:space="preserve">…….. …….. …….. …….. …….. …….. </v>
      </c>
      <c r="C111" s="1379">
        <f t="shared" si="2"/>
        <v>0</v>
      </c>
      <c r="D111" s="466"/>
      <c r="E111" s="466"/>
      <c r="F111" s="466"/>
      <c r="G111" s="62">
        <f t="shared" si="1"/>
        <v>0</v>
      </c>
      <c r="H111" s="188"/>
    </row>
    <row r="112" spans="1:12" s="269" customFormat="1" hidden="1">
      <c r="A112" s="42" t="str">
        <f>A9</f>
        <v>Address :</v>
      </c>
      <c r="B112" s="1379" t="str">
        <f t="shared" si="2"/>
        <v xml:space="preserve">…….. …….. …….. …….. …….. …….. </v>
      </c>
      <c r="C112" s="1379">
        <f t="shared" si="2"/>
        <v>0</v>
      </c>
      <c r="D112" s="466"/>
      <c r="E112" s="466"/>
      <c r="F112" s="466"/>
      <c r="G112" s="62">
        <f t="shared" si="1"/>
        <v>0</v>
      </c>
      <c r="H112" s="188"/>
    </row>
    <row r="113" spans="1:35" s="269" customFormat="1" hidden="1">
      <c r="A113" s="43"/>
      <c r="B113" s="1379" t="str">
        <f t="shared" si="2"/>
        <v xml:space="preserve">…….. …….. …….. …….. …….. …….. </v>
      </c>
      <c r="C113" s="1379">
        <f t="shared" si="2"/>
        <v>0</v>
      </c>
      <c r="D113" s="466"/>
      <c r="E113" s="466"/>
      <c r="F113" s="466"/>
      <c r="G113" s="62">
        <f t="shared" si="1"/>
        <v>0</v>
      </c>
      <c r="H113" s="188"/>
    </row>
    <row r="114" spans="1:35" s="269" customFormat="1" hidden="1">
      <c r="A114" s="43"/>
      <c r="B114" s="1379" t="str">
        <f t="shared" si="2"/>
        <v xml:space="preserve">…….. …….. …….. …….. …….. …….. </v>
      </c>
      <c r="C114" s="1379">
        <f t="shared" si="2"/>
        <v>0</v>
      </c>
      <c r="D114" s="466"/>
      <c r="E114" s="466"/>
      <c r="F114" s="466"/>
      <c r="G114" s="62">
        <f t="shared" si="1"/>
        <v>0</v>
      </c>
      <c r="H114" s="188"/>
    </row>
    <row r="115" spans="1:35" s="269" customFormat="1" hidden="1">
      <c r="A115" s="309"/>
      <c r="B115" s="32"/>
      <c r="C115" s="32"/>
      <c r="D115" s="32"/>
      <c r="E115" s="32"/>
      <c r="F115" s="32"/>
      <c r="G115" s="32"/>
      <c r="H115" s="188"/>
    </row>
    <row r="116" spans="1:35" s="269" customFormat="1" ht="33.75" hidden="1" customHeight="1">
      <c r="A116" s="307" t="str">
        <f>A14</f>
        <v>SL. NO.</v>
      </c>
      <c r="B116" s="312" t="str">
        <f>B14</f>
        <v>Description of Test</v>
      </c>
      <c r="C116" s="1393">
        <f>G14</f>
        <v>0</v>
      </c>
      <c r="D116" s="1393"/>
      <c r="E116" s="1393"/>
      <c r="F116" s="1393"/>
      <c r="G116" s="1393"/>
      <c r="H116" s="188"/>
      <c r="AE116" s="1393"/>
      <c r="AF116" s="1393"/>
      <c r="AH116" s="1393"/>
      <c r="AI116" s="1393"/>
    </row>
    <row r="117" spans="1:35" s="269" customFormat="1" hidden="1">
      <c r="A117" s="107" t="e">
        <f>#REF!</f>
        <v>#REF!</v>
      </c>
      <c r="B117" s="107" t="e">
        <f>#REF!</f>
        <v>#REF!</v>
      </c>
      <c r="C117" s="1394" t="e">
        <f>#REF!</f>
        <v>#REF!</v>
      </c>
      <c r="D117" s="1394"/>
      <c r="E117" s="1394"/>
      <c r="F117" s="1394"/>
      <c r="G117" s="1394"/>
      <c r="H117" s="188"/>
      <c r="AE117" s="1394"/>
      <c r="AF117" s="1394"/>
      <c r="AH117" s="1394"/>
      <c r="AI117" s="1394"/>
    </row>
    <row r="118" spans="1:35" s="269" customFormat="1" hidden="1">
      <c r="A118" s="314" t="e">
        <f>#REF!</f>
        <v>#REF!</v>
      </c>
      <c r="B118" s="315" t="e">
        <f>#REF!</f>
        <v>#REF!</v>
      </c>
      <c r="C118" s="1394"/>
      <c r="D118" s="1394"/>
      <c r="E118" s="1394"/>
      <c r="F118" s="1394"/>
      <c r="G118" s="1394"/>
      <c r="H118" s="188"/>
      <c r="AE118" s="1394"/>
      <c r="AF118" s="1394"/>
      <c r="AH118" s="1394"/>
      <c r="AI118" s="1394"/>
    </row>
    <row r="119" spans="1:35" s="269" customFormat="1" hidden="1">
      <c r="A119" s="316" t="e">
        <f>#REF!</f>
        <v>#REF!</v>
      </c>
      <c r="B119" s="317" t="e">
        <f>#REF!</f>
        <v>#REF!</v>
      </c>
      <c r="C119" s="1392" t="e">
        <f>#REF!</f>
        <v>#REF!</v>
      </c>
      <c r="D119" s="1392"/>
      <c r="E119" s="1392"/>
      <c r="F119" s="1392"/>
      <c r="G119" s="1392"/>
      <c r="H119" s="186"/>
      <c r="AE119" s="318"/>
      <c r="AF119" s="318"/>
      <c r="AH119" s="318"/>
      <c r="AI119" s="318"/>
    </row>
    <row r="120" spans="1:35" s="269" customFormat="1" hidden="1">
      <c r="A120" s="316" t="e">
        <f>#REF!</f>
        <v>#REF!</v>
      </c>
      <c r="B120" s="317" t="e">
        <f>#REF!</f>
        <v>#REF!</v>
      </c>
      <c r="C120" s="1392" t="e">
        <f>#REF!</f>
        <v>#REF!</v>
      </c>
      <c r="D120" s="1392"/>
      <c r="E120" s="1392"/>
      <c r="F120" s="1392"/>
      <c r="G120" s="1392"/>
      <c r="H120" s="186"/>
      <c r="AE120" s="319"/>
      <c r="AF120" s="319"/>
      <c r="AH120" s="318"/>
      <c r="AI120" s="319"/>
    </row>
    <row r="121" spans="1:35" s="269" customFormat="1" ht="20.100000000000001" hidden="1" customHeight="1">
      <c r="A121" s="320"/>
      <c r="B121" s="315" t="e">
        <f>#REF!</f>
        <v>#REF!</v>
      </c>
      <c r="C121" s="1392" t="e">
        <f>#REF!</f>
        <v>#REF!</v>
      </c>
      <c r="D121" s="1392"/>
      <c r="E121" s="1392"/>
      <c r="F121" s="1392"/>
      <c r="G121" s="1392"/>
      <c r="H121" s="188"/>
      <c r="AE121" s="319"/>
      <c r="AF121" s="319"/>
      <c r="AH121" s="319"/>
      <c r="AI121" s="319"/>
    </row>
    <row r="122" spans="1:35" s="269" customFormat="1" hidden="1">
      <c r="A122" s="314" t="e">
        <f>#REF!</f>
        <v>#REF!</v>
      </c>
      <c r="B122" s="315" t="e">
        <f>#REF!</f>
        <v>#REF!</v>
      </c>
      <c r="C122" s="1392"/>
      <c r="D122" s="1392"/>
      <c r="E122" s="1392"/>
      <c r="F122" s="1392"/>
      <c r="G122" s="1392"/>
      <c r="H122" s="188"/>
      <c r="AE122" s="1392"/>
      <c r="AF122" s="1392"/>
      <c r="AH122" s="1392"/>
      <c r="AI122" s="1392"/>
    </row>
    <row r="123" spans="1:35" s="269" customFormat="1" hidden="1">
      <c r="A123" s="321" t="e">
        <f>#REF!</f>
        <v>#REF!</v>
      </c>
      <c r="B123" s="315" t="e">
        <f>#REF!</f>
        <v>#REF!</v>
      </c>
      <c r="C123" s="1392"/>
      <c r="D123" s="1392"/>
      <c r="E123" s="1392"/>
      <c r="F123" s="1392"/>
      <c r="G123" s="1392"/>
      <c r="H123" s="188"/>
      <c r="AE123" s="1392"/>
      <c r="AF123" s="1392"/>
      <c r="AH123" s="1392"/>
      <c r="AI123" s="1392"/>
    </row>
    <row r="124" spans="1:35" s="269" customFormat="1" hidden="1">
      <c r="A124" s="322" t="e">
        <f>#REF!</f>
        <v>#REF!</v>
      </c>
      <c r="B124" s="315" t="e">
        <f>#REF!</f>
        <v>#REF!</v>
      </c>
      <c r="C124" s="1392"/>
      <c r="D124" s="1392"/>
      <c r="E124" s="1392"/>
      <c r="F124" s="1392"/>
      <c r="G124" s="1392"/>
      <c r="H124" s="188"/>
      <c r="AE124" s="1392"/>
      <c r="AF124" s="1392"/>
      <c r="AH124" s="1392"/>
      <c r="AI124" s="1392"/>
    </row>
    <row r="125" spans="1:35" s="269" customFormat="1" hidden="1">
      <c r="A125" s="316" t="e">
        <f>#REF!</f>
        <v>#REF!</v>
      </c>
      <c r="B125" s="317" t="e">
        <f>#REF!</f>
        <v>#REF!</v>
      </c>
      <c r="C125" s="1392" t="e">
        <f>#REF!</f>
        <v>#REF!</v>
      </c>
      <c r="D125" s="1392"/>
      <c r="E125" s="1392"/>
      <c r="F125" s="1392"/>
      <c r="G125" s="1392"/>
      <c r="H125" s="186"/>
      <c r="AE125" s="319"/>
      <c r="AF125" s="319"/>
      <c r="AH125" s="318"/>
      <c r="AI125" s="319"/>
    </row>
    <row r="126" spans="1:35" s="269" customFormat="1" hidden="1">
      <c r="A126" s="316" t="e">
        <f>#REF!</f>
        <v>#REF!</v>
      </c>
      <c r="B126" s="317" t="e">
        <f>#REF!</f>
        <v>#REF!</v>
      </c>
      <c r="C126" s="1392" t="e">
        <f>#REF!</f>
        <v>#REF!</v>
      </c>
      <c r="D126" s="1392"/>
      <c r="E126" s="1392"/>
      <c r="F126" s="1392"/>
      <c r="G126" s="1392"/>
      <c r="H126" s="186"/>
      <c r="AE126" s="319"/>
      <c r="AF126" s="319"/>
      <c r="AH126" s="318"/>
      <c r="AI126" s="319"/>
    </row>
    <row r="127" spans="1:35" s="269" customFormat="1" hidden="1">
      <c r="A127" s="316" t="e">
        <f>#REF!</f>
        <v>#REF!</v>
      </c>
      <c r="B127" s="317" t="e">
        <f>#REF!</f>
        <v>#REF!</v>
      </c>
      <c r="C127" s="1392" t="e">
        <f>#REF!</f>
        <v>#REF!</v>
      </c>
      <c r="D127" s="1392"/>
      <c r="E127" s="1392"/>
      <c r="F127" s="1392"/>
      <c r="G127" s="1392"/>
      <c r="H127" s="186"/>
      <c r="AE127" s="319"/>
      <c r="AF127" s="319"/>
      <c r="AH127" s="318"/>
      <c r="AI127" s="319"/>
    </row>
    <row r="128" spans="1:35" s="269" customFormat="1" hidden="1">
      <c r="A128" s="316" t="e">
        <f>#REF!</f>
        <v>#REF!</v>
      </c>
      <c r="B128" s="317" t="e">
        <f>#REF!</f>
        <v>#REF!</v>
      </c>
      <c r="C128" s="1392" t="e">
        <f>#REF!</f>
        <v>#REF!</v>
      </c>
      <c r="D128" s="1392"/>
      <c r="E128" s="1392"/>
      <c r="F128" s="1392"/>
      <c r="G128" s="1392"/>
      <c r="H128" s="186"/>
      <c r="AE128" s="319"/>
      <c r="AF128" s="319"/>
      <c r="AH128" s="318"/>
      <c r="AI128" s="319"/>
    </row>
    <row r="129" spans="1:35" s="269" customFormat="1" hidden="1">
      <c r="A129" s="316"/>
      <c r="B129" s="315" t="e">
        <f>#REF!</f>
        <v>#REF!</v>
      </c>
      <c r="C129" s="1392" t="e">
        <f>#REF!</f>
        <v>#REF!</v>
      </c>
      <c r="D129" s="1392"/>
      <c r="E129" s="1392"/>
      <c r="F129" s="1392"/>
      <c r="G129" s="1392"/>
      <c r="H129" s="186"/>
      <c r="AE129" s="319"/>
      <c r="AF129" s="319"/>
      <c r="AH129" s="319"/>
      <c r="AI129" s="319"/>
    </row>
    <row r="130" spans="1:35" s="269" customFormat="1" ht="20.100000000000001" hidden="1" customHeight="1">
      <c r="A130" s="322" t="e">
        <f>#REF!</f>
        <v>#REF!</v>
      </c>
      <c r="B130" s="315" t="e">
        <f>#REF!</f>
        <v>#REF!</v>
      </c>
      <c r="C130" s="1392"/>
      <c r="D130" s="1392"/>
      <c r="E130" s="1392"/>
      <c r="F130" s="1392"/>
      <c r="G130" s="1392"/>
      <c r="H130" s="186"/>
      <c r="AE130" s="319"/>
      <c r="AF130" s="319"/>
      <c r="AH130" s="319"/>
      <c r="AI130" s="319"/>
    </row>
    <row r="131" spans="1:35" s="269" customFormat="1" hidden="1">
      <c r="A131" s="316" t="e">
        <f>#REF!</f>
        <v>#REF!</v>
      </c>
      <c r="B131" s="317" t="e">
        <f>#REF!</f>
        <v>#REF!</v>
      </c>
      <c r="C131" s="1392" t="e">
        <f>#REF!</f>
        <v>#REF!</v>
      </c>
      <c r="D131" s="1392"/>
      <c r="E131" s="1392"/>
      <c r="F131" s="1392"/>
      <c r="G131" s="1392"/>
      <c r="H131" s="186"/>
      <c r="AE131" s="319"/>
      <c r="AF131" s="319"/>
      <c r="AH131" s="318"/>
      <c r="AI131" s="319"/>
    </row>
    <row r="132" spans="1:35" s="269" customFormat="1" hidden="1">
      <c r="A132" s="316" t="e">
        <f>#REF!</f>
        <v>#REF!</v>
      </c>
      <c r="B132" s="317" t="e">
        <f>#REF!</f>
        <v>#REF!</v>
      </c>
      <c r="C132" s="1392" t="e">
        <f>#REF!</f>
        <v>#REF!</v>
      </c>
      <c r="D132" s="1392"/>
      <c r="E132" s="1392"/>
      <c r="F132" s="1392"/>
      <c r="G132" s="1392"/>
      <c r="H132" s="186"/>
      <c r="AE132" s="319"/>
      <c r="AF132" s="319"/>
      <c r="AH132" s="318"/>
      <c r="AI132" s="319"/>
    </row>
    <row r="133" spans="1:35" s="269" customFormat="1" ht="20.100000000000001" hidden="1" customHeight="1">
      <c r="A133" s="316" t="e">
        <f>#REF!</f>
        <v>#REF!</v>
      </c>
      <c r="B133" s="317" t="e">
        <f>#REF!</f>
        <v>#REF!</v>
      </c>
      <c r="C133" s="1392" t="e">
        <f>#REF!</f>
        <v>#REF!</v>
      </c>
      <c r="D133" s="1392"/>
      <c r="E133" s="1392"/>
      <c r="F133" s="1392"/>
      <c r="G133" s="1392"/>
      <c r="H133" s="186"/>
      <c r="AE133" s="319"/>
      <c r="AF133" s="319"/>
      <c r="AH133" s="318"/>
      <c r="AI133" s="319"/>
    </row>
    <row r="134" spans="1:35" s="269" customFormat="1" hidden="1">
      <c r="A134" s="316" t="e">
        <f>#REF!</f>
        <v>#REF!</v>
      </c>
      <c r="B134" s="317" t="e">
        <f>#REF!</f>
        <v>#REF!</v>
      </c>
      <c r="C134" s="1392" t="e">
        <f>#REF!</f>
        <v>#REF!</v>
      </c>
      <c r="D134" s="1392"/>
      <c r="E134" s="1392"/>
      <c r="F134" s="1392"/>
      <c r="G134" s="1392"/>
      <c r="H134" s="186"/>
      <c r="AE134" s="319"/>
      <c r="AF134" s="319"/>
      <c r="AH134" s="318"/>
      <c r="AI134" s="319"/>
    </row>
    <row r="135" spans="1:35" s="270" customFormat="1" ht="20.100000000000001" hidden="1" customHeight="1">
      <c r="A135" s="323"/>
      <c r="B135" s="315" t="e">
        <f>#REF!</f>
        <v>#REF!</v>
      </c>
      <c r="C135" s="1392" t="e">
        <f>#REF!</f>
        <v>#REF!</v>
      </c>
      <c r="D135" s="1392"/>
      <c r="E135" s="1392"/>
      <c r="F135" s="1392"/>
      <c r="G135" s="1392"/>
      <c r="H135" s="186"/>
      <c r="AE135" s="319"/>
      <c r="AF135" s="319"/>
      <c r="AH135" s="319"/>
      <c r="AI135" s="319"/>
    </row>
    <row r="136" spans="1:35" s="269" customFormat="1" ht="24" hidden="1" customHeight="1">
      <c r="A136" s="322" t="e">
        <f>#REF!</f>
        <v>#REF!</v>
      </c>
      <c r="B136" s="315" t="e">
        <f>#REF!</f>
        <v>#REF!</v>
      </c>
      <c r="C136" s="1392"/>
      <c r="D136" s="1392"/>
      <c r="E136" s="1392"/>
      <c r="F136" s="1392"/>
      <c r="G136" s="1392"/>
      <c r="H136" s="186"/>
      <c r="AE136" s="319"/>
      <c r="AF136" s="319"/>
      <c r="AH136" s="319"/>
      <c r="AI136" s="319"/>
    </row>
    <row r="137" spans="1:35" s="269" customFormat="1" hidden="1">
      <c r="A137" s="316" t="e">
        <f>#REF!</f>
        <v>#REF!</v>
      </c>
      <c r="B137" s="317" t="e">
        <f>#REF!</f>
        <v>#REF!</v>
      </c>
      <c r="C137" s="1392" t="e">
        <f>#REF!</f>
        <v>#REF!</v>
      </c>
      <c r="D137" s="1392"/>
      <c r="E137" s="1392"/>
      <c r="F137" s="1392"/>
      <c r="G137" s="1392"/>
      <c r="H137" s="186"/>
      <c r="AE137" s="319"/>
      <c r="AF137" s="319"/>
      <c r="AH137" s="318"/>
      <c r="AI137" s="319"/>
    </row>
    <row r="138" spans="1:35" s="269" customFormat="1" hidden="1">
      <c r="A138" s="316" t="e">
        <f>#REF!</f>
        <v>#REF!</v>
      </c>
      <c r="B138" s="317" t="e">
        <f>#REF!</f>
        <v>#REF!</v>
      </c>
      <c r="C138" s="1392" t="e">
        <f>#REF!</f>
        <v>#REF!</v>
      </c>
      <c r="D138" s="1392"/>
      <c r="E138" s="1392"/>
      <c r="F138" s="1392"/>
      <c r="G138" s="1392"/>
      <c r="H138" s="186"/>
      <c r="AE138" s="319"/>
      <c r="AF138" s="319"/>
      <c r="AH138" s="318"/>
      <c r="AI138" s="319"/>
    </row>
    <row r="139" spans="1:35" s="269" customFormat="1" ht="33" hidden="1" customHeight="1">
      <c r="A139" s="316" t="e">
        <f>#REF!</f>
        <v>#REF!</v>
      </c>
      <c r="B139" s="317" t="e">
        <f>#REF!</f>
        <v>#REF!</v>
      </c>
      <c r="C139" s="1392" t="e">
        <f>#REF!</f>
        <v>#REF!</v>
      </c>
      <c r="D139" s="1392"/>
      <c r="E139" s="1392"/>
      <c r="F139" s="1392"/>
      <c r="G139" s="1392"/>
      <c r="H139" s="186"/>
      <c r="AE139" s="319"/>
      <c r="AF139" s="319"/>
      <c r="AH139" s="318"/>
      <c r="AI139" s="319"/>
    </row>
    <row r="140" spans="1:35" s="270" customFormat="1" ht="20.100000000000001" hidden="1" customHeight="1">
      <c r="A140" s="316"/>
      <c r="B140" s="315" t="e">
        <f>#REF!</f>
        <v>#REF!</v>
      </c>
      <c r="C140" s="1392" t="e">
        <f>#REF!</f>
        <v>#REF!</v>
      </c>
      <c r="D140" s="1392"/>
      <c r="E140" s="1392"/>
      <c r="F140" s="1392"/>
      <c r="G140" s="1392"/>
      <c r="H140" s="186"/>
      <c r="AE140" s="319"/>
      <c r="AF140" s="319"/>
      <c r="AH140" s="319"/>
      <c r="AI140" s="319"/>
    </row>
    <row r="141" spans="1:35" s="269" customFormat="1" ht="20.100000000000001" hidden="1" customHeight="1">
      <c r="A141" s="322" t="e">
        <f>#REF!</f>
        <v>#REF!</v>
      </c>
      <c r="B141" s="315" t="e">
        <f>#REF!</f>
        <v>#REF!</v>
      </c>
      <c r="C141" s="1392"/>
      <c r="D141" s="1392"/>
      <c r="E141" s="1392"/>
      <c r="F141" s="1392"/>
      <c r="G141" s="1392"/>
      <c r="H141" s="186"/>
      <c r="AE141" s="319"/>
      <c r="AF141" s="319"/>
      <c r="AH141" s="319"/>
      <c r="AI141" s="319"/>
    </row>
    <row r="142" spans="1:35" s="269" customFormat="1" hidden="1">
      <c r="A142" s="316" t="e">
        <f>#REF!</f>
        <v>#REF!</v>
      </c>
      <c r="B142" s="317" t="e">
        <f>#REF!</f>
        <v>#REF!</v>
      </c>
      <c r="C142" s="1392" t="e">
        <f>#REF!</f>
        <v>#REF!</v>
      </c>
      <c r="D142" s="1392"/>
      <c r="E142" s="1392"/>
      <c r="F142" s="1392"/>
      <c r="G142" s="1392"/>
      <c r="H142" s="186"/>
      <c r="AE142" s="319"/>
      <c r="AF142" s="319"/>
      <c r="AH142" s="318"/>
      <c r="AI142" s="319"/>
    </row>
    <row r="143" spans="1:35" s="269" customFormat="1" hidden="1">
      <c r="A143" s="316" t="e">
        <f>#REF!</f>
        <v>#REF!</v>
      </c>
      <c r="B143" s="317" t="e">
        <f>#REF!</f>
        <v>#REF!</v>
      </c>
      <c r="C143" s="1392" t="e">
        <f>#REF!</f>
        <v>#REF!</v>
      </c>
      <c r="D143" s="1392"/>
      <c r="E143" s="1392"/>
      <c r="F143" s="1392"/>
      <c r="G143" s="1392"/>
      <c r="H143" s="186"/>
      <c r="AE143" s="319"/>
      <c r="AF143" s="319"/>
      <c r="AH143" s="318"/>
      <c r="AI143" s="319"/>
    </row>
    <row r="144" spans="1:35" s="269" customFormat="1" hidden="1">
      <c r="A144" s="316" t="e">
        <f>#REF!</f>
        <v>#REF!</v>
      </c>
      <c r="B144" s="317" t="e">
        <f>#REF!</f>
        <v>#REF!</v>
      </c>
      <c r="C144" s="1392" t="e">
        <f>#REF!</f>
        <v>#REF!</v>
      </c>
      <c r="D144" s="1392"/>
      <c r="E144" s="1392"/>
      <c r="F144" s="1392"/>
      <c r="G144" s="1392"/>
      <c r="H144" s="186"/>
      <c r="AE144" s="319"/>
      <c r="AF144" s="319"/>
      <c r="AH144" s="318"/>
      <c r="AI144" s="319"/>
    </row>
    <row r="145" spans="1:35" s="269" customFormat="1" hidden="1">
      <c r="A145" s="316"/>
      <c r="B145" s="315" t="e">
        <f>#REF!</f>
        <v>#REF!</v>
      </c>
      <c r="C145" s="1392" t="e">
        <f>#REF!</f>
        <v>#REF!</v>
      </c>
      <c r="D145" s="1392"/>
      <c r="E145" s="1392"/>
      <c r="F145" s="1392"/>
      <c r="G145" s="1392"/>
      <c r="H145" s="186"/>
      <c r="AE145" s="319"/>
      <c r="AF145" s="319"/>
      <c r="AH145" s="319"/>
      <c r="AI145" s="319"/>
    </row>
    <row r="146" spans="1:35" s="269" customFormat="1" ht="20.100000000000001" hidden="1" customHeight="1">
      <c r="A146" s="322" t="e">
        <f>#REF!</f>
        <v>#REF!</v>
      </c>
      <c r="B146" s="315" t="e">
        <f>#REF!</f>
        <v>#REF!</v>
      </c>
      <c r="C146" s="1392"/>
      <c r="D146" s="1392"/>
      <c r="E146" s="1392"/>
      <c r="F146" s="1392"/>
      <c r="G146" s="1392"/>
      <c r="H146" s="186"/>
      <c r="AE146" s="319"/>
      <c r="AF146" s="319"/>
      <c r="AH146" s="319"/>
      <c r="AI146" s="319"/>
    </row>
    <row r="147" spans="1:35" s="269" customFormat="1" hidden="1">
      <c r="A147" s="316" t="e">
        <f>#REF!</f>
        <v>#REF!</v>
      </c>
      <c r="B147" s="317" t="e">
        <f>#REF!</f>
        <v>#REF!</v>
      </c>
      <c r="C147" s="1392" t="e">
        <f>#REF!</f>
        <v>#REF!</v>
      </c>
      <c r="D147" s="1392"/>
      <c r="E147" s="1392"/>
      <c r="F147" s="1392"/>
      <c r="G147" s="1392"/>
      <c r="H147" s="186"/>
      <c r="AE147" s="319"/>
      <c r="AF147" s="319"/>
      <c r="AH147" s="318"/>
      <c r="AI147" s="319"/>
    </row>
    <row r="148" spans="1:35" s="269" customFormat="1" hidden="1">
      <c r="A148" s="316" t="e">
        <f>#REF!</f>
        <v>#REF!</v>
      </c>
      <c r="B148" s="317" t="e">
        <f>#REF!</f>
        <v>#REF!</v>
      </c>
      <c r="C148" s="1392" t="e">
        <f>#REF!</f>
        <v>#REF!</v>
      </c>
      <c r="D148" s="1392"/>
      <c r="E148" s="1392"/>
      <c r="F148" s="1392"/>
      <c r="G148" s="1392"/>
      <c r="H148" s="186"/>
      <c r="AE148" s="319"/>
      <c r="AF148" s="319"/>
      <c r="AH148" s="318"/>
      <c r="AI148" s="319"/>
    </row>
    <row r="149" spans="1:35" s="269" customFormat="1" hidden="1">
      <c r="A149" s="316" t="e">
        <f>#REF!</f>
        <v>#REF!</v>
      </c>
      <c r="B149" s="317" t="e">
        <f>#REF!</f>
        <v>#REF!</v>
      </c>
      <c r="C149" s="1392" t="e">
        <f>#REF!</f>
        <v>#REF!</v>
      </c>
      <c r="D149" s="1392"/>
      <c r="E149" s="1392"/>
      <c r="F149" s="1392"/>
      <c r="G149" s="1392"/>
      <c r="H149" s="186"/>
      <c r="AE149" s="319"/>
      <c r="AF149" s="319"/>
      <c r="AH149" s="318"/>
      <c r="AI149" s="319"/>
    </row>
    <row r="150" spans="1:35" s="269" customFormat="1" hidden="1">
      <c r="A150" s="316" t="e">
        <f>#REF!</f>
        <v>#REF!</v>
      </c>
      <c r="B150" s="317" t="e">
        <f>#REF!</f>
        <v>#REF!</v>
      </c>
      <c r="C150" s="1392" t="e">
        <f>#REF!</f>
        <v>#REF!</v>
      </c>
      <c r="D150" s="1392"/>
      <c r="E150" s="1392"/>
      <c r="F150" s="1392"/>
      <c r="G150" s="1392"/>
      <c r="H150" s="186"/>
      <c r="AE150" s="319"/>
      <c r="AF150" s="319"/>
      <c r="AH150" s="318"/>
      <c r="AI150" s="319"/>
    </row>
    <row r="151" spans="1:35" s="270" customFormat="1" ht="20.100000000000001" hidden="1" customHeight="1">
      <c r="A151" s="316"/>
      <c r="B151" s="315" t="e">
        <f>#REF!</f>
        <v>#REF!</v>
      </c>
      <c r="C151" s="1392" t="e">
        <f>#REF!</f>
        <v>#REF!</v>
      </c>
      <c r="D151" s="1392"/>
      <c r="E151" s="1392"/>
      <c r="F151" s="1392"/>
      <c r="G151" s="1392"/>
      <c r="H151" s="186"/>
      <c r="AE151" s="319"/>
      <c r="AF151" s="319"/>
      <c r="AH151" s="319"/>
      <c r="AI151" s="319"/>
    </row>
    <row r="152" spans="1:35" s="269" customFormat="1" ht="20.100000000000001" hidden="1" customHeight="1">
      <c r="A152" s="324"/>
      <c r="B152" s="315" t="e">
        <f>#REF!</f>
        <v>#REF!</v>
      </c>
      <c r="C152" s="1392" t="e">
        <f>#REF!</f>
        <v>#REF!</v>
      </c>
      <c r="D152" s="1392"/>
      <c r="E152" s="1392"/>
      <c r="F152" s="1392"/>
      <c r="G152" s="1392"/>
      <c r="H152" s="186"/>
      <c r="AE152" s="319"/>
      <c r="AF152" s="319"/>
      <c r="AH152" s="319"/>
      <c r="AI152" s="319"/>
    </row>
    <row r="153" spans="1:35" s="269" customFormat="1" hidden="1">
      <c r="A153" s="324"/>
      <c r="B153" s="315"/>
      <c r="C153" s="1392"/>
      <c r="D153" s="1392"/>
      <c r="E153" s="1392"/>
      <c r="F153" s="1392"/>
      <c r="G153" s="1392"/>
      <c r="H153" s="186"/>
      <c r="AE153" s="319"/>
      <c r="AF153" s="319"/>
      <c r="AH153" s="319"/>
      <c r="AI153" s="319"/>
    </row>
    <row r="154" spans="1:35" s="269" customFormat="1" ht="20.100000000000001" hidden="1" customHeight="1">
      <c r="A154" s="321" t="e">
        <f>#REF!</f>
        <v>#REF!</v>
      </c>
      <c r="B154" s="315" t="e">
        <f>#REF!</f>
        <v>#REF!</v>
      </c>
      <c r="C154" s="1392"/>
      <c r="D154" s="1392"/>
      <c r="E154" s="1392"/>
      <c r="F154" s="1392"/>
      <c r="G154" s="1392"/>
      <c r="H154" s="186"/>
      <c r="AE154" s="319"/>
      <c r="AF154" s="319"/>
      <c r="AH154" s="319"/>
      <c r="AI154" s="319"/>
    </row>
    <row r="155" spans="1:35" s="269" customFormat="1" ht="30" hidden="1" customHeight="1">
      <c r="A155" s="322" t="e">
        <f>#REF!</f>
        <v>#REF!</v>
      </c>
      <c r="B155" s="315" t="e">
        <f>#REF!</f>
        <v>#REF!</v>
      </c>
      <c r="C155" s="1392"/>
      <c r="D155" s="1392"/>
      <c r="E155" s="1392"/>
      <c r="F155" s="1392"/>
      <c r="G155" s="1392"/>
      <c r="H155" s="186"/>
      <c r="AE155" s="319"/>
      <c r="AF155" s="319"/>
      <c r="AH155" s="319"/>
      <c r="AI155" s="319"/>
    </row>
    <row r="156" spans="1:35" s="269" customFormat="1" hidden="1">
      <c r="A156" s="316" t="e">
        <f>#REF!</f>
        <v>#REF!</v>
      </c>
      <c r="B156" s="317" t="e">
        <f>#REF!</f>
        <v>#REF!</v>
      </c>
      <c r="C156" s="1392" t="e">
        <f>#REF!</f>
        <v>#REF!</v>
      </c>
      <c r="D156" s="1392"/>
      <c r="E156" s="1392"/>
      <c r="F156" s="1392"/>
      <c r="G156" s="1392"/>
      <c r="H156" s="186"/>
      <c r="AE156" s="319"/>
      <c r="AF156" s="319"/>
      <c r="AH156" s="318"/>
      <c r="AI156" s="319"/>
    </row>
    <row r="157" spans="1:35" s="269" customFormat="1" hidden="1">
      <c r="A157" s="316" t="e">
        <f>#REF!</f>
        <v>#REF!</v>
      </c>
      <c r="B157" s="317" t="e">
        <f>#REF!</f>
        <v>#REF!</v>
      </c>
      <c r="C157" s="1392" t="e">
        <f>#REF!</f>
        <v>#REF!</v>
      </c>
      <c r="D157" s="1392"/>
      <c r="E157" s="1392"/>
      <c r="F157" s="1392"/>
      <c r="G157" s="1392"/>
      <c r="H157" s="186"/>
      <c r="AE157" s="319"/>
      <c r="AF157" s="319"/>
      <c r="AH157" s="318"/>
      <c r="AI157" s="319"/>
    </row>
    <row r="158" spans="1:35" s="269" customFormat="1" hidden="1">
      <c r="A158" s="316" t="e">
        <f>#REF!</f>
        <v>#REF!</v>
      </c>
      <c r="B158" s="317" t="e">
        <f>#REF!</f>
        <v>#REF!</v>
      </c>
      <c r="C158" s="1392" t="e">
        <f>#REF!</f>
        <v>#REF!</v>
      </c>
      <c r="D158" s="1392"/>
      <c r="E158" s="1392"/>
      <c r="F158" s="1392"/>
      <c r="G158" s="1392"/>
      <c r="H158" s="186"/>
      <c r="AE158" s="319"/>
      <c r="AF158" s="319"/>
      <c r="AH158" s="318"/>
      <c r="AI158" s="319"/>
    </row>
    <row r="159" spans="1:35" s="269" customFormat="1" ht="20.100000000000001" hidden="1" customHeight="1">
      <c r="A159" s="325"/>
      <c r="B159" s="315" t="e">
        <f>#REF!</f>
        <v>#REF!</v>
      </c>
      <c r="C159" s="1392" t="e">
        <f>#REF!</f>
        <v>#REF!</v>
      </c>
      <c r="D159" s="1392"/>
      <c r="E159" s="1392"/>
      <c r="F159" s="1392"/>
      <c r="G159" s="1392"/>
      <c r="H159" s="186"/>
      <c r="AE159" s="319"/>
      <c r="AF159" s="319"/>
      <c r="AH159" s="319"/>
      <c r="AI159" s="319"/>
    </row>
    <row r="160" spans="1:35" s="269" customFormat="1" ht="20.100000000000001" hidden="1" customHeight="1">
      <c r="A160" s="324"/>
      <c r="B160" s="315" t="e">
        <f>#REF!</f>
        <v>#REF!</v>
      </c>
      <c r="C160" s="1392" t="e">
        <f>#REF!</f>
        <v>#REF!</v>
      </c>
      <c r="D160" s="1392"/>
      <c r="E160" s="1392"/>
      <c r="F160" s="1392"/>
      <c r="G160" s="1392"/>
      <c r="H160" s="186"/>
      <c r="AE160" s="319"/>
      <c r="AF160" s="319"/>
      <c r="AH160" s="319"/>
      <c r="AI160" s="319"/>
    </row>
    <row r="161" spans="1:35" s="269" customFormat="1" ht="20.100000000000001" hidden="1" customHeight="1">
      <c r="A161" s="314" t="e">
        <f>#REF!</f>
        <v>#REF!</v>
      </c>
      <c r="B161" s="315" t="e">
        <f>#REF!</f>
        <v>#REF!</v>
      </c>
      <c r="C161" s="1392"/>
      <c r="D161" s="1392"/>
      <c r="E161" s="1392"/>
      <c r="F161" s="1392"/>
      <c r="G161" s="1392"/>
      <c r="H161" s="186"/>
      <c r="AE161" s="319"/>
      <c r="AF161" s="319"/>
      <c r="AH161" s="319"/>
      <c r="AI161" s="319"/>
    </row>
    <row r="162" spans="1:35" s="269" customFormat="1" ht="30" hidden="1" customHeight="1">
      <c r="A162" s="321" t="e">
        <f>#REF!</f>
        <v>#REF!</v>
      </c>
      <c r="B162" s="315" t="e">
        <f>#REF!</f>
        <v>#REF!</v>
      </c>
      <c r="C162" s="1392"/>
      <c r="D162" s="1392"/>
      <c r="E162" s="1392"/>
      <c r="F162" s="1392"/>
      <c r="G162" s="1392"/>
      <c r="H162" s="186"/>
      <c r="AE162" s="319"/>
      <c r="AF162" s="319"/>
      <c r="AH162" s="319"/>
      <c r="AI162" s="319"/>
    </row>
    <row r="163" spans="1:35" s="269" customFormat="1" ht="20.100000000000001" hidden="1" customHeight="1">
      <c r="A163" s="316" t="e">
        <f>#REF!</f>
        <v>#REF!</v>
      </c>
      <c r="B163" s="317" t="e">
        <f>#REF!</f>
        <v>#REF!</v>
      </c>
      <c r="C163" s="1392" t="e">
        <f>#REF!</f>
        <v>#REF!</v>
      </c>
      <c r="D163" s="1392"/>
      <c r="E163" s="1392"/>
      <c r="F163" s="1392"/>
      <c r="G163" s="1392"/>
      <c r="H163" s="186"/>
      <c r="AE163" s="319"/>
      <c r="AF163" s="319"/>
      <c r="AH163" s="318"/>
      <c r="AI163" s="319"/>
    </row>
    <row r="164" spans="1:35" s="269" customFormat="1" ht="20.100000000000001" hidden="1" customHeight="1">
      <c r="A164" s="316" t="e">
        <f>#REF!</f>
        <v>#REF!</v>
      </c>
      <c r="B164" s="317" t="e">
        <f>#REF!</f>
        <v>#REF!</v>
      </c>
      <c r="C164" s="1392" t="e">
        <f>#REF!</f>
        <v>#REF!</v>
      </c>
      <c r="D164" s="1392"/>
      <c r="E164" s="1392"/>
      <c r="F164" s="1392"/>
      <c r="G164" s="1392"/>
      <c r="H164" s="186"/>
      <c r="AE164" s="319"/>
      <c r="AF164" s="319"/>
      <c r="AH164" s="318"/>
      <c r="AI164" s="319"/>
    </row>
    <row r="165" spans="1:35" s="269" customFormat="1" ht="20.100000000000001" hidden="1" customHeight="1">
      <c r="A165" s="316" t="e">
        <f>#REF!</f>
        <v>#REF!</v>
      </c>
      <c r="B165" s="317" t="e">
        <f>#REF!</f>
        <v>#REF!</v>
      </c>
      <c r="C165" s="1392" t="e">
        <f>#REF!</f>
        <v>#REF!</v>
      </c>
      <c r="D165" s="1392"/>
      <c r="E165" s="1392"/>
      <c r="F165" s="1392"/>
      <c r="G165" s="1392"/>
      <c r="H165" s="186"/>
      <c r="AE165" s="319"/>
      <c r="AF165" s="319"/>
      <c r="AH165" s="318"/>
      <c r="AI165" s="319"/>
    </row>
    <row r="166" spans="1:35" s="269" customFormat="1" ht="20.100000000000001" hidden="1" customHeight="1">
      <c r="A166" s="316" t="e">
        <f>#REF!</f>
        <v>#REF!</v>
      </c>
      <c r="B166" s="317" t="e">
        <f>#REF!</f>
        <v>#REF!</v>
      </c>
      <c r="C166" s="1392" t="e">
        <f>#REF!</f>
        <v>#REF!</v>
      </c>
      <c r="D166" s="1392"/>
      <c r="E166" s="1392"/>
      <c r="F166" s="1392"/>
      <c r="G166" s="1392"/>
      <c r="H166" s="186"/>
      <c r="AE166" s="319"/>
      <c r="AF166" s="319"/>
      <c r="AH166" s="318"/>
      <c r="AI166" s="319"/>
    </row>
    <row r="167" spans="1:35" s="269" customFormat="1" ht="20.100000000000001" hidden="1" customHeight="1">
      <c r="A167" s="316" t="e">
        <f>#REF!</f>
        <v>#REF!</v>
      </c>
      <c r="B167" s="317" t="e">
        <f>#REF!</f>
        <v>#REF!</v>
      </c>
      <c r="C167" s="1392" t="e">
        <f>#REF!</f>
        <v>#REF!</v>
      </c>
      <c r="D167" s="1392"/>
      <c r="E167" s="1392"/>
      <c r="F167" s="1392"/>
      <c r="G167" s="1392"/>
      <c r="H167" s="186"/>
      <c r="AE167" s="319"/>
      <c r="AF167" s="319"/>
      <c r="AH167" s="318"/>
      <c r="AI167" s="319"/>
    </row>
    <row r="168" spans="1:35" s="269" customFormat="1" ht="20.100000000000001" hidden="1" customHeight="1">
      <c r="A168" s="320"/>
      <c r="B168" s="315" t="e">
        <f>#REF!</f>
        <v>#REF!</v>
      </c>
      <c r="C168" s="1392" t="e">
        <f>#REF!</f>
        <v>#REF!</v>
      </c>
      <c r="D168" s="1392"/>
      <c r="E168" s="1392"/>
      <c r="F168" s="1392"/>
      <c r="G168" s="1392"/>
      <c r="H168" s="186"/>
      <c r="AE168" s="319"/>
      <c r="AF168" s="319"/>
      <c r="AH168" s="319"/>
      <c r="AI168" s="319"/>
    </row>
    <row r="169" spans="1:35" s="269" customFormat="1" ht="20.100000000000001" hidden="1" customHeight="1">
      <c r="A169" s="321" t="e">
        <f>#REF!</f>
        <v>#REF!</v>
      </c>
      <c r="B169" s="315" t="e">
        <f>#REF!</f>
        <v>#REF!</v>
      </c>
      <c r="C169" s="1392"/>
      <c r="D169" s="1392"/>
      <c r="E169" s="1392"/>
      <c r="F169" s="1392"/>
      <c r="G169" s="1392"/>
      <c r="H169" s="186"/>
      <c r="AE169" s="319"/>
      <c r="AF169" s="319"/>
      <c r="AH169" s="319"/>
      <c r="AI169" s="319"/>
    </row>
    <row r="170" spans="1:35" s="269" customFormat="1" ht="20.100000000000001" hidden="1" customHeight="1">
      <c r="A170" s="316" t="e">
        <f>#REF!</f>
        <v>#REF!</v>
      </c>
      <c r="B170" s="326" t="e">
        <f>#REF!</f>
        <v>#REF!</v>
      </c>
      <c r="C170" s="1392" t="e">
        <f>#REF!</f>
        <v>#REF!</v>
      </c>
      <c r="D170" s="1392"/>
      <c r="E170" s="1392"/>
      <c r="F170" s="1392"/>
      <c r="G170" s="1392"/>
      <c r="H170" s="186"/>
      <c r="AE170" s="319"/>
      <c r="AF170" s="319"/>
      <c r="AH170" s="318"/>
      <c r="AI170" s="319"/>
    </row>
    <row r="171" spans="1:35" s="269" customFormat="1" ht="20.100000000000001" hidden="1" customHeight="1">
      <c r="A171" s="316" t="e">
        <f>#REF!</f>
        <v>#REF!</v>
      </c>
      <c r="B171" s="326" t="e">
        <f>#REF!</f>
        <v>#REF!</v>
      </c>
      <c r="C171" s="1392" t="e">
        <f>#REF!</f>
        <v>#REF!</v>
      </c>
      <c r="D171" s="1392"/>
      <c r="E171" s="1392"/>
      <c r="F171" s="1392"/>
      <c r="G171" s="1392"/>
      <c r="H171" s="186"/>
      <c r="AE171" s="319"/>
      <c r="AF171" s="319"/>
      <c r="AH171" s="318"/>
      <c r="AI171" s="319"/>
    </row>
    <row r="172" spans="1:35" s="269" customFormat="1" ht="20.100000000000001" hidden="1" customHeight="1">
      <c r="A172" s="316" t="e">
        <f>#REF!</f>
        <v>#REF!</v>
      </c>
      <c r="B172" s="326" t="e">
        <f>#REF!</f>
        <v>#REF!</v>
      </c>
      <c r="C172" s="1392" t="e">
        <f>#REF!</f>
        <v>#REF!</v>
      </c>
      <c r="D172" s="1392"/>
      <c r="E172" s="1392"/>
      <c r="F172" s="1392"/>
      <c r="G172" s="1392"/>
      <c r="H172" s="186"/>
      <c r="AE172" s="319"/>
      <c r="AF172" s="319"/>
      <c r="AH172" s="318"/>
      <c r="AI172" s="319"/>
    </row>
    <row r="173" spans="1:35" s="269" customFormat="1" ht="20.100000000000001" hidden="1" customHeight="1">
      <c r="A173" s="316" t="e">
        <f>#REF!</f>
        <v>#REF!</v>
      </c>
      <c r="B173" s="326" t="e">
        <f>#REF!</f>
        <v>#REF!</v>
      </c>
      <c r="C173" s="1392" t="e">
        <f>#REF!</f>
        <v>#REF!</v>
      </c>
      <c r="D173" s="1392"/>
      <c r="E173" s="1392"/>
      <c r="F173" s="1392"/>
      <c r="G173" s="1392"/>
      <c r="H173" s="186"/>
      <c r="AE173" s="319"/>
      <c r="AF173" s="319"/>
      <c r="AH173" s="318"/>
      <c r="AI173" s="319"/>
    </row>
    <row r="174" spans="1:35" s="269" customFormat="1" ht="20.100000000000001" hidden="1" customHeight="1">
      <c r="A174" s="316" t="e">
        <f>#REF!</f>
        <v>#REF!</v>
      </c>
      <c r="B174" s="326" t="e">
        <f>#REF!</f>
        <v>#REF!</v>
      </c>
      <c r="C174" s="1392" t="e">
        <f>#REF!</f>
        <v>#REF!</v>
      </c>
      <c r="D174" s="1392"/>
      <c r="E174" s="1392"/>
      <c r="F174" s="1392"/>
      <c r="G174" s="1392"/>
      <c r="H174" s="186"/>
      <c r="AE174" s="319"/>
      <c r="AF174" s="319"/>
      <c r="AH174" s="318"/>
      <c r="AI174" s="319"/>
    </row>
    <row r="175" spans="1:35" s="269" customFormat="1" ht="20.100000000000001" hidden="1" customHeight="1">
      <c r="A175" s="316" t="e">
        <f>#REF!</f>
        <v>#REF!</v>
      </c>
      <c r="B175" s="326" t="e">
        <f>#REF!</f>
        <v>#REF!</v>
      </c>
      <c r="C175" s="1392" t="e">
        <f>#REF!</f>
        <v>#REF!</v>
      </c>
      <c r="D175" s="1392"/>
      <c r="E175" s="1392"/>
      <c r="F175" s="1392"/>
      <c r="G175" s="1392"/>
      <c r="H175" s="186"/>
      <c r="AE175" s="319"/>
      <c r="AF175" s="319"/>
      <c r="AH175" s="318"/>
      <c r="AI175" s="319"/>
    </row>
    <row r="176" spans="1:35" s="269" customFormat="1" ht="20.100000000000001" hidden="1" customHeight="1">
      <c r="A176" s="327"/>
      <c r="B176" s="315" t="e">
        <f>#REF!</f>
        <v>#REF!</v>
      </c>
      <c r="C176" s="1392" t="e">
        <f>#REF!</f>
        <v>#REF!</v>
      </c>
      <c r="D176" s="1392"/>
      <c r="E176" s="1392"/>
      <c r="F176" s="1392"/>
      <c r="G176" s="1392"/>
      <c r="H176" s="186"/>
      <c r="AE176" s="319"/>
      <c r="AF176" s="319"/>
      <c r="AH176" s="319"/>
      <c r="AI176" s="319"/>
    </row>
    <row r="177" spans="1:35" s="269" customFormat="1" ht="35.25" hidden="1" customHeight="1">
      <c r="A177" s="321" t="e">
        <f>#REF!</f>
        <v>#REF!</v>
      </c>
      <c r="B177" s="315" t="e">
        <f>#REF!</f>
        <v>#REF!</v>
      </c>
      <c r="C177" s="1392"/>
      <c r="D177" s="1392"/>
      <c r="E177" s="1392"/>
      <c r="F177" s="1392"/>
      <c r="G177" s="1392"/>
      <c r="H177" s="186"/>
      <c r="AE177" s="319"/>
      <c r="AF177" s="319"/>
      <c r="AH177" s="319"/>
      <c r="AI177" s="319"/>
    </row>
    <row r="178" spans="1:35" s="269" customFormat="1" ht="19.5" hidden="1" customHeight="1">
      <c r="A178" s="316" t="e">
        <f>#REF!</f>
        <v>#REF!</v>
      </c>
      <c r="B178" s="326" t="e">
        <f>#REF!</f>
        <v>#REF!</v>
      </c>
      <c r="C178" s="1392" t="e">
        <f>#REF!</f>
        <v>#REF!</v>
      </c>
      <c r="D178" s="1392"/>
      <c r="E178" s="1392"/>
      <c r="F178" s="1392"/>
      <c r="G178" s="1392"/>
      <c r="H178" s="186"/>
      <c r="AE178" s="319"/>
      <c r="AF178" s="319"/>
      <c r="AH178" s="318"/>
      <c r="AI178" s="319"/>
    </row>
    <row r="179" spans="1:35" s="269" customFormat="1" ht="19.5" hidden="1" customHeight="1">
      <c r="A179" s="316" t="e">
        <f>#REF!</f>
        <v>#REF!</v>
      </c>
      <c r="B179" s="326" t="e">
        <f>#REF!</f>
        <v>#REF!</v>
      </c>
      <c r="C179" s="1392" t="e">
        <f>#REF!</f>
        <v>#REF!</v>
      </c>
      <c r="D179" s="1392"/>
      <c r="E179" s="1392"/>
      <c r="F179" s="1392"/>
      <c r="G179" s="1392"/>
      <c r="H179" s="186"/>
      <c r="AE179" s="319"/>
      <c r="AF179" s="319"/>
      <c r="AH179" s="318"/>
      <c r="AI179" s="319"/>
    </row>
    <row r="180" spans="1:35" s="269" customFormat="1" ht="19.5" hidden="1" customHeight="1">
      <c r="A180" s="316" t="e">
        <f>#REF!</f>
        <v>#REF!</v>
      </c>
      <c r="B180" s="326" t="e">
        <f>#REF!</f>
        <v>#REF!</v>
      </c>
      <c r="C180" s="1392" t="e">
        <f>#REF!</f>
        <v>#REF!</v>
      </c>
      <c r="D180" s="1392"/>
      <c r="E180" s="1392"/>
      <c r="F180" s="1392"/>
      <c r="G180" s="1392"/>
      <c r="H180" s="186"/>
      <c r="AE180" s="319"/>
      <c r="AF180" s="319"/>
      <c r="AH180" s="318"/>
      <c r="AI180" s="319"/>
    </row>
    <row r="181" spans="1:35" s="269" customFormat="1" ht="19.5" hidden="1" customHeight="1">
      <c r="A181" s="316" t="e">
        <f>#REF!</f>
        <v>#REF!</v>
      </c>
      <c r="B181" s="326" t="e">
        <f>#REF!</f>
        <v>#REF!</v>
      </c>
      <c r="C181" s="1392" t="e">
        <f>#REF!</f>
        <v>#REF!</v>
      </c>
      <c r="D181" s="1392"/>
      <c r="E181" s="1392"/>
      <c r="F181" s="1392"/>
      <c r="G181" s="1392"/>
      <c r="H181" s="186"/>
      <c r="AE181" s="319"/>
      <c r="AF181" s="319"/>
      <c r="AH181" s="318"/>
      <c r="AI181" s="319"/>
    </row>
    <row r="182" spans="1:35" s="269" customFormat="1" ht="33" hidden="1" customHeight="1">
      <c r="A182" s="316" t="e">
        <f>#REF!</f>
        <v>#REF!</v>
      </c>
      <c r="B182" s="326" t="e">
        <f>#REF!</f>
        <v>#REF!</v>
      </c>
      <c r="C182" s="1392" t="e">
        <f>#REF!</f>
        <v>#REF!</v>
      </c>
      <c r="D182" s="1392"/>
      <c r="E182" s="1392"/>
      <c r="F182" s="1392"/>
      <c r="G182" s="1392"/>
      <c r="H182" s="186"/>
      <c r="AE182" s="319"/>
      <c r="AF182" s="319"/>
      <c r="AH182" s="318"/>
      <c r="AI182" s="319"/>
    </row>
    <row r="183" spans="1:35" s="269" customFormat="1" ht="19.5" hidden="1" customHeight="1">
      <c r="A183" s="316" t="e">
        <f>#REF!</f>
        <v>#REF!</v>
      </c>
      <c r="B183" s="326" t="e">
        <f>#REF!</f>
        <v>#REF!</v>
      </c>
      <c r="C183" s="1392" t="e">
        <f>#REF!</f>
        <v>#REF!</v>
      </c>
      <c r="D183" s="1392"/>
      <c r="E183" s="1392"/>
      <c r="F183" s="1392"/>
      <c r="G183" s="1392"/>
      <c r="H183" s="186"/>
      <c r="AE183" s="319"/>
      <c r="AF183" s="319"/>
      <c r="AH183" s="318"/>
      <c r="AI183" s="319"/>
    </row>
    <row r="184" spans="1:35" s="269" customFormat="1" ht="19.5" hidden="1" customHeight="1">
      <c r="A184" s="316" t="e">
        <f>#REF!</f>
        <v>#REF!</v>
      </c>
      <c r="B184" s="326" t="e">
        <f>#REF!</f>
        <v>#REF!</v>
      </c>
      <c r="C184" s="1392" t="e">
        <f>#REF!</f>
        <v>#REF!</v>
      </c>
      <c r="D184" s="1392"/>
      <c r="E184" s="1392"/>
      <c r="F184" s="1392"/>
      <c r="G184" s="1392"/>
      <c r="H184" s="186"/>
      <c r="AE184" s="319"/>
      <c r="AF184" s="319"/>
      <c r="AH184" s="318"/>
      <c r="AI184" s="319"/>
    </row>
    <row r="185" spans="1:35" s="269" customFormat="1" ht="19.5" hidden="1" customHeight="1">
      <c r="A185" s="316" t="e">
        <f>#REF!</f>
        <v>#REF!</v>
      </c>
      <c r="B185" s="326" t="e">
        <f>#REF!</f>
        <v>#REF!</v>
      </c>
      <c r="C185" s="1392" t="e">
        <f>#REF!</f>
        <v>#REF!</v>
      </c>
      <c r="D185" s="1392"/>
      <c r="E185" s="1392"/>
      <c r="F185" s="1392"/>
      <c r="G185" s="1392"/>
      <c r="H185" s="186"/>
      <c r="AE185" s="319"/>
      <c r="AF185" s="319"/>
      <c r="AH185" s="318"/>
      <c r="AI185" s="319"/>
    </row>
    <row r="186" spans="1:35" s="269" customFormat="1" ht="19.5" hidden="1" customHeight="1">
      <c r="A186" s="316" t="e">
        <f>#REF!</f>
        <v>#REF!</v>
      </c>
      <c r="B186" s="326" t="e">
        <f>#REF!</f>
        <v>#REF!</v>
      </c>
      <c r="C186" s="1392" t="e">
        <f>#REF!</f>
        <v>#REF!</v>
      </c>
      <c r="D186" s="1392"/>
      <c r="E186" s="1392"/>
      <c r="F186" s="1392"/>
      <c r="G186" s="1392"/>
      <c r="H186" s="186"/>
      <c r="AE186" s="319"/>
      <c r="AF186" s="319"/>
      <c r="AH186" s="318"/>
      <c r="AI186" s="319"/>
    </row>
    <row r="187" spans="1:35" s="269" customFormat="1" ht="19.5" hidden="1" customHeight="1">
      <c r="A187" s="327"/>
      <c r="B187" s="315" t="e">
        <f>#REF!</f>
        <v>#REF!</v>
      </c>
      <c r="C187" s="1392" t="e">
        <f>#REF!</f>
        <v>#REF!</v>
      </c>
      <c r="D187" s="1392"/>
      <c r="E187" s="1392"/>
      <c r="F187" s="1392"/>
      <c r="G187" s="1392"/>
      <c r="H187" s="186"/>
      <c r="AE187" s="319"/>
      <c r="AF187" s="319"/>
      <c r="AH187" s="319"/>
      <c r="AI187" s="319"/>
    </row>
    <row r="188" spans="1:35" s="269" customFormat="1" ht="19.5" hidden="1" customHeight="1">
      <c r="A188" s="321" t="e">
        <f>#REF!</f>
        <v>#REF!</v>
      </c>
      <c r="B188" s="315" t="e">
        <f>#REF!</f>
        <v>#REF!</v>
      </c>
      <c r="C188" s="1392"/>
      <c r="D188" s="1392"/>
      <c r="E188" s="1392"/>
      <c r="F188" s="1392"/>
      <c r="G188" s="1392"/>
      <c r="H188" s="186"/>
      <c r="AE188" s="319"/>
      <c r="AF188" s="319"/>
      <c r="AH188" s="319"/>
      <c r="AI188" s="319"/>
    </row>
    <row r="189" spans="1:35" s="269" customFormat="1" ht="19.5" hidden="1" customHeight="1">
      <c r="A189" s="316" t="e">
        <f>#REF!</f>
        <v>#REF!</v>
      </c>
      <c r="B189" s="317" t="e">
        <f>#REF!</f>
        <v>#REF!</v>
      </c>
      <c r="C189" s="1392" t="e">
        <f>#REF!</f>
        <v>#REF!</v>
      </c>
      <c r="D189" s="1392"/>
      <c r="E189" s="1392"/>
      <c r="F189" s="1392"/>
      <c r="G189" s="1392"/>
      <c r="H189" s="186"/>
      <c r="AE189" s="319"/>
      <c r="AF189" s="319"/>
      <c r="AH189" s="318"/>
      <c r="AI189" s="319"/>
    </row>
    <row r="190" spans="1:35" s="269" customFormat="1" ht="19.5" hidden="1" customHeight="1">
      <c r="A190" s="316" t="e">
        <f>#REF!</f>
        <v>#REF!</v>
      </c>
      <c r="B190" s="317" t="e">
        <f>#REF!</f>
        <v>#REF!</v>
      </c>
      <c r="C190" s="1392" t="e">
        <f>#REF!</f>
        <v>#REF!</v>
      </c>
      <c r="D190" s="1392"/>
      <c r="E190" s="1392"/>
      <c r="F190" s="1392"/>
      <c r="G190" s="1392"/>
      <c r="H190" s="186"/>
      <c r="AE190" s="319"/>
      <c r="AF190" s="319"/>
      <c r="AH190" s="318"/>
      <c r="AI190" s="319"/>
    </row>
    <row r="191" spans="1:35" s="269" customFormat="1" ht="19.5" hidden="1" customHeight="1">
      <c r="A191" s="316" t="e">
        <f>#REF!</f>
        <v>#REF!</v>
      </c>
      <c r="B191" s="317" t="e">
        <f>#REF!</f>
        <v>#REF!</v>
      </c>
      <c r="C191" s="1392" t="e">
        <f>#REF!</f>
        <v>#REF!</v>
      </c>
      <c r="D191" s="1392"/>
      <c r="E191" s="1392"/>
      <c r="F191" s="1392"/>
      <c r="G191" s="1392"/>
      <c r="H191" s="186"/>
      <c r="AE191" s="319"/>
      <c r="AF191" s="319"/>
      <c r="AH191" s="318"/>
      <c r="AI191" s="319"/>
    </row>
    <row r="192" spans="1:35" s="269" customFormat="1" ht="19.5" hidden="1" customHeight="1">
      <c r="A192" s="327"/>
      <c r="B192" s="315" t="e">
        <f>#REF!</f>
        <v>#REF!</v>
      </c>
      <c r="C192" s="1392" t="e">
        <f>#REF!</f>
        <v>#REF!</v>
      </c>
      <c r="D192" s="1392"/>
      <c r="E192" s="1392"/>
      <c r="F192" s="1392"/>
      <c r="G192" s="1392"/>
      <c r="H192" s="186"/>
      <c r="AE192" s="319"/>
      <c r="AF192" s="319"/>
      <c r="AH192" s="319"/>
      <c r="AI192" s="319"/>
    </row>
    <row r="193" spans="1:35" s="269" customFormat="1" ht="33" hidden="1" customHeight="1">
      <c r="A193" s="321" t="e">
        <f>#REF!</f>
        <v>#REF!</v>
      </c>
      <c r="B193" s="315" t="e">
        <f>#REF!</f>
        <v>#REF!</v>
      </c>
      <c r="C193" s="1392"/>
      <c r="D193" s="1392"/>
      <c r="E193" s="1392"/>
      <c r="F193" s="1392"/>
      <c r="G193" s="1392"/>
      <c r="H193" s="186"/>
      <c r="AE193" s="319"/>
      <c r="AF193" s="319"/>
      <c r="AH193" s="319"/>
      <c r="AI193" s="319"/>
    </row>
    <row r="194" spans="1:35" s="269" customFormat="1" ht="19.5" hidden="1" customHeight="1">
      <c r="A194" s="327" t="e">
        <f>#REF!</f>
        <v>#REF!</v>
      </c>
      <c r="B194" s="317" t="e">
        <f>#REF!</f>
        <v>#REF!</v>
      </c>
      <c r="C194" s="1392" t="e">
        <f>#REF!</f>
        <v>#REF!</v>
      </c>
      <c r="D194" s="1392"/>
      <c r="E194" s="1392"/>
      <c r="F194" s="1392"/>
      <c r="G194" s="1392"/>
      <c r="H194" s="186"/>
      <c r="AE194" s="319"/>
      <c r="AF194" s="319"/>
      <c r="AH194" s="318"/>
      <c r="AI194" s="319"/>
    </row>
    <row r="195" spans="1:35" s="269" customFormat="1" ht="19.5" hidden="1" customHeight="1">
      <c r="A195" s="327" t="e">
        <f>#REF!</f>
        <v>#REF!</v>
      </c>
      <c r="B195" s="317" t="e">
        <f>#REF!</f>
        <v>#REF!</v>
      </c>
      <c r="C195" s="1392" t="e">
        <f>#REF!</f>
        <v>#REF!</v>
      </c>
      <c r="D195" s="1392"/>
      <c r="E195" s="1392"/>
      <c r="F195" s="1392"/>
      <c r="G195" s="1392"/>
      <c r="H195" s="186"/>
      <c r="AE195" s="319"/>
      <c r="AF195" s="319"/>
      <c r="AH195" s="318"/>
      <c r="AI195" s="319"/>
    </row>
    <row r="196" spans="1:35" s="269" customFormat="1" ht="19.5" hidden="1" customHeight="1">
      <c r="A196" s="327" t="e">
        <f>#REF!</f>
        <v>#REF!</v>
      </c>
      <c r="B196" s="317" t="e">
        <f>#REF!</f>
        <v>#REF!</v>
      </c>
      <c r="C196" s="1392" t="e">
        <f>#REF!</f>
        <v>#REF!</v>
      </c>
      <c r="D196" s="1392"/>
      <c r="E196" s="1392"/>
      <c r="F196" s="1392"/>
      <c r="G196" s="1392"/>
      <c r="H196" s="186"/>
      <c r="AE196" s="319"/>
      <c r="AF196" s="319"/>
      <c r="AH196" s="318"/>
      <c r="AI196" s="319"/>
    </row>
    <row r="197" spans="1:35" s="269" customFormat="1" ht="19.5" hidden="1" customHeight="1">
      <c r="A197" s="327"/>
      <c r="B197" s="315" t="e">
        <f>#REF!</f>
        <v>#REF!</v>
      </c>
      <c r="C197" s="1392" t="e">
        <f>#REF!</f>
        <v>#REF!</v>
      </c>
      <c r="D197" s="1392"/>
      <c r="E197" s="1392"/>
      <c r="F197" s="1392"/>
      <c r="G197" s="1392"/>
      <c r="H197" s="186"/>
      <c r="AE197" s="319"/>
      <c r="AF197" s="319"/>
      <c r="AH197" s="319"/>
      <c r="AI197" s="319"/>
    </row>
    <row r="198" spans="1:35" s="269" customFormat="1" ht="19.5" hidden="1" customHeight="1">
      <c r="A198" s="321" t="e">
        <f>#REF!</f>
        <v>#REF!</v>
      </c>
      <c r="B198" s="315" t="e">
        <f>#REF!</f>
        <v>#REF!</v>
      </c>
      <c r="C198" s="1392"/>
      <c r="D198" s="1392"/>
      <c r="E198" s="1392"/>
      <c r="F198" s="1392"/>
      <c r="G198" s="1392"/>
      <c r="H198" s="186"/>
      <c r="AE198" s="319"/>
      <c r="AF198" s="319"/>
      <c r="AH198" s="319"/>
      <c r="AI198" s="319"/>
    </row>
    <row r="199" spans="1:35" s="269" customFormat="1" ht="19.5" hidden="1" customHeight="1">
      <c r="A199" s="316" t="e">
        <f>#REF!</f>
        <v>#REF!</v>
      </c>
      <c r="B199" s="317" t="e">
        <f>#REF!</f>
        <v>#REF!</v>
      </c>
      <c r="C199" s="1392" t="e">
        <f>#REF!</f>
        <v>#REF!</v>
      </c>
      <c r="D199" s="1392"/>
      <c r="E199" s="1392"/>
      <c r="F199" s="1392"/>
      <c r="G199" s="1392"/>
      <c r="H199" s="186"/>
      <c r="AE199" s="319"/>
      <c r="AF199" s="319"/>
      <c r="AH199" s="318"/>
      <c r="AI199" s="319"/>
    </row>
    <row r="200" spans="1:35" s="269" customFormat="1" ht="19.5" hidden="1" customHeight="1">
      <c r="A200" s="316" t="e">
        <f>#REF!</f>
        <v>#REF!</v>
      </c>
      <c r="B200" s="317" t="e">
        <f>#REF!</f>
        <v>#REF!</v>
      </c>
      <c r="C200" s="1392" t="e">
        <f>#REF!</f>
        <v>#REF!</v>
      </c>
      <c r="D200" s="1392"/>
      <c r="E200" s="1392"/>
      <c r="F200" s="1392"/>
      <c r="G200" s="1392"/>
      <c r="H200" s="186"/>
      <c r="AE200" s="319"/>
      <c r="AF200" s="319"/>
      <c r="AH200" s="318"/>
      <c r="AI200" s="319"/>
    </row>
    <row r="201" spans="1:35" s="269" customFormat="1" ht="19.5" hidden="1" customHeight="1">
      <c r="A201" s="327"/>
      <c r="B201" s="315" t="e">
        <f>#REF!</f>
        <v>#REF!</v>
      </c>
      <c r="C201" s="1392" t="e">
        <f>#REF!</f>
        <v>#REF!</v>
      </c>
      <c r="D201" s="1392"/>
      <c r="E201" s="1392"/>
      <c r="F201" s="1392"/>
      <c r="G201" s="1392"/>
      <c r="H201" s="186"/>
      <c r="AE201" s="319"/>
      <c r="AF201" s="319"/>
      <c r="AH201" s="319"/>
      <c r="AI201" s="319"/>
    </row>
    <row r="202" spans="1:35" s="269" customFormat="1" ht="33" hidden="1" customHeight="1">
      <c r="A202" s="321" t="e">
        <f>#REF!</f>
        <v>#REF!</v>
      </c>
      <c r="B202" s="315" t="e">
        <f>#REF!</f>
        <v>#REF!</v>
      </c>
      <c r="C202" s="1392"/>
      <c r="D202" s="1392"/>
      <c r="E202" s="1392"/>
      <c r="F202" s="1392"/>
      <c r="G202" s="1392"/>
      <c r="H202" s="186"/>
      <c r="AE202" s="319"/>
      <c r="AF202" s="319"/>
      <c r="AH202" s="319"/>
      <c r="AI202" s="319"/>
    </row>
    <row r="203" spans="1:35" s="269" customFormat="1" ht="19.5" hidden="1" customHeight="1">
      <c r="A203" s="316" t="e">
        <f>#REF!</f>
        <v>#REF!</v>
      </c>
      <c r="B203" s="317" t="e">
        <f>#REF!</f>
        <v>#REF!</v>
      </c>
      <c r="C203" s="1392" t="e">
        <f>#REF!</f>
        <v>#REF!</v>
      </c>
      <c r="D203" s="1392"/>
      <c r="E203" s="1392"/>
      <c r="F203" s="1392"/>
      <c r="G203" s="1392"/>
      <c r="H203" s="186"/>
      <c r="AE203" s="319"/>
      <c r="AF203" s="319"/>
      <c r="AH203" s="318"/>
      <c r="AI203" s="319"/>
    </row>
    <row r="204" spans="1:35" s="269" customFormat="1" ht="19.5" hidden="1" customHeight="1">
      <c r="A204" s="316" t="e">
        <f>#REF!</f>
        <v>#REF!</v>
      </c>
      <c r="B204" s="317" t="e">
        <f>#REF!</f>
        <v>#REF!</v>
      </c>
      <c r="C204" s="1392" t="e">
        <f>#REF!</f>
        <v>#REF!</v>
      </c>
      <c r="D204" s="1392"/>
      <c r="E204" s="1392"/>
      <c r="F204" s="1392"/>
      <c r="G204" s="1392"/>
      <c r="H204" s="186"/>
      <c r="AE204" s="319"/>
      <c r="AF204" s="319"/>
      <c r="AH204" s="318"/>
      <c r="AI204" s="319"/>
    </row>
    <row r="205" spans="1:35" s="269" customFormat="1" ht="19.5" hidden="1" customHeight="1">
      <c r="A205" s="316" t="e">
        <f>#REF!</f>
        <v>#REF!</v>
      </c>
      <c r="B205" s="317" t="e">
        <f>#REF!</f>
        <v>#REF!</v>
      </c>
      <c r="C205" s="1392" t="e">
        <f>#REF!</f>
        <v>#REF!</v>
      </c>
      <c r="D205" s="1392"/>
      <c r="E205" s="1392"/>
      <c r="F205" s="1392"/>
      <c r="G205" s="1392"/>
      <c r="H205" s="186"/>
      <c r="AE205" s="319"/>
      <c r="AF205" s="319"/>
      <c r="AH205" s="318"/>
      <c r="AI205" s="319"/>
    </row>
    <row r="206" spans="1:35" s="269" customFormat="1" ht="19.5" hidden="1" customHeight="1">
      <c r="A206" s="316" t="e">
        <f>#REF!</f>
        <v>#REF!</v>
      </c>
      <c r="B206" s="317" t="e">
        <f>#REF!</f>
        <v>#REF!</v>
      </c>
      <c r="C206" s="1392" t="e">
        <f>#REF!</f>
        <v>#REF!</v>
      </c>
      <c r="D206" s="1392"/>
      <c r="E206" s="1392"/>
      <c r="F206" s="1392"/>
      <c r="G206" s="1392"/>
      <c r="H206" s="186"/>
      <c r="AE206" s="319"/>
      <c r="AF206" s="319"/>
      <c r="AH206" s="318"/>
      <c r="AI206" s="319"/>
    </row>
    <row r="207" spans="1:35" s="269" customFormat="1" ht="19.5" hidden="1" customHeight="1">
      <c r="A207" s="316" t="e">
        <f>#REF!</f>
        <v>#REF!</v>
      </c>
      <c r="B207" s="317" t="e">
        <f>#REF!</f>
        <v>#REF!</v>
      </c>
      <c r="C207" s="1392" t="e">
        <f>#REF!</f>
        <v>#REF!</v>
      </c>
      <c r="D207" s="1392"/>
      <c r="E207" s="1392"/>
      <c r="F207" s="1392"/>
      <c r="G207" s="1392"/>
      <c r="H207" s="186"/>
      <c r="AE207" s="319"/>
      <c r="AF207" s="319"/>
      <c r="AH207" s="318"/>
      <c r="AI207" s="319"/>
    </row>
    <row r="208" spans="1:35" s="269" customFormat="1" ht="19.5" hidden="1" customHeight="1">
      <c r="A208" s="316" t="e">
        <f>#REF!</f>
        <v>#REF!</v>
      </c>
      <c r="B208" s="317" t="e">
        <f>#REF!</f>
        <v>#REF!</v>
      </c>
      <c r="C208" s="1392" t="e">
        <f>#REF!</f>
        <v>#REF!</v>
      </c>
      <c r="D208" s="1392"/>
      <c r="E208" s="1392"/>
      <c r="F208" s="1392"/>
      <c r="G208" s="1392"/>
      <c r="H208" s="186"/>
      <c r="AE208" s="319"/>
      <c r="AF208" s="319"/>
      <c r="AH208" s="318"/>
      <c r="AI208" s="319"/>
    </row>
    <row r="209" spans="1:35" s="269" customFormat="1" ht="19.5" hidden="1" customHeight="1">
      <c r="A209" s="327"/>
      <c r="B209" s="315" t="e">
        <f>#REF!</f>
        <v>#REF!</v>
      </c>
      <c r="C209" s="1392" t="e">
        <f>#REF!</f>
        <v>#REF!</v>
      </c>
      <c r="D209" s="1392"/>
      <c r="E209" s="1392"/>
      <c r="F209" s="1392"/>
      <c r="G209" s="1392"/>
      <c r="H209" s="186"/>
      <c r="AE209" s="319"/>
      <c r="AF209" s="319"/>
      <c r="AH209" s="319"/>
      <c r="AI209" s="319"/>
    </row>
    <row r="210" spans="1:35" s="269" customFormat="1" ht="33" hidden="1" customHeight="1">
      <c r="A210" s="321" t="e">
        <f>#REF!</f>
        <v>#REF!</v>
      </c>
      <c r="B210" s="315" t="e">
        <f>#REF!</f>
        <v>#REF!</v>
      </c>
      <c r="C210" s="1392"/>
      <c r="D210" s="1392"/>
      <c r="E210" s="1392"/>
      <c r="F210" s="1392"/>
      <c r="G210" s="1392"/>
      <c r="H210" s="186"/>
      <c r="AE210" s="319"/>
      <c r="AF210" s="319"/>
      <c r="AH210" s="319"/>
      <c r="AI210" s="319"/>
    </row>
    <row r="211" spans="1:35" s="269" customFormat="1" ht="33" hidden="1" customHeight="1">
      <c r="A211" s="316" t="e">
        <f>#REF!</f>
        <v>#REF!</v>
      </c>
      <c r="B211" s="317" t="e">
        <f>#REF!</f>
        <v>#REF!</v>
      </c>
      <c r="C211" s="1392" t="e">
        <f>#REF!</f>
        <v>#REF!</v>
      </c>
      <c r="D211" s="1392"/>
      <c r="E211" s="1392"/>
      <c r="F211" s="1392"/>
      <c r="G211" s="1392"/>
      <c r="H211" s="186"/>
      <c r="AE211" s="319"/>
      <c r="AF211" s="319"/>
      <c r="AH211" s="318"/>
      <c r="AI211" s="319"/>
    </row>
    <row r="212" spans="1:35" s="269" customFormat="1" ht="19.5" hidden="1" customHeight="1">
      <c r="A212" s="316" t="e">
        <f>#REF!</f>
        <v>#REF!</v>
      </c>
      <c r="B212" s="317" t="e">
        <f>#REF!</f>
        <v>#REF!</v>
      </c>
      <c r="C212" s="1392" t="e">
        <f>#REF!</f>
        <v>#REF!</v>
      </c>
      <c r="D212" s="1392"/>
      <c r="E212" s="1392"/>
      <c r="F212" s="1392"/>
      <c r="G212" s="1392"/>
      <c r="H212" s="186"/>
      <c r="AE212" s="319"/>
      <c r="AF212" s="319"/>
      <c r="AH212" s="318"/>
      <c r="AI212" s="319"/>
    </row>
    <row r="213" spans="1:35" s="269" customFormat="1" ht="19.5" hidden="1" customHeight="1">
      <c r="A213" s="316" t="e">
        <f>#REF!</f>
        <v>#REF!</v>
      </c>
      <c r="B213" s="317" t="e">
        <f>#REF!</f>
        <v>#REF!</v>
      </c>
      <c r="C213" s="1392" t="e">
        <f>#REF!</f>
        <v>#REF!</v>
      </c>
      <c r="D213" s="1392"/>
      <c r="E213" s="1392"/>
      <c r="F213" s="1392"/>
      <c r="G213" s="1392"/>
      <c r="H213" s="186"/>
      <c r="AE213" s="319"/>
      <c r="AF213" s="319"/>
      <c r="AH213" s="318"/>
      <c r="AI213" s="319"/>
    </row>
    <row r="214" spans="1:35" s="269" customFormat="1" ht="19.5" hidden="1" customHeight="1">
      <c r="A214" s="327" t="e">
        <f>#REF!</f>
        <v>#REF!</v>
      </c>
      <c r="B214" s="315" t="e">
        <f>#REF!</f>
        <v>#REF!</v>
      </c>
      <c r="C214" s="1392" t="e">
        <f>#REF!</f>
        <v>#REF!</v>
      </c>
      <c r="D214" s="1392"/>
      <c r="E214" s="1392"/>
      <c r="F214" s="1392"/>
      <c r="G214" s="1392"/>
      <c r="H214" s="186"/>
      <c r="AE214" s="319"/>
      <c r="AF214" s="319"/>
      <c r="AH214" s="319"/>
      <c r="AI214" s="319"/>
    </row>
    <row r="215" spans="1:35" s="269" customFormat="1" ht="33" hidden="1" customHeight="1">
      <c r="A215" s="321" t="e">
        <f>#REF!</f>
        <v>#REF!</v>
      </c>
      <c r="B215" s="315" t="e">
        <f>#REF!</f>
        <v>#REF!</v>
      </c>
      <c r="C215" s="1392"/>
      <c r="D215" s="1392"/>
      <c r="E215" s="1392"/>
      <c r="F215" s="1392"/>
      <c r="G215" s="1392"/>
      <c r="H215" s="186"/>
      <c r="AE215" s="319"/>
      <c r="AF215" s="319"/>
      <c r="AH215" s="319"/>
      <c r="AI215" s="319"/>
    </row>
    <row r="216" spans="1:35" s="269" customFormat="1" ht="19.5" hidden="1" customHeight="1">
      <c r="A216" s="316" t="e">
        <f>#REF!</f>
        <v>#REF!</v>
      </c>
      <c r="B216" s="317" t="e">
        <f>#REF!</f>
        <v>#REF!</v>
      </c>
      <c r="C216" s="1392" t="e">
        <f>#REF!</f>
        <v>#REF!</v>
      </c>
      <c r="D216" s="1392"/>
      <c r="E216" s="1392"/>
      <c r="F216" s="1392"/>
      <c r="G216" s="1392"/>
      <c r="H216" s="186"/>
      <c r="AE216" s="319"/>
      <c r="AF216" s="319"/>
      <c r="AH216" s="318"/>
      <c r="AI216" s="319"/>
    </row>
    <row r="217" spans="1:35" s="269" customFormat="1" ht="19.5" hidden="1" customHeight="1">
      <c r="A217" s="316" t="e">
        <f>#REF!</f>
        <v>#REF!</v>
      </c>
      <c r="B217" s="317" t="e">
        <f>#REF!</f>
        <v>#REF!</v>
      </c>
      <c r="C217" s="1392" t="e">
        <f>#REF!</f>
        <v>#REF!</v>
      </c>
      <c r="D217" s="1392"/>
      <c r="E217" s="1392"/>
      <c r="F217" s="1392"/>
      <c r="G217" s="1392"/>
      <c r="H217" s="186"/>
      <c r="AE217" s="319"/>
      <c r="AF217" s="319"/>
      <c r="AH217" s="318"/>
      <c r="AI217" s="319"/>
    </row>
    <row r="218" spans="1:35" s="269" customFormat="1" ht="32.25" hidden="1" customHeight="1">
      <c r="A218" s="316" t="e">
        <f>#REF!</f>
        <v>#REF!</v>
      </c>
      <c r="B218" s="317" t="e">
        <f>#REF!</f>
        <v>#REF!</v>
      </c>
      <c r="C218" s="1392" t="e">
        <f>#REF!</f>
        <v>#REF!</v>
      </c>
      <c r="D218" s="1392"/>
      <c r="E218" s="1392"/>
      <c r="F218" s="1392"/>
      <c r="G218" s="1392"/>
      <c r="H218" s="186"/>
      <c r="AE218" s="319"/>
      <c r="AF218" s="319"/>
      <c r="AH218" s="318"/>
      <c r="AI218" s="319"/>
    </row>
    <row r="219" spans="1:35" s="269" customFormat="1" ht="19.5" hidden="1" customHeight="1">
      <c r="A219" s="316" t="e">
        <f>#REF!</f>
        <v>#REF!</v>
      </c>
      <c r="B219" s="317" t="e">
        <f>#REF!</f>
        <v>#REF!</v>
      </c>
      <c r="C219" s="1392" t="e">
        <f>#REF!</f>
        <v>#REF!</v>
      </c>
      <c r="D219" s="1392"/>
      <c r="E219" s="1392"/>
      <c r="F219" s="1392"/>
      <c r="G219" s="1392"/>
      <c r="H219" s="186"/>
      <c r="AE219" s="319"/>
      <c r="AF219" s="319"/>
      <c r="AH219" s="318"/>
      <c r="AI219" s="319"/>
    </row>
    <row r="220" spans="1:35" s="269" customFormat="1" ht="19.5" hidden="1" customHeight="1">
      <c r="A220" s="320"/>
      <c r="B220" s="315" t="e">
        <f>#REF!</f>
        <v>#REF!</v>
      </c>
      <c r="C220" s="1392" t="e">
        <f>#REF!</f>
        <v>#REF!</v>
      </c>
      <c r="D220" s="1392"/>
      <c r="E220" s="1392"/>
      <c r="F220" s="1392"/>
      <c r="G220" s="1392"/>
      <c r="H220" s="188"/>
      <c r="AE220" s="319"/>
      <c r="AF220" s="319"/>
      <c r="AH220" s="319"/>
      <c r="AI220" s="319"/>
    </row>
    <row r="221" spans="1:35" s="269" customFormat="1" hidden="1">
      <c r="A221" s="323"/>
      <c r="B221" s="315" t="e">
        <f>#REF!</f>
        <v>#REF!</v>
      </c>
      <c r="C221" s="1392" t="e">
        <f>#REF!</f>
        <v>#REF!</v>
      </c>
      <c r="D221" s="1392"/>
      <c r="E221" s="1392"/>
      <c r="F221" s="1392"/>
      <c r="G221" s="1392"/>
      <c r="H221" s="188"/>
      <c r="AE221" s="319"/>
      <c r="AF221" s="319"/>
      <c r="AH221" s="319"/>
      <c r="AI221" s="319"/>
    </row>
    <row r="222" spans="1:35" s="269" customFormat="1" ht="19.5" hidden="1" customHeight="1">
      <c r="A222" s="324"/>
      <c r="B222" s="315" t="e">
        <f>#REF!</f>
        <v>#REF!</v>
      </c>
      <c r="C222" s="1392" t="e">
        <f>#REF!</f>
        <v>#REF!</v>
      </c>
      <c r="D222" s="1392"/>
      <c r="E222" s="1392"/>
      <c r="F222" s="1392"/>
      <c r="G222" s="1392"/>
      <c r="H222" s="188"/>
      <c r="AE222" s="319"/>
      <c r="AF222" s="319"/>
      <c r="AH222" s="319"/>
      <c r="AI222" s="319"/>
    </row>
    <row r="223" spans="1:35" s="184" customFormat="1">
      <c r="A223" s="230"/>
      <c r="B223" s="223"/>
      <c r="C223" s="1395"/>
      <c r="D223" s="1395"/>
      <c r="E223" s="1395"/>
      <c r="F223" s="1395"/>
      <c r="G223" s="1395"/>
      <c r="H223" s="258"/>
      <c r="I223" s="384"/>
      <c r="J223" s="384"/>
      <c r="K223" s="384"/>
      <c r="L223" s="384"/>
    </row>
    <row r="224" spans="1:35" s="184" customFormat="1">
      <c r="A224" s="205"/>
      <c r="B224" s="193"/>
      <c r="C224" s="193"/>
      <c r="D224" s="193"/>
      <c r="E224" s="193"/>
      <c r="F224" s="193"/>
      <c r="G224" s="193"/>
      <c r="H224" s="258"/>
      <c r="I224" s="384"/>
      <c r="J224" s="384"/>
      <c r="K224" s="384"/>
      <c r="L224" s="384"/>
    </row>
    <row r="225" spans="1:12" s="184" customFormat="1">
      <c r="A225" s="205"/>
      <c r="B225" s="193"/>
      <c r="C225" s="193"/>
      <c r="D225" s="193"/>
      <c r="E225" s="193"/>
      <c r="F225" s="193"/>
      <c r="G225" s="193"/>
      <c r="H225" s="258"/>
      <c r="I225" s="384"/>
      <c r="J225" s="384"/>
      <c r="K225" s="384"/>
      <c r="L225" s="384"/>
    </row>
  </sheetData>
  <sheetProtection password="CFB5" sheet="1" objects="1" scenarios="1" formatColumns="0" formatRows="0" selectLockedCells="1"/>
  <customSheetViews>
    <customSheetView guid="{9AC181BA-F443-4EA7-A647-328174FE300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30" type="noConversion"/>
  <conditionalFormatting sqref="H15:H19">
    <cfRule type="expression" dxfId="4" priority="2" stopIfTrue="1">
      <formula>G15=""</formula>
    </cfRule>
  </conditionalFormatting>
  <conditionalFormatting sqref="E15:E17">
    <cfRule type="expression" dxfId="3" priority="1" stopIfTrue="1">
      <formula>D15&gt;0</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14" zoomScale="80" zoomScaleNormal="100" zoomScaleSheetLayoutView="80" workbookViewId="0">
      <selection activeCell="G25" sqref="G25"/>
    </sheetView>
  </sheetViews>
  <sheetFormatPr defaultColWidth="9" defaultRowHeight="14.4"/>
  <cols>
    <col min="1" max="2" width="6.6640625" style="499" customWidth="1"/>
    <col min="3" max="3" width="21.6640625" style="499" customWidth="1"/>
    <col min="4" max="4" width="13.33203125" style="499" customWidth="1"/>
    <col min="5" max="5" width="23.6640625" style="499" customWidth="1"/>
    <col min="6" max="6" width="11.88671875" style="499" customWidth="1"/>
    <col min="7" max="7" width="14.33203125" style="499" customWidth="1"/>
    <col min="8" max="8" width="15.6640625" style="652" hidden="1" customWidth="1"/>
    <col min="9" max="9" width="20" style="653" hidden="1" customWidth="1"/>
    <col min="10" max="10" width="41.44140625" style="653" hidden="1" customWidth="1"/>
    <col min="11" max="11" width="21.21875" style="653" hidden="1" customWidth="1"/>
    <col min="12" max="13" width="14.21875" style="653" customWidth="1"/>
    <col min="14" max="16" width="9" style="654" customWidth="1"/>
    <col min="17" max="19" width="9" style="574"/>
    <col min="20" max="21" width="9" style="575"/>
    <col min="22" max="16384" width="9" style="495"/>
  </cols>
  <sheetData>
    <row r="1" spans="1:21" s="494" customFormat="1" ht="40.200000000000003" customHeight="1">
      <c r="A1" s="1430" t="s">
        <v>692</v>
      </c>
      <c r="B1" s="1430"/>
      <c r="C1" s="1430"/>
      <c r="D1" s="1430"/>
      <c r="E1" s="1430"/>
      <c r="F1" s="1430"/>
      <c r="G1" s="1430"/>
      <c r="H1" s="649"/>
      <c r="I1" s="650"/>
      <c r="J1" s="650"/>
      <c r="K1" s="650"/>
      <c r="L1" s="650"/>
      <c r="M1" s="650"/>
      <c r="N1" s="650"/>
      <c r="O1" s="650"/>
      <c r="P1" s="650"/>
      <c r="Q1" s="572"/>
      <c r="R1" s="572"/>
      <c r="S1" s="572"/>
      <c r="T1" s="573"/>
      <c r="U1" s="573"/>
    </row>
    <row r="2" spans="1:21" ht="18" customHeight="1">
      <c r="A2" s="81" t="str">
        <f>Cover!B3</f>
        <v>Specification No.: CC/NT/W-AIS/DOM/A00/23/02698</v>
      </c>
      <c r="B2" s="81"/>
      <c r="C2" s="82"/>
      <c r="D2" s="83"/>
      <c r="E2" s="83"/>
      <c r="F2" s="83"/>
      <c r="G2" s="85" t="s">
        <v>26</v>
      </c>
    </row>
    <row r="3" spans="1:21" ht="18" customHeight="1">
      <c r="A3" s="67"/>
      <c r="B3" s="67"/>
      <c r="C3" s="88"/>
      <c r="D3" s="89"/>
      <c r="E3" s="89"/>
      <c r="F3" s="89"/>
      <c r="G3" s="34"/>
    </row>
    <row r="4" spans="1:21" ht="19.2" customHeight="1">
      <c r="A4" s="1409" t="s">
        <v>27</v>
      </c>
      <c r="B4" s="1409"/>
      <c r="C4" s="1409"/>
      <c r="D4" s="1409"/>
      <c r="E4" s="1409"/>
      <c r="F4" s="1409"/>
      <c r="G4" s="1409"/>
    </row>
    <row r="5" spans="1:21" ht="21" customHeight="1">
      <c r="A5" s="63" t="s">
        <v>396</v>
      </c>
      <c r="B5" s="63"/>
      <c r="C5" s="189"/>
      <c r="D5" s="189"/>
      <c r="E5" s="189"/>
      <c r="F5" s="189"/>
      <c r="G5" s="189"/>
    </row>
    <row r="6" spans="1:21" ht="21" customHeight="1">
      <c r="A6" s="62" t="s">
        <v>398</v>
      </c>
      <c r="B6" s="62"/>
      <c r="C6" s="189"/>
      <c r="D6" s="189"/>
      <c r="E6" s="189"/>
      <c r="F6" s="189"/>
      <c r="G6" s="189"/>
    </row>
    <row r="7" spans="1:21" ht="21" customHeight="1">
      <c r="A7" s="62" t="s">
        <v>400</v>
      </c>
      <c r="B7" s="62"/>
      <c r="C7" s="189"/>
      <c r="D7" s="189"/>
      <c r="E7" s="189"/>
      <c r="F7" s="189"/>
      <c r="G7" s="189"/>
    </row>
    <row r="8" spans="1:21" ht="21" customHeight="1">
      <c r="A8" s="62" t="s">
        <v>401</v>
      </c>
      <c r="B8" s="62"/>
      <c r="C8" s="189"/>
      <c r="D8" s="189"/>
      <c r="E8" s="189"/>
      <c r="F8" s="189"/>
      <c r="G8" s="189"/>
    </row>
    <row r="9" spans="1:21" ht="21" customHeight="1">
      <c r="A9" s="62" t="s">
        <v>28</v>
      </c>
      <c r="B9" s="62"/>
      <c r="C9" s="189"/>
      <c r="D9" s="189"/>
      <c r="E9" s="189"/>
      <c r="F9" s="189"/>
      <c r="G9" s="189"/>
    </row>
    <row r="10" spans="1:21" ht="21" customHeight="1">
      <c r="A10" s="62" t="s">
        <v>402</v>
      </c>
      <c r="B10" s="62"/>
      <c r="C10" s="189"/>
      <c r="D10" s="189"/>
      <c r="E10" s="189"/>
      <c r="F10" s="189"/>
      <c r="G10" s="189"/>
    </row>
    <row r="11" spans="1:21" ht="21" customHeight="1">
      <c r="A11" s="189"/>
      <c r="B11" s="189"/>
      <c r="C11" s="189"/>
      <c r="D11" s="189"/>
      <c r="E11" s="189"/>
      <c r="F11" s="189"/>
      <c r="G11" s="189"/>
    </row>
    <row r="12" spans="1:21" ht="70.8" customHeight="1">
      <c r="A12" s="496" t="s">
        <v>29</v>
      </c>
      <c r="B12" s="496"/>
      <c r="C12" s="1431" t="str">
        <f>Cover!$B$2</f>
        <v>400kV AIS Substation Extension Package SS-111 for Extension of 400/220 kV Jabalpur Substation associated with Western Region Expansion Scheme-XXXIII (WRES-XXXIII): Part A.</v>
      </c>
      <c r="D12" s="1431"/>
      <c r="E12" s="1431"/>
      <c r="F12" s="1431"/>
      <c r="G12" s="1431"/>
    </row>
    <row r="13" spans="1:21" ht="21" customHeight="1">
      <c r="A13" s="497" t="s">
        <v>30</v>
      </c>
      <c r="B13" s="497"/>
      <c r="C13" s="498"/>
      <c r="D13" s="497"/>
      <c r="E13" s="497"/>
      <c r="F13" s="497"/>
      <c r="G13" s="497"/>
    </row>
    <row r="14" spans="1:21" ht="55.5" customHeight="1">
      <c r="A14" s="1432" t="s">
        <v>31</v>
      </c>
      <c r="B14" s="1432"/>
      <c r="C14" s="1432"/>
      <c r="D14" s="1432"/>
      <c r="E14" s="1432"/>
      <c r="F14" s="1432"/>
      <c r="G14" s="1432"/>
      <c r="I14" s="856" t="s">
        <v>32</v>
      </c>
      <c r="J14" s="655" t="s">
        <v>33</v>
      </c>
    </row>
    <row r="15" spans="1:21" ht="70.2" customHeight="1">
      <c r="B15" s="500">
        <v>1</v>
      </c>
      <c r="C15" s="1416" t="s">
        <v>548</v>
      </c>
      <c r="D15" s="1417"/>
      <c r="E15" s="1417"/>
      <c r="F15" s="1418"/>
      <c r="G15" s="501"/>
      <c r="H15" s="656">
        <f>'Sch-1'!N150+'Sch-2'!J151+'Sch-3 '!P159+'Sch-4'!P22+'Sch-4b'!P30+'Sch-7'!M20</f>
        <v>0</v>
      </c>
      <c r="I15" s="657">
        <f>IF(H15=0,0,G15/H15)</f>
        <v>0</v>
      </c>
    </row>
    <row r="16" spans="1:21" ht="70.2" customHeight="1">
      <c r="B16" s="500">
        <v>2</v>
      </c>
      <c r="C16" s="1416" t="s">
        <v>736</v>
      </c>
      <c r="D16" s="1417"/>
      <c r="E16" s="1417"/>
      <c r="F16" s="1418"/>
      <c r="G16" s="502"/>
      <c r="H16" s="656">
        <f>'Sch-1'!N150+'Sch-2'!J151+'Sch-3 '!P159+'Sch-4'!P22+'Sch-4b'!P30+'Sch-7'!M20</f>
        <v>0</v>
      </c>
      <c r="I16" s="658">
        <f>G16</f>
        <v>0</v>
      </c>
    </row>
    <row r="17" spans="1:21" s="503" customFormat="1" ht="55.2" customHeight="1">
      <c r="B17" s="504">
        <v>3</v>
      </c>
      <c r="C17" s="1419" t="s">
        <v>34</v>
      </c>
      <c r="D17" s="1420"/>
      <c r="E17" s="1420"/>
      <c r="F17" s="1421"/>
      <c r="G17" s="505"/>
      <c r="H17" s="651"/>
      <c r="I17" s="659"/>
      <c r="J17" s="659"/>
      <c r="K17" s="659"/>
      <c r="L17" s="659"/>
      <c r="M17" s="659"/>
      <c r="N17" s="660"/>
      <c r="O17" s="660"/>
      <c r="P17" s="660"/>
      <c r="Q17" s="576"/>
      <c r="R17" s="576"/>
      <c r="S17" s="576"/>
      <c r="T17" s="577"/>
      <c r="U17" s="577"/>
    </row>
    <row r="18" spans="1:21" s="503" customFormat="1" ht="21" customHeight="1">
      <c r="B18" s="506"/>
      <c r="C18" s="783" t="s">
        <v>498</v>
      </c>
      <c r="D18" s="508"/>
      <c r="E18" s="509"/>
      <c r="F18" s="510" t="s">
        <v>35</v>
      </c>
      <c r="G18" s="511"/>
      <c r="H18" s="661">
        <f>'Sch-1'!N150</f>
        <v>0</v>
      </c>
      <c r="I18" s="662">
        <f t="shared" ref="I18:I23" si="0">IF(H18=0,0,G18/H18)</f>
        <v>0</v>
      </c>
      <c r="J18" s="663" t="s">
        <v>501</v>
      </c>
      <c r="K18" s="855">
        <f>I15+I16+I18+I25</f>
        <v>0</v>
      </c>
      <c r="L18" s="659"/>
      <c r="M18" s="659"/>
      <c r="N18" s="660"/>
      <c r="O18" s="660"/>
      <c r="P18" s="660"/>
      <c r="Q18" s="576"/>
      <c r="R18" s="576"/>
      <c r="S18" s="576"/>
      <c r="T18" s="577"/>
      <c r="U18" s="577"/>
    </row>
    <row r="19" spans="1:21" s="503" customFormat="1" ht="21" customHeight="1">
      <c r="B19" s="506"/>
      <c r="C19" s="507" t="s">
        <v>36</v>
      </c>
      <c r="D19" s="508"/>
      <c r="E19" s="509"/>
      <c r="F19" s="510" t="s">
        <v>35</v>
      </c>
      <c r="G19" s="511"/>
      <c r="H19" s="661">
        <f>'Sch-2'!J151</f>
        <v>0</v>
      </c>
      <c r="I19" s="662">
        <f t="shared" si="0"/>
        <v>0</v>
      </c>
      <c r="J19" s="663" t="s">
        <v>36</v>
      </c>
      <c r="K19" s="855">
        <f>I15+I16+I19+I26</f>
        <v>0</v>
      </c>
      <c r="L19" s="659"/>
      <c r="M19" s="659"/>
      <c r="N19" s="660"/>
      <c r="O19" s="660"/>
      <c r="P19" s="660"/>
      <c r="Q19" s="576"/>
      <c r="R19" s="576"/>
      <c r="S19" s="576"/>
      <c r="T19" s="577"/>
      <c r="U19" s="577"/>
    </row>
    <row r="20" spans="1:21" s="503" customFormat="1" ht="21" customHeight="1">
      <c r="B20" s="506"/>
      <c r="C20" s="507" t="s">
        <v>37</v>
      </c>
      <c r="D20" s="508"/>
      <c r="E20" s="509"/>
      <c r="F20" s="510" t="s">
        <v>35</v>
      </c>
      <c r="G20" s="511"/>
      <c r="H20" s="661">
        <f>'Sch-3 '!P159</f>
        <v>0</v>
      </c>
      <c r="I20" s="662">
        <f t="shared" si="0"/>
        <v>0</v>
      </c>
      <c r="J20" s="663" t="s">
        <v>37</v>
      </c>
      <c r="K20" s="855">
        <f>I15+I16+I20+I27</f>
        <v>0</v>
      </c>
      <c r="L20" s="659"/>
      <c r="M20" s="659"/>
      <c r="N20" s="660"/>
      <c r="O20" s="660"/>
      <c r="P20" s="660"/>
      <c r="Q20" s="576"/>
      <c r="R20" s="576"/>
      <c r="S20" s="576"/>
      <c r="T20" s="577"/>
      <c r="U20" s="577"/>
    </row>
    <row r="21" spans="1:21" s="503" customFormat="1" ht="21" customHeight="1">
      <c r="B21" s="506"/>
      <c r="C21" s="783" t="s">
        <v>547</v>
      </c>
      <c r="D21" s="508"/>
      <c r="E21" s="509"/>
      <c r="F21" s="510" t="s">
        <v>35</v>
      </c>
      <c r="G21" s="859"/>
      <c r="H21" s="661">
        <f>'Sch-4'!P22</f>
        <v>0</v>
      </c>
      <c r="I21" s="662">
        <f t="shared" si="0"/>
        <v>0</v>
      </c>
      <c r="J21" s="663" t="s">
        <v>547</v>
      </c>
      <c r="K21" s="855">
        <f>I15+I16+I21+I28</f>
        <v>0</v>
      </c>
      <c r="L21" s="659"/>
      <c r="M21" s="659"/>
      <c r="N21" s="660"/>
      <c r="O21" s="660"/>
      <c r="P21" s="660"/>
      <c r="Q21" s="576"/>
      <c r="R21" s="576"/>
      <c r="S21" s="576"/>
      <c r="T21" s="577"/>
      <c r="U21" s="577"/>
    </row>
    <row r="22" spans="1:21" s="503" customFormat="1" ht="21" hidden="1" customHeight="1">
      <c r="B22" s="506"/>
      <c r="C22" s="783" t="s">
        <v>549</v>
      </c>
      <c r="D22" s="508"/>
      <c r="E22" s="509"/>
      <c r="F22" s="510" t="s">
        <v>35</v>
      </c>
      <c r="G22" s="511"/>
      <c r="H22" s="661">
        <f>'Sch-4b'!P30</f>
        <v>0</v>
      </c>
      <c r="I22" s="662">
        <f t="shared" si="0"/>
        <v>0</v>
      </c>
      <c r="J22" s="663" t="s">
        <v>550</v>
      </c>
      <c r="K22" s="855">
        <f>I15+I16+I22+I29</f>
        <v>0</v>
      </c>
      <c r="L22" s="659"/>
      <c r="M22" s="659"/>
      <c r="N22" s="660"/>
      <c r="O22" s="660"/>
      <c r="P22" s="660"/>
      <c r="Q22" s="576"/>
      <c r="R22" s="576"/>
      <c r="S22" s="576"/>
      <c r="T22" s="577"/>
      <c r="U22" s="577"/>
    </row>
    <row r="23" spans="1:21" s="503" customFormat="1" ht="23.25" customHeight="1">
      <c r="B23" s="512"/>
      <c r="C23" s="513" t="s">
        <v>63</v>
      </c>
      <c r="D23" s="514"/>
      <c r="E23" s="509"/>
      <c r="F23" s="515" t="s">
        <v>35</v>
      </c>
      <c r="G23" s="859"/>
      <c r="H23" s="661">
        <f>'Sch-7'!M20</f>
        <v>0</v>
      </c>
      <c r="I23" s="662">
        <f t="shared" si="0"/>
        <v>0</v>
      </c>
      <c r="J23" s="663" t="s">
        <v>63</v>
      </c>
      <c r="K23" s="855">
        <f>I15+I16+I23+I30</f>
        <v>0</v>
      </c>
      <c r="L23" s="659"/>
      <c r="M23" s="659"/>
      <c r="N23" s="660"/>
      <c r="O23" s="660"/>
      <c r="P23" s="660"/>
      <c r="Q23" s="576"/>
      <c r="R23" s="576"/>
      <c r="S23" s="576"/>
      <c r="T23" s="577"/>
      <c r="U23" s="577"/>
    </row>
    <row r="24" spans="1:21" s="503" customFormat="1" ht="55.2" customHeight="1">
      <c r="B24" s="504">
        <v>4</v>
      </c>
      <c r="C24" s="1422" t="s">
        <v>737</v>
      </c>
      <c r="D24" s="1423"/>
      <c r="E24" s="1423"/>
      <c r="F24" s="1424"/>
      <c r="G24" s="505"/>
      <c r="H24" s="651"/>
      <c r="I24" s="659"/>
      <c r="J24" s="659"/>
      <c r="K24" s="659"/>
      <c r="L24" s="659"/>
      <c r="M24" s="659"/>
      <c r="N24" s="660"/>
      <c r="O24" s="660"/>
      <c r="P24" s="660"/>
      <c r="Q24" s="576"/>
      <c r="R24" s="576"/>
      <c r="S24" s="576"/>
      <c r="T24" s="577"/>
      <c r="U24" s="577"/>
    </row>
    <row r="25" spans="1:21" s="503" customFormat="1" ht="21" customHeight="1">
      <c r="A25" s="516"/>
      <c r="B25" s="506"/>
      <c r="C25" s="783" t="s">
        <v>499</v>
      </c>
      <c r="D25" s="508"/>
      <c r="E25" s="517"/>
      <c r="F25" s="510" t="s">
        <v>38</v>
      </c>
      <c r="G25" s="518"/>
      <c r="H25" s="661">
        <f>'Sch-1'!N150</f>
        <v>0</v>
      </c>
      <c r="I25" s="664">
        <f t="shared" ref="I25:I30" si="1">G25</f>
        <v>0</v>
      </c>
      <c r="J25" s="659"/>
      <c r="K25" s="659"/>
      <c r="L25" s="659"/>
      <c r="M25" s="659"/>
      <c r="N25" s="660"/>
      <c r="O25" s="660"/>
      <c r="P25" s="660"/>
      <c r="Q25" s="576"/>
      <c r="R25" s="576"/>
      <c r="S25" s="576"/>
      <c r="T25" s="577"/>
      <c r="U25" s="577"/>
    </row>
    <row r="26" spans="1:21" s="503" customFormat="1" ht="21" customHeight="1">
      <c r="A26" s="516"/>
      <c r="B26" s="506"/>
      <c r="C26" s="507" t="s">
        <v>36</v>
      </c>
      <c r="D26" s="508"/>
      <c r="E26" s="517"/>
      <c r="F26" s="510" t="s">
        <v>38</v>
      </c>
      <c r="G26" s="518"/>
      <c r="H26" s="661">
        <f>'Sch-2'!J151</f>
        <v>0</v>
      </c>
      <c r="I26" s="664">
        <f t="shared" si="1"/>
        <v>0</v>
      </c>
      <c r="J26" s="659"/>
      <c r="K26" s="659"/>
      <c r="L26" s="659"/>
      <c r="M26" s="659"/>
      <c r="N26" s="660"/>
      <c r="O26" s="660"/>
      <c r="P26" s="660"/>
      <c r="Q26" s="576"/>
      <c r="R26" s="576"/>
      <c r="S26" s="576"/>
      <c r="T26" s="577"/>
      <c r="U26" s="577"/>
    </row>
    <row r="27" spans="1:21" s="503" customFormat="1" ht="21" customHeight="1">
      <c r="A27" s="516"/>
      <c r="B27" s="506"/>
      <c r="C27" s="507" t="s">
        <v>37</v>
      </c>
      <c r="D27" s="508"/>
      <c r="E27" s="517"/>
      <c r="F27" s="510" t="s">
        <v>38</v>
      </c>
      <c r="G27" s="518"/>
      <c r="H27" s="661">
        <f>'Sch-3 '!P159</f>
        <v>0</v>
      </c>
      <c r="I27" s="664">
        <f t="shared" si="1"/>
        <v>0</v>
      </c>
      <c r="J27" s="659"/>
      <c r="K27" s="659"/>
      <c r="L27" s="659"/>
      <c r="M27" s="659"/>
      <c r="N27" s="660"/>
      <c r="O27" s="660"/>
      <c r="P27" s="660"/>
      <c r="Q27" s="576"/>
      <c r="R27" s="576"/>
      <c r="S27" s="576"/>
      <c r="T27" s="577"/>
      <c r="U27" s="577"/>
    </row>
    <row r="28" spans="1:21" s="503" customFormat="1" ht="21" customHeight="1">
      <c r="A28" s="516"/>
      <c r="B28" s="506"/>
      <c r="C28" s="783" t="s">
        <v>547</v>
      </c>
      <c r="D28" s="508"/>
      <c r="E28" s="517"/>
      <c r="F28" s="510" t="s">
        <v>38</v>
      </c>
      <c r="G28" s="859"/>
      <c r="H28" s="661">
        <f>'Sch-4'!P22</f>
        <v>0</v>
      </c>
      <c r="I28" s="664">
        <f t="shared" si="1"/>
        <v>0</v>
      </c>
      <c r="J28" s="659"/>
      <c r="K28" s="659"/>
      <c r="L28" s="659"/>
      <c r="M28" s="659"/>
      <c r="N28" s="660"/>
      <c r="O28" s="660"/>
      <c r="P28" s="660"/>
      <c r="Q28" s="576"/>
      <c r="R28" s="576"/>
      <c r="S28" s="576"/>
      <c r="T28" s="577"/>
      <c r="U28" s="577"/>
    </row>
    <row r="29" spans="1:21" s="503" customFormat="1" ht="21" hidden="1" customHeight="1">
      <c r="A29" s="516"/>
      <c r="B29" s="506"/>
      <c r="C29" s="783" t="s">
        <v>549</v>
      </c>
      <c r="D29" s="508"/>
      <c r="E29" s="517"/>
      <c r="F29" s="510" t="s">
        <v>38</v>
      </c>
      <c r="G29" s="518"/>
      <c r="H29" s="661">
        <f>'Sch-4b'!P30</f>
        <v>0</v>
      </c>
      <c r="I29" s="664">
        <f t="shared" si="1"/>
        <v>0</v>
      </c>
      <c r="J29" s="659"/>
      <c r="K29" s="659"/>
      <c r="L29" s="659"/>
      <c r="M29" s="659"/>
      <c r="N29" s="660"/>
      <c r="O29" s="660"/>
      <c r="P29" s="660"/>
      <c r="Q29" s="576"/>
      <c r="R29" s="576"/>
      <c r="S29" s="576"/>
      <c r="T29" s="577"/>
      <c r="U29" s="577"/>
    </row>
    <row r="30" spans="1:21" s="503" customFormat="1" ht="21" customHeight="1">
      <c r="A30" s="516"/>
      <c r="B30" s="512"/>
      <c r="C30" s="513" t="s">
        <v>63</v>
      </c>
      <c r="D30" s="514"/>
      <c r="E30" s="519"/>
      <c r="F30" s="515" t="s">
        <v>38</v>
      </c>
      <c r="G30" s="859"/>
      <c r="H30" s="661">
        <f>'Sch-7'!M20</f>
        <v>0</v>
      </c>
      <c r="I30" s="664">
        <f t="shared" si="1"/>
        <v>0</v>
      </c>
      <c r="J30" s="659"/>
      <c r="K30" s="659"/>
      <c r="L30" s="659"/>
      <c r="M30" s="659"/>
      <c r="N30" s="660"/>
      <c r="O30" s="660"/>
      <c r="P30" s="660"/>
      <c r="Q30" s="576"/>
      <c r="R30" s="576"/>
      <c r="S30" s="576"/>
      <c r="T30" s="577"/>
      <c r="U30" s="577"/>
    </row>
    <row r="31" spans="1:21" s="503" customFormat="1">
      <c r="A31" s="516"/>
      <c r="B31" s="520"/>
      <c r="C31" s="1425" t="s">
        <v>472</v>
      </c>
      <c r="D31" s="1426"/>
      <c r="E31" s="1426"/>
      <c r="F31" s="1426"/>
      <c r="G31" s="1426"/>
      <c r="H31" s="651"/>
      <c r="I31" s="659"/>
      <c r="J31" s="659"/>
      <c r="K31" s="659"/>
      <c r="L31" s="659"/>
      <c r="M31" s="659"/>
      <c r="N31" s="660"/>
      <c r="O31" s="660"/>
      <c r="P31" s="660"/>
      <c r="Q31" s="576"/>
      <c r="R31" s="576"/>
      <c r="S31" s="576"/>
      <c r="T31" s="577"/>
      <c r="U31" s="577"/>
    </row>
    <row r="32" spans="1:21" s="503" customFormat="1" ht="48.75" hidden="1" customHeight="1">
      <c r="A32" s="516"/>
      <c r="B32" s="578">
        <v>5</v>
      </c>
      <c r="C32" s="1427" t="s">
        <v>471</v>
      </c>
      <c r="D32" s="1427"/>
      <c r="E32" s="1427"/>
      <c r="F32" s="1427"/>
      <c r="G32" s="1427"/>
      <c r="H32" s="651"/>
      <c r="I32" s="659"/>
      <c r="J32" s="659"/>
      <c r="K32" s="659"/>
      <c r="L32" s="659"/>
      <c r="M32" s="659"/>
      <c r="N32" s="660"/>
      <c r="O32" s="660"/>
      <c r="P32" s="660"/>
      <c r="Q32" s="576"/>
      <c r="R32" s="576"/>
      <c r="S32" s="576"/>
      <c r="T32" s="577"/>
      <c r="U32" s="577"/>
    </row>
    <row r="33" spans="1:21" s="503" customFormat="1" ht="48.75" hidden="1" customHeight="1">
      <c r="A33" s="516"/>
      <c r="B33" s="1428"/>
      <c r="C33" s="1428"/>
      <c r="D33" s="1428"/>
      <c r="E33" s="1428"/>
      <c r="F33" s="1428"/>
      <c r="G33" s="1428"/>
      <c r="H33" s="651"/>
      <c r="I33" s="659"/>
      <c r="J33" s="659"/>
      <c r="K33" s="659"/>
      <c r="L33" s="659"/>
      <c r="M33" s="659"/>
      <c r="N33" s="660"/>
      <c r="O33" s="660"/>
      <c r="P33" s="660"/>
      <c r="Q33" s="576"/>
      <c r="R33" s="576"/>
      <c r="S33" s="576"/>
      <c r="T33" s="577"/>
      <c r="U33" s="577"/>
    </row>
    <row r="34" spans="1:21" s="503" customFormat="1" ht="48.75" hidden="1" customHeight="1">
      <c r="A34" s="516"/>
      <c r="B34" s="521"/>
      <c r="C34" s="1427" t="s">
        <v>0</v>
      </c>
      <c r="D34" s="1429"/>
      <c r="E34" s="1429"/>
      <c r="F34" s="1429"/>
      <c r="G34" s="1429"/>
      <c r="H34" s="651"/>
      <c r="I34" s="659"/>
      <c r="J34" s="659"/>
      <c r="K34" s="659"/>
      <c r="L34" s="659"/>
      <c r="M34" s="659"/>
      <c r="N34" s="660"/>
      <c r="O34" s="660"/>
      <c r="P34" s="660"/>
      <c r="Q34" s="576"/>
      <c r="R34" s="576"/>
      <c r="S34" s="576"/>
      <c r="T34" s="577"/>
      <c r="U34" s="577"/>
    </row>
    <row r="35" spans="1:21" s="503" customFormat="1" ht="33" customHeight="1">
      <c r="A35" s="497" t="s">
        <v>39</v>
      </c>
      <c r="B35" s="521"/>
      <c r="C35" s="522"/>
      <c r="E35" s="523"/>
      <c r="F35" s="523"/>
      <c r="G35" s="524"/>
      <c r="H35" s="651"/>
      <c r="I35" s="659"/>
      <c r="J35" s="659"/>
      <c r="K35" s="659"/>
      <c r="L35" s="659"/>
      <c r="M35" s="659"/>
      <c r="N35" s="660"/>
      <c r="O35" s="660"/>
      <c r="P35" s="660"/>
      <c r="Q35" s="576"/>
      <c r="R35" s="576"/>
      <c r="S35" s="576"/>
      <c r="T35" s="577"/>
      <c r="U35" s="577"/>
    </row>
    <row r="36" spans="1:21" s="503" customFormat="1" ht="33" customHeight="1">
      <c r="A36" s="34" t="s">
        <v>81</v>
      </c>
      <c r="B36" s="521"/>
      <c r="C36" s="522"/>
      <c r="E36" s="523"/>
      <c r="F36" s="523"/>
      <c r="G36" s="524"/>
      <c r="H36" s="651"/>
      <c r="I36" s="659"/>
      <c r="J36" s="659"/>
      <c r="K36" s="659"/>
      <c r="L36" s="659"/>
      <c r="M36" s="659"/>
      <c r="N36" s="660"/>
      <c r="O36" s="660"/>
      <c r="P36" s="660"/>
      <c r="Q36" s="576"/>
      <c r="R36" s="576"/>
      <c r="S36" s="576"/>
      <c r="T36" s="577"/>
      <c r="U36" s="577"/>
    </row>
    <row r="37" spans="1:21" s="503" customFormat="1" ht="33" customHeight="1">
      <c r="B37" s="34"/>
      <c r="D37" s="289"/>
      <c r="E37" s="88"/>
      <c r="F37" s="88"/>
      <c r="G37" s="88"/>
      <c r="H37" s="651"/>
      <c r="I37" s="659"/>
      <c r="J37" s="659"/>
      <c r="K37" s="659"/>
      <c r="L37" s="659"/>
      <c r="M37" s="659"/>
      <c r="N37" s="660"/>
      <c r="O37" s="660"/>
      <c r="P37" s="660"/>
      <c r="Q37" s="576"/>
      <c r="R37" s="576"/>
      <c r="S37" s="576"/>
      <c r="T37" s="577"/>
      <c r="U37" s="577"/>
    </row>
    <row r="38" spans="1:21" ht="33" customHeight="1">
      <c r="A38" s="525"/>
      <c r="B38" s="525"/>
      <c r="C38" s="526"/>
      <c r="D38" s="88"/>
      <c r="E38" s="34"/>
      <c r="F38" s="34"/>
      <c r="G38" s="102" t="s">
        <v>82</v>
      </c>
    </row>
    <row r="39" spans="1:21" ht="33" customHeight="1">
      <c r="A39" s="525"/>
      <c r="B39" s="525"/>
      <c r="C39" s="526"/>
      <c r="D39" s="88"/>
      <c r="E39" s="34"/>
      <c r="F39" s="34"/>
      <c r="G39" s="102" t="str">
        <f>"For and on behalf of " &amp; 'Sch-1'!C8</f>
        <v xml:space="preserve">For and on behalf of …….. …….. …….. …….. …….. …….. </v>
      </c>
    </row>
    <row r="40" spans="1:21" ht="33" customHeight="1">
      <c r="A40" s="527"/>
      <c r="B40" s="527"/>
      <c r="C40" s="527"/>
      <c r="D40" s="528"/>
      <c r="E40" s="529"/>
      <c r="F40" s="529"/>
      <c r="G40" s="495"/>
    </row>
    <row r="41" spans="1:21" ht="33" customHeight="1">
      <c r="A41" s="530" t="s">
        <v>252</v>
      </c>
      <c r="B41" s="530"/>
      <c r="C41" s="528" t="str">
        <f>IF('Sch-1'!B158=0,"", 'Sch-1'!B158)</f>
        <v>--</v>
      </c>
      <c r="D41" s="528"/>
      <c r="E41" s="529" t="s">
        <v>83</v>
      </c>
      <c r="F41" s="1415" t="str">
        <f>'Sch-1'!M159</f>
        <v/>
      </c>
      <c r="G41" s="1415"/>
    </row>
    <row r="42" spans="1:21" ht="33" customHeight="1">
      <c r="A42" s="530" t="s">
        <v>253</v>
      </c>
      <c r="B42" s="530"/>
      <c r="C42" s="528" t="str">
        <f>IF('Sch-1'!B159=0,"", 'Sch-1'!B159)</f>
        <v/>
      </c>
      <c r="D42" s="531"/>
      <c r="E42" s="529" t="s">
        <v>84</v>
      </c>
      <c r="F42" s="1415" t="str">
        <f>'Sch-1'!M160</f>
        <v/>
      </c>
      <c r="G42" s="1415"/>
    </row>
    <row r="43" spans="1:21" ht="33" customHeight="1">
      <c r="A43" s="525"/>
      <c r="B43" s="525"/>
      <c r="C43" s="525"/>
      <c r="D43" s="525"/>
      <c r="E43" s="529"/>
      <c r="F43" s="529"/>
      <c r="G43" s="495"/>
    </row>
  </sheetData>
  <sheetProtection algorithmName="SHA-512" hashValue="+mNmW+nd9UjNP0MtA09wejKNe6RK3ZnYfyhhclGYJoNAhVVSVYb6umhcOh+6ZT6sQ3xJKLYkQ/t1qJ+Y6R58Hg==" saltValue="ziJ7tjnHjKaMwNI6WRPjrQ==" spinCount="100000" sheet="1" formatColumns="0" formatRows="0" selectLockedCells="1"/>
  <customSheetViews>
    <customSheetView guid="{9AC181BA-F443-4EA7-A647-328174FE3004}" scale="80" showPageBreaks="1" zeroValues="0" printArea="1" hiddenRows="1" hiddenColumns="1" view="pageBreakPreview" topLeftCell="A14">
      <selection activeCell="G25" sqref="G25"/>
      <pageMargins left="0.72" right="0.49" top="0.62" bottom="0.52" header="0.32" footer="0.27"/>
      <pageSetup scale="96" orientation="portrait" r:id="rId1"/>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3"/>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4"/>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5"/>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9"/>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0"/>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5"/>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6"/>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18"/>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19"/>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20"/>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21"/>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2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23"/>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4"/>
      <headerFooter alignWithMargins="0">
        <oddFooter>&amp;R&amp;"Book Antiqua,Bold"&amp;10Letter of Discount  / Page &amp;P of &amp;N</oddFooter>
      </headerFooter>
    </customSheetView>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4">
    <mergeCell ref="C15:F15"/>
    <mergeCell ref="A1:G1"/>
    <mergeCell ref="A4:G4"/>
    <mergeCell ref="C12:G12"/>
    <mergeCell ref="A14:G14"/>
    <mergeCell ref="F41:G41"/>
    <mergeCell ref="F42:G42"/>
    <mergeCell ref="C16:F16"/>
    <mergeCell ref="C17:F17"/>
    <mergeCell ref="C24:F24"/>
    <mergeCell ref="C31:G31"/>
    <mergeCell ref="C32:G32"/>
    <mergeCell ref="B33:G33"/>
    <mergeCell ref="C34:G34"/>
  </mergeCells>
  <phoneticPr fontId="30"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4.4"/>
  <cols>
    <col min="1" max="1" width="9" style="544"/>
    <col min="2" max="2" width="26.88671875" style="545" customWidth="1"/>
    <col min="3" max="3" width="22.88671875" style="545" customWidth="1"/>
    <col min="4" max="5" width="15.6640625" style="545" customWidth="1"/>
    <col min="6" max="16384" width="9" style="289"/>
  </cols>
  <sheetData>
    <row r="1" spans="1:6">
      <c r="A1" s="532"/>
      <c r="B1" s="533"/>
      <c r="C1" s="533"/>
      <c r="D1" s="533"/>
      <c r="E1" s="533"/>
    </row>
    <row r="2" spans="1:6" ht="22.2" customHeight="1">
      <c r="A2" s="1433" t="s">
        <v>40</v>
      </c>
      <c r="B2" s="1433"/>
      <c r="C2" s="1433"/>
      <c r="D2" s="1433"/>
      <c r="E2" s="289"/>
    </row>
    <row r="3" spans="1:6">
      <c r="A3" s="532"/>
      <c r="B3" s="533"/>
      <c r="C3" s="533"/>
      <c r="D3" s="533"/>
      <c r="E3" s="533"/>
    </row>
    <row r="4" spans="1:6" ht="28.8">
      <c r="A4" s="534" t="s">
        <v>41</v>
      </c>
      <c r="B4" s="535" t="s">
        <v>42</v>
      </c>
      <c r="C4" s="534" t="s">
        <v>71</v>
      </c>
      <c r="D4" s="534" t="s">
        <v>43</v>
      </c>
      <c r="E4" s="534" t="s">
        <v>44</v>
      </c>
    </row>
    <row r="5" spans="1:6" ht="18" customHeight="1">
      <c r="A5" s="536" t="s">
        <v>45</v>
      </c>
      <c r="B5" s="536" t="s">
        <v>46</v>
      </c>
      <c r="C5" s="536" t="s">
        <v>47</v>
      </c>
      <c r="D5" s="536" t="s">
        <v>48</v>
      </c>
      <c r="E5" s="536" t="s">
        <v>49</v>
      </c>
    </row>
    <row r="6" spans="1:6" ht="45" customHeight="1">
      <c r="A6" s="537">
        <v>1</v>
      </c>
      <c r="B6" s="538"/>
      <c r="C6" s="539"/>
      <c r="D6" s="540"/>
      <c r="E6" s="541">
        <f t="shared" ref="E6:E15" si="0">C6*D6</f>
        <v>0</v>
      </c>
    </row>
    <row r="7" spans="1:6" ht="45" customHeight="1">
      <c r="A7" s="537">
        <v>2</v>
      </c>
      <c r="B7" s="538"/>
      <c r="C7" s="539"/>
      <c r="D7" s="540"/>
      <c r="E7" s="541">
        <f t="shared" si="0"/>
        <v>0</v>
      </c>
    </row>
    <row r="8" spans="1:6" ht="45" customHeight="1">
      <c r="A8" s="537">
        <v>3</v>
      </c>
      <c r="B8" s="538"/>
      <c r="C8" s="539"/>
      <c r="D8" s="540"/>
      <c r="E8" s="541">
        <f t="shared" si="0"/>
        <v>0</v>
      </c>
    </row>
    <row r="9" spans="1:6" ht="45" customHeight="1">
      <c r="A9" s="537">
        <v>4</v>
      </c>
      <c r="B9" s="538"/>
      <c r="C9" s="539"/>
      <c r="D9" s="540"/>
      <c r="E9" s="541">
        <f t="shared" si="0"/>
        <v>0</v>
      </c>
    </row>
    <row r="10" spans="1:6" ht="45" customHeight="1">
      <c r="A10" s="537">
        <v>5</v>
      </c>
      <c r="B10" s="538"/>
      <c r="C10" s="539"/>
      <c r="D10" s="540"/>
      <c r="E10" s="541">
        <f t="shared" si="0"/>
        <v>0</v>
      </c>
    </row>
    <row r="11" spans="1:6" ht="45" customHeight="1">
      <c r="A11" s="537">
        <v>6</v>
      </c>
      <c r="B11" s="538"/>
      <c r="C11" s="539"/>
      <c r="D11" s="540"/>
      <c r="E11" s="541">
        <f t="shared" si="0"/>
        <v>0</v>
      </c>
    </row>
    <row r="12" spans="1:6" ht="45" customHeight="1">
      <c r="A12" s="537">
        <v>7</v>
      </c>
      <c r="B12" s="538"/>
      <c r="C12" s="539"/>
      <c r="D12" s="540"/>
      <c r="E12" s="541">
        <f t="shared" si="0"/>
        <v>0</v>
      </c>
    </row>
    <row r="13" spans="1:6" ht="45" customHeight="1">
      <c r="A13" s="537">
        <v>8</v>
      </c>
      <c r="B13" s="538"/>
      <c r="C13" s="539"/>
      <c r="D13" s="540"/>
      <c r="E13" s="541">
        <f t="shared" si="0"/>
        <v>0</v>
      </c>
    </row>
    <row r="14" spans="1:6" ht="45" customHeight="1">
      <c r="A14" s="537">
        <v>9</v>
      </c>
      <c r="B14" s="538"/>
      <c r="C14" s="539"/>
      <c r="D14" s="540"/>
      <c r="E14" s="541">
        <f t="shared" si="0"/>
        <v>0</v>
      </c>
    </row>
    <row r="15" spans="1:6" ht="45" customHeight="1">
      <c r="A15" s="537">
        <v>10</v>
      </c>
      <c r="B15" s="538"/>
      <c r="C15" s="539"/>
      <c r="D15" s="540"/>
      <c r="E15" s="541">
        <f t="shared" si="0"/>
        <v>0</v>
      </c>
    </row>
    <row r="16" spans="1:6" ht="45" customHeight="1">
      <c r="A16" s="542"/>
      <c r="B16" s="543" t="s">
        <v>50</v>
      </c>
      <c r="C16" s="543"/>
      <c r="D16" s="543"/>
      <c r="E16" s="543">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9AC181BA-F443-4EA7-A647-328174FE3004}" state="hidden">
      <selection activeCell="C8" sqref="C8"/>
      <pageMargins left="0.75" right="0.75" top="0.65" bottom="1" header="0.5" footer="0.5"/>
      <pageSetup orientation="portrait" r:id="rId1"/>
      <headerFooter alignWithMargins="0"/>
    </customSheetView>
    <customSheetView guid="{CB55CDDD-15EC-4265-9148-3411BBB26D54}" state="hidden">
      <selection activeCell="C8" sqref="C8"/>
      <pageMargins left="0.75" right="0.75" top="0.65" bottom="1" header="0.5" footer="0.5"/>
      <pageSetup orientation="portrait" r:id="rId2"/>
      <headerFooter alignWithMargins="0"/>
    </customSheetView>
    <customSheetView guid="{023E95C7-CD0A-46A1-945E-64751E02EBFE}" state="hidden">
      <selection activeCell="C8" sqref="C8"/>
      <pageMargins left="0.75" right="0.75" top="0.65" bottom="1" header="0.5" footer="0.5"/>
      <pageSetup orientation="portrait" r:id="rId3"/>
      <headerFooter alignWithMargins="0"/>
    </customSheetView>
    <customSheetView guid="{BB6473B7-092C-417E-97E7-ED0705AE17A0}" state="hidden">
      <selection activeCell="C8" sqref="C8"/>
      <pageMargins left="0.75" right="0.75" top="0.65" bottom="1" header="0.5" footer="0.5"/>
      <pageSetup orientation="portrait" r:id="rId4"/>
      <headerFooter alignWithMargins="0"/>
    </customSheetView>
    <customSheetView guid="{A41EE4DE-0D82-4A56-8210-F78316511D11}" state="hidden">
      <selection activeCell="C8" sqref="C8"/>
      <pageMargins left="0.75" right="0.75" top="0.65" bottom="1" header="0.5" footer="0.5"/>
      <pageSetup orientation="portrait" r:id="rId5"/>
      <headerFooter alignWithMargins="0"/>
    </customSheetView>
    <customSheetView guid="{1E0C44A1-9358-4FBD-8C2C-4DB661DA1476}" state="hidden">
      <selection activeCell="C8" sqref="C8"/>
      <pageMargins left="0.75" right="0.75" top="0.65" bottom="1" header="0.5" footer="0.5"/>
      <pageSetup orientation="portrait" r:id="rId6"/>
      <headerFooter alignWithMargins="0"/>
    </customSheetView>
    <customSheetView guid="{498493C3-769C-4143-9114-C68CD1D40B11}" state="hidden">
      <selection activeCell="C8" sqref="C8"/>
      <pageMargins left="0.75" right="0.75" top="0.65" bottom="1" header="0.5" footer="0.5"/>
      <pageSetup orientation="portrait" r:id="rId7"/>
      <headerFooter alignWithMargins="0"/>
    </customSheetView>
    <customSheetView guid="{C431BC99-7569-44AB-83F6-AB73BDED3783}" state="hidden">
      <selection activeCell="C8" sqref="C8"/>
      <pageMargins left="0.75" right="0.75" top="0.65" bottom="1" header="0.5" footer="0.5"/>
      <pageSetup orientation="portrait" r:id="rId8"/>
      <headerFooter alignWithMargins="0"/>
    </customSheetView>
    <customSheetView guid="{E97134B6-5E8D-4951-8DA0-73D065532361}" state="hidden">
      <selection activeCell="C8" sqref="C8"/>
      <pageMargins left="0.75" right="0.75" top="0.65" bottom="1" header="0.5" footer="0.5"/>
      <pageSetup orientation="portrait" r:id="rId9"/>
      <headerFooter alignWithMargins="0"/>
    </customSheetView>
    <customSheetView guid="{D0757F9E-DF41-4B40-A5E5-F4F8FDD8D61D}" state="hidden">
      <selection activeCell="C8" sqref="C8"/>
      <pageMargins left="0.75" right="0.75" top="0.65" bottom="1" header="0.5" footer="0.5"/>
      <pageSetup orientation="portrait" r:id="rId10"/>
      <headerFooter alignWithMargins="0"/>
    </customSheetView>
    <customSheetView guid="{EE46BCD1-F715-4FA9-A5FC-1B125AD601E0}">
      <selection activeCell="B6" sqref="B6:D15"/>
      <pageMargins left="0.75" right="0.75" top="0.65" bottom="1" header="0.5" footer="0.5"/>
      <pageSetup orientation="portrait" r:id="rId11"/>
      <headerFooter alignWithMargins="0"/>
    </customSheetView>
    <customSheetView guid="{4AA1107B-A795-4744-B566-827168772C7A}">
      <selection activeCell="B6" sqref="B6:D15"/>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9" sqref="B9"/>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9">
      <selection activeCell="B6" sqref="B6:D15"/>
      <pageMargins left="0.75" right="0.75" top="0.65" bottom="1" header="0.5" footer="0.5"/>
      <pageSetup orientation="portrait" r:id="rId17"/>
      <headerFooter alignWithMargins="0"/>
    </customSheetView>
    <customSheetView guid="{7487ED9F-BBED-4B2A-9631-22F1A430946B}">
      <selection activeCell="B6" sqref="B6:D15"/>
      <pageMargins left="0.75" right="0.75" top="0.65" bottom="1" header="0.5" footer="0.5"/>
      <pageSetup orientation="portrait" r:id="rId18"/>
      <headerFooter alignWithMargins="0"/>
    </customSheetView>
    <customSheetView guid="{B3CE7B10-A914-4559-A6DA-AED8C22AFD6D}" state="hidden">
      <selection activeCell="C8" sqref="C8"/>
      <pageMargins left="0.75" right="0.75" top="0.65" bottom="1" header="0.5" footer="0.5"/>
      <pageSetup orientation="portrait" r:id="rId19"/>
      <headerFooter alignWithMargins="0"/>
    </customSheetView>
    <customSheetView guid="{D53177B2-31EC-4222-B97A-A37DCFD9E45B}" state="hidden">
      <selection activeCell="C8" sqref="C8"/>
      <pageMargins left="0.75" right="0.75" top="0.65" bottom="1" header="0.5" footer="0.5"/>
      <pageSetup orientation="portrait" r:id="rId20"/>
      <headerFooter alignWithMargins="0"/>
    </customSheetView>
    <customSheetView guid="{223BC0FC-814D-40F0-9795-CE82A16FF3A5}" state="hidden">
      <selection activeCell="C8" sqref="C8"/>
      <pageMargins left="0.75" right="0.75" top="0.65" bottom="1" header="0.5" footer="0.5"/>
      <pageSetup orientation="portrait" r:id="rId21"/>
      <headerFooter alignWithMargins="0"/>
    </customSheetView>
    <customSheetView guid="{B835C05C-B615-4DCB-982D-4519616B3CD8}" state="hidden">
      <selection activeCell="C8" sqref="C8"/>
      <pageMargins left="0.75" right="0.75" top="0.65" bottom="1" header="0.5" footer="0.5"/>
      <pageSetup orientation="portrait" r:id="rId22"/>
      <headerFooter alignWithMargins="0"/>
    </customSheetView>
    <customSheetView guid="{A34CC49F-E309-4C23-B4F6-1E3B307C10D1}" state="hidden">
      <selection activeCell="C8" sqref="C8"/>
      <pageMargins left="0.75" right="0.75" top="0.65" bottom="1" header="0.5" footer="0.5"/>
      <pageSetup orientation="portrait" r:id="rId23"/>
      <headerFooter alignWithMargins="0"/>
    </customSheetView>
    <customSheetView guid="{8909CFDD-4F29-4C72-886E-908773EE94A2}" state="hidden">
      <selection activeCell="C8" sqref="C8"/>
      <pageMargins left="0.75" right="0.75" top="0.65" bottom="1" header="0.5" footer="0.5"/>
      <pageSetup orientation="portrait" r:id="rId24"/>
      <headerFooter alignWithMargins="0"/>
    </customSheetView>
    <customSheetView guid="{D5F8AD2D-F014-4A7B-9CE7-589273BD9F11}" state="hidden">
      <selection activeCell="C8" sqref="C8"/>
      <pageMargins left="0.75" right="0.75" top="0.65" bottom="1" header="0.5" footer="0.5"/>
      <pageSetup orientation="portrait" r:id="rId25"/>
      <headerFooter alignWithMargins="0"/>
    </customSheetView>
  </customSheetViews>
  <mergeCells count="1">
    <mergeCell ref="A2:D2"/>
  </mergeCells>
  <phoneticPr fontId="30"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4.4"/>
  <cols>
    <col min="1" max="1" width="9" style="544"/>
    <col min="2" max="2" width="26.88671875" style="545" customWidth="1"/>
    <col min="3" max="3" width="22.88671875" style="545" customWidth="1"/>
    <col min="4" max="5" width="15.6640625" style="545" customWidth="1"/>
    <col min="6" max="16384" width="9" style="289"/>
  </cols>
  <sheetData>
    <row r="1" spans="1:6">
      <c r="A1" s="532"/>
      <c r="B1" s="533"/>
      <c r="C1" s="533"/>
      <c r="D1" s="533"/>
      <c r="E1" s="533"/>
    </row>
    <row r="2" spans="1:6" ht="22.2" customHeight="1">
      <c r="A2" s="1433" t="s">
        <v>51</v>
      </c>
      <c r="B2" s="1433"/>
      <c r="C2" s="1433"/>
      <c r="D2" s="1434"/>
      <c r="E2"/>
    </row>
    <row r="3" spans="1:6">
      <c r="A3" s="532"/>
      <c r="B3" s="533"/>
      <c r="C3" s="533"/>
      <c r="D3" s="533"/>
      <c r="E3" s="533"/>
    </row>
    <row r="4" spans="1:6" ht="36" customHeight="1">
      <c r="A4" s="534" t="s">
        <v>41</v>
      </c>
      <c r="B4" s="535" t="s">
        <v>42</v>
      </c>
      <c r="C4" s="534" t="s">
        <v>52</v>
      </c>
      <c r="D4" s="534" t="s">
        <v>53</v>
      </c>
      <c r="E4" s="534" t="s">
        <v>54</v>
      </c>
    </row>
    <row r="5" spans="1:6" ht="18" customHeight="1">
      <c r="A5" s="536" t="s">
        <v>45</v>
      </c>
      <c r="B5" s="536" t="s">
        <v>46</v>
      </c>
      <c r="C5" s="536" t="s">
        <v>47</v>
      </c>
      <c r="D5" s="536" t="s">
        <v>48</v>
      </c>
      <c r="E5" s="536" t="s">
        <v>49</v>
      </c>
    </row>
    <row r="6" spans="1:6" ht="45" customHeight="1">
      <c r="A6" s="537">
        <v>1</v>
      </c>
      <c r="B6" s="538"/>
      <c r="C6" s="539"/>
      <c r="D6" s="540"/>
      <c r="E6" s="541">
        <f>C6*D6</f>
        <v>0</v>
      </c>
    </row>
    <row r="7" spans="1:6" ht="45" customHeight="1">
      <c r="A7" s="537">
        <v>2</v>
      </c>
      <c r="B7" s="538"/>
      <c r="C7" s="539"/>
      <c r="D7" s="540"/>
      <c r="E7" s="541">
        <f t="shared" ref="E7:E15" si="0">C7*D7</f>
        <v>0</v>
      </c>
    </row>
    <row r="8" spans="1:6" ht="45" customHeight="1">
      <c r="A8" s="537">
        <v>3</v>
      </c>
      <c r="B8" s="538"/>
      <c r="C8" s="539"/>
      <c r="D8" s="540"/>
      <c r="E8" s="541">
        <f t="shared" si="0"/>
        <v>0</v>
      </c>
    </row>
    <row r="9" spans="1:6" ht="45" customHeight="1">
      <c r="A9" s="537">
        <v>4</v>
      </c>
      <c r="B9" s="538"/>
      <c r="C9" s="539"/>
      <c r="D9" s="540"/>
      <c r="E9" s="541">
        <f t="shared" si="0"/>
        <v>0</v>
      </c>
    </row>
    <row r="10" spans="1:6" ht="45" customHeight="1">
      <c r="A10" s="537">
        <v>5</v>
      </c>
      <c r="B10" s="538"/>
      <c r="C10" s="539"/>
      <c r="D10" s="540"/>
      <c r="E10" s="541">
        <f t="shared" si="0"/>
        <v>0</v>
      </c>
    </row>
    <row r="11" spans="1:6" ht="45" customHeight="1">
      <c r="A11" s="537">
        <v>6</v>
      </c>
      <c r="B11" s="538"/>
      <c r="C11" s="539"/>
      <c r="D11" s="540"/>
      <c r="E11" s="541">
        <f t="shared" si="0"/>
        <v>0</v>
      </c>
    </row>
    <row r="12" spans="1:6" ht="45" customHeight="1">
      <c r="A12" s="537">
        <v>7</v>
      </c>
      <c r="B12" s="538"/>
      <c r="C12" s="539"/>
      <c r="D12" s="540"/>
      <c r="E12" s="541">
        <f t="shared" si="0"/>
        <v>0</v>
      </c>
    </row>
    <row r="13" spans="1:6" ht="45" customHeight="1">
      <c r="A13" s="537">
        <v>8</v>
      </c>
      <c r="B13" s="538"/>
      <c r="C13" s="539"/>
      <c r="D13" s="540"/>
      <c r="E13" s="541">
        <f t="shared" si="0"/>
        <v>0</v>
      </c>
    </row>
    <row r="14" spans="1:6" ht="45" customHeight="1">
      <c r="A14" s="537">
        <v>9</v>
      </c>
      <c r="B14" s="538"/>
      <c r="C14" s="539"/>
      <c r="D14" s="540"/>
      <c r="E14" s="541">
        <f t="shared" si="0"/>
        <v>0</v>
      </c>
    </row>
    <row r="15" spans="1:6" ht="45" customHeight="1">
      <c r="A15" s="537">
        <v>10</v>
      </c>
      <c r="B15" s="538"/>
      <c r="C15" s="539"/>
      <c r="D15" s="540"/>
      <c r="E15" s="541">
        <f t="shared" si="0"/>
        <v>0</v>
      </c>
    </row>
    <row r="16" spans="1:6" ht="45" customHeight="1">
      <c r="A16" s="542"/>
      <c r="B16" s="543" t="s">
        <v>50</v>
      </c>
      <c r="C16" s="543"/>
      <c r="D16" s="543"/>
      <c r="E16" s="543">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9AC181BA-F443-4EA7-A647-328174FE3004}" state="hidden">
      <selection activeCell="B6" sqref="B6"/>
      <pageMargins left="0.75" right="0.75" top="0.65" bottom="1" header="0.5" footer="0.5"/>
      <pageSetup orientation="portrait" r:id="rId1"/>
      <headerFooter alignWithMargins="0"/>
    </customSheetView>
    <customSheetView guid="{CB55CDDD-15EC-4265-9148-3411BBB26D54}" state="hidden">
      <selection activeCell="B6" sqref="B6"/>
      <pageMargins left="0.75" right="0.75" top="0.65" bottom="1" header="0.5" footer="0.5"/>
      <pageSetup orientation="portrait" r:id="rId2"/>
      <headerFooter alignWithMargins="0"/>
    </customSheetView>
    <customSheetView guid="{023E95C7-CD0A-46A1-945E-64751E02EBFE}" state="hidden">
      <selection activeCell="B6" sqref="B6"/>
      <pageMargins left="0.75" right="0.75" top="0.65" bottom="1" header="0.5" footer="0.5"/>
      <pageSetup orientation="portrait" r:id="rId3"/>
      <headerFooter alignWithMargins="0"/>
    </customSheetView>
    <customSheetView guid="{BB6473B7-092C-417E-97E7-ED0705AE17A0}" state="hidden">
      <selection activeCell="B6" sqref="B6"/>
      <pageMargins left="0.75" right="0.75" top="0.65" bottom="1" header="0.5" footer="0.5"/>
      <pageSetup orientation="portrait" r:id="rId4"/>
      <headerFooter alignWithMargins="0"/>
    </customSheetView>
    <customSheetView guid="{A41EE4DE-0D82-4A56-8210-F78316511D11}" state="hidden">
      <selection activeCell="B6" sqref="B6"/>
      <pageMargins left="0.75" right="0.75" top="0.65" bottom="1" header="0.5" footer="0.5"/>
      <pageSetup orientation="portrait" r:id="rId5"/>
      <headerFooter alignWithMargins="0"/>
    </customSheetView>
    <customSheetView guid="{1E0C44A1-9358-4FBD-8C2C-4DB661DA1476}" state="hidden">
      <selection activeCell="B6" sqref="B6"/>
      <pageMargins left="0.75" right="0.75" top="0.65" bottom="1" header="0.5" footer="0.5"/>
      <pageSetup orientation="portrait" r:id="rId6"/>
      <headerFooter alignWithMargins="0"/>
    </customSheetView>
    <customSheetView guid="{498493C3-769C-4143-9114-C68CD1D40B11}" state="hidden">
      <selection activeCell="B6" sqref="B6"/>
      <pageMargins left="0.75" right="0.75" top="0.65" bottom="1" header="0.5" footer="0.5"/>
      <pageSetup orientation="portrait" r:id="rId7"/>
      <headerFooter alignWithMargins="0"/>
    </customSheetView>
    <customSheetView guid="{C431BC99-7569-44AB-83F6-AB73BDED3783}" state="hidden">
      <selection activeCell="B6" sqref="B6"/>
      <pageMargins left="0.75" right="0.75" top="0.65" bottom="1" header="0.5" footer="0.5"/>
      <pageSetup orientation="portrait" r:id="rId8"/>
      <headerFooter alignWithMargins="0"/>
    </customSheetView>
    <customSheetView guid="{E97134B6-5E8D-4951-8DA0-73D065532361}" state="hidden">
      <selection activeCell="B6" sqref="B6"/>
      <pageMargins left="0.75" right="0.75" top="0.65" bottom="1" header="0.5" footer="0.5"/>
      <pageSetup orientation="portrait" r:id="rId9"/>
      <headerFooter alignWithMargins="0"/>
    </customSheetView>
    <customSheetView guid="{D0757F9E-DF41-4B40-A5E5-F4F8FDD8D61D}" state="hidden">
      <selection activeCell="B6" sqref="B6"/>
      <pageMargins left="0.75" right="0.75" top="0.65" bottom="1" header="0.5" footer="0.5"/>
      <pageSetup orientation="portrait" r:id="rId10"/>
      <headerFooter alignWithMargins="0"/>
    </customSheetView>
    <customSheetView guid="{EE46BCD1-F715-4FA9-A5FC-1B125AD601E0}">
      <selection activeCell="G8" sqref="G8"/>
      <pageMargins left="0.75" right="0.75" top="0.65" bottom="1" header="0.5" footer="0.5"/>
      <pageSetup orientation="portrait" r:id="rId11"/>
      <headerFooter alignWithMargins="0"/>
    </customSheetView>
    <customSheetView guid="{4AA1107B-A795-4744-B566-827168772C7A}" topLeftCell="A10">
      <selection activeCell="G8" sqref="G8"/>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11" sqref="B11"/>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10">
      <selection activeCell="G8" sqref="G8"/>
      <pageMargins left="0.75" right="0.75" top="0.65" bottom="1" header="0.5" footer="0.5"/>
      <pageSetup orientation="portrait" r:id="rId17"/>
      <headerFooter alignWithMargins="0"/>
    </customSheetView>
    <customSheetView guid="{7487ED9F-BBED-4B2A-9631-22F1A430946B}" topLeftCell="A10">
      <selection activeCell="G8" sqref="G8"/>
      <pageMargins left="0.75" right="0.75" top="0.65" bottom="1" header="0.5" footer="0.5"/>
      <pageSetup orientation="portrait" r:id="rId18"/>
      <headerFooter alignWithMargins="0"/>
    </customSheetView>
    <customSheetView guid="{B3CE7B10-A914-4559-A6DA-AED8C22AFD6D}" state="hidden">
      <selection activeCell="B6" sqref="B6"/>
      <pageMargins left="0.75" right="0.75" top="0.65" bottom="1" header="0.5" footer="0.5"/>
      <pageSetup orientation="portrait" r:id="rId19"/>
      <headerFooter alignWithMargins="0"/>
    </customSheetView>
    <customSheetView guid="{D53177B2-31EC-4222-B97A-A37DCFD9E45B}" state="hidden">
      <selection activeCell="B6" sqref="B6"/>
      <pageMargins left="0.75" right="0.75" top="0.65" bottom="1" header="0.5" footer="0.5"/>
      <pageSetup orientation="portrait" r:id="rId20"/>
      <headerFooter alignWithMargins="0"/>
    </customSheetView>
    <customSheetView guid="{223BC0FC-814D-40F0-9795-CE82A16FF3A5}" state="hidden">
      <selection activeCell="B6" sqref="B6"/>
      <pageMargins left="0.75" right="0.75" top="0.65" bottom="1" header="0.5" footer="0.5"/>
      <pageSetup orientation="portrait" r:id="rId21"/>
      <headerFooter alignWithMargins="0"/>
    </customSheetView>
    <customSheetView guid="{B835C05C-B615-4DCB-982D-4519616B3CD8}" state="hidden">
      <selection activeCell="B6" sqref="B6"/>
      <pageMargins left="0.75" right="0.75" top="0.65" bottom="1" header="0.5" footer="0.5"/>
      <pageSetup orientation="portrait" r:id="rId22"/>
      <headerFooter alignWithMargins="0"/>
    </customSheetView>
    <customSheetView guid="{A34CC49F-E309-4C23-B4F6-1E3B307C10D1}" state="hidden">
      <selection activeCell="B6" sqref="B6"/>
      <pageMargins left="0.75" right="0.75" top="0.65" bottom="1" header="0.5" footer="0.5"/>
      <pageSetup orientation="portrait" r:id="rId23"/>
      <headerFooter alignWithMargins="0"/>
    </customSheetView>
    <customSheetView guid="{8909CFDD-4F29-4C72-886E-908773EE94A2}" state="hidden">
      <selection activeCell="B6" sqref="B6"/>
      <pageMargins left="0.75" right="0.75" top="0.65" bottom="1" header="0.5" footer="0.5"/>
      <pageSetup orientation="portrait" r:id="rId24"/>
      <headerFooter alignWithMargins="0"/>
    </customSheetView>
    <customSheetView guid="{D5F8AD2D-F014-4A7B-9CE7-589273BD9F11}" state="hidden">
      <selection activeCell="B6" sqref="B6"/>
      <pageMargins left="0.75" right="0.75" top="0.65" bottom="1" header="0.5" footer="0.5"/>
      <pageSetup orientation="portrait" r:id="rId25"/>
      <headerFooter alignWithMargins="0"/>
    </customSheetView>
  </customSheetViews>
  <mergeCells count="1">
    <mergeCell ref="A2:D2"/>
  </mergeCells>
  <phoneticPr fontId="30"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4.4"/>
  <cols>
    <col min="1" max="1" width="7.6640625" style="544" customWidth="1"/>
    <col min="2" max="4" width="20.6640625" style="545" customWidth="1"/>
    <col min="5" max="5" width="9.6640625" style="545" customWidth="1"/>
    <col min="6" max="6" width="12.6640625" style="545" customWidth="1"/>
    <col min="7" max="16384" width="9" style="289"/>
  </cols>
  <sheetData>
    <row r="1" spans="1:7">
      <c r="A1" s="532"/>
      <c r="B1" s="533"/>
      <c r="C1" s="533"/>
      <c r="D1" s="533"/>
      <c r="E1" s="533"/>
      <c r="F1" s="533"/>
    </row>
    <row r="2" spans="1:7" ht="22.2" customHeight="1">
      <c r="A2" s="1433" t="s">
        <v>55</v>
      </c>
      <c r="B2" s="1433"/>
      <c r="C2" s="1433"/>
      <c r="D2" s="1433"/>
      <c r="E2" s="1434"/>
      <c r="F2" s="289"/>
    </row>
    <row r="3" spans="1:7">
      <c r="A3" s="532"/>
      <c r="B3" s="533"/>
      <c r="C3" s="533"/>
      <c r="D3" s="533"/>
      <c r="E3" s="533"/>
      <c r="F3" s="533"/>
    </row>
    <row r="4" spans="1:7" ht="53.25" customHeight="1">
      <c r="A4" s="534" t="s">
        <v>41</v>
      </c>
      <c r="B4" s="535" t="s">
        <v>42</v>
      </c>
      <c r="C4" s="534" t="s">
        <v>56</v>
      </c>
      <c r="D4" s="534" t="s">
        <v>57</v>
      </c>
      <c r="E4" s="534" t="s">
        <v>58</v>
      </c>
      <c r="F4" s="534" t="s">
        <v>59</v>
      </c>
    </row>
    <row r="5" spans="1:7" ht="18" customHeight="1">
      <c r="A5" s="536" t="s">
        <v>45</v>
      </c>
      <c r="B5" s="536" t="s">
        <v>46</v>
      </c>
      <c r="C5" s="536" t="s">
        <v>47</v>
      </c>
      <c r="D5" s="536" t="s">
        <v>48</v>
      </c>
      <c r="E5" s="546" t="s">
        <v>60</v>
      </c>
      <c r="F5" s="536" t="s">
        <v>61</v>
      </c>
    </row>
    <row r="6" spans="1:7" ht="45" customHeight="1">
      <c r="A6" s="537">
        <v>1</v>
      </c>
      <c r="B6" s="538"/>
      <c r="C6" s="539"/>
      <c r="D6" s="539"/>
      <c r="E6" s="540"/>
      <c r="F6" s="541">
        <f>C6*E6</f>
        <v>0</v>
      </c>
    </row>
    <row r="7" spans="1:7" ht="45" customHeight="1">
      <c r="A7" s="537">
        <v>2</v>
      </c>
      <c r="B7" s="538"/>
      <c r="C7" s="539"/>
      <c r="D7" s="539"/>
      <c r="E7" s="540"/>
      <c r="F7" s="541">
        <f t="shared" ref="F7:F15" si="0">C7*E7</f>
        <v>0</v>
      </c>
    </row>
    <row r="8" spans="1:7" ht="45" customHeight="1">
      <c r="A8" s="537">
        <v>3</v>
      </c>
      <c r="B8" s="538"/>
      <c r="C8" s="539"/>
      <c r="D8" s="539"/>
      <c r="E8" s="540"/>
      <c r="F8" s="541">
        <f t="shared" si="0"/>
        <v>0</v>
      </c>
    </row>
    <row r="9" spans="1:7" ht="45" customHeight="1">
      <c r="A9" s="537">
        <v>4</v>
      </c>
      <c r="B9" s="538"/>
      <c r="C9" s="539"/>
      <c r="D9" s="539"/>
      <c r="E9" s="540"/>
      <c r="F9" s="541">
        <f t="shared" si="0"/>
        <v>0</v>
      </c>
    </row>
    <row r="10" spans="1:7" ht="45" customHeight="1">
      <c r="A10" s="537">
        <v>5</v>
      </c>
      <c r="B10" s="538"/>
      <c r="C10" s="539"/>
      <c r="D10" s="539"/>
      <c r="E10" s="540"/>
      <c r="F10" s="541">
        <f t="shared" si="0"/>
        <v>0</v>
      </c>
    </row>
    <row r="11" spans="1:7" ht="45" customHeight="1">
      <c r="A11" s="537">
        <v>6</v>
      </c>
      <c r="B11" s="538"/>
      <c r="C11" s="539"/>
      <c r="D11" s="539"/>
      <c r="E11" s="540"/>
      <c r="F11" s="541">
        <f t="shared" si="0"/>
        <v>0</v>
      </c>
    </row>
    <row r="12" spans="1:7" ht="45" customHeight="1">
      <c r="A12" s="537">
        <v>7</v>
      </c>
      <c r="B12" s="538"/>
      <c r="C12" s="539"/>
      <c r="D12" s="539"/>
      <c r="E12" s="540"/>
      <c r="F12" s="541">
        <f t="shared" si="0"/>
        <v>0</v>
      </c>
    </row>
    <row r="13" spans="1:7" ht="45" customHeight="1">
      <c r="A13" s="537">
        <v>8</v>
      </c>
      <c r="B13" s="538"/>
      <c r="C13" s="539"/>
      <c r="D13" s="539"/>
      <c r="E13" s="540"/>
      <c r="F13" s="541">
        <f t="shared" si="0"/>
        <v>0</v>
      </c>
    </row>
    <row r="14" spans="1:7" ht="45" customHeight="1">
      <c r="A14" s="537">
        <v>9</v>
      </c>
      <c r="B14" s="538"/>
      <c r="C14" s="539"/>
      <c r="D14" s="539"/>
      <c r="E14" s="540"/>
      <c r="F14" s="541">
        <f t="shared" si="0"/>
        <v>0</v>
      </c>
    </row>
    <row r="15" spans="1:7" ht="45" customHeight="1">
      <c r="A15" s="537">
        <v>10</v>
      </c>
      <c r="B15" s="538"/>
      <c r="C15" s="539"/>
      <c r="D15" s="539"/>
      <c r="E15" s="540"/>
      <c r="F15" s="541">
        <f t="shared" si="0"/>
        <v>0</v>
      </c>
    </row>
    <row r="16" spans="1:7" ht="45" customHeight="1">
      <c r="A16" s="542"/>
      <c r="B16" s="543" t="s">
        <v>50</v>
      </c>
      <c r="C16" s="543"/>
      <c r="D16" s="543"/>
      <c r="E16" s="543"/>
      <c r="F16" s="543">
        <f>SUM(F6:F15)</f>
        <v>0</v>
      </c>
      <c r="G16" s="270"/>
    </row>
    <row r="17" ht="30" customHeight="1"/>
    <row r="18" ht="30" customHeight="1"/>
    <row r="19" ht="30" customHeight="1"/>
    <row r="20" ht="30" customHeight="1"/>
    <row r="21" ht="30" customHeight="1"/>
  </sheetData>
  <sheetProtection password="E848" sheet="1" formatColumns="0" formatRows="0" selectLockedCells="1"/>
  <customSheetViews>
    <customSheetView guid="{9AC181BA-F443-4EA7-A647-328174FE3004}" state="hidden">
      <selection activeCell="E8" sqref="E8"/>
      <pageMargins left="0.75" right="0.62" top="0.65" bottom="1" header="0.5" footer="0.5"/>
      <pageSetup orientation="portrait" r:id="rId1"/>
      <headerFooter alignWithMargins="0"/>
    </customSheetView>
    <customSheetView guid="{CB55CDDD-15EC-4265-9148-3411BBB26D54}" state="hidden">
      <selection activeCell="E8" sqref="E8"/>
      <pageMargins left="0.75" right="0.62" top="0.65" bottom="1" header="0.5" footer="0.5"/>
      <pageSetup orientation="portrait" r:id="rId2"/>
      <headerFooter alignWithMargins="0"/>
    </customSheetView>
    <customSheetView guid="{023E95C7-CD0A-46A1-945E-64751E02EBFE}" state="hidden">
      <selection activeCell="E8" sqref="E8"/>
      <pageMargins left="0.75" right="0.62" top="0.65" bottom="1" header="0.5" footer="0.5"/>
      <pageSetup orientation="portrait" r:id="rId3"/>
      <headerFooter alignWithMargins="0"/>
    </customSheetView>
    <customSheetView guid="{BB6473B7-092C-417E-97E7-ED0705AE17A0}" state="hidden">
      <selection activeCell="E8" sqref="E8"/>
      <pageMargins left="0.75" right="0.62" top="0.65" bottom="1" header="0.5" footer="0.5"/>
      <pageSetup orientation="portrait" r:id="rId4"/>
      <headerFooter alignWithMargins="0"/>
    </customSheetView>
    <customSheetView guid="{A41EE4DE-0D82-4A56-8210-F78316511D11}" state="hidden">
      <selection activeCell="E8" sqref="E8"/>
      <pageMargins left="0.75" right="0.62" top="0.65" bottom="1" header="0.5" footer="0.5"/>
      <pageSetup orientation="portrait" r:id="rId5"/>
      <headerFooter alignWithMargins="0"/>
    </customSheetView>
    <customSheetView guid="{1E0C44A1-9358-4FBD-8C2C-4DB661DA1476}" state="hidden">
      <selection activeCell="E8" sqref="E8"/>
      <pageMargins left="0.75" right="0.62" top="0.65" bottom="1" header="0.5" footer="0.5"/>
      <pageSetup orientation="portrait" r:id="rId6"/>
      <headerFooter alignWithMargins="0"/>
    </customSheetView>
    <customSheetView guid="{498493C3-769C-4143-9114-C68CD1D40B11}" state="hidden">
      <selection activeCell="E8" sqref="E8"/>
      <pageMargins left="0.75" right="0.62" top="0.65" bottom="1" header="0.5" footer="0.5"/>
      <pageSetup orientation="portrait" r:id="rId7"/>
      <headerFooter alignWithMargins="0"/>
    </customSheetView>
    <customSheetView guid="{C431BC99-7569-44AB-83F6-AB73BDED3783}" state="hidden">
      <selection activeCell="E8" sqref="E8"/>
      <pageMargins left="0.75" right="0.62" top="0.65" bottom="1" header="0.5" footer="0.5"/>
      <pageSetup orientation="portrait" r:id="rId8"/>
      <headerFooter alignWithMargins="0"/>
    </customSheetView>
    <customSheetView guid="{E97134B6-5E8D-4951-8DA0-73D065532361}" state="hidden">
      <selection activeCell="E8" sqref="E8"/>
      <pageMargins left="0.75" right="0.62" top="0.65" bottom="1" header="0.5" footer="0.5"/>
      <pageSetup orientation="portrait" r:id="rId9"/>
      <headerFooter alignWithMargins="0"/>
    </customSheetView>
    <customSheetView guid="{D0757F9E-DF41-4B40-A5E5-F4F8FDD8D61D}" state="hidden">
      <selection activeCell="E8" sqref="E8"/>
      <pageMargins left="0.75" right="0.62" top="0.65" bottom="1" header="0.5" footer="0.5"/>
      <pageSetup orientation="portrait" r:id="rId10"/>
      <headerFooter alignWithMargins="0"/>
    </customSheetView>
    <customSheetView guid="{EE46BCD1-F715-4FA9-A5FC-1B125AD601E0}">
      <selection activeCell="E8" sqref="E8"/>
      <pageMargins left="0.75" right="0.62" top="0.65" bottom="1" header="0.5" footer="0.5"/>
      <pageSetup orientation="portrait" r:id="rId11"/>
      <headerFooter alignWithMargins="0"/>
    </customSheetView>
    <customSheetView guid="{4AA1107B-A795-4744-B566-827168772C7A}">
      <selection activeCell="E8" sqref="E8"/>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ECE9294F-C910-4036-88BC-B1F2176FB06B}">
      <selection activeCell="B6" sqref="B6"/>
      <pageMargins left="0.75" right="0.62" top="0.65" bottom="1" header="0.5" footer="0.5"/>
      <pageSetup orientation="portrait" r:id="rId14"/>
      <headerFooter alignWithMargins="0"/>
    </customSheetView>
    <customSheetView guid="{27A45B7A-04F2-4516-B80B-5ED0825D4ED3}" scale="70">
      <selection activeCell="C6" sqref="C6"/>
      <pageMargins left="0.75" right="0.62" top="0.65" bottom="1" header="0.5" footer="0.5"/>
      <pageSetup orientation="portrait" r:id="rId15"/>
      <headerFooter alignWithMargins="0"/>
    </customSheetView>
    <customSheetView guid="{E9F4E142-7D26-464D-BECA-4F3806DB1FE1}">
      <selection activeCell="G8" sqref="G8"/>
      <pageMargins left="0.75" right="0.62" top="0.65" bottom="1" header="0.5" footer="0.5"/>
      <pageSetup orientation="portrait" r:id="rId16"/>
      <headerFooter alignWithMargins="0"/>
    </customSheetView>
    <customSheetView guid="{A7DBDDEF-9245-44C6-9EBF-032DB6E1C0A2}" topLeftCell="A9">
      <selection activeCell="B9" sqref="B9"/>
      <pageMargins left="0.75" right="0.62" top="0.65" bottom="1" header="0.5" footer="0.5"/>
      <pageSetup orientation="portrait" r:id="rId17"/>
      <headerFooter alignWithMargins="0"/>
    </customSheetView>
    <customSheetView guid="{7487ED9F-BBED-4B2A-9631-22F1A430946B}">
      <selection activeCell="E8" sqref="E8"/>
      <pageMargins left="0.75" right="0.62" top="0.65" bottom="1" header="0.5" footer="0.5"/>
      <pageSetup orientation="portrait" r:id="rId18"/>
      <headerFooter alignWithMargins="0"/>
    </customSheetView>
    <customSheetView guid="{B3CE7B10-A914-4559-A6DA-AED8C22AFD6D}" state="hidden">
      <selection activeCell="E8" sqref="E8"/>
      <pageMargins left="0.75" right="0.62" top="0.65" bottom="1" header="0.5" footer="0.5"/>
      <pageSetup orientation="portrait" r:id="rId19"/>
      <headerFooter alignWithMargins="0"/>
    </customSheetView>
    <customSheetView guid="{D53177B2-31EC-4222-B97A-A37DCFD9E45B}" state="hidden">
      <selection activeCell="E8" sqref="E8"/>
      <pageMargins left="0.75" right="0.62" top="0.65" bottom="1" header="0.5" footer="0.5"/>
      <pageSetup orientation="portrait" r:id="rId20"/>
      <headerFooter alignWithMargins="0"/>
    </customSheetView>
    <customSheetView guid="{223BC0FC-814D-40F0-9795-CE82A16FF3A5}" state="hidden">
      <selection activeCell="E8" sqref="E8"/>
      <pageMargins left="0.75" right="0.62" top="0.65" bottom="1" header="0.5" footer="0.5"/>
      <pageSetup orientation="portrait" r:id="rId21"/>
      <headerFooter alignWithMargins="0"/>
    </customSheetView>
    <customSheetView guid="{B835C05C-B615-4DCB-982D-4519616B3CD8}" state="hidden">
      <selection activeCell="E8" sqref="E8"/>
      <pageMargins left="0.75" right="0.62" top="0.65" bottom="1" header="0.5" footer="0.5"/>
      <pageSetup orientation="portrait" r:id="rId22"/>
      <headerFooter alignWithMargins="0"/>
    </customSheetView>
    <customSheetView guid="{A34CC49F-E309-4C23-B4F6-1E3B307C10D1}" state="hidden">
      <selection activeCell="E8" sqref="E8"/>
      <pageMargins left="0.75" right="0.62" top="0.65" bottom="1" header="0.5" footer="0.5"/>
      <pageSetup orientation="portrait" r:id="rId23"/>
      <headerFooter alignWithMargins="0"/>
    </customSheetView>
    <customSheetView guid="{8909CFDD-4F29-4C72-886E-908773EE94A2}" state="hidden">
      <selection activeCell="E8" sqref="E8"/>
      <pageMargins left="0.75" right="0.62" top="0.65" bottom="1" header="0.5" footer="0.5"/>
      <pageSetup orientation="portrait" r:id="rId24"/>
      <headerFooter alignWithMargins="0"/>
    </customSheetView>
    <customSheetView guid="{D5F8AD2D-F014-4A7B-9CE7-589273BD9F11}" state="hidden">
      <selection activeCell="E8" sqref="E8"/>
      <pageMargins left="0.75" right="0.62" top="0.65" bottom="1" header="0.5" footer="0.5"/>
      <pageSetup orientation="portrait" r:id="rId25"/>
      <headerFooter alignWithMargins="0"/>
    </customSheetView>
  </customSheetViews>
  <mergeCells count="1">
    <mergeCell ref="A2:E2"/>
  </mergeCells>
  <phoneticPr fontId="30"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topLeftCell="A54" zoomScaleNormal="100" zoomScaleSheetLayoutView="100" workbookViewId="0">
      <selection activeCell="D56" sqref="D56:F56"/>
    </sheetView>
  </sheetViews>
  <sheetFormatPr defaultColWidth="8" defaultRowHeight="14.4"/>
  <cols>
    <col min="1" max="1" width="9.33203125" style="437" customWidth="1"/>
    <col min="2" max="2" width="10.5546875" style="439" customWidth="1"/>
    <col min="3" max="3" width="12.88671875" style="437" customWidth="1"/>
    <col min="4" max="4" width="18.109375" style="437" customWidth="1"/>
    <col min="5" max="5" width="19.33203125" style="437" customWidth="1"/>
    <col min="6" max="6" width="29" style="437" customWidth="1"/>
    <col min="7" max="8" width="8" style="437" hidden="1" customWidth="1"/>
    <col min="9" max="11" width="8" style="436" hidden="1" customWidth="1"/>
    <col min="12" max="24" width="8" style="436" customWidth="1"/>
    <col min="25" max="27" width="8" style="436" hidden="1" customWidth="1"/>
    <col min="28" max="28" width="17.44140625" style="436" hidden="1" customWidth="1"/>
    <col min="29" max="29" width="12.109375" style="436" hidden="1" customWidth="1"/>
    <col min="30" max="30" width="8" style="434" hidden="1" customWidth="1"/>
    <col min="31" max="31" width="8" style="435" hidden="1" customWidth="1"/>
    <col min="32" max="32" width="12" style="435" hidden="1" customWidth="1"/>
    <col min="33" max="35" width="8" style="434" hidden="1" customWidth="1"/>
    <col min="36" max="36" width="9.109375" style="434" hidden="1" customWidth="1"/>
    <col min="37" max="40" width="8" style="434" hidden="1" customWidth="1"/>
    <col min="41" max="41" width="8" style="434" customWidth="1"/>
    <col min="42" max="16384" width="8" style="436"/>
  </cols>
  <sheetData>
    <row r="1" spans="1:36" ht="17.399999999999999">
      <c r="A1" s="429" t="str">
        <f>Cover!B3</f>
        <v>Specification No.: CC/NT/W-AIS/DOM/A00/23/02698</v>
      </c>
      <c r="B1" s="429"/>
      <c r="C1" s="430"/>
      <c r="D1" s="430"/>
      <c r="E1" s="430"/>
      <c r="F1" s="431" t="s">
        <v>306</v>
      </c>
      <c r="G1" s="432"/>
      <c r="H1" s="432"/>
      <c r="I1" s="433"/>
      <c r="J1" s="433"/>
      <c r="K1" s="433"/>
      <c r="L1" s="433"/>
      <c r="M1" s="433"/>
      <c r="N1" s="433"/>
      <c r="O1" s="433"/>
      <c r="P1" s="433"/>
      <c r="Q1" s="433"/>
      <c r="R1" s="433"/>
      <c r="S1" s="433"/>
      <c r="T1" s="433"/>
      <c r="U1" s="433"/>
      <c r="V1" s="433"/>
      <c r="W1" s="433"/>
      <c r="X1" s="433"/>
      <c r="Y1" s="433"/>
      <c r="Z1" s="433" t="str">
        <f>'Names of Bidder'!D6</f>
        <v>Sole Bidder</v>
      </c>
      <c r="AA1" s="433"/>
      <c r="AB1" s="433"/>
      <c r="AC1" s="433"/>
      <c r="AE1" s="435">
        <v>1</v>
      </c>
      <c r="AF1" s="435" t="s">
        <v>95</v>
      </c>
      <c r="AI1" s="435">
        <v>1</v>
      </c>
      <c r="AJ1" s="434" t="s">
        <v>99</v>
      </c>
    </row>
    <row r="2" spans="1:36">
      <c r="B2" s="437"/>
      <c r="Z2" s="436">
        <f>'Names of Bidder'!L6</f>
        <v>0</v>
      </c>
      <c r="AE2" s="435">
        <v>2</v>
      </c>
      <c r="AF2" s="435" t="s">
        <v>96</v>
      </c>
      <c r="AI2" s="435">
        <v>2</v>
      </c>
      <c r="AJ2" s="434" t="s">
        <v>100</v>
      </c>
    </row>
    <row r="3" spans="1:36">
      <c r="A3" s="1453" t="s">
        <v>250</v>
      </c>
      <c r="B3" s="1453"/>
      <c r="C3" s="1453"/>
      <c r="D3" s="1453"/>
      <c r="E3" s="1453"/>
      <c r="F3" s="1453"/>
      <c r="G3" s="432"/>
      <c r="H3" s="432"/>
      <c r="I3" s="433"/>
      <c r="J3" s="433"/>
      <c r="K3" s="433"/>
      <c r="L3" s="433"/>
      <c r="M3" s="433"/>
      <c r="N3" s="433"/>
      <c r="O3" s="433"/>
      <c r="P3" s="433"/>
      <c r="Q3" s="433"/>
      <c r="R3" s="433"/>
      <c r="S3" s="433"/>
      <c r="T3" s="433"/>
      <c r="U3" s="433"/>
      <c r="V3" s="433"/>
      <c r="W3" s="433"/>
      <c r="X3" s="433"/>
      <c r="Y3" s="433"/>
      <c r="Z3" s="433"/>
      <c r="AA3" s="433"/>
      <c r="AB3" s="433"/>
      <c r="AC3" s="433"/>
      <c r="AE3" s="435">
        <v>3</v>
      </c>
      <c r="AF3" s="435" t="s">
        <v>97</v>
      </c>
      <c r="AI3" s="435">
        <v>3</v>
      </c>
      <c r="AJ3" s="434" t="s">
        <v>101</v>
      </c>
    </row>
    <row r="4" spans="1:36">
      <c r="A4" s="438"/>
      <c r="B4" s="438"/>
      <c r="C4" s="438"/>
      <c r="D4" s="438"/>
      <c r="E4" s="438"/>
      <c r="F4" s="438"/>
      <c r="G4" s="432"/>
      <c r="H4" s="432"/>
      <c r="I4" s="433"/>
      <c r="J4" s="433"/>
      <c r="K4" s="433"/>
      <c r="L4" s="433"/>
      <c r="M4" s="433"/>
      <c r="N4" s="433"/>
      <c r="O4" s="433"/>
      <c r="P4" s="433"/>
      <c r="Q4" s="433"/>
      <c r="R4" s="433"/>
      <c r="S4" s="433"/>
      <c r="T4" s="433"/>
      <c r="U4" s="433"/>
      <c r="V4" s="433"/>
      <c r="W4" s="433"/>
      <c r="X4" s="433"/>
      <c r="Y4" s="433"/>
      <c r="Z4" s="433"/>
      <c r="AA4" s="433"/>
      <c r="AB4" s="433"/>
      <c r="AC4" s="433"/>
      <c r="AE4" s="435">
        <v>4</v>
      </c>
      <c r="AF4" s="435" t="s">
        <v>98</v>
      </c>
      <c r="AI4" s="435">
        <v>4</v>
      </c>
      <c r="AJ4" s="434" t="s">
        <v>102</v>
      </c>
    </row>
    <row r="5" spans="1:36">
      <c r="A5" s="439" t="s">
        <v>85</v>
      </c>
      <c r="C5" s="1454"/>
      <c r="D5" s="1454"/>
      <c r="E5" s="1454"/>
      <c r="F5" s="1454"/>
      <c r="AE5" s="435">
        <v>5</v>
      </c>
      <c r="AF5" s="435" t="s">
        <v>98</v>
      </c>
      <c r="AI5" s="435">
        <v>5</v>
      </c>
      <c r="AJ5" s="434" t="s">
        <v>103</v>
      </c>
    </row>
    <row r="6" spans="1:36">
      <c r="A6" s="439" t="s">
        <v>73</v>
      </c>
      <c r="B6" s="1455" t="str">
        <f>'Sch-1'!B158</f>
        <v>--</v>
      </c>
      <c r="C6" s="1455"/>
      <c r="AE6" s="435">
        <v>6</v>
      </c>
      <c r="AF6" s="435" t="s">
        <v>98</v>
      </c>
      <c r="AG6" s="441" t="e">
        <f>DAY(B6)</f>
        <v>#VALUE!</v>
      </c>
      <c r="AI6" s="435">
        <v>6</v>
      </c>
      <c r="AJ6" s="434" t="s">
        <v>104</v>
      </c>
    </row>
    <row r="7" spans="1:36">
      <c r="A7" s="439"/>
      <c r="B7" s="440"/>
      <c r="C7" s="440"/>
      <c r="AE7" s="435">
        <v>7</v>
      </c>
      <c r="AF7" s="435" t="s">
        <v>98</v>
      </c>
      <c r="AG7" s="441" t="e">
        <f>MONTH(B6)</f>
        <v>#VALUE!</v>
      </c>
      <c r="AI7" s="435">
        <v>7</v>
      </c>
      <c r="AJ7" s="434" t="s">
        <v>105</v>
      </c>
    </row>
    <row r="8" spans="1:36">
      <c r="A8" s="442" t="s">
        <v>396</v>
      </c>
      <c r="B8" s="443"/>
      <c r="C8" s="432"/>
      <c r="D8" s="432"/>
      <c r="E8" s="432"/>
      <c r="F8" s="444"/>
      <c r="G8" s="432"/>
      <c r="H8" s="432"/>
      <c r="I8" s="433"/>
      <c r="J8" s="433"/>
      <c r="K8" s="433"/>
      <c r="L8" s="433"/>
      <c r="M8" s="433"/>
      <c r="N8" s="433"/>
      <c r="O8" s="433"/>
      <c r="P8" s="433"/>
      <c r="Q8" s="433"/>
      <c r="R8" s="433"/>
      <c r="S8" s="433"/>
      <c r="T8" s="433"/>
      <c r="U8" s="433"/>
      <c r="V8" s="433"/>
      <c r="W8" s="433"/>
      <c r="X8" s="433"/>
      <c r="Y8" s="433"/>
      <c r="Z8" s="433"/>
      <c r="AA8" s="433"/>
      <c r="AB8" s="433"/>
      <c r="AC8" s="433"/>
      <c r="AE8" s="435">
        <v>8</v>
      </c>
      <c r="AF8" s="435" t="s">
        <v>98</v>
      </c>
      <c r="AG8" s="441" t="e">
        <f>LOOKUP(AG7,AI1:AI12,AJ1:AJ12)</f>
        <v>#VALUE!</v>
      </c>
      <c r="AI8" s="435">
        <v>8</v>
      </c>
      <c r="AJ8" s="434" t="s">
        <v>106</v>
      </c>
    </row>
    <row r="9" spans="1:36">
      <c r="A9" s="445" t="str">
        <f>'Sch-1'!M7</f>
        <v>Contracts Services, 3rd Floor</v>
      </c>
      <c r="B9" s="445"/>
      <c r="F9" s="446"/>
      <c r="AE9" s="435">
        <v>9</v>
      </c>
      <c r="AF9" s="435" t="s">
        <v>98</v>
      </c>
      <c r="AG9" s="441" t="e">
        <f>YEAR(B6)</f>
        <v>#VALUE!</v>
      </c>
      <c r="AI9" s="435">
        <v>9</v>
      </c>
      <c r="AJ9" s="434" t="s">
        <v>107</v>
      </c>
    </row>
    <row r="10" spans="1:36">
      <c r="A10" s="445" t="str">
        <f>'Sch-1'!M8</f>
        <v>Power Grid Corporation of India Ltd.,</v>
      </c>
      <c r="B10" s="445"/>
      <c r="F10" s="446"/>
      <c r="AE10" s="435">
        <v>10</v>
      </c>
      <c r="AF10" s="435" t="s">
        <v>98</v>
      </c>
      <c r="AI10" s="435">
        <v>10</v>
      </c>
      <c r="AJ10" s="434" t="s">
        <v>108</v>
      </c>
    </row>
    <row r="11" spans="1:36">
      <c r="A11" s="445" t="str">
        <f>'Sch-1'!M9</f>
        <v>"Saudamini", Plot No.-2</v>
      </c>
      <c r="B11" s="445"/>
      <c r="F11" s="446"/>
      <c r="AE11" s="435">
        <v>11</v>
      </c>
      <c r="AF11" s="435" t="s">
        <v>98</v>
      </c>
      <c r="AI11" s="435">
        <v>11</v>
      </c>
      <c r="AJ11" s="434" t="s">
        <v>109</v>
      </c>
    </row>
    <row r="12" spans="1:36">
      <c r="A12" s="445" t="str">
        <f>'Sch-1'!M10</f>
        <v xml:space="preserve">Sector-29, </v>
      </c>
      <c r="B12" s="445"/>
      <c r="F12" s="446"/>
      <c r="AE12" s="435">
        <v>12</v>
      </c>
      <c r="AF12" s="435" t="s">
        <v>98</v>
      </c>
      <c r="AI12" s="435">
        <v>12</v>
      </c>
      <c r="AJ12" s="434" t="s">
        <v>110</v>
      </c>
    </row>
    <row r="13" spans="1:36">
      <c r="A13" s="445" t="str">
        <f>'Sch-1'!M11</f>
        <v>Gurgaon (Haryana) - 122001</v>
      </c>
      <c r="B13" s="445"/>
      <c r="F13" s="446"/>
      <c r="AE13" s="435">
        <v>13</v>
      </c>
      <c r="AF13" s="435" t="s">
        <v>98</v>
      </c>
    </row>
    <row r="14" spans="1:36" ht="22.5" customHeight="1">
      <c r="A14" s="439"/>
      <c r="F14" s="446"/>
      <c r="AE14" s="435">
        <v>14</v>
      </c>
      <c r="AF14" s="435" t="s">
        <v>98</v>
      </c>
    </row>
    <row r="15" spans="1:36" ht="68.400000000000006" customHeight="1">
      <c r="A15" s="1029" t="s">
        <v>86</v>
      </c>
      <c r="B15" s="1451" t="str">
        <f>Cover!B2</f>
        <v>400kV AIS Substation Extension Package SS-111 for Extension of 400/220 kV Jabalpur Substation associated with Western Region Expansion Scheme-XXXIII (WRES-XXXIII): Part A.</v>
      </c>
      <c r="C15" s="1451"/>
      <c r="D15" s="1451"/>
      <c r="E15" s="1451"/>
      <c r="F15" s="1451"/>
      <c r="AE15" s="435">
        <v>15</v>
      </c>
      <c r="AF15" s="435" t="s">
        <v>98</v>
      </c>
    </row>
    <row r="16" spans="1:36" ht="27.75" customHeight="1">
      <c r="A16" s="437" t="s">
        <v>74</v>
      </c>
      <c r="B16" s="437"/>
      <c r="C16" s="446"/>
      <c r="D16" s="446"/>
      <c r="E16" s="446"/>
      <c r="F16" s="446"/>
      <c r="AE16" s="435">
        <v>16</v>
      </c>
      <c r="AF16" s="435" t="s">
        <v>98</v>
      </c>
    </row>
    <row r="17" spans="1:41" ht="152.25" customHeight="1">
      <c r="A17" s="448">
        <v>1</v>
      </c>
      <c r="B17" s="143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438"/>
      <c r="D17" s="1438"/>
      <c r="E17" s="1438"/>
      <c r="F17" s="1438"/>
      <c r="Z17" s="449" t="s">
        <v>94</v>
      </c>
      <c r="AA17" s="785" t="s">
        <v>502</v>
      </c>
      <c r="AB17" s="450">
        <f>'Sch-6 After Discount'!D28</f>
        <v>0</v>
      </c>
      <c r="AC17" s="451" t="str">
        <f>" (" &amp; 'N to W'!A4 &amp; ")"</f>
        <v xml:space="preserve"> (Rs. Zero Only )</v>
      </c>
      <c r="AE17" s="435">
        <v>17</v>
      </c>
      <c r="AF17" s="435" t="s">
        <v>98</v>
      </c>
    </row>
    <row r="18" spans="1:41" ht="39" customHeight="1">
      <c r="B18" s="1456" t="s">
        <v>75</v>
      </c>
      <c r="C18" s="1456"/>
      <c r="D18" s="1456"/>
      <c r="E18" s="1456"/>
      <c r="F18" s="1456"/>
      <c r="AE18" s="435">
        <v>18</v>
      </c>
      <c r="AF18" s="435" t="s">
        <v>98</v>
      </c>
    </row>
    <row r="19" spans="1:41" s="437" customFormat="1" ht="27.75" customHeight="1">
      <c r="A19" s="452">
        <v>2</v>
      </c>
      <c r="B19" s="1452" t="s">
        <v>76</v>
      </c>
      <c r="C19" s="1452"/>
      <c r="D19" s="1452"/>
      <c r="E19" s="1452"/>
      <c r="F19" s="145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53"/>
      <c r="AE19" s="435">
        <v>19</v>
      </c>
      <c r="AF19" s="435" t="s">
        <v>98</v>
      </c>
      <c r="AG19" s="453"/>
      <c r="AH19" s="453"/>
      <c r="AI19" s="453"/>
      <c r="AJ19" s="453"/>
      <c r="AK19" s="453"/>
      <c r="AL19" s="453"/>
      <c r="AM19" s="453"/>
      <c r="AN19" s="453"/>
      <c r="AO19" s="453"/>
    </row>
    <row r="20" spans="1:41" ht="39.75" customHeight="1">
      <c r="A20" s="448">
        <v>2.1</v>
      </c>
      <c r="B20" s="1438" t="s">
        <v>77</v>
      </c>
      <c r="C20" s="1438"/>
      <c r="D20" s="1438"/>
      <c r="E20" s="1438"/>
      <c r="F20" s="1438"/>
      <c r="AE20" s="435">
        <v>20</v>
      </c>
      <c r="AF20" s="435" t="s">
        <v>98</v>
      </c>
    </row>
    <row r="21" spans="1:41" ht="36.75" customHeight="1">
      <c r="B21" s="1435" t="s">
        <v>437</v>
      </c>
      <c r="C21" s="1435"/>
      <c r="D21" s="1438" t="s">
        <v>78</v>
      </c>
      <c r="E21" s="1438"/>
      <c r="F21" s="1438"/>
      <c r="AE21" s="435">
        <v>21</v>
      </c>
      <c r="AF21" s="435" t="s">
        <v>95</v>
      </c>
    </row>
    <row r="22" spans="1:41" ht="33" customHeight="1">
      <c r="B22" s="1435" t="s">
        <v>438</v>
      </c>
      <c r="C22" s="1435"/>
      <c r="D22" s="786" t="s">
        <v>503</v>
      </c>
      <c r="E22" s="447"/>
      <c r="F22" s="447"/>
      <c r="AE22" s="435">
        <v>22</v>
      </c>
      <c r="AF22" s="435" t="s">
        <v>98</v>
      </c>
    </row>
    <row r="23" spans="1:41" ht="28.2" customHeight="1">
      <c r="B23" s="1435" t="s">
        <v>439</v>
      </c>
      <c r="C23" s="1435"/>
      <c r="D23" s="447" t="s">
        <v>93</v>
      </c>
      <c r="E23" s="447"/>
      <c r="F23" s="447"/>
      <c r="H23" s="453"/>
      <c r="AE23" s="435">
        <v>23</v>
      </c>
      <c r="AF23" s="435" t="s">
        <v>98</v>
      </c>
    </row>
    <row r="24" spans="1:41" ht="28.2" customHeight="1">
      <c r="B24" s="1436" t="s">
        <v>558</v>
      </c>
      <c r="C24" s="1435"/>
      <c r="D24" s="447" t="s">
        <v>79</v>
      </c>
      <c r="E24" s="447"/>
      <c r="F24" s="447"/>
      <c r="AE24" s="435">
        <v>24</v>
      </c>
      <c r="AF24" s="435" t="s">
        <v>98</v>
      </c>
    </row>
    <row r="25" spans="1:41" ht="28.2" hidden="1" customHeight="1">
      <c r="B25" s="1436" t="s">
        <v>538</v>
      </c>
      <c r="C25" s="1435"/>
      <c r="D25" s="786" t="s">
        <v>539</v>
      </c>
      <c r="E25" s="447"/>
      <c r="F25" s="447"/>
    </row>
    <row r="26" spans="1:41" ht="28.2" customHeight="1">
      <c r="B26" s="1435" t="s">
        <v>440</v>
      </c>
      <c r="C26" s="1435"/>
      <c r="D26" s="447" t="s">
        <v>443</v>
      </c>
      <c r="E26" s="447"/>
      <c r="F26" s="447"/>
      <c r="AE26" s="435">
        <v>25</v>
      </c>
      <c r="AF26" s="435" t="s">
        <v>98</v>
      </c>
    </row>
    <row r="27" spans="1:41" ht="28.2" customHeight="1">
      <c r="B27" s="1435" t="s">
        <v>441</v>
      </c>
      <c r="C27" s="1435"/>
      <c r="D27" s="447" t="s">
        <v>444</v>
      </c>
      <c r="E27" s="447"/>
      <c r="F27" s="447"/>
      <c r="AE27" s="435">
        <v>26</v>
      </c>
      <c r="AF27" s="435" t="s">
        <v>98</v>
      </c>
    </row>
    <row r="28" spans="1:41" ht="28.2" customHeight="1">
      <c r="B28" s="1435" t="s">
        <v>442</v>
      </c>
      <c r="C28" s="1435"/>
      <c r="D28" s="447" t="s">
        <v>80</v>
      </c>
      <c r="E28" s="447"/>
      <c r="F28" s="447"/>
      <c r="AE28" s="435">
        <v>27</v>
      </c>
      <c r="AF28" s="435" t="s">
        <v>98</v>
      </c>
    </row>
    <row r="29" spans="1:41" ht="114.75" customHeight="1">
      <c r="A29" s="454">
        <v>2.2000000000000002</v>
      </c>
      <c r="B29" s="1438" t="s">
        <v>87</v>
      </c>
      <c r="C29" s="1438"/>
      <c r="D29" s="1438"/>
      <c r="E29" s="1438"/>
      <c r="F29" s="1438"/>
      <c r="AE29" s="435">
        <v>28</v>
      </c>
      <c r="AF29" s="435" t="s">
        <v>98</v>
      </c>
    </row>
    <row r="30" spans="1:41" ht="85.5" customHeight="1">
      <c r="A30" s="454">
        <v>2.2999999999999998</v>
      </c>
      <c r="B30" s="1438" t="s">
        <v>88</v>
      </c>
      <c r="C30" s="1438"/>
      <c r="D30" s="1438"/>
      <c r="E30" s="1438"/>
      <c r="F30" s="1438"/>
      <c r="AE30" s="435">
        <v>29</v>
      </c>
      <c r="AF30" s="435" t="s">
        <v>98</v>
      </c>
    </row>
    <row r="31" spans="1:41" ht="146.25" customHeight="1">
      <c r="A31" s="454">
        <v>2.4</v>
      </c>
      <c r="B31" s="1438" t="s">
        <v>89</v>
      </c>
      <c r="C31" s="1438"/>
      <c r="D31" s="1438"/>
      <c r="E31" s="1438"/>
      <c r="F31" s="1438"/>
      <c r="AE31" s="435">
        <v>30</v>
      </c>
      <c r="AF31" s="435" t="s">
        <v>98</v>
      </c>
    </row>
    <row r="32" spans="1:41" ht="93" customHeight="1">
      <c r="A32" s="454">
        <v>2.5</v>
      </c>
      <c r="B32" s="1438" t="s">
        <v>90</v>
      </c>
      <c r="C32" s="1438"/>
      <c r="D32" s="1438"/>
      <c r="E32" s="1438"/>
      <c r="F32" s="1438"/>
      <c r="AE32" s="435">
        <v>31</v>
      </c>
      <c r="AF32" s="435" t="s">
        <v>95</v>
      </c>
    </row>
    <row r="33" spans="1:29" ht="98.25" customHeight="1">
      <c r="A33" s="448">
        <v>3</v>
      </c>
      <c r="B33" s="1438" t="s">
        <v>111</v>
      </c>
      <c r="C33" s="1438"/>
      <c r="D33" s="1438"/>
      <c r="E33" s="1438"/>
      <c r="F33" s="1438"/>
    </row>
    <row r="34" spans="1:29" ht="98.25" customHeight="1">
      <c r="A34" s="448">
        <v>3.1</v>
      </c>
      <c r="B34" s="1439" t="s">
        <v>504</v>
      </c>
      <c r="C34" s="1439"/>
      <c r="D34" s="1439"/>
      <c r="E34" s="1439"/>
      <c r="F34" s="1439"/>
    </row>
    <row r="35" spans="1:29" ht="144" customHeight="1">
      <c r="A35" s="454">
        <v>3.2</v>
      </c>
      <c r="B35" s="1437" t="s">
        <v>540</v>
      </c>
      <c r="C35" s="1438"/>
      <c r="D35" s="1438"/>
      <c r="E35" s="1438"/>
      <c r="F35" s="1438"/>
    </row>
    <row r="36" spans="1:29" ht="15.75" customHeight="1">
      <c r="A36" s="454"/>
      <c r="B36" s="1438"/>
      <c r="C36" s="1438"/>
      <c r="D36" s="1438"/>
      <c r="E36" s="1438"/>
      <c r="F36" s="1438"/>
    </row>
    <row r="37" spans="1:29" ht="58.5" customHeight="1">
      <c r="A37" s="454">
        <v>3.3</v>
      </c>
      <c r="B37" s="1437" t="s">
        <v>505</v>
      </c>
      <c r="C37" s="1438"/>
      <c r="D37" s="1438"/>
      <c r="E37" s="1438"/>
      <c r="F37" s="1438"/>
    </row>
    <row r="38" spans="1:29" ht="5.25" customHeight="1">
      <c r="A38" s="454"/>
      <c r="B38" s="1438"/>
      <c r="C38" s="1438"/>
      <c r="D38" s="1438"/>
      <c r="E38" s="1438"/>
      <c r="F38" s="1438"/>
    </row>
    <row r="39" spans="1:29" ht="84" customHeight="1">
      <c r="A39" s="448">
        <v>4</v>
      </c>
      <c r="B39" s="1444" t="s">
        <v>91</v>
      </c>
      <c r="C39" s="1444"/>
      <c r="D39" s="1444"/>
      <c r="E39" s="1444"/>
      <c r="F39" s="1444"/>
      <c r="H39" s="437">
        <f>'Names of Bidder'!K6</f>
        <v>1</v>
      </c>
    </row>
    <row r="40" spans="1:29" ht="117" customHeight="1">
      <c r="A40" s="448">
        <v>5</v>
      </c>
      <c r="B40" s="1438" t="s">
        <v>92</v>
      </c>
      <c r="C40" s="1438"/>
      <c r="D40" s="1438"/>
      <c r="E40" s="1438"/>
      <c r="F40" s="1438"/>
    </row>
    <row r="41" spans="1:29" ht="30" customHeight="1">
      <c r="B41" s="330" t="str">
        <f>IF(ISERROR("Dated this " &amp; AG6 &amp; LOOKUP(AG6,AE1:AE32,AF1:AF32) &amp; " day of " &amp; AG8 &amp; " " &amp;AG9), "", "Dated this " &amp; AG6 &amp; LOOKUP(AG6,AE1:AE32,AF1:AF32) &amp; " day of " &amp; AG8 &amp; " " &amp;AG9)</f>
        <v/>
      </c>
      <c r="C41" s="330"/>
      <c r="D41" s="330"/>
      <c r="E41" s="402"/>
      <c r="F41" s="402"/>
    </row>
    <row r="42" spans="1:29" ht="30" customHeight="1">
      <c r="B42" s="330" t="s">
        <v>81</v>
      </c>
      <c r="C42" s="328"/>
      <c r="D42" s="370"/>
      <c r="E42" s="370"/>
      <c r="F42" s="370"/>
    </row>
    <row r="43" spans="1:29" ht="30" customHeight="1">
      <c r="B43" s="455"/>
      <c r="C43" s="370"/>
      <c r="D43" s="370"/>
      <c r="E43" s="330"/>
      <c r="F43" s="456" t="s">
        <v>82</v>
      </c>
    </row>
    <row r="44" spans="1:29" ht="30" customHeight="1">
      <c r="B44" s="455"/>
      <c r="C44" s="370"/>
      <c r="D44" s="330"/>
      <c r="E44" s="330"/>
      <c r="F44" s="456" t="str">
        <f>"For and on behalf of " &amp; 'Sch-1'!C8</f>
        <v xml:space="preserve">For and on behalf of …….. …….. …….. …….. …….. …….. </v>
      </c>
    </row>
    <row r="45" spans="1:29" ht="30" customHeight="1">
      <c r="A45" s="436"/>
      <c r="B45" s="436"/>
      <c r="C45" s="457"/>
      <c r="D45" s="433"/>
      <c r="E45" s="458" t="s">
        <v>366</v>
      </c>
      <c r="F45" s="459"/>
      <c r="G45" s="432"/>
      <c r="H45" s="432"/>
      <c r="I45" s="433"/>
      <c r="J45" s="433"/>
      <c r="K45" s="433"/>
      <c r="L45" s="433"/>
      <c r="M45" s="433"/>
      <c r="N45" s="433"/>
      <c r="O45" s="433"/>
      <c r="P45" s="433"/>
      <c r="Q45" s="433"/>
      <c r="R45" s="433"/>
      <c r="S45" s="433"/>
      <c r="T45" s="433"/>
      <c r="U45" s="433"/>
      <c r="V45" s="433"/>
      <c r="W45" s="433"/>
      <c r="X45" s="433"/>
      <c r="Y45" s="433"/>
      <c r="Z45" s="433"/>
      <c r="AA45" s="433"/>
      <c r="AB45" s="433"/>
      <c r="AC45" s="433"/>
    </row>
    <row r="46" spans="1:29" ht="30" customHeight="1">
      <c r="A46" s="460" t="s">
        <v>252</v>
      </c>
      <c r="B46" s="1445" t="str">
        <f>'Sch-1'!B158</f>
        <v>--</v>
      </c>
      <c r="C46" s="1445"/>
      <c r="D46" s="433"/>
      <c r="E46" s="458" t="s">
        <v>83</v>
      </c>
      <c r="F46" s="461" t="str">
        <f>'Sch-1'!M159</f>
        <v/>
      </c>
      <c r="G46" s="432"/>
      <c r="H46" s="432"/>
      <c r="I46" s="433"/>
      <c r="J46" s="433"/>
      <c r="K46" s="433"/>
      <c r="L46" s="433"/>
      <c r="M46" s="433"/>
      <c r="N46" s="433"/>
      <c r="O46" s="433"/>
      <c r="P46" s="433"/>
      <c r="Q46" s="433"/>
      <c r="R46" s="433"/>
      <c r="S46" s="433"/>
      <c r="T46" s="433"/>
      <c r="U46" s="433"/>
      <c r="V46" s="433"/>
      <c r="W46" s="433"/>
      <c r="X46" s="433"/>
      <c r="Y46" s="433"/>
      <c r="Z46" s="433"/>
      <c r="AA46" s="433"/>
      <c r="AB46" s="433"/>
      <c r="AC46" s="433"/>
    </row>
    <row r="47" spans="1:29" ht="30" customHeight="1">
      <c r="A47" s="460" t="s">
        <v>253</v>
      </c>
      <c r="B47" s="461" t="str">
        <f>'Sch-1'!B159</f>
        <v/>
      </c>
      <c r="C47" s="462"/>
      <c r="D47" s="433"/>
      <c r="E47" s="458" t="s">
        <v>84</v>
      </c>
      <c r="F47" s="461" t="str">
        <f>'Sch-1'!M160</f>
        <v/>
      </c>
      <c r="G47" s="432"/>
      <c r="H47" s="432"/>
      <c r="I47" s="433"/>
      <c r="J47" s="433"/>
      <c r="K47" s="433"/>
      <c r="L47" s="433"/>
      <c r="M47" s="433"/>
      <c r="N47" s="433"/>
      <c r="O47" s="433"/>
      <c r="P47" s="433"/>
      <c r="Q47" s="433"/>
      <c r="R47" s="433"/>
      <c r="S47" s="433"/>
      <c r="T47" s="433"/>
      <c r="U47" s="433"/>
      <c r="V47" s="433"/>
      <c r="W47" s="433"/>
      <c r="X47" s="433"/>
      <c r="Y47" s="433"/>
      <c r="Z47" s="433"/>
      <c r="AA47" s="433"/>
      <c r="AB47" s="433"/>
      <c r="AC47" s="433"/>
    </row>
    <row r="48" spans="1:29" ht="30" customHeight="1">
      <c r="B48" s="437"/>
      <c r="D48" s="436"/>
      <c r="E48" s="458" t="s">
        <v>365</v>
      </c>
      <c r="F48" s="432"/>
      <c r="G48" s="432"/>
      <c r="H48" s="432"/>
      <c r="I48" s="433"/>
      <c r="J48" s="433"/>
      <c r="K48" s="433"/>
      <c r="L48" s="433"/>
      <c r="M48" s="433"/>
      <c r="N48" s="433"/>
      <c r="O48" s="433"/>
      <c r="P48" s="433"/>
      <c r="Q48" s="433"/>
      <c r="R48" s="433"/>
      <c r="S48" s="433"/>
      <c r="T48" s="433"/>
      <c r="U48" s="433"/>
      <c r="V48" s="433"/>
      <c r="W48" s="433"/>
      <c r="X48" s="433"/>
      <c r="Y48" s="433"/>
      <c r="Z48" s="433"/>
      <c r="AA48" s="433"/>
      <c r="AB48" s="433"/>
      <c r="AC48" s="433"/>
    </row>
    <row r="49" spans="1:41" ht="40.5" customHeight="1">
      <c r="A49" s="1442"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442"/>
      <c r="C49" s="1442"/>
      <c r="D49" s="1442"/>
      <c r="E49" s="1442"/>
      <c r="F49" s="1442"/>
    </row>
    <row r="50" spans="1:41" ht="30" customHeight="1">
      <c r="A50" s="463"/>
      <c r="B50" s="463"/>
      <c r="C50" s="330" t="str">
        <f>IF(Z2="2 or More", "Other Partner-2", "")</f>
        <v/>
      </c>
      <c r="D50" s="463"/>
      <c r="E50" s="464"/>
      <c r="F50" s="464" t="str">
        <f>IF(Z2=1,"Other Partner",IF(Z2="2 or More","Other Partner-1",""))</f>
        <v/>
      </c>
    </row>
    <row r="51" spans="1:41" ht="30" customHeight="1">
      <c r="A51" s="330"/>
      <c r="B51" s="456" t="str">
        <f>IF(Z2="2 or More", "Signature :", "")</f>
        <v/>
      </c>
      <c r="C51" s="112"/>
      <c r="D51" s="1"/>
      <c r="E51" s="363"/>
      <c r="F51" s="1"/>
      <c r="G51" s="432"/>
      <c r="H51" s="432"/>
      <c r="I51" s="433"/>
      <c r="J51" s="433"/>
      <c r="K51" s="433"/>
      <c r="L51" s="433"/>
      <c r="M51" s="433"/>
      <c r="N51" s="433"/>
      <c r="O51" s="433"/>
      <c r="P51" s="433"/>
      <c r="Q51" s="433"/>
      <c r="R51" s="433"/>
      <c r="S51" s="433"/>
      <c r="T51" s="433"/>
      <c r="U51" s="433"/>
      <c r="V51" s="433"/>
      <c r="W51" s="433"/>
      <c r="X51" s="433"/>
      <c r="Y51" s="433"/>
      <c r="Z51" s="433"/>
      <c r="AA51" s="433"/>
      <c r="AB51" s="433"/>
      <c r="AC51" s="433"/>
    </row>
    <row r="52" spans="1:41" s="437" customFormat="1" ht="30" customHeight="1">
      <c r="A52" s="330"/>
      <c r="B52" s="456" t="str">
        <f>IF(Z2="2 or More", "Printed Name :", "")</f>
        <v/>
      </c>
      <c r="C52" s="428"/>
      <c r="D52" s="330"/>
      <c r="E52" s="456" t="str">
        <f>IF(Z1="Sole Bidder", "", "Printed Name :")</f>
        <v/>
      </c>
      <c r="F52" s="570"/>
      <c r="H52" s="439"/>
      <c r="AD52" s="453"/>
      <c r="AE52" s="435"/>
      <c r="AF52" s="435"/>
      <c r="AG52" s="453"/>
      <c r="AH52" s="453"/>
      <c r="AI52" s="453"/>
      <c r="AJ52" s="453"/>
      <c r="AK52" s="453"/>
      <c r="AL52" s="453"/>
      <c r="AM52" s="453"/>
      <c r="AN52" s="453"/>
      <c r="AO52" s="453"/>
    </row>
    <row r="53" spans="1:41" s="437" customFormat="1" ht="30" customHeight="1">
      <c r="A53" s="330"/>
      <c r="B53" s="456" t="str">
        <f>IF(Z2="2 or More", "Designation :", "")</f>
        <v/>
      </c>
      <c r="C53" s="428"/>
      <c r="D53" s="330"/>
      <c r="E53" s="456" t="str">
        <f>IF(Z1="Sole Bidder", "", "Designation :")</f>
        <v/>
      </c>
      <c r="F53" s="570"/>
      <c r="H53" s="439"/>
      <c r="AD53" s="453"/>
      <c r="AE53" s="435"/>
      <c r="AF53" s="435"/>
      <c r="AG53" s="453"/>
      <c r="AH53" s="453"/>
      <c r="AI53" s="453"/>
      <c r="AJ53" s="453"/>
      <c r="AK53" s="453"/>
      <c r="AL53" s="453"/>
      <c r="AM53" s="453"/>
      <c r="AN53" s="453"/>
      <c r="AO53" s="453"/>
    </row>
    <row r="54" spans="1:41" s="437" customFormat="1" ht="30" customHeight="1">
      <c r="A54" s="330"/>
      <c r="B54" s="456" t="str">
        <f>IF(Z2=2, "Common Seal :", "")</f>
        <v/>
      </c>
      <c r="C54" s="112"/>
      <c r="D54" s="1"/>
      <c r="E54" s="363"/>
      <c r="F54" s="1"/>
      <c r="G54" s="432"/>
      <c r="H54" s="459"/>
      <c r="I54" s="432"/>
      <c r="J54" s="432"/>
      <c r="K54" s="432"/>
      <c r="L54" s="432"/>
      <c r="M54" s="432"/>
      <c r="N54" s="432"/>
      <c r="O54" s="432"/>
      <c r="P54" s="432"/>
      <c r="Q54" s="432"/>
      <c r="R54" s="432"/>
      <c r="S54" s="432"/>
      <c r="T54" s="432"/>
      <c r="U54" s="432"/>
      <c r="V54" s="432"/>
      <c r="W54" s="432"/>
      <c r="X54" s="432"/>
      <c r="Y54" s="432"/>
      <c r="Z54" s="432"/>
      <c r="AA54" s="432"/>
      <c r="AB54" s="432"/>
      <c r="AC54" s="432"/>
      <c r="AD54" s="453"/>
      <c r="AE54" s="435"/>
      <c r="AF54" s="435"/>
      <c r="AG54" s="453"/>
      <c r="AH54" s="453"/>
      <c r="AI54" s="453"/>
      <c r="AJ54" s="453"/>
      <c r="AK54" s="453"/>
      <c r="AL54" s="453"/>
      <c r="AM54" s="453"/>
      <c r="AN54" s="453"/>
      <c r="AO54" s="453"/>
    </row>
    <row r="55" spans="1:41" s="437" customFormat="1" ht="33" customHeight="1">
      <c r="A55" s="465" t="s">
        <v>251</v>
      </c>
      <c r="B55" s="365"/>
      <c r="C55" s="112"/>
      <c r="D55" s="1"/>
      <c r="E55" s="363"/>
      <c r="F55" s="1"/>
      <c r="G55" s="432"/>
      <c r="H55" s="459"/>
      <c r="I55" s="432"/>
      <c r="J55" s="432"/>
      <c r="K55" s="432"/>
      <c r="L55" s="432"/>
      <c r="M55" s="432"/>
      <c r="N55" s="432"/>
      <c r="O55" s="432"/>
      <c r="P55" s="432"/>
      <c r="Q55" s="432"/>
      <c r="R55" s="432"/>
      <c r="S55" s="432"/>
      <c r="T55" s="432"/>
      <c r="U55" s="432"/>
      <c r="V55" s="432"/>
      <c r="W55" s="432"/>
      <c r="X55" s="432"/>
      <c r="Y55" s="432"/>
      <c r="Z55" s="432"/>
      <c r="AA55" s="432"/>
      <c r="AB55" s="432"/>
      <c r="AC55" s="432"/>
      <c r="AD55" s="453"/>
      <c r="AE55" s="435"/>
      <c r="AF55" s="435"/>
      <c r="AG55" s="453"/>
      <c r="AH55" s="453"/>
      <c r="AI55" s="453"/>
      <c r="AJ55" s="453"/>
      <c r="AK55" s="453"/>
      <c r="AL55" s="453"/>
      <c r="AM55" s="453"/>
      <c r="AN55" s="453"/>
      <c r="AO55" s="453"/>
    </row>
    <row r="56" spans="1:41" s="437" customFormat="1" ht="33" customHeight="1">
      <c r="A56" s="1443" t="s">
        <v>269</v>
      </c>
      <c r="B56" s="1443"/>
      <c r="C56" s="1443"/>
      <c r="D56" s="1440"/>
      <c r="E56" s="1441"/>
      <c r="F56" s="1441"/>
      <c r="H56" s="439"/>
      <c r="AD56" s="453"/>
      <c r="AE56" s="435"/>
      <c r="AF56" s="435"/>
      <c r="AG56" s="453"/>
      <c r="AH56" s="453"/>
      <c r="AI56" s="453"/>
      <c r="AJ56" s="453"/>
      <c r="AK56" s="453"/>
      <c r="AL56" s="453"/>
      <c r="AM56" s="453"/>
      <c r="AN56" s="453"/>
      <c r="AO56" s="453"/>
    </row>
    <row r="57" spans="1:41" s="437" customFormat="1" ht="33" customHeight="1">
      <c r="A57" s="1450"/>
      <c r="B57" s="1450"/>
      <c r="C57" s="1450"/>
      <c r="D57" s="391"/>
      <c r="E57" s="391"/>
      <c r="F57" s="391"/>
      <c r="H57" s="439"/>
      <c r="AD57" s="453"/>
      <c r="AE57" s="435"/>
      <c r="AF57" s="435"/>
      <c r="AG57" s="453"/>
      <c r="AH57" s="453"/>
      <c r="AI57" s="453"/>
      <c r="AJ57" s="453"/>
      <c r="AK57" s="453"/>
      <c r="AL57" s="453"/>
      <c r="AM57" s="453"/>
      <c r="AN57" s="453"/>
      <c r="AO57" s="453"/>
    </row>
    <row r="58" spans="1:41" s="437" customFormat="1" ht="33" customHeight="1">
      <c r="A58" s="1449"/>
      <c r="B58" s="1449"/>
      <c r="C58" s="1449"/>
      <c r="D58" s="391"/>
      <c r="E58" s="391"/>
      <c r="F58" s="391"/>
      <c r="H58" s="439"/>
      <c r="AD58" s="453"/>
      <c r="AE58" s="435"/>
      <c r="AF58" s="435"/>
      <c r="AG58" s="453"/>
      <c r="AH58" s="453"/>
      <c r="AI58" s="453"/>
      <c r="AJ58" s="453"/>
      <c r="AK58" s="453"/>
      <c r="AL58" s="453"/>
      <c r="AM58" s="453"/>
      <c r="AN58" s="453"/>
      <c r="AO58" s="453"/>
    </row>
    <row r="59" spans="1:41" s="437" customFormat="1" ht="33" customHeight="1">
      <c r="A59" s="1448" t="s">
        <v>270</v>
      </c>
      <c r="B59" s="1448"/>
      <c r="C59" s="1448"/>
      <c r="D59" s="1440"/>
      <c r="E59" s="1441"/>
      <c r="F59" s="1441"/>
      <c r="H59" s="439"/>
      <c r="AD59" s="453"/>
      <c r="AE59" s="435"/>
      <c r="AF59" s="435"/>
      <c r="AG59" s="453"/>
      <c r="AH59" s="453"/>
      <c r="AI59" s="453"/>
      <c r="AJ59" s="453"/>
      <c r="AK59" s="453"/>
      <c r="AL59" s="453"/>
      <c r="AM59" s="453"/>
      <c r="AN59" s="453"/>
      <c r="AO59" s="453"/>
    </row>
    <row r="60" spans="1:41" s="437" customFormat="1" ht="33" customHeight="1">
      <c r="A60" s="1448" t="s">
        <v>268</v>
      </c>
      <c r="B60" s="1448"/>
      <c r="C60" s="1448"/>
      <c r="D60" s="1440"/>
      <c r="E60" s="1441"/>
      <c r="F60" s="1441"/>
      <c r="H60" s="439"/>
      <c r="AD60" s="453"/>
      <c r="AE60" s="435"/>
      <c r="AF60" s="435"/>
      <c r="AG60" s="453"/>
      <c r="AH60" s="453"/>
      <c r="AI60" s="453"/>
      <c r="AJ60" s="453"/>
      <c r="AK60" s="453"/>
      <c r="AL60" s="453"/>
      <c r="AM60" s="453"/>
      <c r="AN60" s="453"/>
      <c r="AO60" s="453"/>
    </row>
    <row r="61" spans="1:41" s="437" customFormat="1" ht="33" customHeight="1">
      <c r="A61" s="1448" t="s">
        <v>271</v>
      </c>
      <c r="B61" s="1448"/>
      <c r="C61" s="1448"/>
      <c r="D61" s="1440"/>
      <c r="E61" s="1441"/>
      <c r="F61" s="1441"/>
      <c r="H61" s="439"/>
      <c r="AD61" s="453"/>
      <c r="AE61" s="435"/>
      <c r="AF61" s="435"/>
      <c r="AG61" s="453"/>
      <c r="AH61" s="453"/>
      <c r="AI61" s="453"/>
      <c r="AJ61" s="453"/>
      <c r="AK61" s="453"/>
      <c r="AL61" s="453"/>
      <c r="AM61" s="453"/>
      <c r="AN61" s="453"/>
      <c r="AO61" s="453"/>
    </row>
    <row r="62" spans="1:41" s="437" customFormat="1" ht="33" customHeight="1">
      <c r="A62" s="1443" t="s">
        <v>272</v>
      </c>
      <c r="B62" s="1443"/>
      <c r="C62" s="1443"/>
      <c r="D62" s="1440"/>
      <c r="E62" s="1441"/>
      <c r="F62" s="1441"/>
      <c r="H62" s="439"/>
      <c r="AD62" s="453"/>
      <c r="AE62" s="435"/>
      <c r="AF62" s="435"/>
      <c r="AG62" s="453"/>
      <c r="AH62" s="453"/>
      <c r="AI62" s="453"/>
      <c r="AJ62" s="453"/>
      <c r="AK62" s="453"/>
      <c r="AL62" s="453"/>
      <c r="AM62" s="453"/>
      <c r="AN62" s="453"/>
      <c r="AO62" s="453"/>
    </row>
    <row r="63" spans="1:41" s="437" customFormat="1" ht="33" customHeight="1">
      <c r="A63" s="1450"/>
      <c r="B63" s="1450"/>
      <c r="C63" s="1450"/>
      <c r="D63" s="391"/>
      <c r="E63" s="391"/>
      <c r="F63" s="391"/>
      <c r="H63" s="439"/>
      <c r="AD63" s="453"/>
      <c r="AE63" s="435"/>
      <c r="AF63" s="435"/>
      <c r="AG63" s="453"/>
      <c r="AH63" s="453"/>
      <c r="AI63" s="453"/>
      <c r="AJ63" s="453"/>
      <c r="AK63" s="453"/>
      <c r="AL63" s="453"/>
      <c r="AM63" s="453"/>
      <c r="AN63" s="453"/>
      <c r="AO63" s="453"/>
    </row>
    <row r="64" spans="1:41" s="437" customFormat="1" ht="33" customHeight="1">
      <c r="A64" s="1449"/>
      <c r="B64" s="1449"/>
      <c r="C64" s="1449"/>
      <c r="D64" s="391"/>
      <c r="E64" s="391"/>
      <c r="F64" s="391"/>
      <c r="H64" s="439"/>
      <c r="AD64" s="453"/>
      <c r="AE64" s="435"/>
      <c r="AF64" s="435"/>
      <c r="AG64" s="453"/>
      <c r="AH64" s="453"/>
      <c r="AI64" s="453"/>
      <c r="AJ64" s="453"/>
      <c r="AK64" s="453"/>
      <c r="AL64" s="453"/>
      <c r="AM64" s="453"/>
      <c r="AN64" s="453"/>
      <c r="AO64" s="453"/>
    </row>
    <row r="65" spans="1:41" s="437" customFormat="1" ht="60.75" customHeight="1">
      <c r="A65" s="144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447"/>
      <c r="C65" s="1447"/>
      <c r="D65" s="1447"/>
      <c r="E65" s="1447"/>
      <c r="F65" s="1447"/>
      <c r="H65" s="439"/>
      <c r="AD65" s="453"/>
      <c r="AE65" s="435"/>
      <c r="AF65" s="435"/>
      <c r="AG65" s="453"/>
      <c r="AH65" s="453"/>
      <c r="AI65" s="453"/>
      <c r="AJ65" s="453"/>
      <c r="AK65" s="453"/>
      <c r="AL65" s="453"/>
      <c r="AM65" s="453"/>
      <c r="AN65" s="453"/>
      <c r="AO65" s="453"/>
    </row>
    <row r="66" spans="1:41" s="437" customFormat="1" ht="33" customHeight="1">
      <c r="A66" s="1446" t="s">
        <v>139</v>
      </c>
      <c r="B66" s="1446"/>
      <c r="C66" s="1446"/>
      <c r="D66" s="1446"/>
      <c r="E66" s="1446"/>
      <c r="F66" s="1446"/>
      <c r="H66" s="439"/>
      <c r="AD66" s="453"/>
      <c r="AE66" s="435"/>
      <c r="AF66" s="435"/>
      <c r="AG66" s="453"/>
      <c r="AH66" s="453"/>
      <c r="AI66" s="453"/>
      <c r="AJ66" s="453"/>
      <c r="AK66" s="453"/>
      <c r="AL66" s="453"/>
      <c r="AM66" s="453"/>
      <c r="AN66" s="453"/>
      <c r="AO66" s="453"/>
    </row>
    <row r="67" spans="1:41" s="437" customFormat="1" ht="33" customHeight="1">
      <c r="A67" s="439"/>
      <c r="B67" s="439"/>
      <c r="H67" s="439"/>
      <c r="AD67" s="453"/>
      <c r="AE67" s="435"/>
      <c r="AF67" s="435"/>
      <c r="AG67" s="453"/>
      <c r="AH67" s="453"/>
      <c r="AI67" s="453"/>
      <c r="AJ67" s="453"/>
      <c r="AK67" s="453"/>
      <c r="AL67" s="453"/>
      <c r="AM67" s="453"/>
      <c r="AN67" s="453"/>
      <c r="AO67" s="453"/>
    </row>
    <row r="68" spans="1:41" s="437" customFormat="1" ht="33" customHeight="1">
      <c r="A68" s="439"/>
      <c r="B68" s="439"/>
      <c r="H68" s="439"/>
      <c r="AD68" s="453"/>
      <c r="AE68" s="435"/>
      <c r="AF68" s="435"/>
      <c r="AG68" s="453"/>
      <c r="AH68" s="453"/>
      <c r="AI68" s="453"/>
      <c r="AJ68" s="453"/>
      <c r="AK68" s="453"/>
      <c r="AL68" s="453"/>
      <c r="AM68" s="453"/>
      <c r="AN68" s="453"/>
      <c r="AO68" s="453"/>
    </row>
    <row r="69" spans="1:41">
      <c r="A69" s="439"/>
    </row>
    <row r="70" spans="1:41">
      <c r="A70" s="439"/>
    </row>
    <row r="71" spans="1:41">
      <c r="A71" s="439"/>
    </row>
    <row r="72" spans="1:41">
      <c r="A72" s="439"/>
    </row>
    <row r="73" spans="1:41">
      <c r="A73" s="439"/>
    </row>
    <row r="74" spans="1:41">
      <c r="A74" s="439"/>
    </row>
    <row r="75" spans="1:41">
      <c r="A75" s="439"/>
    </row>
    <row r="76" spans="1:41">
      <c r="A76" s="439"/>
    </row>
    <row r="77" spans="1:41">
      <c r="A77" s="439"/>
    </row>
    <row r="78" spans="1:41">
      <c r="A78" s="439"/>
    </row>
    <row r="79" spans="1:41">
      <c r="A79" s="439"/>
    </row>
    <row r="80" spans="1:41">
      <c r="A80" s="439"/>
    </row>
  </sheetData>
  <sheetProtection algorithmName="SHA-512" hashValue="UygfPjHxxsttU8KrAbyPvLoDcpm0wyfgBS5mOyEARKxT8/KrLSppH577qyngzwkAggJIxMymt3NPKKDGaO9aOA==" saltValue="I5H0CkUwlXsyKCv+T6o8nw==" spinCount="100000" sheet="1" formatColumns="0" formatRows="0" selectLockedCells="1"/>
  <customSheetViews>
    <customSheetView guid="{9AC181BA-F443-4EA7-A647-328174FE3004}" showPageBreaks="1" showGridLines="0" zeroValues="0" printArea="1" hiddenRows="1" hiddenColumns="1" view="pageBreakPreview">
      <selection activeCell="D56" sqref="D56:F56"/>
      <pageMargins left="0.75" right="0.77" top="0.62" bottom="0.61" header="0.39" footer="0.32"/>
      <pageSetup orientation="portrait" r:id="rId1"/>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5"/>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6"/>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7"/>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5"/>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6"/>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2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2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25"/>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26"/>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28"/>
      <headerFooter alignWithMargins="0">
        <oddFooter>&amp;R&amp;"Book Antiqua,Bold"&amp;8Bid Form (1st Envelope)  / Page &amp;P of &amp;N</oddFooter>
      </headerFooter>
    </customSheetView>
  </customSheetViews>
  <mergeCells count="47">
    <mergeCell ref="B15:F15"/>
    <mergeCell ref="B20:F20"/>
    <mergeCell ref="D21:F21"/>
    <mergeCell ref="B19:F19"/>
    <mergeCell ref="A3:F3"/>
    <mergeCell ref="C5:F5"/>
    <mergeCell ref="B6:C6"/>
    <mergeCell ref="B17:F17"/>
    <mergeCell ref="B18:F18"/>
    <mergeCell ref="B21:C21"/>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D59:F59"/>
    <mergeCell ref="D60:F60"/>
    <mergeCell ref="B40:F40"/>
    <mergeCell ref="B29:F29"/>
    <mergeCell ref="B27:C27"/>
    <mergeCell ref="B37:F37"/>
    <mergeCell ref="D56:F56"/>
    <mergeCell ref="B36:F36"/>
    <mergeCell ref="B38:F38"/>
    <mergeCell ref="A49:F49"/>
    <mergeCell ref="A56:C56"/>
    <mergeCell ref="B39:F39"/>
    <mergeCell ref="B46:C46"/>
    <mergeCell ref="B22:C22"/>
    <mergeCell ref="B23:C23"/>
    <mergeCell ref="B24:C24"/>
    <mergeCell ref="B26:C26"/>
    <mergeCell ref="B35:F35"/>
    <mergeCell ref="B28:C28"/>
    <mergeCell ref="B34:F34"/>
    <mergeCell ref="B25:C25"/>
  </mergeCells>
  <phoneticPr fontId="35" type="noConversion"/>
  <conditionalFormatting sqref="F52:F53">
    <cfRule type="expression" dxfId="2" priority="3" stopIfTrue="1">
      <formula>$E$52=""</formula>
    </cfRule>
  </conditionalFormatting>
  <conditionalFormatting sqref="C52:C53">
    <cfRule type="expression" dxfId="1" priority="4" stopIfTrue="1">
      <formula>$B$52=""</formula>
    </cfRule>
  </conditionalFormatting>
  <conditionalFormatting sqref="B39:F39">
    <cfRule type="expression" dxfId="0" priority="1" stopIfTrue="1">
      <formula>$H$39=1</formula>
    </cfRule>
  </conditionalFormatting>
  <pageMargins left="0.75" right="0.77" top="0.62" bottom="0.61" header="0.39" footer="0.32"/>
  <pageSetup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4.4"/>
  <cols>
    <col min="1" max="1" width="7.44140625" style="579" customWidth="1"/>
    <col min="2" max="2" width="46.88671875" style="579" customWidth="1"/>
    <col min="3" max="3" width="2.21875" style="579" customWidth="1"/>
    <col min="4" max="4" width="17.6640625" style="638" customWidth="1"/>
    <col min="5" max="5" width="4.109375" style="638" customWidth="1"/>
    <col min="6" max="6" width="17.6640625" style="638" customWidth="1"/>
    <col min="7" max="7" width="29.6640625" style="582" customWidth="1"/>
    <col min="8" max="8" width="15.21875" style="582" customWidth="1"/>
    <col min="9" max="9" width="8.88671875" style="582" bestFit="1" customWidth="1"/>
    <col min="10" max="11" width="8" style="582"/>
    <col min="12" max="12" width="14" style="582" customWidth="1"/>
    <col min="13" max="16384" width="8" style="582"/>
  </cols>
  <sheetData>
    <row r="1" spans="1:8" ht="16.2" customHeight="1">
      <c r="B1" s="1475" t="s">
        <v>216</v>
      </c>
      <c r="C1" s="1476"/>
      <c r="D1" s="1476"/>
      <c r="E1" s="1476"/>
      <c r="F1" s="1476"/>
    </row>
    <row r="2" spans="1:8" ht="16.2" customHeight="1">
      <c r="B2" s="580"/>
      <c r="C2" s="581"/>
      <c r="D2" s="583"/>
      <c r="E2" s="583"/>
      <c r="F2" s="583"/>
    </row>
    <row r="3" spans="1:8" s="584" customFormat="1" ht="16.2" customHeight="1">
      <c r="A3" s="579"/>
      <c r="B3" s="579"/>
      <c r="C3" s="579"/>
      <c r="D3" s="1477" t="s">
        <v>217</v>
      </c>
      <c r="E3" s="1477"/>
      <c r="F3" s="1477"/>
    </row>
    <row r="4" spans="1:8" s="584" customFormat="1" ht="20.25" customHeight="1">
      <c r="A4" s="1478" t="s">
        <v>218</v>
      </c>
      <c r="B4" s="1478"/>
      <c r="C4" s="1478"/>
      <c r="D4" s="1479">
        <f>'Sch-1'!C8:E8</f>
        <v>0</v>
      </c>
      <c r="E4" s="1479"/>
      <c r="F4" s="1479"/>
    </row>
    <row r="5" spans="1:8" s="589" customFormat="1" ht="21" customHeight="1">
      <c r="A5" s="585" t="s">
        <v>378</v>
      </c>
      <c r="B5" s="1471" t="s">
        <v>219</v>
      </c>
      <c r="C5" s="1472"/>
      <c r="D5" s="586" t="s">
        <v>220</v>
      </c>
      <c r="E5" s="1473" t="s">
        <v>221</v>
      </c>
      <c r="F5" s="1474"/>
    </row>
    <row r="6" spans="1:8" s="584" customFormat="1" ht="36" customHeight="1">
      <c r="A6" s="590">
        <v>1</v>
      </c>
      <c r="B6" s="591" t="s">
        <v>243</v>
      </c>
      <c r="C6" s="592"/>
      <c r="D6" s="593">
        <f>'Sch-6'!D14</f>
        <v>0</v>
      </c>
      <c r="E6" s="594" t="s">
        <v>352</v>
      </c>
      <c r="F6" s="595">
        <f>D6</f>
        <v>0</v>
      </c>
      <c r="G6" s="596"/>
    </row>
    <row r="7" spans="1:8" s="584" customFormat="1" ht="34.5" customHeight="1">
      <c r="A7" s="590">
        <v>2</v>
      </c>
      <c r="B7" s="591" t="s">
        <v>244</v>
      </c>
      <c r="C7" s="592"/>
      <c r="D7" s="593">
        <f>'Sch-6'!D16</f>
        <v>0</v>
      </c>
      <c r="E7" s="594"/>
      <c r="F7" s="595">
        <f>D7</f>
        <v>0</v>
      </c>
      <c r="G7" s="596"/>
    </row>
    <row r="8" spans="1:8" s="584" customFormat="1" ht="21" customHeight="1">
      <c r="A8" s="590">
        <v>3</v>
      </c>
      <c r="B8" s="591" t="s">
        <v>245</v>
      </c>
      <c r="C8" s="592"/>
      <c r="D8" s="597">
        <f>'Sch-6'!D18</f>
        <v>0</v>
      </c>
      <c r="E8" s="587"/>
      <c r="F8" s="588">
        <f>D8</f>
        <v>0</v>
      </c>
      <c r="G8" s="596"/>
    </row>
    <row r="9" spans="1:8" s="584" customFormat="1" ht="21" customHeight="1">
      <c r="A9" s="590">
        <v>4</v>
      </c>
      <c r="B9" s="591" t="s">
        <v>246</v>
      </c>
      <c r="C9" s="592"/>
      <c r="D9" s="597" t="s">
        <v>435</v>
      </c>
      <c r="E9" s="594"/>
      <c r="F9" s="588" t="str">
        <f>D9</f>
        <v>Not Applicable</v>
      </c>
    </row>
    <row r="10" spans="1:8" s="584" customFormat="1" ht="21" customHeight="1">
      <c r="A10" s="590">
        <v>5</v>
      </c>
      <c r="B10" s="591" t="s">
        <v>247</v>
      </c>
      <c r="C10" s="592"/>
      <c r="D10" s="598">
        <f>SUM(D6,D7,D8)</f>
        <v>0</v>
      </c>
      <c r="E10" s="594"/>
      <c r="F10" s="599">
        <f>SUM(F6,F7,F8)</f>
        <v>0</v>
      </c>
    </row>
    <row r="11" spans="1:8" s="584" customFormat="1" ht="21" customHeight="1">
      <c r="A11" s="590">
        <v>6</v>
      </c>
      <c r="B11" s="600" t="s">
        <v>222</v>
      </c>
      <c r="C11" s="601" t="s">
        <v>352</v>
      </c>
      <c r="D11" s="593" t="e">
        <f>H11</f>
        <v>#REF!</v>
      </c>
      <c r="E11" s="602" t="s">
        <v>352</v>
      </c>
      <c r="F11" s="595" t="e">
        <f>D11</f>
        <v>#REF!</v>
      </c>
      <c r="H11" s="603" t="e">
        <f>ROUND(('Sch-1'!N152-'Sch-1 dis'!F75)+('Sch-2'!J151-'Sch-2 Dis'!F56)+ ('Sch-3 '!P159-'Sch-3 Dis'!F81),0)</f>
        <v>#REF!</v>
      </c>
    </row>
    <row r="12" spans="1:8" s="584" customFormat="1" ht="22.2" customHeight="1">
      <c r="A12" s="590">
        <v>7</v>
      </c>
      <c r="B12" s="600" t="s">
        <v>248</v>
      </c>
      <c r="C12" s="592"/>
      <c r="D12" s="586" t="e">
        <f>D10-D11</f>
        <v>#REF!</v>
      </c>
      <c r="E12" s="594"/>
      <c r="F12" s="599" t="e">
        <f>F10-F11</f>
        <v>#REF!</v>
      </c>
      <c r="G12" s="604"/>
      <c r="H12" s="603"/>
    </row>
    <row r="13" spans="1:8" s="584" customFormat="1" ht="22.2" customHeight="1">
      <c r="A13" s="590">
        <v>8</v>
      </c>
      <c r="B13" s="591" t="s">
        <v>223</v>
      </c>
      <c r="C13" s="592"/>
      <c r="D13" s="593"/>
      <c r="E13" s="594"/>
      <c r="F13" s="595"/>
    </row>
    <row r="14" spans="1:8" s="584" customFormat="1" ht="22.2" customHeight="1">
      <c r="A14" s="590" t="s">
        <v>352</v>
      </c>
      <c r="B14" s="591" t="s">
        <v>224</v>
      </c>
      <c r="C14" s="605"/>
      <c r="D14" s="606">
        <f>'Sch-5 Dis'!D14:E14</f>
        <v>0</v>
      </c>
      <c r="E14" s="607"/>
      <c r="F14" s="588">
        <f>F32</f>
        <v>0</v>
      </c>
      <c r="G14" s="596"/>
    </row>
    <row r="15" spans="1:8" s="584" customFormat="1" ht="22.2" customHeight="1">
      <c r="A15" s="590"/>
      <c r="B15" s="591" t="s">
        <v>1</v>
      </c>
      <c r="C15" s="592"/>
      <c r="D15" s="606">
        <f>'Sch-5 Dis'!D16:E16</f>
        <v>0</v>
      </c>
      <c r="E15" s="608"/>
      <c r="F15" s="588">
        <f>F34</f>
        <v>0</v>
      </c>
      <c r="G15" s="596"/>
    </row>
    <row r="16" spans="1:8" s="584" customFormat="1" ht="22.2" customHeight="1">
      <c r="A16" s="590"/>
      <c r="B16" s="591" t="s">
        <v>2</v>
      </c>
      <c r="C16" s="592"/>
      <c r="D16" s="606" t="e">
        <f>'Sch-5 Dis'!#REF!</f>
        <v>#REF!</v>
      </c>
      <c r="E16" s="608"/>
      <c r="F16" s="588">
        <f>F35</f>
        <v>0</v>
      </c>
      <c r="G16" s="596"/>
    </row>
    <row r="17" spans="1:12" s="584" customFormat="1" ht="22.2" customHeight="1">
      <c r="A17" s="590"/>
      <c r="B17" s="591" t="s">
        <v>3</v>
      </c>
      <c r="C17" s="592"/>
      <c r="D17" s="606" t="e">
        <f>SUM('Sch-5 Dis'!#REF!,'Sch-5 Dis'!#REF!)</f>
        <v>#REF!</v>
      </c>
      <c r="E17" s="608"/>
      <c r="F17" s="588">
        <f>F38</f>
        <v>0</v>
      </c>
      <c r="G17" s="596"/>
    </row>
    <row r="18" spans="1:12" s="584" customFormat="1" ht="22.2" customHeight="1">
      <c r="A18" s="590"/>
      <c r="B18" s="591" t="s">
        <v>4</v>
      </c>
      <c r="C18" s="592"/>
      <c r="D18" s="597" t="s">
        <v>476</v>
      </c>
      <c r="E18" s="587"/>
      <c r="F18" s="588" t="str">
        <f>F36</f>
        <v/>
      </c>
    </row>
    <row r="19" spans="1:12" s="584" customFormat="1" ht="27" customHeight="1">
      <c r="A19" s="590"/>
      <c r="B19" s="591" t="s">
        <v>5</v>
      </c>
      <c r="C19" s="609"/>
      <c r="D19" s="610" t="e">
        <f>SUM(D14,D15,D16,D17,D18)</f>
        <v>#REF!</v>
      </c>
      <c r="E19" s="611"/>
      <c r="F19" s="609">
        <f>SUM(F14:F18)</f>
        <v>0</v>
      </c>
      <c r="G19" s="596"/>
    </row>
    <row r="20" spans="1:12" s="584" customFormat="1" ht="33.75" customHeight="1">
      <c r="A20" s="590">
        <v>8</v>
      </c>
      <c r="B20" s="591" t="s">
        <v>229</v>
      </c>
      <c r="C20" s="592"/>
      <c r="D20" s="586" t="e">
        <f>D10+D19</f>
        <v>#REF!</v>
      </c>
      <c r="E20" s="612" t="s">
        <v>352</v>
      </c>
      <c r="F20" s="613">
        <f>F10+F19</f>
        <v>0</v>
      </c>
      <c r="G20" s="596"/>
    </row>
    <row r="21" spans="1:12" s="584" customFormat="1" ht="51" customHeight="1">
      <c r="A21" s="590">
        <v>9</v>
      </c>
      <c r="B21" s="591" t="s">
        <v>249</v>
      </c>
      <c r="C21" s="592"/>
      <c r="D21" s="593">
        <v>0</v>
      </c>
      <c r="E21" s="594"/>
      <c r="F21" s="595">
        <f>D21</f>
        <v>0</v>
      </c>
    </row>
    <row r="22" spans="1:12" s="584" customFormat="1" ht="23.25" customHeight="1">
      <c r="A22" s="614" t="s">
        <v>352</v>
      </c>
      <c r="B22" s="615" t="s">
        <v>352</v>
      </c>
      <c r="C22" s="615"/>
      <c r="D22" s="616"/>
      <c r="E22" s="617"/>
      <c r="F22" s="618"/>
    </row>
    <row r="23" spans="1:12" s="584" customFormat="1" ht="18.75" customHeight="1">
      <c r="A23" s="619" t="s">
        <v>230</v>
      </c>
      <c r="B23" s="1457" t="s">
        <v>231</v>
      </c>
      <c r="C23" s="1457"/>
      <c r="D23" s="1457"/>
      <c r="E23" s="1457"/>
      <c r="F23" s="1480"/>
    </row>
    <row r="24" spans="1:12" s="584" customFormat="1" ht="18.75" customHeight="1">
      <c r="A24" s="619"/>
      <c r="B24" s="1463" t="str">
        <f>H24&amp;" "&amp;G24&amp;" "&amp;I24&amp;" "&amp;J24&amp;"%"&amp; " as"&amp;" "&amp;K24&amp; " "&amp;L24</f>
        <v xml:space="preserve">Excise Duty    % as  </v>
      </c>
      <c r="C24" s="1464"/>
      <c r="D24" s="1464"/>
      <c r="E24" s="1464"/>
      <c r="F24" s="1465"/>
      <c r="G24" s="621" t="s">
        <v>476</v>
      </c>
      <c r="H24" s="622" t="s">
        <v>6</v>
      </c>
      <c r="I24" s="622" t="str">
        <f>IF(J24="","","@")</f>
        <v/>
      </c>
      <c r="J24" s="623" t="s">
        <v>476</v>
      </c>
      <c r="K24" s="624" t="str">
        <f>IF(OR(L24=0,L24=""),"","Rs.")</f>
        <v/>
      </c>
      <c r="L24" s="625" t="str">
        <f>IF(D14=0,"",D14)</f>
        <v/>
      </c>
    </row>
    <row r="25" spans="1:12" s="584" customFormat="1" ht="19.5" customHeight="1">
      <c r="B25" s="1463" t="str">
        <f>H25&amp;" "&amp;G25&amp;" "&amp;I25&amp;" "&amp;J25&amp;"%"&amp; " as"&amp;" "&amp;K25&amp; " "&amp;L25</f>
        <v xml:space="preserve">CST    % as  </v>
      </c>
      <c r="C25" s="1464"/>
      <c r="D25" s="1464"/>
      <c r="E25" s="1464"/>
      <c r="F25" s="1465"/>
      <c r="G25" s="621" t="s">
        <v>476</v>
      </c>
      <c r="H25" s="622" t="s">
        <v>7</v>
      </c>
      <c r="I25" s="622" t="str">
        <f>IF(J25="","","@")</f>
        <v/>
      </c>
      <c r="J25" s="623" t="s">
        <v>476</v>
      </c>
      <c r="K25" s="624" t="str">
        <f>IF(OR(L25=0,L25=""),"","Rs.")</f>
        <v/>
      </c>
      <c r="L25" s="625" t="str">
        <f>IF(D15=0,"",D15)</f>
        <v/>
      </c>
    </row>
    <row r="26" spans="1:12" s="584" customFormat="1" ht="19.5" customHeight="1">
      <c r="B26" s="1463" t="e">
        <f>H26&amp;" "&amp;G26&amp;" "&amp;I26&amp;" "&amp;J26&amp;"%"&amp; " as"&amp;" "&amp;K26&amp; " "&amp;L26</f>
        <v>#REF!</v>
      </c>
      <c r="C26" s="1464"/>
      <c r="D26" s="1464"/>
      <c r="E26" s="1464"/>
      <c r="F26" s="1465"/>
      <c r="G26" s="621" t="s">
        <v>476</v>
      </c>
      <c r="H26" s="622" t="s">
        <v>8</v>
      </c>
      <c r="I26" s="622" t="str">
        <f>IF(J26="","","@")</f>
        <v/>
      </c>
      <c r="J26" s="623" t="s">
        <v>476</v>
      </c>
      <c r="K26" s="624" t="e">
        <f>IF(OR(L26=0,L26=""),"","Rs.")</f>
        <v>#REF!</v>
      </c>
      <c r="L26" s="625" t="e">
        <f>IF(D16=0,"",D16)</f>
        <v>#REF!</v>
      </c>
    </row>
    <row r="27" spans="1:12" s="584" customFormat="1" ht="19.5" customHeight="1">
      <c r="B27" s="1463" t="e">
        <f>H27&amp;" "&amp;G27&amp;" "&amp;I27&amp;" "&amp;J27&amp; " as"&amp;" "&amp;K27&amp; " "&amp;L27</f>
        <v>#REF!</v>
      </c>
      <c r="C27" s="1464"/>
      <c r="D27" s="1464"/>
      <c r="E27" s="1464"/>
      <c r="F27" s="1465"/>
      <c r="G27" s="621" t="s">
        <v>476</v>
      </c>
      <c r="H27" s="622" t="s">
        <v>9</v>
      </c>
      <c r="I27" s="622"/>
      <c r="J27" s="626"/>
      <c r="K27" s="624" t="e">
        <f>IF(OR(L27=0,L27=""),"","Rs.")</f>
        <v>#REF!</v>
      </c>
      <c r="L27" s="625" t="e">
        <f>IF(D17=0,"",D17)</f>
        <v>#REF!</v>
      </c>
    </row>
    <row r="28" spans="1:12" s="584" customFormat="1" ht="19.5" customHeight="1">
      <c r="B28" s="1463" t="str">
        <f>H28&amp;" "&amp;G28&amp;" "&amp;I28&amp;" "&amp;J28&amp; " as"&amp;" "&amp;K28&amp; " "&amp;L28</f>
        <v xml:space="preserve">Others     as  </v>
      </c>
      <c r="C28" s="1464"/>
      <c r="D28" s="1464"/>
      <c r="E28" s="1464"/>
      <c r="F28" s="1465"/>
      <c r="G28" s="621" t="s">
        <v>476</v>
      </c>
      <c r="H28" s="620" t="s">
        <v>235</v>
      </c>
      <c r="I28" s="620"/>
      <c r="J28" s="620"/>
      <c r="K28" s="620" t="str">
        <f>IF(OR(L28=0,L28=""),"","Rs.")</f>
        <v/>
      </c>
      <c r="L28" s="627" t="str">
        <f>IF(D18=0,"",D18)</f>
        <v/>
      </c>
    </row>
    <row r="29" spans="1:12" s="584" customFormat="1" ht="19.5" customHeight="1">
      <c r="B29" s="1469"/>
      <c r="C29" s="1469"/>
      <c r="D29" s="1469"/>
      <c r="E29" s="1469"/>
      <c r="F29" s="1470"/>
    </row>
    <row r="30" spans="1:12" ht="59.25" customHeight="1">
      <c r="A30" s="628" t="s">
        <v>236</v>
      </c>
      <c r="B30" s="1466" t="s">
        <v>10</v>
      </c>
      <c r="C30" s="1467"/>
      <c r="D30" s="1467"/>
      <c r="E30" s="1467"/>
      <c r="F30" s="1468"/>
    </row>
    <row r="31" spans="1:12" s="584" customFormat="1" ht="19.5" customHeight="1">
      <c r="A31" s="629" t="s">
        <v>355</v>
      </c>
      <c r="B31" s="1457" t="s">
        <v>237</v>
      </c>
      <c r="C31" s="1457"/>
      <c r="D31" s="1457"/>
      <c r="E31" s="620" t="s">
        <v>233</v>
      </c>
      <c r="F31" s="625">
        <v>0</v>
      </c>
    </row>
    <row r="32" spans="1:12" s="584" customFormat="1" ht="19.5" customHeight="1">
      <c r="A32" s="629" t="s">
        <v>356</v>
      </c>
      <c r="B32" s="622" t="s">
        <v>11</v>
      </c>
      <c r="C32" s="630"/>
      <c r="D32" s="631">
        <v>0.1</v>
      </c>
      <c r="E32" s="620" t="s">
        <v>233</v>
      </c>
      <c r="F32" s="625">
        <f>ROUND(D32*F31,0)</f>
        <v>0</v>
      </c>
      <c r="H32" s="1457"/>
      <c r="I32" s="1457"/>
      <c r="J32" s="1457"/>
    </row>
    <row r="33" spans="1:10" s="584" customFormat="1" ht="19.5" customHeight="1">
      <c r="A33" s="632" t="s">
        <v>357</v>
      </c>
      <c r="B33" s="622" t="s">
        <v>12</v>
      </c>
      <c r="C33" s="630"/>
      <c r="D33" s="633">
        <v>0</v>
      </c>
      <c r="E33" s="620"/>
      <c r="F33" s="625">
        <f>D33</f>
        <v>0</v>
      </c>
      <c r="H33" s="620"/>
      <c r="I33" s="620"/>
      <c r="J33" s="620"/>
    </row>
    <row r="34" spans="1:10" s="584" customFormat="1" ht="19.5" customHeight="1">
      <c r="A34" s="632" t="s">
        <v>358</v>
      </c>
      <c r="B34" s="622" t="s">
        <v>13</v>
      </c>
      <c r="D34" s="631">
        <v>0.02</v>
      </c>
      <c r="E34" s="620" t="s">
        <v>233</v>
      </c>
      <c r="F34" s="625">
        <f>ROUND((F33+(F33*D32))*D34,0)</f>
        <v>0</v>
      </c>
    </row>
    <row r="35" spans="1:10" s="584" customFormat="1" ht="19.5" customHeight="1">
      <c r="A35" s="632" t="s">
        <v>359</v>
      </c>
      <c r="B35" s="622" t="s">
        <v>14</v>
      </c>
      <c r="C35" s="620"/>
      <c r="D35" s="631">
        <v>0.01</v>
      </c>
      <c r="E35" s="620"/>
      <c r="F35" s="625">
        <f>ROUND(((F31-F33)+((F31-F33)*D32))*D35,0)</f>
        <v>0</v>
      </c>
    </row>
    <row r="36" spans="1:10" s="584" customFormat="1" ht="19.5" customHeight="1">
      <c r="A36" s="632" t="s">
        <v>360</v>
      </c>
      <c r="B36" s="624" t="s">
        <v>15</v>
      </c>
      <c r="C36" s="620"/>
      <c r="D36" s="620"/>
      <c r="E36" s="620" t="s">
        <v>233</v>
      </c>
      <c r="F36" s="634" t="str">
        <f>L28</f>
        <v/>
      </c>
    </row>
    <row r="37" spans="1:10" s="584" customFormat="1" ht="19.5" customHeight="1">
      <c r="A37" s="632" t="s">
        <v>16</v>
      </c>
      <c r="B37" s="1457" t="s">
        <v>240</v>
      </c>
      <c r="C37" s="1457"/>
      <c r="D37" s="1457"/>
      <c r="E37" s="620" t="s">
        <v>233</v>
      </c>
      <c r="F37" s="635">
        <f>SUM(F31,F32,F34,F35,F36)</f>
        <v>0</v>
      </c>
    </row>
    <row r="38" spans="1:10" s="584" customFormat="1" ht="19.5" customHeight="1">
      <c r="A38" s="632" t="s">
        <v>17</v>
      </c>
      <c r="B38" s="624" t="s">
        <v>18</v>
      </c>
      <c r="C38" s="620"/>
      <c r="D38" s="631"/>
      <c r="E38" s="620" t="s">
        <v>233</v>
      </c>
      <c r="F38" s="634">
        <f>ROUND(D38*F37,0)</f>
        <v>0</v>
      </c>
    </row>
    <row r="39" spans="1:10" s="584" customFormat="1" ht="19.5" customHeight="1">
      <c r="A39" s="629"/>
      <c r="B39" s="620"/>
      <c r="C39" s="620"/>
      <c r="D39" s="620"/>
      <c r="E39" s="620"/>
      <c r="F39" s="636"/>
    </row>
    <row r="40" spans="1:10" s="584" customFormat="1" ht="15" customHeight="1">
      <c r="A40" s="629"/>
      <c r="B40" s="620"/>
      <c r="C40" s="620"/>
      <c r="D40" s="620"/>
      <c r="E40" s="620"/>
      <c r="F40" s="636"/>
    </row>
    <row r="41" spans="1:10" s="584" customFormat="1" ht="15" customHeight="1">
      <c r="A41" s="629"/>
      <c r="B41" s="620"/>
      <c r="C41" s="620"/>
      <c r="D41" s="620"/>
      <c r="E41" s="620"/>
      <c r="F41" s="636"/>
    </row>
    <row r="42" spans="1:10" s="584" customFormat="1" ht="19.5" customHeight="1">
      <c r="A42" s="629"/>
      <c r="B42" s="620"/>
      <c r="C42" s="620"/>
      <c r="D42" s="620"/>
      <c r="E42" s="620"/>
      <c r="F42" s="636"/>
    </row>
    <row r="43" spans="1:10" ht="49.5" customHeight="1">
      <c r="A43" s="1458" t="str">
        <f>Basic!B1</f>
        <v>400kV AIS Substation Extension Package SS-111 for Extension of 400/220 kV Jabalpur Substation associated with Western Region Expansion Scheme-XXXIII (WRES-XXXIII): Part A.</v>
      </c>
      <c r="B43" s="1459"/>
      <c r="C43" s="1460"/>
      <c r="D43" s="1461" t="s">
        <v>241</v>
      </c>
      <c r="E43" s="1462"/>
      <c r="F43" s="644" t="s">
        <v>242</v>
      </c>
    </row>
    <row r="44" spans="1:10" ht="28.8">
      <c r="A44" s="639" t="s">
        <v>19</v>
      </c>
      <c r="B44" s="640" t="str">
        <f>Basic!B5</f>
        <v>Specification No.: CC/NT/W-AIS/DOM/A00/23/02698</v>
      </c>
      <c r="C44" s="641"/>
      <c r="D44" s="642"/>
      <c r="E44" s="643"/>
      <c r="F44" s="645"/>
    </row>
    <row r="46" spans="1:10">
      <c r="A46" s="637"/>
    </row>
  </sheetData>
  <sheetProtection selectLockedCells="1" selectUnlockedCells="1"/>
  <customSheetViews>
    <customSheetView guid="{9AC181BA-F443-4EA7-A647-328174FE300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30"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4.4"/>
  <cols>
    <col min="1" max="1" width="7.44140625" style="119" customWidth="1"/>
    <col min="2" max="2" width="46.88671875" style="119" customWidth="1"/>
    <col min="3" max="3" width="2.21875" style="119" customWidth="1"/>
    <col min="4" max="4" width="17.6640625" style="157" customWidth="1"/>
    <col min="5" max="5" width="4.109375" style="157" customWidth="1"/>
    <col min="6" max="6" width="17.6640625" style="157" customWidth="1"/>
    <col min="7" max="7" width="21.6640625" style="122" customWidth="1"/>
    <col min="8" max="8" width="15.21875" style="276" customWidth="1"/>
    <col min="9" max="10" width="13.77734375" style="276" customWidth="1"/>
    <col min="11" max="11" width="14.88671875" style="276" customWidth="1"/>
    <col min="12" max="12" width="13.77734375" style="276" customWidth="1"/>
    <col min="13" max="16" width="8" style="276" customWidth="1"/>
    <col min="17" max="16384" width="8" style="122"/>
  </cols>
  <sheetData>
    <row r="1" spans="1:16" ht="16.2" customHeight="1">
      <c r="B1" s="1487" t="s">
        <v>216</v>
      </c>
      <c r="C1" s="1488"/>
      <c r="D1" s="1488"/>
      <c r="E1" s="1488"/>
      <c r="F1" s="1488"/>
    </row>
    <row r="2" spans="1:16" ht="16.2" customHeight="1">
      <c r="B2" s="120"/>
      <c r="C2" s="121"/>
      <c r="D2" s="123"/>
      <c r="E2" s="123"/>
      <c r="F2" s="123"/>
    </row>
    <row r="3" spans="1:16" s="124" customFormat="1" ht="16.2" customHeight="1">
      <c r="A3" s="119"/>
      <c r="B3" s="119"/>
      <c r="C3" s="119"/>
      <c r="D3" s="1489" t="s">
        <v>217</v>
      </c>
      <c r="E3" s="1489"/>
      <c r="F3" s="1489"/>
      <c r="H3" s="277"/>
      <c r="I3" s="277"/>
      <c r="J3" s="277"/>
      <c r="K3" s="277"/>
      <c r="L3" s="277"/>
      <c r="M3" s="277"/>
      <c r="N3" s="277"/>
      <c r="O3" s="277"/>
      <c r="P3" s="277"/>
    </row>
    <row r="4" spans="1:16" s="124" customFormat="1" ht="20.25" customHeight="1">
      <c r="A4" s="1495" t="s">
        <v>218</v>
      </c>
      <c r="B4" s="1495"/>
      <c r="C4" s="1495"/>
      <c r="D4" s="1490" t="str">
        <f>'Sch-1'!C8</f>
        <v xml:space="preserve">…….. …….. …….. …….. …….. …….. </v>
      </c>
      <c r="E4" s="1490"/>
      <c r="F4" s="1490"/>
      <c r="H4" s="277"/>
      <c r="I4" s="277"/>
      <c r="J4" s="277"/>
      <c r="K4" s="277"/>
      <c r="L4" s="277"/>
      <c r="M4" s="277"/>
      <c r="N4" s="277"/>
      <c r="O4" s="277"/>
      <c r="P4" s="277"/>
    </row>
    <row r="5" spans="1:16" s="130" customFormat="1" ht="21" customHeight="1">
      <c r="A5" s="126" t="s">
        <v>378</v>
      </c>
      <c r="B5" s="1493" t="s">
        <v>219</v>
      </c>
      <c r="C5" s="1494"/>
      <c r="D5" s="127" t="s">
        <v>220</v>
      </c>
      <c r="E5" s="1491" t="s">
        <v>221</v>
      </c>
      <c r="F5" s="1492"/>
      <c r="H5" s="278"/>
      <c r="I5" s="278"/>
      <c r="J5" s="278"/>
      <c r="K5" s="278"/>
      <c r="L5" s="278"/>
      <c r="M5" s="278"/>
      <c r="N5" s="278"/>
      <c r="O5" s="278"/>
      <c r="P5" s="278"/>
    </row>
    <row r="6" spans="1:16" s="124" customFormat="1" ht="36" customHeight="1">
      <c r="A6" s="131">
        <v>1</v>
      </c>
      <c r="B6" s="132" t="s">
        <v>243</v>
      </c>
      <c r="C6" s="133"/>
      <c r="D6" s="134">
        <f>'Sch-6'!D14</f>
        <v>0</v>
      </c>
      <c r="E6" s="135" t="s">
        <v>352</v>
      </c>
      <c r="F6" s="136">
        <f>D6</f>
        <v>0</v>
      </c>
      <c r="G6" s="137"/>
      <c r="H6" s="277"/>
      <c r="I6" s="277"/>
      <c r="J6" s="277"/>
      <c r="K6" s="277"/>
      <c r="L6" s="277"/>
      <c r="M6" s="277"/>
      <c r="N6" s="277"/>
      <c r="O6" s="277"/>
      <c r="P6" s="277"/>
    </row>
    <row r="7" spans="1:16" s="124" customFormat="1" ht="34.5" customHeight="1">
      <c r="A7" s="131">
        <v>2</v>
      </c>
      <c r="B7" s="132" t="s">
        <v>244</v>
      </c>
      <c r="C7" s="133"/>
      <c r="D7" s="134">
        <f>'Sch-6'!D16</f>
        <v>0</v>
      </c>
      <c r="E7" s="135"/>
      <c r="F7" s="136">
        <f>D7</f>
        <v>0</v>
      </c>
      <c r="G7" s="137"/>
      <c r="H7" s="277"/>
      <c r="I7" s="277"/>
      <c r="J7" s="277"/>
      <c r="K7" s="277"/>
      <c r="L7" s="277"/>
      <c r="M7" s="277"/>
      <c r="N7" s="277"/>
      <c r="O7" s="277"/>
      <c r="P7" s="277"/>
    </row>
    <row r="8" spans="1:16" s="124" customFormat="1" ht="21" customHeight="1">
      <c r="A8" s="131">
        <v>3</v>
      </c>
      <c r="B8" s="132" t="s">
        <v>245</v>
      </c>
      <c r="C8" s="133"/>
      <c r="D8" s="134">
        <f>'Sch-6'!D18</f>
        <v>0</v>
      </c>
      <c r="E8" s="135"/>
      <c r="F8" s="136">
        <f>D8</f>
        <v>0</v>
      </c>
      <c r="G8" s="137"/>
      <c r="H8" s="277"/>
      <c r="I8" s="277"/>
      <c r="J8" s="277"/>
      <c r="K8" s="277"/>
      <c r="L8" s="277"/>
      <c r="M8" s="277"/>
      <c r="N8" s="277"/>
      <c r="O8" s="277"/>
      <c r="P8" s="277"/>
    </row>
    <row r="9" spans="1:16" s="124" customFormat="1" ht="21" customHeight="1">
      <c r="A9" s="131">
        <v>4</v>
      </c>
      <c r="B9" s="132" t="s">
        <v>246</v>
      </c>
      <c r="C9" s="133"/>
      <c r="D9" s="138" t="s">
        <v>435</v>
      </c>
      <c r="E9" s="135"/>
      <c r="F9" s="129" t="str">
        <f>D9</f>
        <v>Not Applicable</v>
      </c>
      <c r="H9" s="277"/>
      <c r="I9" s="277"/>
      <c r="J9" s="277"/>
      <c r="K9" s="277"/>
      <c r="L9" s="277"/>
      <c r="M9" s="277"/>
      <c r="N9" s="277"/>
      <c r="O9" s="277"/>
      <c r="P9" s="277"/>
    </row>
    <row r="10" spans="1:16" s="124" customFormat="1" ht="21" customHeight="1">
      <c r="A10" s="131">
        <v>5</v>
      </c>
      <c r="B10" s="132" t="s">
        <v>247</v>
      </c>
      <c r="C10" s="133"/>
      <c r="D10" s="139">
        <f>SUM(D6,D7,D8)</f>
        <v>0</v>
      </c>
      <c r="E10" s="135"/>
      <c r="F10" s="140">
        <f>F6+F7+F8</f>
        <v>0</v>
      </c>
      <c r="H10" s="277"/>
      <c r="I10" s="277"/>
      <c r="J10" s="277"/>
      <c r="K10" s="277"/>
      <c r="L10" s="277"/>
      <c r="M10" s="277"/>
      <c r="N10" s="277"/>
      <c r="O10" s="277"/>
      <c r="P10" s="277"/>
    </row>
    <row r="11" spans="1:16" s="124" customFormat="1" ht="21" customHeight="1">
      <c r="A11" s="131">
        <v>6</v>
      </c>
      <c r="B11" s="141" t="s">
        <v>222</v>
      </c>
      <c r="C11" s="142" t="s">
        <v>352</v>
      </c>
      <c r="D11" s="134" t="e">
        <f>'Sch-1'!AA154+'Sch-2'!#REF!+'Sch-3 '!#REF!+'Sch-7'!#REF!</f>
        <v>#REF!</v>
      </c>
      <c r="E11" s="143" t="s">
        <v>352</v>
      </c>
      <c r="F11" s="136" t="e">
        <f>D11</f>
        <v>#REF!</v>
      </c>
      <c r="H11" s="277"/>
      <c r="I11" s="277"/>
      <c r="J11" s="277"/>
      <c r="K11" s="277"/>
      <c r="L11" s="277"/>
      <c r="M11" s="277"/>
      <c r="N11" s="277"/>
      <c r="O11" s="277"/>
      <c r="P11" s="277"/>
    </row>
    <row r="12" spans="1:16" s="124" customFormat="1" ht="22.2" customHeight="1">
      <c r="A12" s="131">
        <v>7</v>
      </c>
      <c r="B12" s="141" t="s">
        <v>248</v>
      </c>
      <c r="C12" s="133"/>
      <c r="D12" s="127" t="e">
        <f>D10-D11</f>
        <v>#REF!</v>
      </c>
      <c r="E12" s="135"/>
      <c r="F12" s="140" t="e">
        <f>F10-F11</f>
        <v>#REF!</v>
      </c>
      <c r="G12" s="144"/>
      <c r="H12" s="277"/>
      <c r="I12" s="277"/>
      <c r="J12" s="277"/>
      <c r="K12" s="277"/>
      <c r="L12" s="277"/>
      <c r="M12" s="277"/>
      <c r="N12" s="277"/>
      <c r="O12" s="277"/>
      <c r="P12" s="277"/>
    </row>
    <row r="13" spans="1:16" s="124" customFormat="1" ht="22.2" customHeight="1">
      <c r="A13" s="131">
        <v>8</v>
      </c>
      <c r="B13" s="132" t="s">
        <v>223</v>
      </c>
      <c r="C13" s="133"/>
      <c r="D13" s="134"/>
      <c r="E13" s="135"/>
      <c r="F13" s="136"/>
      <c r="H13" s="277"/>
      <c r="I13" s="277"/>
      <c r="J13" s="277"/>
      <c r="K13" s="277"/>
      <c r="L13" s="277"/>
      <c r="M13" s="277"/>
      <c r="N13" s="277"/>
      <c r="O13" s="277"/>
      <c r="P13" s="277"/>
    </row>
    <row r="14" spans="1:16" s="124" customFormat="1" ht="22.2" customHeight="1">
      <c r="A14" s="131" t="s">
        <v>352</v>
      </c>
      <c r="B14" s="132" t="s">
        <v>224</v>
      </c>
      <c r="C14" s="145"/>
      <c r="D14" s="138" t="e">
        <f>'Sch-5'!K14</f>
        <v>#REF!</v>
      </c>
      <c r="E14" s="146"/>
      <c r="F14" s="129">
        <f>F32</f>
        <v>0</v>
      </c>
      <c r="G14" s="137"/>
      <c r="H14" s="277"/>
      <c r="I14" s="277"/>
      <c r="J14" s="277"/>
      <c r="K14" s="277"/>
      <c r="L14" s="277"/>
      <c r="M14" s="277"/>
      <c r="N14" s="277"/>
      <c r="O14" s="277"/>
      <c r="P14" s="277"/>
    </row>
    <row r="15" spans="1:16" s="124" customFormat="1" ht="22.2" customHeight="1">
      <c r="A15" s="131"/>
      <c r="B15" s="132" t="s">
        <v>225</v>
      </c>
      <c r="C15" s="133"/>
      <c r="D15" s="138" t="e">
        <f>'Sch-5'!K16+'Sch-5'!#REF!</f>
        <v>#REF!</v>
      </c>
      <c r="E15" s="147"/>
      <c r="F15" s="129" t="e">
        <f>F33</f>
        <v>#REF!</v>
      </c>
      <c r="G15" s="137"/>
      <c r="H15" s="277"/>
      <c r="I15" s="277"/>
      <c r="J15" s="277"/>
      <c r="K15" s="277"/>
      <c r="L15" s="277"/>
      <c r="M15" s="277"/>
      <c r="N15" s="277"/>
      <c r="O15" s="277"/>
      <c r="P15" s="277"/>
    </row>
    <row r="16" spans="1:16" s="124" customFormat="1" ht="22.2" customHeight="1">
      <c r="A16" s="131"/>
      <c r="B16" s="132" t="s">
        <v>226</v>
      </c>
      <c r="C16" s="133"/>
      <c r="D16" s="138" t="e">
        <f>#REF!+#REF!</f>
        <v>#REF!</v>
      </c>
      <c r="E16" s="147"/>
      <c r="F16" s="129" t="e">
        <f>F36</f>
        <v>#REF!</v>
      </c>
      <c r="G16" s="137"/>
      <c r="H16" s="277"/>
      <c r="I16" s="277"/>
      <c r="J16" s="277"/>
      <c r="K16" s="277"/>
      <c r="L16" s="277"/>
      <c r="M16" s="277"/>
      <c r="N16" s="277"/>
      <c r="O16" s="277"/>
      <c r="P16" s="277"/>
    </row>
    <row r="17" spans="1:16" s="124" customFormat="1" ht="22.2" customHeight="1">
      <c r="A17" s="131"/>
      <c r="B17" s="132" t="s">
        <v>227</v>
      </c>
      <c r="C17" s="133"/>
      <c r="D17" s="138" t="e">
        <f>#REF!</f>
        <v>#REF!</v>
      </c>
      <c r="E17" s="128"/>
      <c r="F17" s="129">
        <f>F34</f>
        <v>0</v>
      </c>
      <c r="H17" s="277"/>
      <c r="I17" s="277"/>
      <c r="J17" s="277"/>
      <c r="K17" s="277"/>
      <c r="L17" s="277"/>
      <c r="M17" s="277"/>
      <c r="N17" s="277"/>
      <c r="O17" s="277"/>
      <c r="P17" s="277"/>
    </row>
    <row r="18" spans="1:16" s="124" customFormat="1" ht="27" customHeight="1">
      <c r="A18" s="131"/>
      <c r="B18" s="132" t="s">
        <v>228</v>
      </c>
      <c r="C18" s="148"/>
      <c r="D18" s="261" t="e">
        <f>D14+D15+D16+D17</f>
        <v>#REF!</v>
      </c>
      <c r="E18" s="149"/>
      <c r="F18" s="148" t="e">
        <f>SUM(F14:F17)</f>
        <v>#REF!</v>
      </c>
      <c r="G18" s="137"/>
      <c r="H18" s="277"/>
      <c r="I18" s="277"/>
      <c r="J18" s="277"/>
      <c r="K18" s="277"/>
      <c r="L18" s="277"/>
      <c r="M18" s="277"/>
      <c r="N18" s="277"/>
      <c r="O18" s="277"/>
      <c r="P18" s="277"/>
    </row>
    <row r="19" spans="1:16" s="124" customFormat="1" ht="33.75" customHeight="1">
      <c r="A19" s="131">
        <v>8</v>
      </c>
      <c r="B19" s="132" t="s">
        <v>229</v>
      </c>
      <c r="C19" s="133"/>
      <c r="D19" s="127" t="e">
        <f>D10+D18</f>
        <v>#REF!</v>
      </c>
      <c r="E19" s="150" t="s">
        <v>352</v>
      </c>
      <c r="F19" s="151" t="e">
        <f>F10+F18</f>
        <v>#REF!</v>
      </c>
      <c r="G19" s="137"/>
      <c r="H19" s="277"/>
      <c r="I19" s="277"/>
      <c r="J19" s="277"/>
      <c r="K19" s="277"/>
      <c r="L19" s="277"/>
      <c r="M19" s="277"/>
      <c r="N19" s="277"/>
      <c r="O19" s="277"/>
      <c r="P19" s="277"/>
    </row>
    <row r="20" spans="1:16" s="124" customFormat="1" ht="51" customHeight="1">
      <c r="A20" s="131">
        <v>9</v>
      </c>
      <c r="B20" s="132" t="s">
        <v>249</v>
      </c>
      <c r="C20" s="133"/>
      <c r="D20" s="134">
        <f>'Sch-1'!N151</f>
        <v>0</v>
      </c>
      <c r="E20" s="135"/>
      <c r="F20" s="136">
        <f>D20</f>
        <v>0</v>
      </c>
      <c r="H20" s="277"/>
      <c r="I20" s="277"/>
      <c r="J20" s="277"/>
      <c r="K20" s="277"/>
      <c r="L20" s="277"/>
      <c r="M20" s="277"/>
      <c r="N20" s="277"/>
      <c r="O20" s="277"/>
      <c r="P20" s="277"/>
    </row>
    <row r="21" spans="1:16" s="124" customFormat="1" ht="23.25" customHeight="1">
      <c r="A21" s="152" t="s">
        <v>230</v>
      </c>
      <c r="B21" s="1481" t="s">
        <v>231</v>
      </c>
      <c r="C21" s="1481"/>
      <c r="D21" s="1481"/>
      <c r="E21" s="1481"/>
      <c r="F21" s="1482"/>
      <c r="H21" s="277"/>
      <c r="I21" s="277"/>
      <c r="J21" s="277"/>
      <c r="K21" s="277"/>
      <c r="L21" s="277"/>
      <c r="M21" s="277"/>
      <c r="N21" s="277"/>
      <c r="O21" s="277"/>
      <c r="P21" s="277"/>
    </row>
    <row r="22" spans="1:16" s="124" customFormat="1" ht="18.75" customHeight="1">
      <c r="A22" s="154" t="s">
        <v>355</v>
      </c>
      <c r="B22" s="1486" t="s">
        <v>232</v>
      </c>
      <c r="C22" s="1486"/>
      <c r="D22" s="1486"/>
      <c r="E22" s="153" t="s">
        <v>233</v>
      </c>
      <c r="F22" s="156" t="e">
        <f>D14</f>
        <v>#REF!</v>
      </c>
      <c r="H22" s="277"/>
      <c r="I22" s="277"/>
      <c r="J22" s="277"/>
      <c r="K22" s="277"/>
      <c r="L22" s="277"/>
      <c r="M22" s="277"/>
      <c r="N22" s="277"/>
      <c r="O22" s="277"/>
      <c r="P22" s="277"/>
    </row>
    <row r="23" spans="1:16" s="124" customFormat="1" ht="19.5" customHeight="1">
      <c r="A23" s="154" t="s">
        <v>356</v>
      </c>
      <c r="B23" s="1486" t="s">
        <v>234</v>
      </c>
      <c r="C23" s="1486"/>
      <c r="D23" s="1486"/>
      <c r="E23" s="153" t="s">
        <v>233</v>
      </c>
      <c r="F23" s="156" t="e">
        <f>D15</f>
        <v>#REF!</v>
      </c>
      <c r="H23" s="277"/>
      <c r="I23" s="277"/>
      <c r="J23" s="277"/>
      <c r="K23" s="277"/>
      <c r="L23" s="277"/>
      <c r="M23" s="277"/>
      <c r="N23" s="277"/>
      <c r="O23" s="277"/>
      <c r="P23" s="277"/>
    </row>
    <row r="24" spans="1:16" s="124" customFormat="1" ht="19.5" customHeight="1">
      <c r="A24" s="154" t="s">
        <v>357</v>
      </c>
      <c r="B24" s="1486" t="s">
        <v>286</v>
      </c>
      <c r="C24" s="1486"/>
      <c r="D24" s="1486"/>
      <c r="E24" s="153" t="s">
        <v>233</v>
      </c>
      <c r="F24" s="156" t="e">
        <f>D16</f>
        <v>#REF!</v>
      </c>
      <c r="H24" s="277"/>
      <c r="I24" s="277"/>
      <c r="J24" s="277"/>
      <c r="K24" s="277"/>
      <c r="L24" s="277"/>
      <c r="M24" s="277"/>
      <c r="N24" s="277"/>
      <c r="O24" s="277"/>
      <c r="P24" s="277"/>
    </row>
    <row r="25" spans="1:16" s="124" customFormat="1" ht="19.5" customHeight="1">
      <c r="A25" s="154" t="s">
        <v>358</v>
      </c>
      <c r="B25" s="1486" t="s">
        <v>235</v>
      </c>
      <c r="C25" s="1486"/>
      <c r="D25" s="1486"/>
      <c r="E25" s="153" t="s">
        <v>233</v>
      </c>
      <c r="F25" s="156" t="e">
        <f>D17</f>
        <v>#REF!</v>
      </c>
      <c r="H25" s="277"/>
      <c r="I25" s="277"/>
      <c r="J25" s="277"/>
      <c r="K25" s="277"/>
      <c r="L25" s="277"/>
      <c r="M25" s="277"/>
      <c r="N25" s="277"/>
      <c r="O25" s="277"/>
      <c r="P25" s="277"/>
    </row>
    <row r="26" spans="1:16" s="124" customFormat="1" ht="19.5" customHeight="1">
      <c r="A26" s="158" t="s">
        <v>236</v>
      </c>
      <c r="B26" s="1481" t="s">
        <v>288</v>
      </c>
      <c r="C26" s="1481"/>
      <c r="D26" s="1481"/>
      <c r="E26" s="1481"/>
      <c r="F26" s="1482"/>
      <c r="H26" s="277"/>
      <c r="I26" s="277"/>
      <c r="J26" s="277"/>
      <c r="K26" s="277"/>
      <c r="L26" s="277"/>
      <c r="M26" s="277"/>
      <c r="N26" s="277"/>
      <c r="O26" s="277"/>
      <c r="P26" s="277"/>
    </row>
    <row r="27" spans="1:16" ht="19.5" customHeight="1">
      <c r="A27" s="262"/>
      <c r="B27" s="122"/>
      <c r="C27" s="122"/>
      <c r="D27" s="122"/>
      <c r="E27" s="122"/>
      <c r="F27" s="263"/>
    </row>
    <row r="28" spans="1:16" s="124" customFormat="1" ht="19.5" customHeight="1">
      <c r="A28" s="264"/>
      <c r="F28" s="265"/>
      <c r="H28" s="277"/>
      <c r="I28" s="277"/>
      <c r="J28" s="277"/>
      <c r="K28" s="277"/>
      <c r="L28" s="277"/>
      <c r="M28" s="277"/>
      <c r="N28" s="277"/>
      <c r="O28" s="277"/>
      <c r="P28" s="277"/>
    </row>
    <row r="29" spans="1:16" s="124" customFormat="1" ht="19.5" customHeight="1">
      <c r="A29" s="264"/>
      <c r="F29" s="265"/>
      <c r="H29" s="277"/>
      <c r="I29" s="277"/>
      <c r="J29" s="277"/>
      <c r="K29" s="277"/>
      <c r="L29" s="277"/>
      <c r="M29" s="277"/>
      <c r="N29" s="277"/>
      <c r="O29" s="277"/>
      <c r="P29" s="277"/>
    </row>
    <row r="30" spans="1:16" s="124" customFormat="1" ht="60" customHeight="1">
      <c r="A30" s="158" t="s">
        <v>287</v>
      </c>
      <c r="B30" s="1483" t="s">
        <v>304</v>
      </c>
      <c r="C30" s="1484"/>
      <c r="D30" s="1484"/>
      <c r="E30" s="1484"/>
      <c r="F30" s="1485"/>
      <c r="H30" s="277" t="s">
        <v>289</v>
      </c>
      <c r="I30" s="277"/>
      <c r="J30" s="277"/>
      <c r="K30" s="277"/>
      <c r="L30" s="277"/>
      <c r="M30" s="277"/>
      <c r="N30" s="277"/>
      <c r="O30" s="277"/>
      <c r="P30" s="277"/>
    </row>
    <row r="31" spans="1:16" s="124" customFormat="1" ht="19.5" customHeight="1">
      <c r="A31" s="154" t="s">
        <v>355</v>
      </c>
      <c r="B31" s="1486" t="s">
        <v>237</v>
      </c>
      <c r="C31" s="1486"/>
      <c r="D31" s="1486"/>
      <c r="E31" s="153" t="s">
        <v>233</v>
      </c>
      <c r="F31" s="155">
        <f>'Sch-1'!AE3</f>
        <v>0</v>
      </c>
      <c r="H31" s="278" t="s">
        <v>290</v>
      </c>
      <c r="I31" s="278" t="e">
        <f>#REF!</f>
        <v>#REF!</v>
      </c>
      <c r="J31" s="278" t="e">
        <f>IF(I31=0, "", I31)</f>
        <v>#REF!</v>
      </c>
      <c r="K31" s="279" t="e">
        <f>IF(I31=0, "", "Discount on lum-sum basis on total price quoted by us without Taxes &amp; Duties. In Rs. ")</f>
        <v>#REF!</v>
      </c>
      <c r="L31" s="278" t="s">
        <v>291</v>
      </c>
      <c r="M31" s="280" t="e">
        <f>#REF!</f>
        <v>#REF!</v>
      </c>
      <c r="N31" s="280" t="e">
        <f t="shared" ref="N31:N37" si="0">IF(M31=0, "", M31)</f>
        <v>#REF!</v>
      </c>
      <c r="O31" s="279" t="e">
        <f>IF(M31=0, "", " Discount on lum-sum basis on total price quoted by us without Taxes &amp; Duties. In Percent (%) .")</f>
        <v>#REF!</v>
      </c>
      <c r="P31" s="277"/>
    </row>
    <row r="32" spans="1:16" s="124" customFormat="1" ht="19.5" customHeight="1">
      <c r="A32" s="154" t="s">
        <v>356</v>
      </c>
      <c r="B32" s="1486" t="s">
        <v>238</v>
      </c>
      <c r="C32" s="1486"/>
      <c r="D32" s="1486"/>
      <c r="E32" s="153" t="s">
        <v>233</v>
      </c>
      <c r="F32" s="155">
        <f>ROUND(0.103*F31,0)</f>
        <v>0</v>
      </c>
      <c r="H32" s="277"/>
      <c r="I32" s="277"/>
      <c r="J32" s="278"/>
      <c r="K32" s="279" t="e">
        <f>IF(SUM(I33:I37)=0, "", "Discount on lum-sum basis on the Schedules as given below , In Rs. :")</f>
        <v>#REF!</v>
      </c>
      <c r="L32" s="277"/>
      <c r="M32" s="277"/>
      <c r="N32" s="280"/>
      <c r="O32" s="279" t="e">
        <f>IF(SUM(M33:M37)=0, "", "Discount on lum-sum basis on the Schedules as given below , In Percent (%) :")</f>
        <v>#REF!</v>
      </c>
      <c r="P32" s="277"/>
    </row>
    <row r="33" spans="1:16" s="124" customFormat="1" ht="19.5" customHeight="1">
      <c r="A33" s="154" t="s">
        <v>357</v>
      </c>
      <c r="B33" s="1486" t="s">
        <v>239</v>
      </c>
      <c r="C33" s="1486"/>
      <c r="D33" s="1486"/>
      <c r="E33" s="153" t="s">
        <v>233</v>
      </c>
      <c r="F33" s="155" t="e">
        <f>'Sch-5'!K16+'Sch-5'!#REF!</f>
        <v>#REF!</v>
      </c>
      <c r="H33" s="278" t="s">
        <v>292</v>
      </c>
      <c r="I33" s="278" t="e">
        <f>#REF!</f>
        <v>#REF!</v>
      </c>
      <c r="J33" s="278" t="e">
        <f>IF(I33=0, "", I33)</f>
        <v>#REF!</v>
      </c>
      <c r="K33" s="281" t="e">
        <f>IF(I33=0, "", "Schedule-1 : Ex works prices (Direct Only)")</f>
        <v>#REF!</v>
      </c>
      <c r="L33" s="278" t="s">
        <v>297</v>
      </c>
      <c r="M33" s="280" t="e">
        <f>#REF!</f>
        <v>#REF!</v>
      </c>
      <c r="N33" s="280" t="e">
        <f t="shared" si="0"/>
        <v>#REF!</v>
      </c>
      <c r="O33" s="281" t="e">
        <f>IF(M33=0, "", "Schedule-1 : Ex works prices (Direct Only)")</f>
        <v>#REF!</v>
      </c>
      <c r="P33" s="277"/>
    </row>
    <row r="34" spans="1:16" s="124" customFormat="1" ht="19.5" customHeight="1">
      <c r="A34" s="154" t="s">
        <v>358</v>
      </c>
      <c r="B34" s="1486" t="s">
        <v>235</v>
      </c>
      <c r="C34" s="1486"/>
      <c r="D34" s="1486"/>
      <c r="E34" s="153" t="s">
        <v>233</v>
      </c>
      <c r="F34" s="283"/>
      <c r="H34" s="278" t="s">
        <v>293</v>
      </c>
      <c r="I34" s="278" t="e">
        <f>#REF!</f>
        <v>#REF!</v>
      </c>
      <c r="J34" s="278" t="e">
        <f>IF(I34=0, "", I34)</f>
        <v>#REF!</v>
      </c>
      <c r="K34" s="281" t="e">
        <f>IF(I34=0, "", "Schedule-1 : Ex works prices (Bought Out Only)")</f>
        <v>#REF!</v>
      </c>
      <c r="L34" s="278" t="s">
        <v>298</v>
      </c>
      <c r="M34" s="280" t="e">
        <f>#REF!</f>
        <v>#REF!</v>
      </c>
      <c r="N34" s="280" t="e">
        <f t="shared" si="0"/>
        <v>#REF!</v>
      </c>
      <c r="O34" s="281" t="e">
        <f>IF(M34=0, "", "Schedule-1 : Ex works prices (Bought Out Only)")</f>
        <v>#REF!</v>
      </c>
      <c r="P34" s="277"/>
    </row>
    <row r="35" spans="1:16" s="124" customFormat="1" ht="15" customHeight="1">
      <c r="A35" s="154" t="s">
        <v>359</v>
      </c>
      <c r="B35" s="1486" t="s">
        <v>240</v>
      </c>
      <c r="C35" s="1486"/>
      <c r="D35" s="1486"/>
      <c r="E35" s="153" t="s">
        <v>233</v>
      </c>
      <c r="F35" s="156" t="e">
        <f>D6+D7+F32+F33+F34</f>
        <v>#REF!</v>
      </c>
      <c r="H35" s="278" t="s">
        <v>294</v>
      </c>
      <c r="I35" s="278" t="e">
        <f>#REF!</f>
        <v>#REF!</v>
      </c>
      <c r="J35" s="278" t="e">
        <f>IF(I35=0, "", I35)</f>
        <v>#REF!</v>
      </c>
      <c r="K35" s="281" t="e">
        <f>IF(I35=0, "", "Schedule-2 : Freight &amp; Insurance")</f>
        <v>#REF!</v>
      </c>
      <c r="L35" s="278" t="s">
        <v>299</v>
      </c>
      <c r="M35" s="280" t="e">
        <f>#REF!</f>
        <v>#REF!</v>
      </c>
      <c r="N35" s="280" t="e">
        <f t="shared" si="0"/>
        <v>#REF!</v>
      </c>
      <c r="O35" s="281" t="e">
        <f>IF(M35=0, "", "Schedule-2 : Freight &amp; Insurance")</f>
        <v>#REF!</v>
      </c>
      <c r="P35" s="277"/>
    </row>
    <row r="36" spans="1:16" s="124" customFormat="1" ht="15" customHeight="1">
      <c r="A36" s="154" t="s">
        <v>360</v>
      </c>
      <c r="B36" s="1486" t="s">
        <v>305</v>
      </c>
      <c r="C36" s="1486"/>
      <c r="D36" s="1486"/>
      <c r="E36" s="153" t="s">
        <v>233</v>
      </c>
      <c r="F36" s="156" t="e">
        <f>ROUND(0.01*F35,0)</f>
        <v>#REF!</v>
      </c>
      <c r="H36" s="278" t="s">
        <v>295</v>
      </c>
      <c r="I36" s="278" t="e">
        <f>#REF!</f>
        <v>#REF!</v>
      </c>
      <c r="J36" s="278" t="e">
        <f>IF(I36=0, "", I36)</f>
        <v>#REF!</v>
      </c>
      <c r="K36" s="281" t="e">
        <f>IF(I36=0, "", "Schedule-3 : Erection Charges")</f>
        <v>#REF!</v>
      </c>
      <c r="L36" s="278" t="s">
        <v>300</v>
      </c>
      <c r="M36" s="280" t="e">
        <f>#REF!</f>
        <v>#REF!</v>
      </c>
      <c r="N36" s="280" t="e">
        <f t="shared" si="0"/>
        <v>#REF!</v>
      </c>
      <c r="O36" s="281" t="e">
        <f>IF(M36=0, "", "Schedule-3 : Erection Charges")</f>
        <v>#REF!</v>
      </c>
      <c r="P36" s="277"/>
    </row>
    <row r="37" spans="1:16" s="124" customFormat="1" ht="19.5" customHeight="1">
      <c r="A37" s="266"/>
      <c r="B37" s="267"/>
      <c r="C37" s="267"/>
      <c r="D37" s="267"/>
      <c r="E37" s="267"/>
      <c r="F37" s="268"/>
      <c r="H37" s="278" t="s">
        <v>296</v>
      </c>
      <c r="I37" s="278" t="e">
        <f>#REF!</f>
        <v>#REF!</v>
      </c>
      <c r="J37" s="278" t="e">
        <f>IF(I37=0, "", I37)</f>
        <v>#REF!</v>
      </c>
      <c r="K37" s="281" t="e">
        <f>IF(I37=0, "", "Schedule-7 : Type Test Charges")</f>
        <v>#REF!</v>
      </c>
      <c r="L37" s="278" t="s">
        <v>301</v>
      </c>
      <c r="M37" s="280" t="e">
        <f>#REF!</f>
        <v>#REF!</v>
      </c>
      <c r="N37" s="280" t="e">
        <f t="shared" si="0"/>
        <v>#REF!</v>
      </c>
      <c r="O37" s="281" t="e">
        <f>IF(M37=0, "", "Schedule-7 : Type Test Charges")</f>
        <v>#REF!</v>
      </c>
      <c r="P37" s="277"/>
    </row>
    <row r="38" spans="1:16" ht="49.5" customHeight="1">
      <c r="A38" s="1496" t="str">
        <f>Cover!B2</f>
        <v>400kV AIS Substation Extension Package SS-111 for Extension of 400/220 kV Jabalpur Substation associated with Western Region Expansion Scheme-XXXIII (WRES-XXXIII): Part A.</v>
      </c>
      <c r="B38" s="1496"/>
      <c r="C38" s="1496"/>
      <c r="D38" s="1497" t="s">
        <v>241</v>
      </c>
      <c r="E38" s="1498"/>
      <c r="F38" s="125" t="s">
        <v>242</v>
      </c>
      <c r="H38" s="278" t="s">
        <v>302</v>
      </c>
      <c r="I38" s="278" t="e">
        <f>#REF!</f>
        <v>#REF!</v>
      </c>
      <c r="J38" s="278"/>
      <c r="K38" s="278"/>
      <c r="L38" s="278"/>
      <c r="M38" s="278"/>
      <c r="N38" s="278"/>
    </row>
    <row r="39" spans="1:16">
      <c r="H39" s="276" t="s">
        <v>303</v>
      </c>
      <c r="I39" s="282" t="e">
        <f>K31 &amp;J31 &amp;O31 &amp; N31</f>
        <v>#REF!</v>
      </c>
    </row>
    <row r="40" spans="1:16">
      <c r="I40" s="282" t="e">
        <f>K32 &amp; K33&amp;J33&amp;K34&amp;J34&amp;K35&amp;J35&amp;K36&amp;J36&amp;K37&amp;J37</f>
        <v>#REF!</v>
      </c>
    </row>
    <row r="41" spans="1:16">
      <c r="I41" s="282" t="e">
        <f>O32&amp;O33&amp;N33&amp;O34&amp;N34&amp;O35&amp;N35&amp;O36&amp;N36&amp;O37&amp;N37</f>
        <v>#REF!</v>
      </c>
    </row>
  </sheetData>
  <sheetProtection password="856C" sheet="1" objects="1" scenarios="1" selectLockedCells="1"/>
  <customSheetViews>
    <customSheetView guid="{9AC181BA-F443-4EA7-A647-328174FE3004}"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3.2"/>
  <cols>
    <col min="1" max="1" width="11.6640625" style="118" customWidth="1"/>
    <col min="2" max="2" width="22.109375" style="118" customWidth="1"/>
    <col min="3" max="16384" width="8" style="118"/>
  </cols>
  <sheetData>
    <row r="1" spans="1:4" s="116" customFormat="1" ht="30" customHeight="1">
      <c r="A1" s="1499">
        <f>'Bid Form 2nd Envelope'!AB17</f>
        <v>0</v>
      </c>
      <c r="B1" s="1499"/>
    </row>
    <row r="2" spans="1:4" s="116" customFormat="1" ht="30" customHeight="1">
      <c r="A2" s="117"/>
    </row>
    <row r="3" spans="1:4">
      <c r="A3" s="117"/>
    </row>
    <row r="4" spans="1:4">
      <c r="A4" s="338" t="str">
        <f>IF(OR((A1&gt;9999999999),(A1&lt;0)),"Invalid Entry - More than 1000 crore OR -ve value",IF(A1=0, "Rs. Zero Only ",+CONCATENATE("Rs. ", B11,D11,B10,D10,B9,D9,B8,D8,B7,D7,B6," Only")))</f>
        <v xml:space="preserve">Rs. Zero Only </v>
      </c>
      <c r="B4" s="339"/>
    </row>
    <row r="5" spans="1:4">
      <c r="A5" s="340"/>
      <c r="B5" s="339"/>
    </row>
    <row r="6" spans="1:4">
      <c r="A6" s="341">
        <f>-INT(A1/100)*100+ROUND(A1,0)</f>
        <v>0</v>
      </c>
      <c r="B6" s="339" t="str">
        <f t="shared" ref="B6:B11" si="0">IF(A6=0,"",LOOKUP(A6,$A$13:$A$112,$B$13:$B$112))</f>
        <v/>
      </c>
      <c r="D6" s="115"/>
    </row>
    <row r="7" spans="1:4">
      <c r="A7" s="341">
        <f>-INT(A1/1000)*10+INT(A1/100)</f>
        <v>0</v>
      </c>
      <c r="B7" s="339" t="str">
        <f t="shared" si="0"/>
        <v/>
      </c>
      <c r="D7" s="115" t="str">
        <f>+IF(B7="",""," Hundred ")</f>
        <v/>
      </c>
    </row>
    <row r="8" spans="1:4">
      <c r="A8" s="341">
        <f>-INT(A1/100000)*100+INT(A1/1000)</f>
        <v>0</v>
      </c>
      <c r="B8" s="339" t="str">
        <f t="shared" si="0"/>
        <v/>
      </c>
      <c r="D8" s="115" t="str">
        <f>IF((B8=""),IF(C8="",""," Thousand ")," Thousand ")</f>
        <v/>
      </c>
    </row>
    <row r="9" spans="1:4">
      <c r="A9" s="341">
        <f>-INT(A1/10000000)*100+INT(A1/100000)</f>
        <v>0</v>
      </c>
      <c r="B9" s="339" t="str">
        <f t="shared" si="0"/>
        <v/>
      </c>
      <c r="D9" s="115" t="str">
        <f>IF((B9=""),IF(C9="",""," Lac ")," Lac ")</f>
        <v/>
      </c>
    </row>
    <row r="10" spans="1:4">
      <c r="A10" s="341">
        <f>-INT(A1/1000000000)*100+INT(A1/10000000)</f>
        <v>0</v>
      </c>
      <c r="B10" s="342" t="str">
        <f t="shared" si="0"/>
        <v/>
      </c>
      <c r="D10" s="115" t="str">
        <f>IF((B10=""),IF(C10="",""," Crore ")," Crore ")</f>
        <v/>
      </c>
    </row>
    <row r="11" spans="1:4">
      <c r="A11" s="343">
        <f>-INT(A1/10000000000)*1000+INT(A1/1000000000)</f>
        <v>0</v>
      </c>
      <c r="B11" s="342" t="str">
        <f t="shared" si="0"/>
        <v/>
      </c>
      <c r="D11" s="115" t="str">
        <f>IF((B11=""),IF(C11="",""," Hundred ")," Hundred ")</f>
        <v/>
      </c>
    </row>
    <row r="12" spans="1:4">
      <c r="A12" s="339"/>
      <c r="B12" s="339"/>
    </row>
    <row r="13" spans="1:4">
      <c r="A13" s="336">
        <v>1</v>
      </c>
      <c r="B13" s="337" t="s">
        <v>112</v>
      </c>
    </row>
    <row r="14" spans="1:4">
      <c r="A14" s="336">
        <v>2</v>
      </c>
      <c r="B14" s="337" t="s">
        <v>113</v>
      </c>
    </row>
    <row r="15" spans="1:4">
      <c r="A15" s="336">
        <v>3</v>
      </c>
      <c r="B15" s="337" t="s">
        <v>114</v>
      </c>
    </row>
    <row r="16" spans="1:4">
      <c r="A16" s="336">
        <v>4</v>
      </c>
      <c r="B16" s="337" t="s">
        <v>115</v>
      </c>
    </row>
    <row r="17" spans="1:2">
      <c r="A17" s="336">
        <v>5</v>
      </c>
      <c r="B17" s="337" t="s">
        <v>116</v>
      </c>
    </row>
    <row r="18" spans="1:2">
      <c r="A18" s="336">
        <v>6</v>
      </c>
      <c r="B18" s="337" t="s">
        <v>117</v>
      </c>
    </row>
    <row r="19" spans="1:2">
      <c r="A19" s="336">
        <v>7</v>
      </c>
      <c r="B19" s="337" t="s">
        <v>118</v>
      </c>
    </row>
    <row r="20" spans="1:2">
      <c r="A20" s="336">
        <v>8</v>
      </c>
      <c r="B20" s="337" t="s">
        <v>119</v>
      </c>
    </row>
    <row r="21" spans="1:2">
      <c r="A21" s="336">
        <v>9</v>
      </c>
      <c r="B21" s="337" t="s">
        <v>120</v>
      </c>
    </row>
    <row r="22" spans="1:2">
      <c r="A22" s="336">
        <v>10</v>
      </c>
      <c r="B22" s="337" t="s">
        <v>121</v>
      </c>
    </row>
    <row r="23" spans="1:2">
      <c r="A23" s="336">
        <v>11</v>
      </c>
      <c r="B23" s="337" t="s">
        <v>122</v>
      </c>
    </row>
    <row r="24" spans="1:2">
      <c r="A24" s="336">
        <v>12</v>
      </c>
      <c r="B24" s="337" t="s">
        <v>123</v>
      </c>
    </row>
    <row r="25" spans="1:2">
      <c r="A25" s="336">
        <v>13</v>
      </c>
      <c r="B25" s="337" t="s">
        <v>124</v>
      </c>
    </row>
    <row r="26" spans="1:2">
      <c r="A26" s="336">
        <v>14</v>
      </c>
      <c r="B26" s="337" t="s">
        <v>125</v>
      </c>
    </row>
    <row r="27" spans="1:2">
      <c r="A27" s="336">
        <v>15</v>
      </c>
      <c r="B27" s="337" t="s">
        <v>126</v>
      </c>
    </row>
    <row r="28" spans="1:2">
      <c r="A28" s="336">
        <v>16</v>
      </c>
      <c r="B28" s="337" t="s">
        <v>127</v>
      </c>
    </row>
    <row r="29" spans="1:2">
      <c r="A29" s="336">
        <v>17</v>
      </c>
      <c r="B29" s="337" t="s">
        <v>128</v>
      </c>
    </row>
    <row r="30" spans="1:2">
      <c r="A30" s="336">
        <v>18</v>
      </c>
      <c r="B30" s="337" t="s">
        <v>129</v>
      </c>
    </row>
    <row r="31" spans="1:2">
      <c r="A31" s="336">
        <v>19</v>
      </c>
      <c r="B31" s="337" t="s">
        <v>130</v>
      </c>
    </row>
    <row r="32" spans="1:2">
      <c r="A32" s="336">
        <v>20</v>
      </c>
      <c r="B32" s="337" t="s">
        <v>131</v>
      </c>
    </row>
    <row r="33" spans="1:2">
      <c r="A33" s="336">
        <v>21</v>
      </c>
      <c r="B33" s="337" t="s">
        <v>133</v>
      </c>
    </row>
    <row r="34" spans="1:2">
      <c r="A34" s="336">
        <v>22</v>
      </c>
      <c r="B34" s="337" t="s">
        <v>132</v>
      </c>
    </row>
    <row r="35" spans="1:2">
      <c r="A35" s="336">
        <v>23</v>
      </c>
      <c r="B35" s="337" t="s">
        <v>134</v>
      </c>
    </row>
    <row r="36" spans="1:2">
      <c r="A36" s="336">
        <v>24</v>
      </c>
      <c r="B36" s="337" t="s">
        <v>140</v>
      </c>
    </row>
    <row r="37" spans="1:2">
      <c r="A37" s="336">
        <v>25</v>
      </c>
      <c r="B37" s="337" t="s">
        <v>142</v>
      </c>
    </row>
    <row r="38" spans="1:2">
      <c r="A38" s="336">
        <v>26</v>
      </c>
      <c r="B38" s="337" t="s">
        <v>141</v>
      </c>
    </row>
    <row r="39" spans="1:2">
      <c r="A39" s="336">
        <v>27</v>
      </c>
      <c r="B39" s="337" t="s">
        <v>143</v>
      </c>
    </row>
    <row r="40" spans="1:2">
      <c r="A40" s="336">
        <v>28</v>
      </c>
      <c r="B40" s="337" t="s">
        <v>144</v>
      </c>
    </row>
    <row r="41" spans="1:2">
      <c r="A41" s="336">
        <v>29</v>
      </c>
      <c r="B41" s="337" t="s">
        <v>145</v>
      </c>
    </row>
    <row r="42" spans="1:2">
      <c r="A42" s="336">
        <v>30</v>
      </c>
      <c r="B42" s="337" t="s">
        <v>146</v>
      </c>
    </row>
    <row r="43" spans="1:2">
      <c r="A43" s="336">
        <v>31</v>
      </c>
      <c r="B43" s="337" t="s">
        <v>147</v>
      </c>
    </row>
    <row r="44" spans="1:2">
      <c r="A44" s="336">
        <v>32</v>
      </c>
      <c r="B44" s="337" t="s">
        <v>148</v>
      </c>
    </row>
    <row r="45" spans="1:2">
      <c r="A45" s="336">
        <v>33</v>
      </c>
      <c r="B45" s="337" t="s">
        <v>149</v>
      </c>
    </row>
    <row r="46" spans="1:2">
      <c r="A46" s="336">
        <v>34</v>
      </c>
      <c r="B46" s="337" t="s">
        <v>150</v>
      </c>
    </row>
    <row r="47" spans="1:2">
      <c r="A47" s="336">
        <v>35</v>
      </c>
      <c r="B47" s="337" t="s">
        <v>436</v>
      </c>
    </row>
    <row r="48" spans="1:2">
      <c r="A48" s="336">
        <v>36</v>
      </c>
      <c r="B48" s="337" t="s">
        <v>151</v>
      </c>
    </row>
    <row r="49" spans="1:2">
      <c r="A49" s="336">
        <v>37</v>
      </c>
      <c r="B49" s="337" t="s">
        <v>152</v>
      </c>
    </row>
    <row r="50" spans="1:2">
      <c r="A50" s="336">
        <v>38</v>
      </c>
      <c r="B50" s="337" t="s">
        <v>153</v>
      </c>
    </row>
    <row r="51" spans="1:2">
      <c r="A51" s="336">
        <v>39</v>
      </c>
      <c r="B51" s="337" t="s">
        <v>154</v>
      </c>
    </row>
    <row r="52" spans="1:2">
      <c r="A52" s="336">
        <v>40</v>
      </c>
      <c r="B52" s="337" t="s">
        <v>155</v>
      </c>
    </row>
    <row r="53" spans="1:2">
      <c r="A53" s="336">
        <v>41</v>
      </c>
      <c r="B53" s="337" t="s">
        <v>156</v>
      </c>
    </row>
    <row r="54" spans="1:2">
      <c r="A54" s="336">
        <v>42</v>
      </c>
      <c r="B54" s="337" t="s">
        <v>157</v>
      </c>
    </row>
    <row r="55" spans="1:2">
      <c r="A55" s="336">
        <v>43</v>
      </c>
      <c r="B55" s="337" t="s">
        <v>158</v>
      </c>
    </row>
    <row r="56" spans="1:2">
      <c r="A56" s="336">
        <v>44</v>
      </c>
      <c r="B56" s="337" t="s">
        <v>159</v>
      </c>
    </row>
    <row r="57" spans="1:2">
      <c r="A57" s="336">
        <v>45</v>
      </c>
      <c r="B57" s="337" t="s">
        <v>160</v>
      </c>
    </row>
    <row r="58" spans="1:2">
      <c r="A58" s="336">
        <v>46</v>
      </c>
      <c r="B58" s="337" t="s">
        <v>161</v>
      </c>
    </row>
    <row r="59" spans="1:2">
      <c r="A59" s="336">
        <v>47</v>
      </c>
      <c r="B59" s="337" t="s">
        <v>162</v>
      </c>
    </row>
    <row r="60" spans="1:2">
      <c r="A60" s="336">
        <v>48</v>
      </c>
      <c r="B60" s="337" t="s">
        <v>163</v>
      </c>
    </row>
    <row r="61" spans="1:2">
      <c r="A61" s="336">
        <v>49</v>
      </c>
      <c r="B61" s="337" t="s">
        <v>164</v>
      </c>
    </row>
    <row r="62" spans="1:2">
      <c r="A62" s="336">
        <v>50</v>
      </c>
      <c r="B62" s="337" t="s">
        <v>165</v>
      </c>
    </row>
    <row r="63" spans="1:2">
      <c r="A63" s="336">
        <v>51</v>
      </c>
      <c r="B63" s="337" t="s">
        <v>166</v>
      </c>
    </row>
    <row r="64" spans="1:2">
      <c r="A64" s="336">
        <v>52</v>
      </c>
      <c r="B64" s="337" t="s">
        <v>167</v>
      </c>
    </row>
    <row r="65" spans="1:2">
      <c r="A65" s="336">
        <v>53</v>
      </c>
      <c r="B65" s="337" t="s">
        <v>168</v>
      </c>
    </row>
    <row r="66" spans="1:2">
      <c r="A66" s="336">
        <v>54</v>
      </c>
      <c r="B66" s="337" t="s">
        <v>169</v>
      </c>
    </row>
    <row r="67" spans="1:2">
      <c r="A67" s="336">
        <v>55</v>
      </c>
      <c r="B67" s="337" t="s">
        <v>170</v>
      </c>
    </row>
    <row r="68" spans="1:2">
      <c r="A68" s="336">
        <v>56</v>
      </c>
      <c r="B68" s="337" t="s">
        <v>171</v>
      </c>
    </row>
    <row r="69" spans="1:2">
      <c r="A69" s="336">
        <v>57</v>
      </c>
      <c r="B69" s="337" t="s">
        <v>172</v>
      </c>
    </row>
    <row r="70" spans="1:2">
      <c r="A70" s="336">
        <v>58</v>
      </c>
      <c r="B70" s="337" t="s">
        <v>173</v>
      </c>
    </row>
    <row r="71" spans="1:2">
      <c r="A71" s="336">
        <v>59</v>
      </c>
      <c r="B71" s="337" t="s">
        <v>174</v>
      </c>
    </row>
    <row r="72" spans="1:2">
      <c r="A72" s="336">
        <v>60</v>
      </c>
      <c r="B72" s="337" t="s">
        <v>175</v>
      </c>
    </row>
    <row r="73" spans="1:2">
      <c r="A73" s="336">
        <v>61</v>
      </c>
      <c r="B73" s="337" t="s">
        <v>176</v>
      </c>
    </row>
    <row r="74" spans="1:2">
      <c r="A74" s="336">
        <v>62</v>
      </c>
      <c r="B74" s="337" t="s">
        <v>177</v>
      </c>
    </row>
    <row r="75" spans="1:2">
      <c r="A75" s="336">
        <v>63</v>
      </c>
      <c r="B75" s="337" t="s">
        <v>178</v>
      </c>
    </row>
    <row r="76" spans="1:2">
      <c r="A76" s="336">
        <v>64</v>
      </c>
      <c r="B76" s="337" t="s">
        <v>179</v>
      </c>
    </row>
    <row r="77" spans="1:2">
      <c r="A77" s="336">
        <v>65</v>
      </c>
      <c r="B77" s="337" t="s">
        <v>180</v>
      </c>
    </row>
    <row r="78" spans="1:2">
      <c r="A78" s="336">
        <v>66</v>
      </c>
      <c r="B78" s="337" t="s">
        <v>181</v>
      </c>
    </row>
    <row r="79" spans="1:2">
      <c r="A79" s="336">
        <v>67</v>
      </c>
      <c r="B79" s="337" t="s">
        <v>182</v>
      </c>
    </row>
    <row r="80" spans="1:2">
      <c r="A80" s="336">
        <v>68</v>
      </c>
      <c r="B80" s="337" t="s">
        <v>183</v>
      </c>
    </row>
    <row r="81" spans="1:2">
      <c r="A81" s="336">
        <v>69</v>
      </c>
      <c r="B81" s="337" t="s">
        <v>184</v>
      </c>
    </row>
    <row r="82" spans="1:2">
      <c r="A82" s="336">
        <v>70</v>
      </c>
      <c r="B82" s="337" t="s">
        <v>185</v>
      </c>
    </row>
    <row r="83" spans="1:2">
      <c r="A83" s="336">
        <v>71</v>
      </c>
      <c r="B83" s="337" t="s">
        <v>186</v>
      </c>
    </row>
    <row r="84" spans="1:2">
      <c r="A84" s="336">
        <v>72</v>
      </c>
      <c r="B84" s="337" t="s">
        <v>187</v>
      </c>
    </row>
    <row r="85" spans="1:2">
      <c r="A85" s="336">
        <v>73</v>
      </c>
      <c r="B85" s="337" t="s">
        <v>188</v>
      </c>
    </row>
    <row r="86" spans="1:2">
      <c r="A86" s="336">
        <v>74</v>
      </c>
      <c r="B86" s="337" t="s">
        <v>189</v>
      </c>
    </row>
    <row r="87" spans="1:2">
      <c r="A87" s="336">
        <v>75</v>
      </c>
      <c r="B87" s="337" t="s">
        <v>190</v>
      </c>
    </row>
    <row r="88" spans="1:2">
      <c r="A88" s="336">
        <v>76</v>
      </c>
      <c r="B88" s="337" t="s">
        <v>191</v>
      </c>
    </row>
    <row r="89" spans="1:2">
      <c r="A89" s="336">
        <v>77</v>
      </c>
      <c r="B89" s="337" t="s">
        <v>192</v>
      </c>
    </row>
    <row r="90" spans="1:2">
      <c r="A90" s="336">
        <v>78</v>
      </c>
      <c r="B90" s="337" t="s">
        <v>193</v>
      </c>
    </row>
    <row r="91" spans="1:2">
      <c r="A91" s="336">
        <v>79</v>
      </c>
      <c r="B91" s="337" t="s">
        <v>194</v>
      </c>
    </row>
    <row r="92" spans="1:2">
      <c r="A92" s="336">
        <v>80</v>
      </c>
      <c r="B92" s="337" t="s">
        <v>195</v>
      </c>
    </row>
    <row r="93" spans="1:2">
      <c r="A93" s="336">
        <v>81</v>
      </c>
      <c r="B93" s="337" t="s">
        <v>196</v>
      </c>
    </row>
    <row r="94" spans="1:2">
      <c r="A94" s="336">
        <v>82</v>
      </c>
      <c r="B94" s="337" t="s">
        <v>197</v>
      </c>
    </row>
    <row r="95" spans="1:2">
      <c r="A95" s="336">
        <v>83</v>
      </c>
      <c r="B95" s="337" t="s">
        <v>198</v>
      </c>
    </row>
    <row r="96" spans="1:2">
      <c r="A96" s="336">
        <v>84</v>
      </c>
      <c r="B96" s="337" t="s">
        <v>199</v>
      </c>
    </row>
    <row r="97" spans="1:2">
      <c r="A97" s="336">
        <v>85</v>
      </c>
      <c r="B97" s="337" t="s">
        <v>200</v>
      </c>
    </row>
    <row r="98" spans="1:2">
      <c r="A98" s="336">
        <v>86</v>
      </c>
      <c r="B98" s="337" t="s">
        <v>201</v>
      </c>
    </row>
    <row r="99" spans="1:2">
      <c r="A99" s="336">
        <v>87</v>
      </c>
      <c r="B99" s="337" t="s">
        <v>202</v>
      </c>
    </row>
    <row r="100" spans="1:2">
      <c r="A100" s="336">
        <v>88</v>
      </c>
      <c r="B100" s="337" t="s">
        <v>203</v>
      </c>
    </row>
    <row r="101" spans="1:2">
      <c r="A101" s="336">
        <v>89</v>
      </c>
      <c r="B101" s="337" t="s">
        <v>204</v>
      </c>
    </row>
    <row r="102" spans="1:2">
      <c r="A102" s="336">
        <v>90</v>
      </c>
      <c r="B102" s="337" t="s">
        <v>205</v>
      </c>
    </row>
    <row r="103" spans="1:2">
      <c r="A103" s="336">
        <v>91</v>
      </c>
      <c r="B103" s="337" t="s">
        <v>206</v>
      </c>
    </row>
    <row r="104" spans="1:2">
      <c r="A104" s="336">
        <v>92</v>
      </c>
      <c r="B104" s="337" t="s">
        <v>207</v>
      </c>
    </row>
    <row r="105" spans="1:2">
      <c r="A105" s="336">
        <v>93</v>
      </c>
      <c r="B105" s="337" t="s">
        <v>208</v>
      </c>
    </row>
    <row r="106" spans="1:2">
      <c r="A106" s="336">
        <v>94</v>
      </c>
      <c r="B106" s="337" t="s">
        <v>209</v>
      </c>
    </row>
    <row r="107" spans="1:2">
      <c r="A107" s="336">
        <v>95</v>
      </c>
      <c r="B107" s="337" t="s">
        <v>210</v>
      </c>
    </row>
    <row r="108" spans="1:2">
      <c r="A108" s="336">
        <v>96</v>
      </c>
      <c r="B108" s="337" t="s">
        <v>211</v>
      </c>
    </row>
    <row r="109" spans="1:2">
      <c r="A109" s="336">
        <v>97</v>
      </c>
      <c r="B109" s="337" t="s">
        <v>212</v>
      </c>
    </row>
    <row r="110" spans="1:2">
      <c r="A110" s="336">
        <v>98</v>
      </c>
      <c r="B110" s="337" t="s">
        <v>213</v>
      </c>
    </row>
    <row r="111" spans="1:2">
      <c r="A111" s="336">
        <v>99</v>
      </c>
      <c r="B111" s="337" t="s">
        <v>214</v>
      </c>
    </row>
    <row r="112" spans="1:2">
      <c r="A112" s="336">
        <v>100</v>
      </c>
      <c r="B112" s="337" t="s">
        <v>215</v>
      </c>
    </row>
  </sheetData>
  <sheetProtection selectLockedCells="1" selectUnlockedCells="1"/>
  <customSheetViews>
    <customSheetView guid="{9AC181BA-F443-4EA7-A647-328174FE3004}" state="hidden">
      <selection sqref="A1:F1"/>
      <pageMargins left="0.75" right="0.75" top="1" bottom="1" header="0.5" footer="0.5"/>
      <pageSetup orientation="portrait" r:id="rId1"/>
      <headerFooter alignWithMargins="0"/>
    </customSheetView>
    <customSheetView guid="{CB55CDDD-15EC-4265-9148-3411BBB26D54}" state="hidden">
      <selection sqref="A1:F1"/>
      <pageMargins left="0.75" right="0.75" top="1" bottom="1" header="0.5" footer="0.5"/>
      <pageSetup orientation="portrait" r:id="rId2"/>
      <headerFooter alignWithMargins="0"/>
    </customSheetView>
    <customSheetView guid="{023E95C7-CD0A-46A1-945E-64751E02EBFE}" state="hidden">
      <selection sqref="A1:F1"/>
      <pageMargins left="0.75" right="0.75" top="1" bottom="1" header="0.5" footer="0.5"/>
      <pageSetup orientation="portrait" r:id="rId3"/>
      <headerFooter alignWithMargins="0"/>
    </customSheetView>
    <customSheetView guid="{BB6473B7-092C-417E-97E7-ED0705AE17A0}" state="hidden">
      <selection sqref="A1:F1"/>
      <pageMargins left="0.75" right="0.75" top="1" bottom="1" header="0.5" footer="0.5"/>
      <pageSetup orientation="portrait" r:id="rId4"/>
      <headerFooter alignWithMargins="0"/>
    </customSheetView>
    <customSheetView guid="{A41EE4DE-0D82-4A56-8210-F78316511D11}" state="hidden">
      <selection sqref="A1:F1"/>
      <pageMargins left="0.75" right="0.75" top="1" bottom="1" header="0.5" footer="0.5"/>
      <pageSetup orientation="portrait" r:id="rId5"/>
      <headerFooter alignWithMargins="0"/>
    </customSheetView>
    <customSheetView guid="{1E0C44A1-9358-4FBD-8C2C-4DB661DA1476}" state="hidden">
      <selection sqref="A1:F1"/>
      <pageMargins left="0.75" right="0.75" top="1" bottom="1" header="0.5" footer="0.5"/>
      <pageSetup orientation="portrait" r:id="rId6"/>
      <headerFooter alignWithMargins="0"/>
    </customSheetView>
    <customSheetView guid="{498493C3-769C-4143-9114-C68CD1D40B11}" state="hidden">
      <selection sqref="A1:F1"/>
      <pageMargins left="0.75" right="0.75" top="1" bottom="1" header="0.5" footer="0.5"/>
      <pageSetup orientation="portrait" r:id="rId7"/>
      <headerFooter alignWithMargins="0"/>
    </customSheetView>
    <customSheetView guid="{C431BC99-7569-44AB-83F6-AB73BDED3783}" state="hidden">
      <selection sqref="A1:F1"/>
      <pageMargins left="0.75" right="0.75" top="1" bottom="1" header="0.5" footer="0.5"/>
      <pageSetup orientation="portrait" r:id="rId8"/>
      <headerFooter alignWithMargins="0"/>
    </customSheetView>
    <customSheetView guid="{E97134B6-5E8D-4951-8DA0-73D065532361}" state="hidden">
      <selection sqref="A1:F1"/>
      <pageMargins left="0.75" right="0.75" top="1" bottom="1" header="0.5" footer="0.5"/>
      <pageSetup orientation="portrait" r:id="rId9"/>
      <headerFooter alignWithMargins="0"/>
    </customSheetView>
    <customSheetView guid="{D0757F9E-DF41-4B40-A5E5-F4F8FDD8D61D}" state="hidden">
      <selection sqref="A1:F1"/>
      <pageMargins left="0.75" right="0.75" top="1" bottom="1" header="0.5" footer="0.5"/>
      <pageSetup orientation="portrait" r:id="rId10"/>
      <headerFooter alignWithMargins="0"/>
    </customSheetView>
    <customSheetView guid="{EE46BCD1-F715-4FA9-A5FC-1B125AD601E0}" state="hidden">
      <selection sqref="A1:F1"/>
      <pageMargins left="0.75" right="0.75" top="1" bottom="1" header="0.5" footer="0.5"/>
      <pageSetup orientation="portrait" r:id="rId11"/>
      <headerFooter alignWithMargins="0"/>
    </customSheetView>
    <customSheetView guid="{4AA1107B-A795-4744-B566-827168772C7A}" state="hidden">
      <selection sqref="A1:F1"/>
      <pageMargins left="0.75" right="0.75" top="1" bottom="1" header="0.5" footer="0.5"/>
      <pageSetup orientation="portrait" r:id="rId12"/>
      <headerFooter alignWithMargins="0"/>
    </customSheetView>
    <customSheetView guid="{B23AD343-29DA-4CE0-BD10-47BF44F3782F}" state="hidden">
      <selection sqref="A1:F1"/>
      <pageMargins left="0.75" right="0.75" top="1" bottom="1" header="0.5" footer="0.5"/>
      <pageSetup orientation="portrait" r:id="rId13"/>
      <headerFooter alignWithMargins="0"/>
    </customSheetView>
    <customSheetView guid="{ECE9294F-C910-4036-88BC-B1F2176FB06B}" state="hidden">
      <selection sqref="A1:F1"/>
      <pageMargins left="0.75" right="0.75" top="1" bottom="1" header="0.5" footer="0.5"/>
      <pageSetup orientation="portrait" r:id="rId14"/>
      <headerFooter alignWithMargins="0"/>
    </customSheetView>
    <customSheetView guid="{4F65FF32-EC61-4022-A399-2986D7B6B8B3}" state="hidden" showRuler="0">
      <selection sqref="A1:B1"/>
      <pageMargins left="0.75" right="0.75" top="1" bottom="1" header="0.5" footer="0.5"/>
      <pageSetup orientation="portrait" r:id="rId15"/>
      <headerFooter alignWithMargins="0"/>
    </customSheetView>
    <customSheetView guid="{01ACF2E1-8E61-4459-ABC1-B6C183DEED61}" state="hidden" showRuler="0">
      <selection sqref="A1:B1"/>
      <pageMargins left="0.75" right="0.75" top="1" bottom="1" header="0.5" footer="0.5"/>
      <pageSetup orientation="portrait" r:id="rId16"/>
      <headerFooter alignWithMargins="0"/>
    </customSheetView>
    <customSheetView guid="{14D7F02E-BCCA-4517-ABC7-537FF4AEB67A}" state="hidden" topLeftCell="A2">
      <selection activeCell="C2" sqref="C2"/>
      <pageMargins left="0.75" right="0.75" top="1" bottom="1" header="0.5" footer="0.5"/>
      <pageSetup orientation="portrait" r:id="rId17"/>
      <headerFooter alignWithMargins="0"/>
    </customSheetView>
    <customSheetView guid="{27A45B7A-04F2-4516-B80B-5ED0825D4ED3}" state="hidden" topLeftCell="A2">
      <selection activeCell="C2" sqref="C2"/>
      <pageMargins left="0.75" right="0.75" top="1" bottom="1" header="0.5" footer="0.5"/>
      <pageSetup orientation="portrait" r:id="rId18"/>
      <headerFooter alignWithMargins="0"/>
    </customSheetView>
    <customSheetView guid="{E9F4E142-7D26-464D-BECA-4F3806DB1FE1}" state="hidden">
      <selection sqref="A1:F1"/>
      <pageMargins left="0.75" right="0.75" top="1" bottom="1" header="0.5" footer="0.5"/>
      <pageSetup orientation="portrait" r:id="rId19"/>
      <headerFooter alignWithMargins="0"/>
    </customSheetView>
    <customSheetView guid="{A7DBDDEF-9245-44C6-9EBF-032DB6E1C0A2}" state="hidden">
      <selection sqref="A1:F1"/>
      <pageMargins left="0.75" right="0.75" top="1" bottom="1" header="0.5" footer="0.5"/>
      <pageSetup orientation="portrait" r:id="rId20"/>
      <headerFooter alignWithMargins="0"/>
    </customSheetView>
    <customSheetView guid="{7487ED9F-BBED-4B2A-9631-22F1A430946B}" state="hidden">
      <selection sqref="A1:F1"/>
      <pageMargins left="0.75" right="0.75" top="1" bottom="1" header="0.5" footer="0.5"/>
      <pageSetup orientation="portrait" r:id="rId21"/>
      <headerFooter alignWithMargins="0"/>
    </customSheetView>
    <customSheetView guid="{B3CE7B10-A914-4559-A6DA-AED8C22AFD6D}" state="hidden">
      <selection sqref="A1:F1"/>
      <pageMargins left="0.75" right="0.75" top="1" bottom="1" header="0.5" footer="0.5"/>
      <pageSetup orientation="portrait" r:id="rId22"/>
      <headerFooter alignWithMargins="0"/>
    </customSheetView>
    <customSheetView guid="{D53177B2-31EC-4222-B97A-A37DCFD9E45B}" state="hidden">
      <selection sqref="A1:F1"/>
      <pageMargins left="0.75" right="0.75" top="1" bottom="1" header="0.5" footer="0.5"/>
      <pageSetup orientation="portrait" r:id="rId23"/>
      <headerFooter alignWithMargins="0"/>
    </customSheetView>
    <customSheetView guid="{223BC0FC-814D-40F0-9795-CE82A16FF3A5}" state="hidden">
      <selection sqref="A1:F1"/>
      <pageMargins left="0.75" right="0.75" top="1" bottom="1" header="0.5" footer="0.5"/>
      <pageSetup orientation="portrait" r:id="rId24"/>
      <headerFooter alignWithMargins="0"/>
    </customSheetView>
    <customSheetView guid="{B835C05C-B615-4DCB-982D-4519616B3CD8}" state="hidden">
      <selection sqref="A1:F1"/>
      <pageMargins left="0.75" right="0.75" top="1" bottom="1" header="0.5" footer="0.5"/>
      <pageSetup orientation="portrait" r:id="rId25"/>
      <headerFooter alignWithMargins="0"/>
    </customSheetView>
    <customSheetView guid="{A34CC49F-E309-4C23-B4F6-1E3B307C10D1}" state="hidden">
      <selection sqref="A1:F1"/>
      <pageMargins left="0.75" right="0.75" top="1" bottom="1" header="0.5" footer="0.5"/>
      <pageSetup orientation="portrait" r:id="rId26"/>
      <headerFooter alignWithMargins="0"/>
    </customSheetView>
    <customSheetView guid="{8909CFDD-4F29-4C72-886E-908773EE94A2}" state="hidden">
      <selection sqref="A1:F1"/>
      <pageMargins left="0.75" right="0.75" top="1" bottom="1" header="0.5" footer="0.5"/>
      <pageSetup orientation="portrait" r:id="rId27"/>
      <headerFooter alignWithMargins="0"/>
    </customSheetView>
    <customSheetView guid="{D5F8AD2D-F014-4A7B-9CE7-589273BD9F11}"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4.4"/>
  <sheetData/>
  <customSheetViews>
    <customSheetView guid="{9AC181BA-F443-4EA7-A647-328174FE3004}"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s>
  <phoneticPr fontId="3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4.4"/>
  <sheetData/>
  <customSheetViews>
    <customSheetView guid="{9AC181BA-F443-4EA7-A647-328174FE3004}"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s>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36</vt:i4>
      </vt:variant>
    </vt:vector>
  </HeadingPairs>
  <TitlesOfParts>
    <vt:vector size="64"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Adil Iqbal Khan {Adil Iqbal Khan}</cp:lastModifiedBy>
  <cp:lastPrinted>2021-12-23T09:29:46Z</cp:lastPrinted>
  <dcterms:created xsi:type="dcterms:W3CDTF">2001-07-26T10:23:15Z</dcterms:created>
  <dcterms:modified xsi:type="dcterms:W3CDTF">2023-05-09T11:48:28Z</dcterms:modified>
</cp:coreProperties>
</file>