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nr3_powergrid_in/Documents/RHQ/C&amp;M/Pre Award (Tendering)/Open Tender/Sohawal Shahjahan Pallavi/Bidding Document/"/>
    </mc:Choice>
  </mc:AlternateContent>
  <xr:revisionPtr revIDLastSave="152" documentId="8_{2DEC708E-E3C8-4329-8951-0A131B1B7155}" xr6:coauthVersionLast="47" xr6:coauthVersionMax="47" xr10:uidLastSave="{FB3128AC-DA5E-40BB-A8BF-9048A31DEAC5}"/>
  <bookViews>
    <workbookView xWindow="13305" yWindow="0" windowWidth="15495" windowHeight="15480" tabRatio="821" firstSheet="1" activeTab="12" xr2:uid="{00000000-000D-0000-FFFF-FFFF00000000}"/>
  </bookViews>
  <sheets>
    <sheet name="Basic" sheetId="1" state="hidden" r:id="rId1"/>
    <sheet name="Cover" sheetId="2" r:id="rId2"/>
    <sheet name="Instructions" sheetId="3" r:id="rId3"/>
    <sheet name="Names of Bidder" sheetId="4" r:id="rId4"/>
    <sheet name="Sch-1" sheetId="5" state="hidden" r:id="rId5"/>
    <sheet name="Sch-1 dis" sheetId="6" state="hidden" r:id="rId6"/>
    <sheet name="Sch-2" sheetId="7" state="hidden" r:id="rId7"/>
    <sheet name="Sch-2 Dis" sheetId="9" state="hidden" r:id="rId8"/>
    <sheet name="Sch-3 Dis" sheetId="10" state="hidden" r:id="rId9"/>
    <sheet name="Sch-4" sheetId="11" state="hidden" r:id="rId10"/>
    <sheet name="Sch-1  (2)" sheetId="26" state="hidden" r:id="rId11"/>
    <sheet name="Schedule-1" sheetId="27" r:id="rId12"/>
    <sheet name="Schedule-2" sheetId="12" r:id="rId13"/>
    <sheet name="Sch-5 Dis" sheetId="13" state="hidden" r:id="rId14"/>
    <sheet name="Sch-3" sheetId="14" r:id="rId15"/>
    <sheet name="Sch-7" sheetId="15" state="hidden" r:id="rId16"/>
    <sheet name="Sch-7 Dis" sheetId="16" state="hidden" r:id="rId17"/>
    <sheet name="Octroi" sheetId="17" state="hidden" r:id="rId18"/>
    <sheet name="Entry Tax" sheetId="18" state="hidden" r:id="rId19"/>
    <sheet name="Other Taxes &amp; Duties" sheetId="19" state="hidden" r:id="rId20"/>
    <sheet name="Bid Form " sheetId="20" r:id="rId21"/>
    <sheet name="Q &amp; C (2)" sheetId="21" state="hidden" r:id="rId22"/>
    <sheet name="Q &amp; C" sheetId="22" state="hidden" r:id="rId23"/>
    <sheet name="N to W" sheetId="23" state="hidden" r:id="rId24"/>
    <sheet name="Sheet1" sheetId="24" state="hidden" r:id="rId25"/>
    <sheet name="Sheet3" sheetId="25" state="hidden" r:id="rId26"/>
  </sheets>
  <externalReferences>
    <externalReference r:id="rId27"/>
  </externalReferences>
  <definedNames>
    <definedName name="\A" localSheetId="10">#REF!</definedName>
    <definedName name="\A">#REF!</definedName>
    <definedName name="\B" localSheetId="10">#REF!</definedName>
    <definedName name="\B">#REF!</definedName>
    <definedName name="\C" localSheetId="10">#REF!</definedName>
    <definedName name="\C">#REF!</definedName>
    <definedName name="\M" localSheetId="10">#REF!</definedName>
    <definedName name="\M">#REF!</definedName>
    <definedName name="\N" localSheetId="10">#REF!</definedName>
    <definedName name="\N">#REF!</definedName>
    <definedName name="\P" localSheetId="10">#REF!</definedName>
    <definedName name="\P">#REF!</definedName>
    <definedName name="\R" localSheetId="10">#REF!</definedName>
    <definedName name="\R">#REF!</definedName>
    <definedName name="\U" localSheetId="10">#REF!</definedName>
    <definedName name="\U">#REF!</definedName>
    <definedName name="\V" localSheetId="10">#REF!</definedName>
    <definedName name="\V">#REF!</definedName>
    <definedName name="_xlnm._FilterDatabase" localSheetId="4" hidden="1">'Sch-1'!$K$1:$K$231</definedName>
    <definedName name="_xlnm._FilterDatabase" localSheetId="10" hidden="1">'Sch-1  (2)'!$A$15:$AY$183</definedName>
    <definedName name="_xlnm._FilterDatabase" localSheetId="5" hidden="1">'Sch-1 dis'!$A$16:$B$21</definedName>
    <definedName name="_xlnm._FilterDatabase" localSheetId="6" hidden="1">'Sch-2'!$G$20:$J$20</definedName>
    <definedName name="_xlnm._FilterDatabase" localSheetId="7" hidden="1">'Sch-2 Dis'!$A$15:$F$56</definedName>
    <definedName name="_xlnm._FilterDatabase" localSheetId="8" hidden="1">'Sch-3 Dis'!$A$15:$F$81</definedName>
    <definedName name="_xlnm._FilterDatabase" localSheetId="11" hidden="1">'Schedule-1'!$A$12:$N$12</definedName>
    <definedName name="ab" localSheetId="10">#REF!</definedName>
    <definedName name="ab">#REF!</definedName>
    <definedName name="logo1">"Picture 7"</definedName>
    <definedName name="_xlnm.Print_Area" localSheetId="20">'Bid Form '!$A$1:$F$64</definedName>
    <definedName name="_xlnm.Print_Area" localSheetId="18">'Entry Tax'!$A$1:$E$16</definedName>
    <definedName name="_xlnm.Print_Area" localSheetId="2">Instructions!$A$1:$C$52</definedName>
    <definedName name="_xlnm.Print_Area" localSheetId="3">'Names of Bidder'!$B$1:$G$34</definedName>
    <definedName name="_xlnm.Print_Area" localSheetId="17">Octroi!$A$1:$E$16</definedName>
    <definedName name="_xlnm.Print_Area" localSheetId="19">'Other Taxes &amp; Duties'!$A$1:$F$16</definedName>
    <definedName name="_xlnm.Print_Area" localSheetId="22">'Q &amp; C'!$A$1:$F$38</definedName>
    <definedName name="_xlnm.Print_Area" localSheetId="21">'Q &amp; C (2)'!$A$1:$F$44</definedName>
    <definedName name="_xlnm.Print_Area" localSheetId="4">'Sch-1'!$A$1:$O$30</definedName>
    <definedName name="_xlnm.Print_Area" localSheetId="10">'Sch-1  (2)'!$A$1:$R$185</definedName>
    <definedName name="_xlnm.Print_Area" localSheetId="5">'Sch-1 dis'!$A$1:$G$84</definedName>
    <definedName name="_xlnm.Print_Area" localSheetId="6">'Sch-2'!$A$1:$J$23</definedName>
    <definedName name="_xlnm.Print_Area" localSheetId="7">'Sch-2 Dis'!$A$1:$F$62</definedName>
    <definedName name="_xlnm.Print_Area" localSheetId="14">'Sch-3'!$A$1:$D$28</definedName>
    <definedName name="_xlnm.Print_Area" localSheetId="8">'Sch-3 Dis'!$A$1:$F$87</definedName>
    <definedName name="_xlnm.Print_Area" localSheetId="9">'Sch-4'!$A$1:$F$21</definedName>
    <definedName name="_xlnm.Print_Area" localSheetId="13">'Sch-5 Dis'!$A$1:$E$23</definedName>
    <definedName name="_xlnm.Print_Area" localSheetId="15">'Sch-7'!$A$1:$F$26</definedName>
    <definedName name="_xlnm.Print_Area" localSheetId="16">'Sch-7 Dis'!$A$1:$G$28</definedName>
    <definedName name="_xlnm.Print_Area" localSheetId="11">'Schedule-1'!$A$1:$N$567</definedName>
    <definedName name="_xlnm.Print_Area" localSheetId="12">'Schedule-2'!$A$1:$E$21</definedName>
    <definedName name="_xlnm.Print_Titles" localSheetId="4">'Sch-1'!$15:$17</definedName>
    <definedName name="_xlnm.Print_Titles" localSheetId="10">'Sch-1  (2)'!$13:$16</definedName>
    <definedName name="_xlnm.Print_Titles" localSheetId="5">'Sch-1 dis'!$14:$16</definedName>
    <definedName name="_xlnm.Print_Titles" localSheetId="6">'Sch-2'!$14:$16</definedName>
    <definedName name="_xlnm.Print_Titles" localSheetId="7">'Sch-2 Dis'!$13:$15</definedName>
    <definedName name="_xlnm.Print_Titles" localSheetId="14">'Sch-3'!$3:$13</definedName>
    <definedName name="_xlnm.Print_Titles" localSheetId="8">'Sch-3 Dis'!$13:$15</definedName>
    <definedName name="_xlnm.Print_Titles" localSheetId="13">'Sch-5 Dis'!$3:$13</definedName>
    <definedName name="_xlnm.Print_Titles" localSheetId="15">'Sch-7'!$14:$14</definedName>
    <definedName name="_xlnm.Print_Titles" localSheetId="16">'Sch-7 Dis'!$14:$14</definedName>
    <definedName name="_xlnm.Print_Titles" localSheetId="12">'Schedule-2'!$3:$13</definedName>
    <definedName name="_xlnm.Recorder" localSheetId="10">#REF!</definedName>
    <definedName name="_xlnm.Recorder">#REF!</definedName>
    <definedName name="TEST" localSheetId="10">#REF!</definedName>
    <definedName name="TEST">#REF!</definedName>
    <definedName name="Z_01ACF2E1_8E61_4459_ABC1_B6C183DEED61_.wvu.PrintArea" localSheetId="20" hidden="1">'Bid Form '!$A$1:$F$66</definedName>
    <definedName name="Z_01ACF2E1_8E61_4459_ABC1_B6C183DEED61_.wvu.PrintArea" localSheetId="18" hidden="1">'Entry Tax'!$A$1:$E$16</definedName>
    <definedName name="Z_01ACF2E1_8E61_4459_ABC1_B6C183DEED61_.wvu.PrintArea" localSheetId="3" hidden="1">'Names of Bidder'!$B$1:$E$32</definedName>
    <definedName name="Z_01ACF2E1_8E61_4459_ABC1_B6C183DEED61_.wvu.PrintArea" localSheetId="17" hidden="1">Octroi!$A$1:$E$16</definedName>
    <definedName name="Z_01ACF2E1_8E61_4459_ABC1_B6C183DEED61_.wvu.PrintArea" localSheetId="19" hidden="1">'Other Taxes &amp; Duties'!$A$1:$F$16</definedName>
    <definedName name="Z_01ACF2E1_8E61_4459_ABC1_B6C183DEED61_.wvu.PrintArea" localSheetId="22" hidden="1">'Q &amp; C'!$A$1:$F$38</definedName>
    <definedName name="Z_01ACF2E1_8E61_4459_ABC1_B6C183DEED61_.wvu.PrintArea" localSheetId="4" hidden="1">'Sch-1'!$A$1:$O$31</definedName>
    <definedName name="Z_01ACF2E1_8E61_4459_ABC1_B6C183DEED61_.wvu.PrintArea" localSheetId="10" hidden="1">'Sch-1  (2)'!$A$1:$M$18</definedName>
    <definedName name="Z_01ACF2E1_8E61_4459_ABC1_B6C183DEED61_.wvu.PrintArea" localSheetId="5" hidden="1">'Sch-1 dis'!$A$1:$G$84</definedName>
    <definedName name="Z_01ACF2E1_8E61_4459_ABC1_B6C183DEED61_.wvu.PrintArea" localSheetId="6" hidden="1">'Sch-2'!$A$1:$J$17</definedName>
    <definedName name="Z_01ACF2E1_8E61_4459_ABC1_B6C183DEED61_.wvu.PrintArea" localSheetId="7" hidden="1">'Sch-2 Dis'!$A$1:$F$55</definedName>
    <definedName name="Z_01ACF2E1_8E61_4459_ABC1_B6C183DEED61_.wvu.PrintArea" localSheetId="14" hidden="1">'Sch-3'!$A$1:$D$30</definedName>
    <definedName name="Z_01ACF2E1_8E61_4459_ABC1_B6C183DEED61_.wvu.PrintArea" localSheetId="8" hidden="1">'Sch-3 Dis'!$A$1:$F$80</definedName>
    <definedName name="Z_01ACF2E1_8E61_4459_ABC1_B6C183DEED61_.wvu.PrintArea" localSheetId="9" hidden="1">'Sch-4'!$A$1:$F$21</definedName>
    <definedName name="Z_01ACF2E1_8E61_4459_ABC1_B6C183DEED61_.wvu.PrintArea" localSheetId="13" hidden="1">'Sch-5 Dis'!$A$1:$E$24</definedName>
    <definedName name="Z_01ACF2E1_8E61_4459_ABC1_B6C183DEED61_.wvu.PrintArea" localSheetId="15" hidden="1">'Sch-7'!$A$1:$G$26</definedName>
    <definedName name="Z_01ACF2E1_8E61_4459_ABC1_B6C183DEED61_.wvu.PrintArea" localSheetId="16" hidden="1">'Sch-7 Dis'!$A$1:$G$28</definedName>
    <definedName name="Z_01ACF2E1_8E61_4459_ABC1_B6C183DEED61_.wvu.PrintArea" localSheetId="12" hidden="1">'Schedule-2'!$A$1:$E$22</definedName>
    <definedName name="Z_01ACF2E1_8E61_4459_ABC1_B6C183DEED61_.wvu.PrintTitles" localSheetId="4" hidden="1">'Sch-1'!$15:$17</definedName>
    <definedName name="Z_01ACF2E1_8E61_4459_ABC1_B6C183DEED61_.wvu.PrintTitles" localSheetId="10" hidden="1">'Sch-1  (2)'!$13:$16</definedName>
    <definedName name="Z_01ACF2E1_8E61_4459_ABC1_B6C183DEED61_.wvu.PrintTitles" localSheetId="5" hidden="1">'Sch-1 dis'!$14:$16</definedName>
    <definedName name="Z_01ACF2E1_8E61_4459_ABC1_B6C183DEED61_.wvu.PrintTitles" localSheetId="6" hidden="1">'Sch-2'!$14:$16</definedName>
    <definedName name="Z_01ACF2E1_8E61_4459_ABC1_B6C183DEED61_.wvu.PrintTitles" localSheetId="7" hidden="1">'Sch-2 Dis'!$13:$15</definedName>
    <definedName name="Z_01ACF2E1_8E61_4459_ABC1_B6C183DEED61_.wvu.PrintTitles" localSheetId="14" hidden="1">'Sch-3'!$3:$13</definedName>
    <definedName name="Z_01ACF2E1_8E61_4459_ABC1_B6C183DEED61_.wvu.PrintTitles" localSheetId="8" hidden="1">'Sch-3 Dis'!$13:$15</definedName>
    <definedName name="Z_01ACF2E1_8E61_4459_ABC1_B6C183DEED61_.wvu.PrintTitles" localSheetId="13" hidden="1">'Sch-5 Dis'!$3:$13</definedName>
    <definedName name="Z_01ACF2E1_8E61_4459_ABC1_B6C183DEED61_.wvu.PrintTitles" localSheetId="15" hidden="1">'Sch-7'!$14:$14</definedName>
    <definedName name="Z_01ACF2E1_8E61_4459_ABC1_B6C183DEED61_.wvu.PrintTitles" localSheetId="16" hidden="1">'Sch-7 Dis'!$14:$14</definedName>
    <definedName name="Z_01ACF2E1_8E61_4459_ABC1_B6C183DEED61_.wvu.PrintTitles" localSheetId="12" hidden="1">'Schedule-2'!$3:$13</definedName>
    <definedName name="Z_14D7F02E_BCCA_4517_ABC7_537FF4AEB67A_.wvu.Cols" localSheetId="10" hidden="1">'Sch-1  (2)'!$AH:$AM</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Dis'!$AA:$AF</definedName>
    <definedName name="Z_14D7F02E_BCCA_4517_ABC7_537FF4AEB67A_.wvu.Cols" localSheetId="13" hidden="1">'Sch-5 Dis'!#REF!</definedName>
    <definedName name="Z_14D7F02E_BCCA_4517_ABC7_537FF4AEB67A_.wvu.Cols" localSheetId="15" hidden="1">'Sch-7'!$AD:$AJ</definedName>
    <definedName name="Z_14D7F02E_BCCA_4517_ABC7_537FF4AEB67A_.wvu.Cols" localSheetId="16" hidden="1">'Sch-7 Dis'!$AD:$AJ</definedName>
    <definedName name="Z_14D7F02E_BCCA_4517_ABC7_537FF4AEB67A_.wvu.Cols" localSheetId="12" hidden="1">'Schedule-2'!$I:$P</definedName>
    <definedName name="Z_14D7F02E_BCCA_4517_ABC7_537FF4AEB67A_.wvu.FilterData" localSheetId="4" hidden="1">'Sch-1'!$A$18:$O$26</definedName>
    <definedName name="Z_14D7F02E_BCCA_4517_ABC7_537FF4AEB67A_.wvu.FilterData" localSheetId="10" hidden="1">'Sch-1  (2)'!$A$15:$M$180</definedName>
    <definedName name="Z_14D7F02E_BCCA_4517_ABC7_537FF4AEB67A_.wvu.FilterData" localSheetId="5" hidden="1">'Sch-1 dis'!$A$17:$G$79</definedName>
    <definedName name="Z_14D7F02E_BCCA_4517_ABC7_537FF4AEB67A_.wvu.FilterData" localSheetId="8" hidden="1">'Sch-3 Dis'!$A$14:$F$81</definedName>
    <definedName name="Z_14D7F02E_BCCA_4517_ABC7_537FF4AEB67A_.wvu.PrintArea" localSheetId="20" hidden="1">'Bid Form '!$A$1:$F$66</definedName>
    <definedName name="Z_14D7F02E_BCCA_4517_ABC7_537FF4AEB67A_.wvu.PrintArea" localSheetId="2" hidden="1">Instructions!$A$1:$C$52</definedName>
    <definedName name="Z_14D7F02E_BCCA_4517_ABC7_537FF4AEB67A_.wvu.PrintArea" localSheetId="3" hidden="1">'Names of Bidder'!$B$1:$E$32</definedName>
    <definedName name="Z_14D7F02E_BCCA_4517_ABC7_537FF4AEB67A_.wvu.PrintArea" localSheetId="22" hidden="1">'Q &amp; C'!$A$1:$F$38</definedName>
    <definedName name="Z_14D7F02E_BCCA_4517_ABC7_537FF4AEB67A_.wvu.PrintArea" localSheetId="4" hidden="1">'Sch-1'!$A$1:$O$31</definedName>
    <definedName name="Z_14D7F02E_BCCA_4517_ABC7_537FF4AEB67A_.wvu.PrintArea" localSheetId="10" hidden="1">'Sch-1  (2)'!$A$1:$M$180</definedName>
    <definedName name="Z_14D7F02E_BCCA_4517_ABC7_537FF4AEB67A_.wvu.PrintArea" localSheetId="5" hidden="1">'Sch-1 dis'!$A$1:$G$84</definedName>
    <definedName name="Z_14D7F02E_BCCA_4517_ABC7_537FF4AEB67A_.wvu.PrintArea" localSheetId="6" hidden="1">'Sch-2'!$A$1:$J$24</definedName>
    <definedName name="Z_14D7F02E_BCCA_4517_ABC7_537FF4AEB67A_.wvu.PrintArea" localSheetId="7" hidden="1">'Sch-2 Dis'!$A$1:$F$62</definedName>
    <definedName name="Z_14D7F02E_BCCA_4517_ABC7_537FF4AEB67A_.wvu.PrintArea" localSheetId="14" hidden="1">'Sch-3'!$A$1:$D$29</definedName>
    <definedName name="Z_14D7F02E_BCCA_4517_ABC7_537FF4AEB67A_.wvu.PrintArea" localSheetId="8" hidden="1">'Sch-3 Dis'!$A$1:$F$87</definedName>
    <definedName name="Z_14D7F02E_BCCA_4517_ABC7_537FF4AEB67A_.wvu.PrintArea" localSheetId="9" hidden="1">'Sch-4'!$A$1:$F$21</definedName>
    <definedName name="Z_14D7F02E_BCCA_4517_ABC7_537FF4AEB67A_.wvu.PrintArea" localSheetId="13" hidden="1">'Sch-5 Dis'!$A$1:$E$23</definedName>
    <definedName name="Z_14D7F02E_BCCA_4517_ABC7_537FF4AEB67A_.wvu.PrintArea" localSheetId="15" hidden="1">'Sch-7'!$A$1:$G$26</definedName>
    <definedName name="Z_14D7F02E_BCCA_4517_ABC7_537FF4AEB67A_.wvu.PrintArea" localSheetId="16" hidden="1">'Sch-7 Dis'!$A$1:$G$28</definedName>
    <definedName name="Z_14D7F02E_BCCA_4517_ABC7_537FF4AEB67A_.wvu.PrintArea" localSheetId="12" hidden="1">'Schedule-2'!$A$1:$E$21</definedName>
    <definedName name="Z_14D7F02E_BCCA_4517_ABC7_537FF4AEB67A_.wvu.PrintTitles" localSheetId="4" hidden="1">'Sch-1'!$15:$17</definedName>
    <definedName name="Z_14D7F02E_BCCA_4517_ABC7_537FF4AEB67A_.wvu.PrintTitles" localSheetId="10" hidden="1">'Sch-1  (2)'!$13:$16</definedName>
    <definedName name="Z_14D7F02E_BCCA_4517_ABC7_537FF4AEB67A_.wvu.PrintTitles" localSheetId="5" hidden="1">'Sch-1 dis'!$14:$16</definedName>
    <definedName name="Z_14D7F02E_BCCA_4517_ABC7_537FF4AEB67A_.wvu.PrintTitles" localSheetId="6" hidden="1">'Sch-2'!$14:$16</definedName>
    <definedName name="Z_14D7F02E_BCCA_4517_ABC7_537FF4AEB67A_.wvu.PrintTitles" localSheetId="7" hidden="1">'Sch-2 Dis'!$13:$15</definedName>
    <definedName name="Z_14D7F02E_BCCA_4517_ABC7_537FF4AEB67A_.wvu.PrintTitles" localSheetId="14" hidden="1">'Sch-3'!$3:$13</definedName>
    <definedName name="Z_14D7F02E_BCCA_4517_ABC7_537FF4AEB67A_.wvu.PrintTitles" localSheetId="8" hidden="1">'Sch-3 Dis'!$13:$15</definedName>
    <definedName name="Z_14D7F02E_BCCA_4517_ABC7_537FF4AEB67A_.wvu.PrintTitles" localSheetId="13" hidden="1">'Sch-5 Dis'!$3:$13</definedName>
    <definedName name="Z_14D7F02E_BCCA_4517_ABC7_537FF4AEB67A_.wvu.PrintTitles" localSheetId="15" hidden="1">'Sch-7'!$14:$14</definedName>
    <definedName name="Z_14D7F02E_BCCA_4517_ABC7_537FF4AEB67A_.wvu.PrintTitles" localSheetId="16" hidden="1">'Sch-7 Dis'!$14:$14</definedName>
    <definedName name="Z_14D7F02E_BCCA_4517_ABC7_537FF4AEB67A_.wvu.PrintTitles" localSheetId="12" hidden="1">'Schedule-2'!$3:$13</definedName>
    <definedName name="Z_14D7F02E_BCCA_4517_ABC7_537FF4AEB67A_.wvu.Rows" localSheetId="10" hidden="1">'Sch-1  (2)'!#REF!</definedName>
    <definedName name="Z_14D7F02E_BCCA_4517_ABC7_537FF4AEB67A_.wvu.Rows" localSheetId="8" hidden="1">'Sch-3 Dis'!#REF!</definedName>
    <definedName name="Z_14D7F02E_BCCA_4517_ABC7_537FF4AEB67A_.wvu.Rows" localSheetId="15" hidden="1">'Sch-7'!$98:$216</definedName>
    <definedName name="Z_14D7F02E_BCCA_4517_ABC7_537FF4AEB67A_.wvu.Rows" localSheetId="16" hidden="1">'Sch-7 Dis'!$104:$222</definedName>
    <definedName name="Z_17F5C48B_526E_48D2_9F97_823D578F9893_.wvu.Cols" localSheetId="20" hidden="1">'Bid Form '!$G:$AO</definedName>
    <definedName name="Z_17F5C48B_526E_48D2_9F97_823D578F9893_.wvu.Cols" localSheetId="4" hidden="1">'Sch-1'!$P:$T</definedName>
    <definedName name="Z_17F5C48B_526E_48D2_9F97_823D578F9893_.wvu.Cols" localSheetId="10" hidden="1">'Sch-1  (2)'!$O:$W,'Sch-1  (2)'!$AH:$AM</definedName>
    <definedName name="Z_17F5C48B_526E_48D2_9F97_823D578F9893_.wvu.Cols" localSheetId="7" hidden="1">'Sch-2 Dis'!$K:$Q</definedName>
    <definedName name="Z_17F5C48B_526E_48D2_9F97_823D578F9893_.wvu.Cols" localSheetId="8" hidden="1">'Sch-3 Dis'!$AA:$AF</definedName>
    <definedName name="Z_17F5C48B_526E_48D2_9F97_823D578F9893_.wvu.Cols" localSheetId="15" hidden="1">'Sch-7'!$I:$L,'Sch-7'!$AD:$AJ</definedName>
    <definedName name="Z_17F5C48B_526E_48D2_9F97_823D578F9893_.wvu.Cols" localSheetId="16" hidden="1">'Sch-7 Dis'!$AD:$AJ</definedName>
    <definedName name="Z_17F5C48B_526E_48D2_9F97_823D578F9893_.wvu.Cols" localSheetId="12" hidden="1">'Schedule-2'!$I:$P</definedName>
    <definedName name="Z_17F5C48B_526E_48D2_9F97_823D578F9893_.wvu.FilterData" localSheetId="4" hidden="1">'Sch-1'!$A$18:$Z$18</definedName>
    <definedName name="Z_17F5C48B_526E_48D2_9F97_823D578F9893_.wvu.FilterData" localSheetId="10" hidden="1">'Sch-1  (2)'!#REF!</definedName>
    <definedName name="Z_17F5C48B_526E_48D2_9F97_823D578F9893_.wvu.FilterData" localSheetId="5" hidden="1">'Sch-1 dis'!$A$16:$B$21</definedName>
    <definedName name="Z_17F5C48B_526E_48D2_9F97_823D578F9893_.wvu.FilterData" localSheetId="6" hidden="1">'Sch-2'!$G$20:$J$20</definedName>
    <definedName name="Z_17F5C48B_526E_48D2_9F97_823D578F9893_.wvu.FilterData" localSheetId="7" hidden="1">'Sch-2 Dis'!$A$15:$F$56</definedName>
    <definedName name="Z_17F5C48B_526E_48D2_9F97_823D578F9893_.wvu.FilterData" localSheetId="8" hidden="1">'Sch-3 Dis'!$A$15:$F$81</definedName>
    <definedName name="Z_17F5C48B_526E_48D2_9F97_823D578F9893_.wvu.PrintArea" localSheetId="20" hidden="1">'Bid Form '!$A$1:$F$66</definedName>
    <definedName name="Z_17F5C48B_526E_48D2_9F97_823D578F9893_.wvu.PrintArea" localSheetId="18" hidden="1">'Entry Tax'!$A$1:$E$16</definedName>
    <definedName name="Z_17F5C48B_526E_48D2_9F97_823D578F9893_.wvu.PrintArea" localSheetId="2" hidden="1">Instructions!$A$1:$C$52</definedName>
    <definedName name="Z_17F5C48B_526E_48D2_9F97_823D578F9893_.wvu.PrintArea" localSheetId="3" hidden="1">'Names of Bidder'!$B$1:$G$34</definedName>
    <definedName name="Z_17F5C48B_526E_48D2_9F97_823D578F9893_.wvu.PrintArea" localSheetId="17" hidden="1">Octroi!$A$1:$E$16</definedName>
    <definedName name="Z_17F5C48B_526E_48D2_9F97_823D578F9893_.wvu.PrintArea" localSheetId="19" hidden="1">'Other Taxes &amp; Duties'!$A$1:$F$16</definedName>
    <definedName name="Z_17F5C48B_526E_48D2_9F97_823D578F9893_.wvu.PrintArea" localSheetId="22" hidden="1">'Q &amp; C'!$A$1:$F$38</definedName>
    <definedName name="Z_17F5C48B_526E_48D2_9F97_823D578F9893_.wvu.PrintArea" localSheetId="21" hidden="1">'Q &amp; C (2)'!$A$1:$F$44</definedName>
    <definedName name="Z_17F5C48B_526E_48D2_9F97_823D578F9893_.wvu.PrintArea" localSheetId="4" hidden="1">'Sch-1'!$A$1:$O$30</definedName>
    <definedName name="Z_17F5C48B_526E_48D2_9F97_823D578F9893_.wvu.PrintArea" localSheetId="10" hidden="1">'Sch-1  (2)'!$A$1:$N$180</definedName>
    <definedName name="Z_17F5C48B_526E_48D2_9F97_823D578F9893_.wvu.PrintArea" localSheetId="5" hidden="1">'Sch-1 dis'!$A$1:$G$84</definedName>
    <definedName name="Z_17F5C48B_526E_48D2_9F97_823D578F9893_.wvu.PrintArea" localSheetId="6" hidden="1">'Sch-2'!$A$1:$J$23</definedName>
    <definedName name="Z_17F5C48B_526E_48D2_9F97_823D578F9893_.wvu.PrintArea" localSheetId="7" hidden="1">'Sch-2 Dis'!$A$1:$F$62</definedName>
    <definedName name="Z_17F5C48B_526E_48D2_9F97_823D578F9893_.wvu.PrintArea" localSheetId="14" hidden="1">'Sch-3'!$A$1:$D$28</definedName>
    <definedName name="Z_17F5C48B_526E_48D2_9F97_823D578F9893_.wvu.PrintArea" localSheetId="8" hidden="1">'Sch-3 Dis'!$A$1:$F$87</definedName>
    <definedName name="Z_17F5C48B_526E_48D2_9F97_823D578F9893_.wvu.PrintArea" localSheetId="9" hidden="1">'Sch-4'!$A$1:$F$21</definedName>
    <definedName name="Z_17F5C48B_526E_48D2_9F97_823D578F9893_.wvu.PrintArea" localSheetId="13" hidden="1">'Sch-5 Dis'!$A$1:$E$23</definedName>
    <definedName name="Z_17F5C48B_526E_48D2_9F97_823D578F9893_.wvu.PrintArea" localSheetId="15" hidden="1">'Sch-7'!$A$1:$F$26</definedName>
    <definedName name="Z_17F5C48B_526E_48D2_9F97_823D578F9893_.wvu.PrintArea" localSheetId="16" hidden="1">'Sch-7 Dis'!$A$1:$G$28</definedName>
    <definedName name="Z_17F5C48B_526E_48D2_9F97_823D578F9893_.wvu.PrintArea" localSheetId="12" hidden="1">'Schedule-2'!$A$1:$E$21</definedName>
    <definedName name="Z_17F5C48B_526E_48D2_9F97_823D578F9893_.wvu.PrintTitles" localSheetId="4" hidden="1">'Sch-1'!$15:$17</definedName>
    <definedName name="Z_17F5C48B_526E_48D2_9F97_823D578F9893_.wvu.PrintTitles" localSheetId="10" hidden="1">'Sch-1  (2)'!$13:$16</definedName>
    <definedName name="Z_17F5C48B_526E_48D2_9F97_823D578F9893_.wvu.PrintTitles" localSheetId="5" hidden="1">'Sch-1 dis'!$14:$16</definedName>
    <definedName name="Z_17F5C48B_526E_48D2_9F97_823D578F9893_.wvu.PrintTitles" localSheetId="6" hidden="1">'Sch-2'!$14:$16</definedName>
    <definedName name="Z_17F5C48B_526E_48D2_9F97_823D578F9893_.wvu.PrintTitles" localSheetId="7" hidden="1">'Sch-2 Dis'!$13:$15</definedName>
    <definedName name="Z_17F5C48B_526E_48D2_9F97_823D578F9893_.wvu.PrintTitles" localSheetId="14" hidden="1">'Sch-3'!$3:$13</definedName>
    <definedName name="Z_17F5C48B_526E_48D2_9F97_823D578F9893_.wvu.PrintTitles" localSheetId="8" hidden="1">'Sch-3 Dis'!$13:$15</definedName>
    <definedName name="Z_17F5C48B_526E_48D2_9F97_823D578F9893_.wvu.PrintTitles" localSheetId="13" hidden="1">'Sch-5 Dis'!$3:$13</definedName>
    <definedName name="Z_17F5C48B_526E_48D2_9F97_823D578F9893_.wvu.PrintTitles" localSheetId="15" hidden="1">'Sch-7'!$14:$14</definedName>
    <definedName name="Z_17F5C48B_526E_48D2_9F97_823D578F9893_.wvu.PrintTitles" localSheetId="16" hidden="1">'Sch-7 Dis'!$14:$14</definedName>
    <definedName name="Z_17F5C48B_526E_48D2_9F97_823D578F9893_.wvu.PrintTitles" localSheetId="12" hidden="1">'Schedule-2'!$3:$13</definedName>
    <definedName name="Z_17F5C48B_526E_48D2_9F97_823D578F9893_.wvu.Rows" localSheetId="1" hidden="1">Cover!$7:$7</definedName>
    <definedName name="Z_17F5C48B_526E_48D2_9F97_823D578F9893_.wvu.Rows" localSheetId="15" hidden="1">'Sch-7'!$98:$216</definedName>
    <definedName name="Z_17F5C48B_526E_48D2_9F97_823D578F9893_.wvu.Rows" localSheetId="16" hidden="1">'Sch-7 Dis'!$104:$222</definedName>
    <definedName name="Z_1C17CD43_623F_494D_A516_DE13D3E5AF44_.wvu.Cols" localSheetId="10" hidden="1">'Sch-1  (2)'!$AH:$AM</definedName>
    <definedName name="Z_1C17CD43_623F_494D_A516_DE13D3E5AF44_.wvu.FilterData" localSheetId="10" hidden="1">'Sch-1  (2)'!#REF!</definedName>
    <definedName name="Z_1C17CD43_623F_494D_A516_DE13D3E5AF44_.wvu.PrintArea" localSheetId="10" hidden="1">'Sch-1  (2)'!$A$1:$N$180</definedName>
    <definedName name="Z_1C17CD43_623F_494D_A516_DE13D3E5AF44_.wvu.PrintTitles" localSheetId="10" hidden="1">'Sch-1  (2)'!$13:$16</definedName>
    <definedName name="Z_223BC0FC_814D_40F0_9795_CE82A16FF3A5_.wvu.Cols" localSheetId="10" hidden="1">'Sch-1  (2)'!$S:$AB,'Sch-1  (2)'!$AH:$AM</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Dis'!$AA:$AF</definedName>
    <definedName name="Z_223BC0FC_814D_40F0_9795_CE82A16FF3A5_.wvu.Cols" localSheetId="15" hidden="1">'Sch-7'!$I:$L,'Sch-7'!$AD:$AJ</definedName>
    <definedName name="Z_223BC0FC_814D_40F0_9795_CE82A16FF3A5_.wvu.Cols" localSheetId="16" hidden="1">'Sch-7 Dis'!$AD:$AJ</definedName>
    <definedName name="Z_223BC0FC_814D_40F0_9795_CE82A16FF3A5_.wvu.Cols" localSheetId="12" hidden="1">'Schedule-2'!$I:$P</definedName>
    <definedName name="Z_223BC0FC_814D_40F0_9795_CE82A16FF3A5_.wvu.FilterData" localSheetId="4" hidden="1">'Sch-1'!$A$18:$O$18</definedName>
    <definedName name="Z_223BC0FC_814D_40F0_9795_CE82A16FF3A5_.wvu.FilterData" localSheetId="10" hidden="1">'Sch-1  (2)'!$A$17:$M$180</definedName>
    <definedName name="Z_223BC0FC_814D_40F0_9795_CE82A16FF3A5_.wvu.FilterData" localSheetId="5" hidden="1">'Sch-1 dis'!$A$16:$B$21</definedName>
    <definedName name="Z_223BC0FC_814D_40F0_9795_CE82A16FF3A5_.wvu.FilterData" localSheetId="6" hidden="1">'Sch-2'!$G$20:$J$20</definedName>
    <definedName name="Z_223BC0FC_814D_40F0_9795_CE82A16FF3A5_.wvu.FilterData" localSheetId="7" hidden="1">'Sch-2 Dis'!$A$15:$F$56</definedName>
    <definedName name="Z_223BC0FC_814D_40F0_9795_CE82A16FF3A5_.wvu.FilterData" localSheetId="8" hidden="1">'Sch-3 Dis'!$A$15:$F$81</definedName>
    <definedName name="Z_223BC0FC_814D_40F0_9795_CE82A16FF3A5_.wvu.PrintArea" localSheetId="20" hidden="1">'Bid Form '!$A$1:$F$66</definedName>
    <definedName name="Z_223BC0FC_814D_40F0_9795_CE82A16FF3A5_.wvu.PrintArea" localSheetId="18" hidden="1">'Entry Tax'!$A$1:$E$16</definedName>
    <definedName name="Z_223BC0FC_814D_40F0_9795_CE82A16FF3A5_.wvu.PrintArea" localSheetId="2" hidden="1">Instructions!$A$1:$C$52</definedName>
    <definedName name="Z_223BC0FC_814D_40F0_9795_CE82A16FF3A5_.wvu.PrintArea" localSheetId="3" hidden="1">'Names of Bidder'!$B$1:$G$34</definedName>
    <definedName name="Z_223BC0FC_814D_40F0_9795_CE82A16FF3A5_.wvu.PrintArea" localSheetId="17" hidden="1">Octroi!$A$1:$E$16</definedName>
    <definedName name="Z_223BC0FC_814D_40F0_9795_CE82A16FF3A5_.wvu.PrintArea" localSheetId="19" hidden="1">'Other Taxes &amp; Duties'!$A$1:$F$16</definedName>
    <definedName name="Z_223BC0FC_814D_40F0_9795_CE82A16FF3A5_.wvu.PrintArea" localSheetId="22" hidden="1">'Q &amp; C'!$A$1:$F$38</definedName>
    <definedName name="Z_223BC0FC_814D_40F0_9795_CE82A16FF3A5_.wvu.PrintArea" localSheetId="21" hidden="1">'Q &amp; C (2)'!$A$1:$F$44</definedName>
    <definedName name="Z_223BC0FC_814D_40F0_9795_CE82A16FF3A5_.wvu.PrintArea" localSheetId="4" hidden="1">'Sch-1'!$A$1:$O$30</definedName>
    <definedName name="Z_223BC0FC_814D_40F0_9795_CE82A16FF3A5_.wvu.PrintArea" localSheetId="10" hidden="1">'Sch-1  (2)'!$A$1:$M$180</definedName>
    <definedName name="Z_223BC0FC_814D_40F0_9795_CE82A16FF3A5_.wvu.PrintArea" localSheetId="5" hidden="1">'Sch-1 dis'!$A$1:$G$84</definedName>
    <definedName name="Z_223BC0FC_814D_40F0_9795_CE82A16FF3A5_.wvu.PrintArea" localSheetId="6" hidden="1">'Sch-2'!$A$1:$J$23</definedName>
    <definedName name="Z_223BC0FC_814D_40F0_9795_CE82A16FF3A5_.wvu.PrintArea" localSheetId="7" hidden="1">'Sch-2 Dis'!$A$1:$F$62</definedName>
    <definedName name="Z_223BC0FC_814D_40F0_9795_CE82A16FF3A5_.wvu.PrintArea" localSheetId="14" hidden="1">'Sch-3'!$A$1:$D$28</definedName>
    <definedName name="Z_223BC0FC_814D_40F0_9795_CE82A16FF3A5_.wvu.PrintArea" localSheetId="8" hidden="1">'Sch-3 Dis'!$A$1:$F$87</definedName>
    <definedName name="Z_223BC0FC_814D_40F0_9795_CE82A16FF3A5_.wvu.PrintArea" localSheetId="9" hidden="1">'Sch-4'!$A$1:$F$21</definedName>
    <definedName name="Z_223BC0FC_814D_40F0_9795_CE82A16FF3A5_.wvu.PrintArea" localSheetId="13" hidden="1">'Sch-5 Dis'!$A$1:$E$23</definedName>
    <definedName name="Z_223BC0FC_814D_40F0_9795_CE82A16FF3A5_.wvu.PrintArea" localSheetId="15" hidden="1">'Sch-7'!$A$1:$F$26</definedName>
    <definedName name="Z_223BC0FC_814D_40F0_9795_CE82A16FF3A5_.wvu.PrintArea" localSheetId="16" hidden="1">'Sch-7 Dis'!$A$1:$G$28</definedName>
    <definedName name="Z_223BC0FC_814D_40F0_9795_CE82A16FF3A5_.wvu.PrintArea" localSheetId="12" hidden="1">'Schedule-2'!$A$1:$E$21</definedName>
    <definedName name="Z_223BC0FC_814D_40F0_9795_CE82A16FF3A5_.wvu.PrintTitles" localSheetId="4" hidden="1">'Sch-1'!$15:$17</definedName>
    <definedName name="Z_223BC0FC_814D_40F0_9795_CE82A16FF3A5_.wvu.PrintTitles" localSheetId="10" hidden="1">'Sch-1  (2)'!$13:$16</definedName>
    <definedName name="Z_223BC0FC_814D_40F0_9795_CE82A16FF3A5_.wvu.PrintTitles" localSheetId="5" hidden="1">'Sch-1 dis'!$14:$16</definedName>
    <definedName name="Z_223BC0FC_814D_40F0_9795_CE82A16FF3A5_.wvu.PrintTitles" localSheetId="6" hidden="1">'Sch-2'!$14:$16</definedName>
    <definedName name="Z_223BC0FC_814D_40F0_9795_CE82A16FF3A5_.wvu.PrintTitles" localSheetId="7" hidden="1">'Sch-2 Dis'!$13:$15</definedName>
    <definedName name="Z_223BC0FC_814D_40F0_9795_CE82A16FF3A5_.wvu.PrintTitles" localSheetId="14" hidden="1">'Sch-3'!$3:$13</definedName>
    <definedName name="Z_223BC0FC_814D_40F0_9795_CE82A16FF3A5_.wvu.PrintTitles" localSheetId="8" hidden="1">'Sch-3 Dis'!$13:$15</definedName>
    <definedName name="Z_223BC0FC_814D_40F0_9795_CE82A16FF3A5_.wvu.PrintTitles" localSheetId="13" hidden="1">'Sch-5 Dis'!$3:$13</definedName>
    <definedName name="Z_223BC0FC_814D_40F0_9795_CE82A16FF3A5_.wvu.PrintTitles" localSheetId="15" hidden="1">'Sch-7'!$14:$14</definedName>
    <definedName name="Z_223BC0FC_814D_40F0_9795_CE82A16FF3A5_.wvu.PrintTitles" localSheetId="16" hidden="1">'Sch-7 Dis'!$14:$14</definedName>
    <definedName name="Z_223BC0FC_814D_40F0_9795_CE82A16FF3A5_.wvu.PrintTitles" localSheetId="12" hidden="1">'Schedule-2'!$3:$13</definedName>
    <definedName name="Z_223BC0FC_814D_40F0_9795_CE82A16FF3A5_.wvu.Rows" localSheetId="1" hidden="1">Cover!$7:$7</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5" hidden="1">'Sch-7'!$23:$23,'Sch-7'!$98:$216</definedName>
    <definedName name="Z_223BC0FC_814D_40F0_9795_CE82A16FF3A5_.wvu.Rows" localSheetId="16" hidden="1">'Sch-7 Dis'!$104:$222</definedName>
    <definedName name="Z_27A45B7A_04F2_4516_B80B_5ED0825D4ED3_.wvu.Cols" localSheetId="4" hidden="1">'Sch-1'!#REF!</definedName>
    <definedName name="Z_27A45B7A_04F2_4516_B80B_5ED0825D4ED3_.wvu.Cols" localSheetId="10" hidden="1">'Sch-1  (2)'!$S:$S,'Sch-1  (2)'!$AH:$AM</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Dis'!$AA:$AF</definedName>
    <definedName name="Z_27A45B7A_04F2_4516_B80B_5ED0825D4ED3_.wvu.Cols" localSheetId="13" hidden="1">'Sch-5 Dis'!#REF!</definedName>
    <definedName name="Z_27A45B7A_04F2_4516_B80B_5ED0825D4ED3_.wvu.Cols" localSheetId="15" hidden="1">'Sch-7'!$I:$I,'Sch-7'!$AD:$AJ</definedName>
    <definedName name="Z_27A45B7A_04F2_4516_B80B_5ED0825D4ED3_.wvu.Cols" localSheetId="16" hidden="1">'Sch-7 Dis'!$AD:$AJ</definedName>
    <definedName name="Z_27A45B7A_04F2_4516_B80B_5ED0825D4ED3_.wvu.Cols" localSheetId="12" hidden="1">'Schedule-2'!$I:$P</definedName>
    <definedName name="Z_27A45B7A_04F2_4516_B80B_5ED0825D4ED3_.wvu.FilterData" localSheetId="4" hidden="1">'Sch-1'!$A$18:$O$18</definedName>
    <definedName name="Z_27A45B7A_04F2_4516_B80B_5ED0825D4ED3_.wvu.FilterData" localSheetId="10" hidden="1">'Sch-1  (2)'!$A$17:$M$180</definedName>
    <definedName name="Z_27A45B7A_04F2_4516_B80B_5ED0825D4ED3_.wvu.FilterData" localSheetId="5" hidden="1">'Sch-1 dis'!$A$16:$B$21</definedName>
    <definedName name="Z_27A45B7A_04F2_4516_B80B_5ED0825D4ED3_.wvu.FilterData" localSheetId="6" hidden="1">'Sch-2'!$G$20:$J$20</definedName>
    <definedName name="Z_27A45B7A_04F2_4516_B80B_5ED0825D4ED3_.wvu.FilterData" localSheetId="7" hidden="1">'Sch-2 Dis'!$A$15:$F$56</definedName>
    <definedName name="Z_27A45B7A_04F2_4516_B80B_5ED0825D4ED3_.wvu.FilterData" localSheetId="8" hidden="1">'Sch-3 Dis'!$A$15:$F$81</definedName>
    <definedName name="Z_27A45B7A_04F2_4516_B80B_5ED0825D4ED3_.wvu.PrintArea" localSheetId="20" hidden="1">'Bid Form '!$A$1:$F$66</definedName>
    <definedName name="Z_27A45B7A_04F2_4516_B80B_5ED0825D4ED3_.wvu.PrintArea" localSheetId="18" hidden="1">'Entry Tax'!$A$1:$E$16</definedName>
    <definedName name="Z_27A45B7A_04F2_4516_B80B_5ED0825D4ED3_.wvu.PrintArea" localSheetId="2" hidden="1">Instructions!$A$1:$C$52</definedName>
    <definedName name="Z_27A45B7A_04F2_4516_B80B_5ED0825D4ED3_.wvu.PrintArea" localSheetId="3" hidden="1">'Names of Bidder'!$B$1:$E$32</definedName>
    <definedName name="Z_27A45B7A_04F2_4516_B80B_5ED0825D4ED3_.wvu.PrintArea" localSheetId="17" hidden="1">Octroi!$A$1:$E$16</definedName>
    <definedName name="Z_27A45B7A_04F2_4516_B80B_5ED0825D4ED3_.wvu.PrintArea" localSheetId="19" hidden="1">'Other Taxes &amp; Duties'!$A$1:$F$16</definedName>
    <definedName name="Z_27A45B7A_04F2_4516_B80B_5ED0825D4ED3_.wvu.PrintArea" localSheetId="22" hidden="1">'Q &amp; C'!$A$1:$F$38</definedName>
    <definedName name="Z_27A45B7A_04F2_4516_B80B_5ED0825D4ED3_.wvu.PrintArea" localSheetId="21" hidden="1">'Q &amp; C (2)'!$A$1:$F$43</definedName>
    <definedName name="Z_27A45B7A_04F2_4516_B80B_5ED0825D4ED3_.wvu.PrintArea" localSheetId="4" hidden="1">'Sch-1'!$A$1:$O$31</definedName>
    <definedName name="Z_27A45B7A_04F2_4516_B80B_5ED0825D4ED3_.wvu.PrintArea" localSheetId="10" hidden="1">'Sch-1  (2)'!$A$1:$M$180</definedName>
    <definedName name="Z_27A45B7A_04F2_4516_B80B_5ED0825D4ED3_.wvu.PrintArea" localSheetId="5" hidden="1">'Sch-1 dis'!$A$1:$G$84</definedName>
    <definedName name="Z_27A45B7A_04F2_4516_B80B_5ED0825D4ED3_.wvu.PrintArea" localSheetId="6" hidden="1">'Sch-2'!$A$1:$J$24</definedName>
    <definedName name="Z_27A45B7A_04F2_4516_B80B_5ED0825D4ED3_.wvu.PrintArea" localSheetId="7" hidden="1">'Sch-2 Dis'!$A$1:$F$62</definedName>
    <definedName name="Z_27A45B7A_04F2_4516_B80B_5ED0825D4ED3_.wvu.PrintArea" localSheetId="14" hidden="1">'Sch-3'!$A$1:$D$29</definedName>
    <definedName name="Z_27A45B7A_04F2_4516_B80B_5ED0825D4ED3_.wvu.PrintArea" localSheetId="8" hidden="1">'Sch-3 Dis'!$A$1:$F$87</definedName>
    <definedName name="Z_27A45B7A_04F2_4516_B80B_5ED0825D4ED3_.wvu.PrintArea" localSheetId="9" hidden="1">'Sch-4'!$A$1:$F$21</definedName>
    <definedName name="Z_27A45B7A_04F2_4516_B80B_5ED0825D4ED3_.wvu.PrintArea" localSheetId="13" hidden="1">'Sch-5 Dis'!$A$1:$E$23</definedName>
    <definedName name="Z_27A45B7A_04F2_4516_B80B_5ED0825D4ED3_.wvu.PrintArea" localSheetId="15" hidden="1">'Sch-7'!$A$1:$F$26</definedName>
    <definedName name="Z_27A45B7A_04F2_4516_B80B_5ED0825D4ED3_.wvu.PrintArea" localSheetId="16" hidden="1">'Sch-7 Dis'!$A$1:$G$28</definedName>
    <definedName name="Z_27A45B7A_04F2_4516_B80B_5ED0825D4ED3_.wvu.PrintArea" localSheetId="12" hidden="1">'Schedule-2'!$A$1:$E$21</definedName>
    <definedName name="Z_27A45B7A_04F2_4516_B80B_5ED0825D4ED3_.wvu.PrintTitles" localSheetId="4" hidden="1">'Sch-1'!$15:$17</definedName>
    <definedName name="Z_27A45B7A_04F2_4516_B80B_5ED0825D4ED3_.wvu.PrintTitles" localSheetId="10" hidden="1">'Sch-1  (2)'!$13:$16</definedName>
    <definedName name="Z_27A45B7A_04F2_4516_B80B_5ED0825D4ED3_.wvu.PrintTitles" localSheetId="5" hidden="1">'Sch-1 dis'!$14:$16</definedName>
    <definedName name="Z_27A45B7A_04F2_4516_B80B_5ED0825D4ED3_.wvu.PrintTitles" localSheetId="6" hidden="1">'Sch-2'!$14:$16</definedName>
    <definedName name="Z_27A45B7A_04F2_4516_B80B_5ED0825D4ED3_.wvu.PrintTitles" localSheetId="7" hidden="1">'Sch-2 Dis'!$13:$15</definedName>
    <definedName name="Z_27A45B7A_04F2_4516_B80B_5ED0825D4ED3_.wvu.PrintTitles" localSheetId="14" hidden="1">'Sch-3'!$3:$13</definedName>
    <definedName name="Z_27A45B7A_04F2_4516_B80B_5ED0825D4ED3_.wvu.PrintTitles" localSheetId="8" hidden="1">'Sch-3 Dis'!$13:$15</definedName>
    <definedName name="Z_27A45B7A_04F2_4516_B80B_5ED0825D4ED3_.wvu.PrintTitles" localSheetId="13" hidden="1">'Sch-5 Dis'!$3:$13</definedName>
    <definedName name="Z_27A45B7A_04F2_4516_B80B_5ED0825D4ED3_.wvu.PrintTitles" localSheetId="15" hidden="1">'Sch-7'!$14:$14</definedName>
    <definedName name="Z_27A45B7A_04F2_4516_B80B_5ED0825D4ED3_.wvu.PrintTitles" localSheetId="16" hidden="1">'Sch-7 Dis'!$14:$14</definedName>
    <definedName name="Z_27A45B7A_04F2_4516_B80B_5ED0825D4ED3_.wvu.PrintTitles" localSheetId="12" hidden="1">'Schedule-2'!$3:$13</definedName>
    <definedName name="Z_27A45B7A_04F2_4516_B80B_5ED0825D4ED3_.wvu.Rows" localSheetId="1" hidden="1">Cover!$7:$7</definedName>
    <definedName name="Z_27A45B7A_04F2_4516_B80B_5ED0825D4ED3_.wvu.Rows" localSheetId="8" hidden="1">'Sch-3 Dis'!#REF!</definedName>
    <definedName name="Z_27A45B7A_04F2_4516_B80B_5ED0825D4ED3_.wvu.Rows" localSheetId="15" hidden="1">'Sch-7'!$98:$216</definedName>
    <definedName name="Z_27A45B7A_04F2_4516_B80B_5ED0825D4ED3_.wvu.Rows" localSheetId="16" hidden="1">'Sch-7 Dis'!$104:$222</definedName>
    <definedName name="Z_3D662AA8_535D_445A_A535_5FFD33E1146F_.wvu.PrintArea" localSheetId="22" hidden="1">'Q &amp; C'!$A$1:$F$38</definedName>
    <definedName name="Z_3D662AA8_535D_445A_A535_5FFD33E1146F_.wvu.PrintArea" localSheetId="21" hidden="1">'Q &amp; C (2)'!$A$1:$F$43</definedName>
    <definedName name="Z_420F5FBD_E556_4311_8218_D9BF2725836B_.wvu.PrintArea" localSheetId="21" hidden="1">'Q &amp; C (2)'!$A$1:$F$43</definedName>
    <definedName name="Z_4AA1107B_A795_4744_B566_827168772C7A_.wvu.Cols" localSheetId="10" hidden="1">'Sch-1  (2)'!$S:$AB,'Sch-1  (2)'!$AH:$AM</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Dis'!$AA:$AF</definedName>
    <definedName name="Z_4AA1107B_A795_4744_B566_827168772C7A_.wvu.Cols" localSheetId="15" hidden="1">'Sch-7'!$I:$L,'Sch-7'!$AD:$AJ</definedName>
    <definedName name="Z_4AA1107B_A795_4744_B566_827168772C7A_.wvu.Cols" localSheetId="16" hidden="1">'Sch-7 Dis'!$AD:$AJ</definedName>
    <definedName name="Z_4AA1107B_A795_4744_B566_827168772C7A_.wvu.Cols" localSheetId="12" hidden="1">'Schedule-2'!$I:$P</definedName>
    <definedName name="Z_4AA1107B_A795_4744_B566_827168772C7A_.wvu.FilterData" localSheetId="4" hidden="1">'Sch-1'!$A$18:$O$18</definedName>
    <definedName name="Z_4AA1107B_A795_4744_B566_827168772C7A_.wvu.FilterData" localSheetId="10" hidden="1">'Sch-1  (2)'!$A$17:$M$180</definedName>
    <definedName name="Z_4AA1107B_A795_4744_B566_827168772C7A_.wvu.FilterData" localSheetId="5" hidden="1">'Sch-1 dis'!$A$16:$B$21</definedName>
    <definedName name="Z_4AA1107B_A795_4744_B566_827168772C7A_.wvu.FilterData" localSheetId="6" hidden="1">'Sch-2'!$G$20:$J$20</definedName>
    <definedName name="Z_4AA1107B_A795_4744_B566_827168772C7A_.wvu.FilterData" localSheetId="7" hidden="1">'Sch-2 Dis'!$A$15:$F$56</definedName>
    <definedName name="Z_4AA1107B_A795_4744_B566_827168772C7A_.wvu.FilterData" localSheetId="8" hidden="1">'Sch-3 Dis'!$A$15:$F$81</definedName>
    <definedName name="Z_4AA1107B_A795_4744_B566_827168772C7A_.wvu.PrintArea" localSheetId="20" hidden="1">'Bid Form '!$A$1:$F$66</definedName>
    <definedName name="Z_4AA1107B_A795_4744_B566_827168772C7A_.wvu.PrintArea" localSheetId="18" hidden="1">'Entry Tax'!$A$1:$E$16</definedName>
    <definedName name="Z_4AA1107B_A795_4744_B566_827168772C7A_.wvu.PrintArea" localSheetId="2" hidden="1">Instructions!$A$1:$C$52</definedName>
    <definedName name="Z_4AA1107B_A795_4744_B566_827168772C7A_.wvu.PrintArea" localSheetId="3" hidden="1">'Names of Bidder'!$B$1:$G$34</definedName>
    <definedName name="Z_4AA1107B_A795_4744_B566_827168772C7A_.wvu.PrintArea" localSheetId="17" hidden="1">Octroi!$A$1:$E$16</definedName>
    <definedName name="Z_4AA1107B_A795_4744_B566_827168772C7A_.wvu.PrintArea" localSheetId="19" hidden="1">'Other Taxes &amp; Duties'!$A$1:$F$16</definedName>
    <definedName name="Z_4AA1107B_A795_4744_B566_827168772C7A_.wvu.PrintArea" localSheetId="22" hidden="1">'Q &amp; C'!$A$1:$F$38</definedName>
    <definedName name="Z_4AA1107B_A795_4744_B566_827168772C7A_.wvu.PrintArea" localSheetId="21" hidden="1">'Q &amp; C (2)'!$A$1:$F$44</definedName>
    <definedName name="Z_4AA1107B_A795_4744_B566_827168772C7A_.wvu.PrintArea" localSheetId="4" hidden="1">'Sch-1'!$A$1:$O$30</definedName>
    <definedName name="Z_4AA1107B_A795_4744_B566_827168772C7A_.wvu.PrintArea" localSheetId="10" hidden="1">'Sch-1  (2)'!$A$1:$M$180</definedName>
    <definedName name="Z_4AA1107B_A795_4744_B566_827168772C7A_.wvu.PrintArea" localSheetId="5" hidden="1">'Sch-1 dis'!$A$1:$G$84</definedName>
    <definedName name="Z_4AA1107B_A795_4744_B566_827168772C7A_.wvu.PrintArea" localSheetId="6" hidden="1">'Sch-2'!$A$1:$J$23</definedName>
    <definedName name="Z_4AA1107B_A795_4744_B566_827168772C7A_.wvu.PrintArea" localSheetId="7" hidden="1">'Sch-2 Dis'!$A$1:$F$62</definedName>
    <definedName name="Z_4AA1107B_A795_4744_B566_827168772C7A_.wvu.PrintArea" localSheetId="14" hidden="1">'Sch-3'!$A$1:$D$28</definedName>
    <definedName name="Z_4AA1107B_A795_4744_B566_827168772C7A_.wvu.PrintArea" localSheetId="8" hidden="1">'Sch-3 Dis'!$A$1:$F$87</definedName>
    <definedName name="Z_4AA1107B_A795_4744_B566_827168772C7A_.wvu.PrintArea" localSheetId="9" hidden="1">'Sch-4'!$A$1:$F$21</definedName>
    <definedName name="Z_4AA1107B_A795_4744_B566_827168772C7A_.wvu.PrintArea" localSheetId="13" hidden="1">'Sch-5 Dis'!$A$1:$E$23</definedName>
    <definedName name="Z_4AA1107B_A795_4744_B566_827168772C7A_.wvu.PrintArea" localSheetId="15" hidden="1">'Sch-7'!$A$1:$F$26</definedName>
    <definedName name="Z_4AA1107B_A795_4744_B566_827168772C7A_.wvu.PrintArea" localSheetId="16" hidden="1">'Sch-7 Dis'!$A$1:$G$28</definedName>
    <definedName name="Z_4AA1107B_A795_4744_B566_827168772C7A_.wvu.PrintArea" localSheetId="12" hidden="1">'Schedule-2'!$A$1:$E$21</definedName>
    <definedName name="Z_4AA1107B_A795_4744_B566_827168772C7A_.wvu.PrintTitles" localSheetId="4" hidden="1">'Sch-1'!$15:$17</definedName>
    <definedName name="Z_4AA1107B_A795_4744_B566_827168772C7A_.wvu.PrintTitles" localSheetId="10" hidden="1">'Sch-1  (2)'!$13:$16</definedName>
    <definedName name="Z_4AA1107B_A795_4744_B566_827168772C7A_.wvu.PrintTitles" localSheetId="5" hidden="1">'Sch-1 dis'!$14:$16</definedName>
    <definedName name="Z_4AA1107B_A795_4744_B566_827168772C7A_.wvu.PrintTitles" localSheetId="6" hidden="1">'Sch-2'!$14:$16</definedName>
    <definedName name="Z_4AA1107B_A795_4744_B566_827168772C7A_.wvu.PrintTitles" localSheetId="7" hidden="1">'Sch-2 Dis'!$13:$15</definedName>
    <definedName name="Z_4AA1107B_A795_4744_B566_827168772C7A_.wvu.PrintTitles" localSheetId="14" hidden="1">'Sch-3'!$3:$13</definedName>
    <definedName name="Z_4AA1107B_A795_4744_B566_827168772C7A_.wvu.PrintTitles" localSheetId="8" hidden="1">'Sch-3 Dis'!$13:$15</definedName>
    <definedName name="Z_4AA1107B_A795_4744_B566_827168772C7A_.wvu.PrintTitles" localSheetId="13" hidden="1">'Sch-5 Dis'!$3:$13</definedName>
    <definedName name="Z_4AA1107B_A795_4744_B566_827168772C7A_.wvu.PrintTitles" localSheetId="15" hidden="1">'Sch-7'!$14:$14</definedName>
    <definedName name="Z_4AA1107B_A795_4744_B566_827168772C7A_.wvu.PrintTitles" localSheetId="16" hidden="1">'Sch-7 Dis'!$14:$14</definedName>
    <definedName name="Z_4AA1107B_A795_4744_B566_827168772C7A_.wvu.PrintTitles" localSheetId="12" hidden="1">'Schedule-2'!$3:$13</definedName>
    <definedName name="Z_4AA1107B_A795_4744_B566_827168772C7A_.wvu.Rows" localSheetId="1" hidden="1">Cover!$7:$7</definedName>
    <definedName name="Z_4AA1107B_A795_4744_B566_827168772C7A_.wvu.Rows" localSheetId="6" hidden="1">'Sch-2'!#REF!,'Sch-2'!#REF!</definedName>
    <definedName name="Z_4AA1107B_A795_4744_B566_827168772C7A_.wvu.Rows" localSheetId="15" hidden="1">'Sch-7'!$23:$23,'Sch-7'!$98:$216</definedName>
    <definedName name="Z_4AA1107B_A795_4744_B566_827168772C7A_.wvu.Rows" localSheetId="16" hidden="1">'Sch-7 Dis'!$104:$222</definedName>
    <definedName name="Z_4F65FF32_EC61_4022_A399_2986D7B6B8B3_.wvu.Cols" localSheetId="20" hidden="1">'Bid Form '!$Z:$AJ</definedName>
    <definedName name="Z_4F65FF32_EC61_4022_A399_2986D7B6B8B3_.wvu.Cols" localSheetId="4" hidden="1">'Sch-1'!#REF!</definedName>
    <definedName name="Z_4F65FF32_EC61_4022_A399_2986D7B6B8B3_.wvu.Cols" localSheetId="10" hidden="1">'Sch-1  (2)'!$AH:$AM</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Dis'!$AA:$AF</definedName>
    <definedName name="Z_4F65FF32_EC61_4022_A399_2986D7B6B8B3_.wvu.Cols" localSheetId="13" hidden="1">'Sch-5 Dis'!#REF!</definedName>
    <definedName name="Z_4F65FF32_EC61_4022_A399_2986D7B6B8B3_.wvu.Cols" localSheetId="15" hidden="1">'Sch-7'!$AD:$AJ</definedName>
    <definedName name="Z_4F65FF32_EC61_4022_A399_2986D7B6B8B3_.wvu.Cols" localSheetId="16" hidden="1">'Sch-7 Dis'!$AD:$AJ</definedName>
    <definedName name="Z_4F65FF32_EC61_4022_A399_2986D7B6B8B3_.wvu.Cols" localSheetId="12" hidden="1">'Schedule-2'!$I:$P</definedName>
    <definedName name="Z_4F65FF32_EC61_4022_A399_2986D7B6B8B3_.wvu.PrintArea" localSheetId="20" hidden="1">'Bid Form '!$A$1:$F$66</definedName>
    <definedName name="Z_4F65FF32_EC61_4022_A399_2986D7B6B8B3_.wvu.PrintArea" localSheetId="18" hidden="1">'Entry Tax'!$A$1:$E$16</definedName>
    <definedName name="Z_4F65FF32_EC61_4022_A399_2986D7B6B8B3_.wvu.PrintArea" localSheetId="2" hidden="1">Instructions!$A$1:$C$52</definedName>
    <definedName name="Z_4F65FF32_EC61_4022_A399_2986D7B6B8B3_.wvu.PrintArea" localSheetId="3" hidden="1">'Names of Bidder'!$B$1:$E$32</definedName>
    <definedName name="Z_4F65FF32_EC61_4022_A399_2986D7B6B8B3_.wvu.PrintArea" localSheetId="17" hidden="1">Octroi!$A$1:$E$16</definedName>
    <definedName name="Z_4F65FF32_EC61_4022_A399_2986D7B6B8B3_.wvu.PrintArea" localSheetId="19" hidden="1">'Other Taxes &amp; Duties'!$A$1:$F$16</definedName>
    <definedName name="Z_4F65FF32_EC61_4022_A399_2986D7B6B8B3_.wvu.PrintArea" localSheetId="22" hidden="1">'Q &amp; C'!$A$1:$F$38</definedName>
    <definedName name="Z_4F65FF32_EC61_4022_A399_2986D7B6B8B3_.wvu.PrintArea" localSheetId="4" hidden="1">'Sch-1'!$A$1:$O$31</definedName>
    <definedName name="Z_4F65FF32_EC61_4022_A399_2986D7B6B8B3_.wvu.PrintArea" localSheetId="10" hidden="1">'Sch-1  (2)'!$A$1:$M$18</definedName>
    <definedName name="Z_4F65FF32_EC61_4022_A399_2986D7B6B8B3_.wvu.PrintArea" localSheetId="5" hidden="1">'Sch-1 dis'!$A$1:$G$84</definedName>
    <definedName name="Z_4F65FF32_EC61_4022_A399_2986D7B6B8B3_.wvu.PrintArea" localSheetId="6" hidden="1">'Sch-2'!$A$1:$J$17</definedName>
    <definedName name="Z_4F65FF32_EC61_4022_A399_2986D7B6B8B3_.wvu.PrintArea" localSheetId="7" hidden="1">'Sch-2 Dis'!$A$1:$F$55</definedName>
    <definedName name="Z_4F65FF32_EC61_4022_A399_2986D7B6B8B3_.wvu.PrintArea" localSheetId="14" hidden="1">'Sch-3'!$A$1:$D$29</definedName>
    <definedName name="Z_4F65FF32_EC61_4022_A399_2986D7B6B8B3_.wvu.PrintArea" localSheetId="8" hidden="1">'Sch-3 Dis'!$A$1:$F$80</definedName>
    <definedName name="Z_4F65FF32_EC61_4022_A399_2986D7B6B8B3_.wvu.PrintArea" localSheetId="9" hidden="1">'Sch-4'!$A$1:$F$21</definedName>
    <definedName name="Z_4F65FF32_EC61_4022_A399_2986D7B6B8B3_.wvu.PrintArea" localSheetId="13" hidden="1">'Sch-5 Dis'!$A$1:$E$23</definedName>
    <definedName name="Z_4F65FF32_EC61_4022_A399_2986D7B6B8B3_.wvu.PrintArea" localSheetId="15" hidden="1">'Sch-7'!$A$1:$G$26</definedName>
    <definedName name="Z_4F65FF32_EC61_4022_A399_2986D7B6B8B3_.wvu.PrintArea" localSheetId="16" hidden="1">'Sch-7 Dis'!$A$1:$G$28</definedName>
    <definedName name="Z_4F65FF32_EC61_4022_A399_2986D7B6B8B3_.wvu.PrintArea" localSheetId="12" hidden="1">'Schedule-2'!$A$1:$E$21</definedName>
    <definedName name="Z_4F65FF32_EC61_4022_A399_2986D7B6B8B3_.wvu.PrintTitles" localSheetId="4" hidden="1">'Sch-1'!$15:$17</definedName>
    <definedName name="Z_4F65FF32_EC61_4022_A399_2986D7B6B8B3_.wvu.PrintTitles" localSheetId="10" hidden="1">'Sch-1  (2)'!$13:$16</definedName>
    <definedName name="Z_4F65FF32_EC61_4022_A399_2986D7B6B8B3_.wvu.PrintTitles" localSheetId="5" hidden="1">'Sch-1 dis'!$14:$16</definedName>
    <definedName name="Z_4F65FF32_EC61_4022_A399_2986D7B6B8B3_.wvu.PrintTitles" localSheetId="6" hidden="1">'Sch-2'!$14:$16</definedName>
    <definedName name="Z_4F65FF32_EC61_4022_A399_2986D7B6B8B3_.wvu.PrintTitles" localSheetId="7" hidden="1">'Sch-2 Dis'!$13:$15</definedName>
    <definedName name="Z_4F65FF32_EC61_4022_A399_2986D7B6B8B3_.wvu.PrintTitles" localSheetId="14" hidden="1">'Sch-3'!$3:$13</definedName>
    <definedName name="Z_4F65FF32_EC61_4022_A399_2986D7B6B8B3_.wvu.PrintTitles" localSheetId="8" hidden="1">'Sch-3 Dis'!$13:$15</definedName>
    <definedName name="Z_4F65FF32_EC61_4022_A399_2986D7B6B8B3_.wvu.PrintTitles" localSheetId="13" hidden="1">'Sch-5 Dis'!$3:$13</definedName>
    <definedName name="Z_4F65FF32_EC61_4022_A399_2986D7B6B8B3_.wvu.PrintTitles" localSheetId="15" hidden="1">'Sch-7'!$14:$14</definedName>
    <definedName name="Z_4F65FF32_EC61_4022_A399_2986D7B6B8B3_.wvu.PrintTitles" localSheetId="16" hidden="1">'Sch-7 Dis'!$14:$14</definedName>
    <definedName name="Z_4F65FF32_EC61_4022_A399_2986D7B6B8B3_.wvu.PrintTitles" localSheetId="12" hidden="1">'Schedule-2'!$3:$13</definedName>
    <definedName name="Z_4F65FF32_EC61_4022_A399_2986D7B6B8B3_.wvu.Rows" localSheetId="4" hidden="1">'Sch-1'!$56:$122</definedName>
    <definedName name="Z_4F65FF32_EC61_4022_A399_2986D7B6B8B3_.wvu.Rows" localSheetId="10" hidden="1">'Sch-1  (2)'!#REF!</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Dis'!#REF!</definedName>
    <definedName name="Z_4F65FF32_EC61_4022_A399_2986D7B6B8B3_.wvu.Rows" localSheetId="15" hidden="1">'Sch-7'!$98:$216</definedName>
    <definedName name="Z_4F65FF32_EC61_4022_A399_2986D7B6B8B3_.wvu.Rows" localSheetId="16" hidden="1">'Sch-7 Dis'!$104:$222</definedName>
    <definedName name="Z_58D82F59_8CF6_455F_B9F4_081499FDF243_.wvu.PrintArea" localSheetId="18" hidden="1">'Entry Tax'!$A$1:$E$16</definedName>
    <definedName name="Z_58D82F59_8CF6_455F_B9F4_081499FDF243_.wvu.PrintArea" localSheetId="17" hidden="1">Octroi!$A$1:$E$16</definedName>
    <definedName name="Z_58D82F59_8CF6_455F_B9F4_081499FDF243_.wvu.PrintArea" localSheetId="19" hidden="1">'Other Taxes &amp; Duties'!$A$1:$F$16</definedName>
    <definedName name="Z_58D82F59_8CF6_455F_B9F4_081499FDF243_.wvu.PrintArea" localSheetId="21" hidden="1">'Q &amp; C (2)'!$A$1:$F$43</definedName>
    <definedName name="Z_59ACD8B6_730E_4199_8297_1160D2A0693D_.wvu.PrintArea" localSheetId="21" hidden="1">'Q &amp; C (2)'!$A$1:$F$43</definedName>
    <definedName name="Z_696D9240_6693_44E8_B9A4_2BFADD101EE2_.wvu.PrintArea" localSheetId="18" hidden="1">'Entry Tax'!$A$1:$E$16</definedName>
    <definedName name="Z_696D9240_6693_44E8_B9A4_2BFADD101EE2_.wvu.PrintArea" localSheetId="17" hidden="1">Octroi!$A$1:$E$16</definedName>
    <definedName name="Z_696D9240_6693_44E8_B9A4_2BFADD101EE2_.wvu.PrintArea" localSheetId="19" hidden="1">'Other Taxes &amp; Duties'!$A$1:$F$16</definedName>
    <definedName name="Z_696D9240_6693_44E8_B9A4_2BFADD101EE2_.wvu.PrintArea" localSheetId="21" hidden="1">'Q &amp; C (2)'!$A$1:$F$43</definedName>
    <definedName name="Z_6E345679_47E0_4044_94F8_40B7719CE719_.wvu.PrintArea" localSheetId="21" hidden="1">'Q &amp; C (2)'!$A$1:$F$43</definedName>
    <definedName name="Z_7043F04C_1FA3_449D_BEB8_4AC08DF68A5A_.wvu.Cols" localSheetId="4" hidden="1">'Sch-1'!$B:$E</definedName>
    <definedName name="Z_7043F04C_1FA3_449D_BEB8_4AC08DF68A5A_.wvu.Cols" localSheetId="6" hidden="1">'Sch-2'!$B:$E</definedName>
    <definedName name="Z_7043F04C_1FA3_449D_BEB8_4AC08DF68A5A_.wvu.Cols" localSheetId="7" hidden="1">'Sch-2 Dis'!$K:$Q</definedName>
    <definedName name="Z_7043F04C_1FA3_449D_BEB8_4AC08DF68A5A_.wvu.Cols" localSheetId="8" hidden="1">'Sch-3 Dis'!$AA:$AF</definedName>
    <definedName name="Z_7043F04C_1FA3_449D_BEB8_4AC08DF68A5A_.wvu.Cols" localSheetId="15" hidden="1">'Sch-7'!$I:$L,'Sch-7'!$AD:$AJ</definedName>
    <definedName name="Z_7043F04C_1FA3_449D_BEB8_4AC08DF68A5A_.wvu.Cols" localSheetId="16" hidden="1">'Sch-7 Dis'!$AD:$AJ</definedName>
    <definedName name="Z_7043F04C_1FA3_449D_BEB8_4AC08DF68A5A_.wvu.Cols" localSheetId="12" hidden="1">'Schedule-2'!$I:$P</definedName>
    <definedName name="Z_7043F04C_1FA3_449D_BEB8_4AC08DF68A5A_.wvu.FilterData" localSheetId="4" hidden="1">'Sch-1'!$K$1:$K$231</definedName>
    <definedName name="Z_7043F04C_1FA3_449D_BEB8_4AC08DF68A5A_.wvu.FilterData" localSheetId="5" hidden="1">'Sch-1 dis'!$A$16:$B$21</definedName>
    <definedName name="Z_7043F04C_1FA3_449D_BEB8_4AC08DF68A5A_.wvu.FilterData" localSheetId="6" hidden="1">'Sch-2'!$G$20:$J$20</definedName>
    <definedName name="Z_7043F04C_1FA3_449D_BEB8_4AC08DF68A5A_.wvu.FilterData" localSheetId="7" hidden="1">'Sch-2 Dis'!$A$15:$F$56</definedName>
    <definedName name="Z_7043F04C_1FA3_449D_BEB8_4AC08DF68A5A_.wvu.FilterData" localSheetId="8" hidden="1">'Sch-3 Dis'!$A$15:$F$81</definedName>
    <definedName name="Z_7043F04C_1FA3_449D_BEB8_4AC08DF68A5A_.wvu.PrintArea" localSheetId="20" hidden="1">'Bid Form '!$A$1:$F$64</definedName>
    <definedName name="Z_7043F04C_1FA3_449D_BEB8_4AC08DF68A5A_.wvu.PrintArea" localSheetId="18" hidden="1">'Entry Tax'!$A$1:$E$16</definedName>
    <definedName name="Z_7043F04C_1FA3_449D_BEB8_4AC08DF68A5A_.wvu.PrintArea" localSheetId="2" hidden="1">Instructions!$A$1:$C$52</definedName>
    <definedName name="Z_7043F04C_1FA3_449D_BEB8_4AC08DF68A5A_.wvu.PrintArea" localSheetId="3" hidden="1">'Names of Bidder'!$B$1:$G$34</definedName>
    <definedName name="Z_7043F04C_1FA3_449D_BEB8_4AC08DF68A5A_.wvu.PrintArea" localSheetId="17" hidden="1">Octroi!$A$1:$E$16</definedName>
    <definedName name="Z_7043F04C_1FA3_449D_BEB8_4AC08DF68A5A_.wvu.PrintArea" localSheetId="19" hidden="1">'Other Taxes &amp; Duties'!$A$1:$F$16</definedName>
    <definedName name="Z_7043F04C_1FA3_449D_BEB8_4AC08DF68A5A_.wvu.PrintArea" localSheetId="22" hidden="1">'Q &amp; C'!$A$1:$F$38</definedName>
    <definedName name="Z_7043F04C_1FA3_449D_BEB8_4AC08DF68A5A_.wvu.PrintArea" localSheetId="21" hidden="1">'Q &amp; C (2)'!$A$1:$F$44</definedName>
    <definedName name="Z_7043F04C_1FA3_449D_BEB8_4AC08DF68A5A_.wvu.PrintArea" localSheetId="4" hidden="1">'Sch-1'!$A$1:$N$30</definedName>
    <definedName name="Z_7043F04C_1FA3_449D_BEB8_4AC08DF68A5A_.wvu.PrintArea" localSheetId="5" hidden="1">'Sch-1 dis'!$A$1:$G$84</definedName>
    <definedName name="Z_7043F04C_1FA3_449D_BEB8_4AC08DF68A5A_.wvu.PrintArea" localSheetId="6" hidden="1">'Sch-2'!$A$1:$J$23</definedName>
    <definedName name="Z_7043F04C_1FA3_449D_BEB8_4AC08DF68A5A_.wvu.PrintArea" localSheetId="7" hidden="1">'Sch-2 Dis'!$A$1:$F$62</definedName>
    <definedName name="Z_7043F04C_1FA3_449D_BEB8_4AC08DF68A5A_.wvu.PrintArea" localSheetId="14" hidden="1">'Sch-3'!$A$1:$D$28</definedName>
    <definedName name="Z_7043F04C_1FA3_449D_BEB8_4AC08DF68A5A_.wvu.PrintArea" localSheetId="8" hidden="1">'Sch-3 Dis'!$A$1:$F$87</definedName>
    <definedName name="Z_7043F04C_1FA3_449D_BEB8_4AC08DF68A5A_.wvu.PrintArea" localSheetId="9" hidden="1">'Sch-4'!$A$1:$F$21</definedName>
    <definedName name="Z_7043F04C_1FA3_449D_BEB8_4AC08DF68A5A_.wvu.PrintArea" localSheetId="13" hidden="1">'Sch-5 Dis'!$A$1:$E$23</definedName>
    <definedName name="Z_7043F04C_1FA3_449D_BEB8_4AC08DF68A5A_.wvu.PrintArea" localSheetId="15" hidden="1">'Sch-7'!$A$1:$F$26</definedName>
    <definedName name="Z_7043F04C_1FA3_449D_BEB8_4AC08DF68A5A_.wvu.PrintArea" localSheetId="16" hidden="1">'Sch-7 Dis'!$A$1:$G$28</definedName>
    <definedName name="Z_7043F04C_1FA3_449D_BEB8_4AC08DF68A5A_.wvu.PrintArea" localSheetId="12" hidden="1">'Schedule-2'!$A$1:$E$21</definedName>
    <definedName name="Z_7043F04C_1FA3_449D_BEB8_4AC08DF68A5A_.wvu.PrintTitles" localSheetId="4" hidden="1">'Sch-1'!$15:$17</definedName>
    <definedName name="Z_7043F04C_1FA3_449D_BEB8_4AC08DF68A5A_.wvu.PrintTitles" localSheetId="5" hidden="1">'Sch-1 dis'!$14:$16</definedName>
    <definedName name="Z_7043F04C_1FA3_449D_BEB8_4AC08DF68A5A_.wvu.PrintTitles" localSheetId="6" hidden="1">'Sch-2'!$14:$16</definedName>
    <definedName name="Z_7043F04C_1FA3_449D_BEB8_4AC08DF68A5A_.wvu.PrintTitles" localSheetId="7" hidden="1">'Sch-2 Dis'!$13:$15</definedName>
    <definedName name="Z_7043F04C_1FA3_449D_BEB8_4AC08DF68A5A_.wvu.PrintTitles" localSheetId="14" hidden="1">'Sch-3'!$3:$13</definedName>
    <definedName name="Z_7043F04C_1FA3_449D_BEB8_4AC08DF68A5A_.wvu.PrintTitles" localSheetId="8" hidden="1">'Sch-3 Dis'!$13:$15</definedName>
    <definedName name="Z_7043F04C_1FA3_449D_BEB8_4AC08DF68A5A_.wvu.PrintTitles" localSheetId="13" hidden="1">'Sch-5 Dis'!$3:$13</definedName>
    <definedName name="Z_7043F04C_1FA3_449D_BEB8_4AC08DF68A5A_.wvu.PrintTitles" localSheetId="15" hidden="1">'Sch-7'!$14:$14</definedName>
    <definedName name="Z_7043F04C_1FA3_449D_BEB8_4AC08DF68A5A_.wvu.PrintTitles" localSheetId="16" hidden="1">'Sch-7 Dis'!$14:$14</definedName>
    <definedName name="Z_7043F04C_1FA3_449D_BEB8_4AC08DF68A5A_.wvu.PrintTitles" localSheetId="12" hidden="1">'Schedule-2'!$3:$13</definedName>
    <definedName name="Z_7043F04C_1FA3_449D_BEB8_4AC08DF68A5A_.wvu.Rows" localSheetId="20" hidden="1">'Bid Form '!$23:$24,'Bid Form '!$27:$27,'Bid Form '!$38:$38</definedName>
    <definedName name="Z_7043F04C_1FA3_449D_BEB8_4AC08DF68A5A_.wvu.Rows" localSheetId="1" hidden="1">Cover!$7:$7</definedName>
    <definedName name="Z_7043F04C_1FA3_449D_BEB8_4AC08DF68A5A_.wvu.Rows" localSheetId="3" hidden="1">'Names of Bidder'!$6:$6</definedName>
    <definedName name="Z_7043F04C_1FA3_449D_BEB8_4AC08DF68A5A_.wvu.Rows" localSheetId="4" hidden="1">'Sch-1'!$22:$26</definedName>
    <definedName name="Z_7043F04C_1FA3_449D_BEB8_4AC08DF68A5A_.wvu.Rows" localSheetId="14" hidden="1">'Sch-3'!$16:$19,'Sch-3'!$22:$23</definedName>
    <definedName name="Z_7043F04C_1FA3_449D_BEB8_4AC08DF68A5A_.wvu.Rows" localSheetId="15" hidden="1">'Sch-7'!$98:$216</definedName>
    <definedName name="Z_7043F04C_1FA3_449D_BEB8_4AC08DF68A5A_.wvu.Rows" localSheetId="16" hidden="1">'Sch-7 Dis'!$104:$222</definedName>
    <definedName name="Z_7487ED9F_BBED_4B2A_9631_22F1A430946B_.wvu.Cols" localSheetId="10" hidden="1">'Sch-1  (2)'!$S:$AB,'Sch-1  (2)'!$AH:$AM</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Dis'!$AA:$AF</definedName>
    <definedName name="Z_7487ED9F_BBED_4B2A_9631_22F1A430946B_.wvu.Cols" localSheetId="15" hidden="1">'Sch-7'!$I:$L,'Sch-7'!$AD:$AJ</definedName>
    <definedName name="Z_7487ED9F_BBED_4B2A_9631_22F1A430946B_.wvu.Cols" localSheetId="16" hidden="1">'Sch-7 Dis'!$AD:$AJ</definedName>
    <definedName name="Z_7487ED9F_BBED_4B2A_9631_22F1A430946B_.wvu.Cols" localSheetId="12" hidden="1">'Schedule-2'!$I:$P</definedName>
    <definedName name="Z_7487ED9F_BBED_4B2A_9631_22F1A430946B_.wvu.FilterData" localSheetId="4" hidden="1">'Sch-1'!$A$18:$O$18</definedName>
    <definedName name="Z_7487ED9F_BBED_4B2A_9631_22F1A430946B_.wvu.FilterData" localSheetId="10" hidden="1">'Sch-1  (2)'!$A$17:$M$180</definedName>
    <definedName name="Z_7487ED9F_BBED_4B2A_9631_22F1A430946B_.wvu.FilterData" localSheetId="5" hidden="1">'Sch-1 dis'!$A$16:$B$21</definedName>
    <definedName name="Z_7487ED9F_BBED_4B2A_9631_22F1A430946B_.wvu.FilterData" localSheetId="6" hidden="1">'Sch-2'!$G$20:$J$20</definedName>
    <definedName name="Z_7487ED9F_BBED_4B2A_9631_22F1A430946B_.wvu.FilterData" localSheetId="7" hidden="1">'Sch-2 Dis'!$A$15:$F$56</definedName>
    <definedName name="Z_7487ED9F_BBED_4B2A_9631_22F1A430946B_.wvu.FilterData" localSheetId="8" hidden="1">'Sch-3 Dis'!$A$15:$F$81</definedName>
    <definedName name="Z_7487ED9F_BBED_4B2A_9631_22F1A430946B_.wvu.PrintArea" localSheetId="20" hidden="1">'Bid Form '!$A$1:$F$66</definedName>
    <definedName name="Z_7487ED9F_BBED_4B2A_9631_22F1A430946B_.wvu.PrintArea" localSheetId="18" hidden="1">'Entry Tax'!$A$1:$E$16</definedName>
    <definedName name="Z_7487ED9F_BBED_4B2A_9631_22F1A430946B_.wvu.PrintArea" localSheetId="2" hidden="1">Instructions!$A$1:$C$52</definedName>
    <definedName name="Z_7487ED9F_BBED_4B2A_9631_22F1A430946B_.wvu.PrintArea" localSheetId="3" hidden="1">'Names of Bidder'!$B$1:$G$34</definedName>
    <definedName name="Z_7487ED9F_BBED_4B2A_9631_22F1A430946B_.wvu.PrintArea" localSheetId="17" hidden="1">Octroi!$A$1:$E$16</definedName>
    <definedName name="Z_7487ED9F_BBED_4B2A_9631_22F1A430946B_.wvu.PrintArea" localSheetId="19" hidden="1">'Other Taxes &amp; Duties'!$A$1:$F$16</definedName>
    <definedName name="Z_7487ED9F_BBED_4B2A_9631_22F1A430946B_.wvu.PrintArea" localSheetId="22" hidden="1">'Q &amp; C'!$A$1:$F$38</definedName>
    <definedName name="Z_7487ED9F_BBED_4B2A_9631_22F1A430946B_.wvu.PrintArea" localSheetId="21" hidden="1">'Q &amp; C (2)'!$A$1:$F$44</definedName>
    <definedName name="Z_7487ED9F_BBED_4B2A_9631_22F1A430946B_.wvu.PrintArea" localSheetId="4" hidden="1">'Sch-1'!$A$1:$O$30</definedName>
    <definedName name="Z_7487ED9F_BBED_4B2A_9631_22F1A430946B_.wvu.PrintArea" localSheetId="10" hidden="1">'Sch-1  (2)'!$A$1:$M$180</definedName>
    <definedName name="Z_7487ED9F_BBED_4B2A_9631_22F1A430946B_.wvu.PrintArea" localSheetId="5" hidden="1">'Sch-1 dis'!$A$1:$G$84</definedName>
    <definedName name="Z_7487ED9F_BBED_4B2A_9631_22F1A430946B_.wvu.PrintArea" localSheetId="6" hidden="1">'Sch-2'!$A$1:$J$23</definedName>
    <definedName name="Z_7487ED9F_BBED_4B2A_9631_22F1A430946B_.wvu.PrintArea" localSheetId="7" hidden="1">'Sch-2 Dis'!$A$1:$F$62</definedName>
    <definedName name="Z_7487ED9F_BBED_4B2A_9631_22F1A430946B_.wvu.PrintArea" localSheetId="14" hidden="1">'Sch-3'!$A$1:$D$28</definedName>
    <definedName name="Z_7487ED9F_BBED_4B2A_9631_22F1A430946B_.wvu.PrintArea" localSheetId="8" hidden="1">'Sch-3 Dis'!$A$1:$F$87</definedName>
    <definedName name="Z_7487ED9F_BBED_4B2A_9631_22F1A430946B_.wvu.PrintArea" localSheetId="9" hidden="1">'Sch-4'!$A$1:$F$21</definedName>
    <definedName name="Z_7487ED9F_BBED_4B2A_9631_22F1A430946B_.wvu.PrintArea" localSheetId="13" hidden="1">'Sch-5 Dis'!$A$1:$E$23</definedName>
    <definedName name="Z_7487ED9F_BBED_4B2A_9631_22F1A430946B_.wvu.PrintArea" localSheetId="15" hidden="1">'Sch-7'!$A$1:$F$26</definedName>
    <definedName name="Z_7487ED9F_BBED_4B2A_9631_22F1A430946B_.wvu.PrintArea" localSheetId="16" hidden="1">'Sch-7 Dis'!$A$1:$G$28</definedName>
    <definedName name="Z_7487ED9F_BBED_4B2A_9631_22F1A430946B_.wvu.PrintArea" localSheetId="12" hidden="1">'Schedule-2'!$A$1:$E$21</definedName>
    <definedName name="Z_7487ED9F_BBED_4B2A_9631_22F1A430946B_.wvu.PrintTitles" localSheetId="4" hidden="1">'Sch-1'!$15:$17</definedName>
    <definedName name="Z_7487ED9F_BBED_4B2A_9631_22F1A430946B_.wvu.PrintTitles" localSheetId="10" hidden="1">'Sch-1  (2)'!$13:$16</definedName>
    <definedName name="Z_7487ED9F_BBED_4B2A_9631_22F1A430946B_.wvu.PrintTitles" localSheetId="5" hidden="1">'Sch-1 dis'!$14:$16</definedName>
    <definedName name="Z_7487ED9F_BBED_4B2A_9631_22F1A430946B_.wvu.PrintTitles" localSheetId="6" hidden="1">'Sch-2'!$14:$16</definedName>
    <definedName name="Z_7487ED9F_BBED_4B2A_9631_22F1A430946B_.wvu.PrintTitles" localSheetId="7" hidden="1">'Sch-2 Dis'!$13:$15</definedName>
    <definedName name="Z_7487ED9F_BBED_4B2A_9631_22F1A430946B_.wvu.PrintTitles" localSheetId="14" hidden="1">'Sch-3'!$3:$13</definedName>
    <definedName name="Z_7487ED9F_BBED_4B2A_9631_22F1A430946B_.wvu.PrintTitles" localSheetId="8" hidden="1">'Sch-3 Dis'!$13:$15</definedName>
    <definedName name="Z_7487ED9F_BBED_4B2A_9631_22F1A430946B_.wvu.PrintTitles" localSheetId="13" hidden="1">'Sch-5 Dis'!$3:$13</definedName>
    <definedName name="Z_7487ED9F_BBED_4B2A_9631_22F1A430946B_.wvu.PrintTitles" localSheetId="15" hidden="1">'Sch-7'!$14:$14</definedName>
    <definedName name="Z_7487ED9F_BBED_4B2A_9631_22F1A430946B_.wvu.PrintTitles" localSheetId="16" hidden="1">'Sch-7 Dis'!$14:$14</definedName>
    <definedName name="Z_7487ED9F_BBED_4B2A_9631_22F1A430946B_.wvu.PrintTitles" localSheetId="12" hidden="1">'Schedule-2'!$3:$13</definedName>
    <definedName name="Z_7487ED9F_BBED_4B2A_9631_22F1A430946B_.wvu.Rows" localSheetId="1" hidden="1">Cover!$7:$7</definedName>
    <definedName name="Z_7487ED9F_BBED_4B2A_9631_22F1A430946B_.wvu.Rows" localSheetId="6" hidden="1">'Sch-2'!#REF!,'Sch-2'!#REF!</definedName>
    <definedName name="Z_7487ED9F_BBED_4B2A_9631_22F1A430946B_.wvu.Rows" localSheetId="15" hidden="1">'Sch-7'!$23:$23,'Sch-7'!$98:$216</definedName>
    <definedName name="Z_7487ED9F_BBED_4B2A_9631_22F1A430946B_.wvu.Rows" localSheetId="16" hidden="1">'Sch-7 Dis'!$104:$222</definedName>
    <definedName name="Z_75D87FDD_0292_4E5A_8E8F_63018B009393_.wvu.Cols" localSheetId="4" hidden="1">'Sch-1'!$B:$E</definedName>
    <definedName name="Z_75D87FDD_0292_4E5A_8E8F_63018B009393_.wvu.Cols" localSheetId="10" hidden="1">'Sch-1  (2)'!$AH:$AM</definedName>
    <definedName name="Z_75D87FDD_0292_4E5A_8E8F_63018B009393_.wvu.Cols" localSheetId="6" hidden="1">'Sch-2'!$B:$E</definedName>
    <definedName name="Z_75D87FDD_0292_4E5A_8E8F_63018B009393_.wvu.Cols" localSheetId="7" hidden="1">'Sch-2 Dis'!$K:$Q</definedName>
    <definedName name="Z_75D87FDD_0292_4E5A_8E8F_63018B009393_.wvu.Cols" localSheetId="8" hidden="1">'Sch-3 Dis'!$AA:$AF</definedName>
    <definedName name="Z_75D87FDD_0292_4E5A_8E8F_63018B009393_.wvu.Cols" localSheetId="15" hidden="1">'Sch-7'!$I:$L,'Sch-7'!$AD:$AJ</definedName>
    <definedName name="Z_75D87FDD_0292_4E5A_8E8F_63018B009393_.wvu.Cols" localSheetId="16" hidden="1">'Sch-7 Dis'!$AD:$AJ</definedName>
    <definedName name="Z_75D87FDD_0292_4E5A_8E8F_63018B009393_.wvu.Cols" localSheetId="12" hidden="1">'Schedule-2'!$I:$P</definedName>
    <definedName name="Z_75D87FDD_0292_4E5A_8E8F_63018B009393_.wvu.FilterData" localSheetId="4" hidden="1">'Sch-1'!$K$1:$K$231</definedName>
    <definedName name="Z_75D87FDD_0292_4E5A_8E8F_63018B009393_.wvu.FilterData" localSheetId="10" hidden="1">'Sch-1  (2)'!#REF!</definedName>
    <definedName name="Z_75D87FDD_0292_4E5A_8E8F_63018B009393_.wvu.FilterData" localSheetId="5" hidden="1">'Sch-1 dis'!$A$16:$B$21</definedName>
    <definedName name="Z_75D87FDD_0292_4E5A_8E8F_63018B009393_.wvu.FilterData" localSheetId="6" hidden="1">'Sch-2'!$G$20:$J$20</definedName>
    <definedName name="Z_75D87FDD_0292_4E5A_8E8F_63018B009393_.wvu.FilterData" localSheetId="7" hidden="1">'Sch-2 Dis'!$A$15:$F$56</definedName>
    <definedName name="Z_75D87FDD_0292_4E5A_8E8F_63018B009393_.wvu.FilterData" localSheetId="8" hidden="1">'Sch-3 Dis'!$A$15:$F$81</definedName>
    <definedName name="Z_75D87FDD_0292_4E5A_8E8F_63018B009393_.wvu.PrintArea" localSheetId="20" hidden="1">'Bid Form '!$A$1:$F$64</definedName>
    <definedName name="Z_75D87FDD_0292_4E5A_8E8F_63018B009393_.wvu.PrintArea" localSheetId="18" hidden="1">'Entry Tax'!$A$1:$E$16</definedName>
    <definedName name="Z_75D87FDD_0292_4E5A_8E8F_63018B009393_.wvu.PrintArea" localSheetId="2" hidden="1">Instructions!$A$1:$C$52</definedName>
    <definedName name="Z_75D87FDD_0292_4E5A_8E8F_63018B009393_.wvu.PrintArea" localSheetId="3" hidden="1">'Names of Bidder'!$B$1:$G$34</definedName>
    <definedName name="Z_75D87FDD_0292_4E5A_8E8F_63018B009393_.wvu.PrintArea" localSheetId="17" hidden="1">Octroi!$A$1:$E$16</definedName>
    <definedName name="Z_75D87FDD_0292_4E5A_8E8F_63018B009393_.wvu.PrintArea" localSheetId="19" hidden="1">'Other Taxes &amp; Duties'!$A$1:$F$16</definedName>
    <definedName name="Z_75D87FDD_0292_4E5A_8E8F_63018B009393_.wvu.PrintArea" localSheetId="22" hidden="1">'Q &amp; C'!$A$1:$F$38</definedName>
    <definedName name="Z_75D87FDD_0292_4E5A_8E8F_63018B009393_.wvu.PrintArea" localSheetId="21" hidden="1">'Q &amp; C (2)'!$A$1:$F$44</definedName>
    <definedName name="Z_75D87FDD_0292_4E5A_8E8F_63018B009393_.wvu.PrintArea" localSheetId="4" hidden="1">'Sch-1'!$A$1:$O$30</definedName>
    <definedName name="Z_75D87FDD_0292_4E5A_8E8F_63018B009393_.wvu.PrintArea" localSheetId="10" hidden="1">'Sch-1  (2)'!$A$1:$N$180</definedName>
    <definedName name="Z_75D87FDD_0292_4E5A_8E8F_63018B009393_.wvu.PrintArea" localSheetId="5" hidden="1">'Sch-1 dis'!$A$1:$G$84</definedName>
    <definedName name="Z_75D87FDD_0292_4E5A_8E8F_63018B009393_.wvu.PrintArea" localSheetId="6" hidden="1">'Sch-2'!$A$1:$J$23</definedName>
    <definedName name="Z_75D87FDD_0292_4E5A_8E8F_63018B009393_.wvu.PrintArea" localSheetId="7" hidden="1">'Sch-2 Dis'!$A$1:$F$62</definedName>
    <definedName name="Z_75D87FDD_0292_4E5A_8E8F_63018B009393_.wvu.PrintArea" localSheetId="14" hidden="1">'Sch-3'!$A$1:$D$28</definedName>
    <definedName name="Z_75D87FDD_0292_4E5A_8E8F_63018B009393_.wvu.PrintArea" localSheetId="8" hidden="1">'Sch-3 Dis'!$A$1:$F$87</definedName>
    <definedName name="Z_75D87FDD_0292_4E5A_8E8F_63018B009393_.wvu.PrintArea" localSheetId="9" hidden="1">'Sch-4'!$A$1:$F$21</definedName>
    <definedName name="Z_75D87FDD_0292_4E5A_8E8F_63018B009393_.wvu.PrintArea" localSheetId="13" hidden="1">'Sch-5 Dis'!$A$1:$E$23</definedName>
    <definedName name="Z_75D87FDD_0292_4E5A_8E8F_63018B009393_.wvu.PrintArea" localSheetId="15" hidden="1">'Sch-7'!$A$1:$F$26</definedName>
    <definedName name="Z_75D87FDD_0292_4E5A_8E8F_63018B009393_.wvu.PrintArea" localSheetId="16" hidden="1">'Sch-7 Dis'!$A$1:$G$28</definedName>
    <definedName name="Z_75D87FDD_0292_4E5A_8E8F_63018B009393_.wvu.PrintArea" localSheetId="12" hidden="1">'Schedule-2'!$A$1:$E$21</definedName>
    <definedName name="Z_75D87FDD_0292_4E5A_8E8F_63018B009393_.wvu.PrintTitles" localSheetId="4" hidden="1">'Sch-1'!$15:$17</definedName>
    <definedName name="Z_75D87FDD_0292_4E5A_8E8F_63018B009393_.wvu.PrintTitles" localSheetId="10" hidden="1">'Sch-1  (2)'!$13:$16</definedName>
    <definedName name="Z_75D87FDD_0292_4E5A_8E8F_63018B009393_.wvu.PrintTitles" localSheetId="5" hidden="1">'Sch-1 dis'!$14:$16</definedName>
    <definedName name="Z_75D87FDD_0292_4E5A_8E8F_63018B009393_.wvu.PrintTitles" localSheetId="6" hidden="1">'Sch-2'!$14:$16</definedName>
    <definedName name="Z_75D87FDD_0292_4E5A_8E8F_63018B009393_.wvu.PrintTitles" localSheetId="7" hidden="1">'Sch-2 Dis'!$13:$15</definedName>
    <definedName name="Z_75D87FDD_0292_4E5A_8E8F_63018B009393_.wvu.PrintTitles" localSheetId="14" hidden="1">'Sch-3'!$3:$13</definedName>
    <definedName name="Z_75D87FDD_0292_4E5A_8E8F_63018B009393_.wvu.PrintTitles" localSheetId="8" hidden="1">'Sch-3 Dis'!$13:$15</definedName>
    <definedName name="Z_75D87FDD_0292_4E5A_8E8F_63018B009393_.wvu.PrintTitles" localSheetId="13" hidden="1">'Sch-5 Dis'!$3:$13</definedName>
    <definedName name="Z_75D87FDD_0292_4E5A_8E8F_63018B009393_.wvu.PrintTitles" localSheetId="15" hidden="1">'Sch-7'!$14:$14</definedName>
    <definedName name="Z_75D87FDD_0292_4E5A_8E8F_63018B009393_.wvu.PrintTitles" localSheetId="16" hidden="1">'Sch-7 Dis'!$14:$14</definedName>
    <definedName name="Z_75D87FDD_0292_4E5A_8E8F_63018B009393_.wvu.PrintTitles" localSheetId="12" hidden="1">'Schedule-2'!$3:$13</definedName>
    <definedName name="Z_75D87FDD_0292_4E5A_8E8F_63018B009393_.wvu.Rows" localSheetId="20" hidden="1">'Bid Form '!$23:$24,'Bid Form '!$27:$27,'Bid Form '!$38:$38</definedName>
    <definedName name="Z_75D87FDD_0292_4E5A_8E8F_63018B009393_.wvu.Rows" localSheetId="1" hidden="1">Cover!$7:$7</definedName>
    <definedName name="Z_75D87FDD_0292_4E5A_8E8F_63018B009393_.wvu.Rows" localSheetId="2" hidden="1">Instructions!$15:$17,Instructions!$24:$24,Instructions!$26:$26,Instructions!$30:$34,Instructions!$40:$42</definedName>
    <definedName name="Z_75D87FDD_0292_4E5A_8E8F_63018B009393_.wvu.Rows" localSheetId="3" hidden="1">'Names of Bidder'!$6:$6</definedName>
    <definedName name="Z_75D87FDD_0292_4E5A_8E8F_63018B009393_.wvu.Rows" localSheetId="4" hidden="1">'Sch-1'!$22:$26</definedName>
    <definedName name="Z_75D87FDD_0292_4E5A_8E8F_63018B009393_.wvu.Rows" localSheetId="14" hidden="1">'Sch-3'!$18:$19,'Sch-3'!$22:$23</definedName>
    <definedName name="Z_75D87FDD_0292_4E5A_8E8F_63018B009393_.wvu.Rows" localSheetId="15" hidden="1">'Sch-7'!$98:$216</definedName>
    <definedName name="Z_75D87FDD_0292_4E5A_8E8F_63018B009393_.wvu.Rows" localSheetId="16" hidden="1">'Sch-7 Dis'!$104:$222</definedName>
    <definedName name="Z_75D87FDD_0292_4E5A_8E8F_63018B009393_.wvu.Rows" localSheetId="12" hidden="1">'Schedule-2'!$16:$17</definedName>
    <definedName name="Z_7F1A5DE7_1043_4C11_AB2C_CC6BC6A0F482_.wvu.Cols" localSheetId="20" hidden="1">'Bid Form '!$G:$AO</definedName>
    <definedName name="Z_7F1A5DE7_1043_4C11_AB2C_CC6BC6A0F482_.wvu.Cols" localSheetId="7" hidden="1">'Sch-2 Dis'!$K:$Q</definedName>
    <definedName name="Z_7F1A5DE7_1043_4C11_AB2C_CC6BC6A0F482_.wvu.Cols" localSheetId="8" hidden="1">'Sch-3 Dis'!$AA:$AF</definedName>
    <definedName name="Z_7F1A5DE7_1043_4C11_AB2C_CC6BC6A0F482_.wvu.Cols" localSheetId="15" hidden="1">'Sch-7'!$I:$L,'Sch-7'!$AD:$AJ</definedName>
    <definedName name="Z_7F1A5DE7_1043_4C11_AB2C_CC6BC6A0F482_.wvu.Cols" localSheetId="16" hidden="1">'Sch-7 Dis'!$AD:$AJ</definedName>
    <definedName name="Z_7F1A5DE7_1043_4C11_AB2C_CC6BC6A0F482_.wvu.Cols" localSheetId="12" hidden="1">'Schedule-2'!$I:$P</definedName>
    <definedName name="Z_7F1A5DE7_1043_4C11_AB2C_CC6BC6A0F482_.wvu.FilterData" localSheetId="4" hidden="1">'Sch-1'!$A$18:$Z$18</definedName>
    <definedName name="Z_7F1A5DE7_1043_4C11_AB2C_CC6BC6A0F482_.wvu.FilterData" localSheetId="5" hidden="1">'Sch-1 dis'!$A$16:$B$21</definedName>
    <definedName name="Z_7F1A5DE7_1043_4C11_AB2C_CC6BC6A0F482_.wvu.FilterData" localSheetId="6" hidden="1">'Sch-2'!$G$20:$J$20</definedName>
    <definedName name="Z_7F1A5DE7_1043_4C11_AB2C_CC6BC6A0F482_.wvu.FilterData" localSheetId="7" hidden="1">'Sch-2 Dis'!$A$15:$F$56</definedName>
    <definedName name="Z_7F1A5DE7_1043_4C11_AB2C_CC6BC6A0F482_.wvu.FilterData" localSheetId="8" hidden="1">'Sch-3 Dis'!$A$15:$F$81</definedName>
    <definedName name="Z_7F1A5DE7_1043_4C11_AB2C_CC6BC6A0F482_.wvu.PrintArea" localSheetId="20" hidden="1">'Bid Form '!$A$1:$F$66</definedName>
    <definedName name="Z_7F1A5DE7_1043_4C11_AB2C_CC6BC6A0F482_.wvu.PrintArea" localSheetId="18" hidden="1">'Entry Tax'!$A$1:$E$16</definedName>
    <definedName name="Z_7F1A5DE7_1043_4C11_AB2C_CC6BC6A0F482_.wvu.PrintArea" localSheetId="2" hidden="1">Instructions!$A$1:$C$52</definedName>
    <definedName name="Z_7F1A5DE7_1043_4C11_AB2C_CC6BC6A0F482_.wvu.PrintArea" localSheetId="3" hidden="1">'Names of Bidder'!$B$1:$G$34</definedName>
    <definedName name="Z_7F1A5DE7_1043_4C11_AB2C_CC6BC6A0F482_.wvu.PrintArea" localSheetId="17" hidden="1">Octroi!$A$1:$E$16</definedName>
    <definedName name="Z_7F1A5DE7_1043_4C11_AB2C_CC6BC6A0F482_.wvu.PrintArea" localSheetId="19" hidden="1">'Other Taxes &amp; Duties'!$A$1:$F$16</definedName>
    <definedName name="Z_7F1A5DE7_1043_4C11_AB2C_CC6BC6A0F482_.wvu.PrintArea" localSheetId="22" hidden="1">'Q &amp; C'!$A$1:$F$38</definedName>
    <definedName name="Z_7F1A5DE7_1043_4C11_AB2C_CC6BC6A0F482_.wvu.PrintArea" localSheetId="21" hidden="1">'Q &amp; C (2)'!$A$1:$F$44</definedName>
    <definedName name="Z_7F1A5DE7_1043_4C11_AB2C_CC6BC6A0F482_.wvu.PrintArea" localSheetId="4" hidden="1">'Sch-1'!$A$1:$N$30</definedName>
    <definedName name="Z_7F1A5DE7_1043_4C11_AB2C_CC6BC6A0F482_.wvu.PrintArea" localSheetId="5" hidden="1">'Sch-1 dis'!$A$1:$G$84</definedName>
    <definedName name="Z_7F1A5DE7_1043_4C11_AB2C_CC6BC6A0F482_.wvu.PrintArea" localSheetId="6" hidden="1">'Sch-2'!$A$1:$J$23</definedName>
    <definedName name="Z_7F1A5DE7_1043_4C11_AB2C_CC6BC6A0F482_.wvu.PrintArea" localSheetId="7" hidden="1">'Sch-2 Dis'!$A$1:$F$62</definedName>
    <definedName name="Z_7F1A5DE7_1043_4C11_AB2C_CC6BC6A0F482_.wvu.PrintArea" localSheetId="14" hidden="1">'Sch-3'!$A$1:$D$28</definedName>
    <definedName name="Z_7F1A5DE7_1043_4C11_AB2C_CC6BC6A0F482_.wvu.PrintArea" localSheetId="8" hidden="1">'Sch-3 Dis'!$A$1:$F$87</definedName>
    <definedName name="Z_7F1A5DE7_1043_4C11_AB2C_CC6BC6A0F482_.wvu.PrintArea" localSheetId="9" hidden="1">'Sch-4'!$A$1:$F$21</definedName>
    <definedName name="Z_7F1A5DE7_1043_4C11_AB2C_CC6BC6A0F482_.wvu.PrintArea" localSheetId="13" hidden="1">'Sch-5 Dis'!$A$1:$E$23</definedName>
    <definedName name="Z_7F1A5DE7_1043_4C11_AB2C_CC6BC6A0F482_.wvu.PrintArea" localSheetId="15" hidden="1">'Sch-7'!$A$1:$F$26</definedName>
    <definedName name="Z_7F1A5DE7_1043_4C11_AB2C_CC6BC6A0F482_.wvu.PrintArea" localSheetId="16" hidden="1">'Sch-7 Dis'!$A$1:$G$28</definedName>
    <definedName name="Z_7F1A5DE7_1043_4C11_AB2C_CC6BC6A0F482_.wvu.PrintArea" localSheetId="12" hidden="1">'Schedule-2'!$A$1:$E$21</definedName>
    <definedName name="Z_7F1A5DE7_1043_4C11_AB2C_CC6BC6A0F482_.wvu.PrintTitles" localSheetId="4" hidden="1">'Sch-1'!$15:$17</definedName>
    <definedName name="Z_7F1A5DE7_1043_4C11_AB2C_CC6BC6A0F482_.wvu.PrintTitles" localSheetId="5" hidden="1">'Sch-1 dis'!$14:$16</definedName>
    <definedName name="Z_7F1A5DE7_1043_4C11_AB2C_CC6BC6A0F482_.wvu.PrintTitles" localSheetId="6" hidden="1">'Sch-2'!$14:$16</definedName>
    <definedName name="Z_7F1A5DE7_1043_4C11_AB2C_CC6BC6A0F482_.wvu.PrintTitles" localSheetId="7" hidden="1">'Sch-2 Dis'!$13:$15</definedName>
    <definedName name="Z_7F1A5DE7_1043_4C11_AB2C_CC6BC6A0F482_.wvu.PrintTitles" localSheetId="14" hidden="1">'Sch-3'!$3:$13</definedName>
    <definedName name="Z_7F1A5DE7_1043_4C11_AB2C_CC6BC6A0F482_.wvu.PrintTitles" localSheetId="8" hidden="1">'Sch-3 Dis'!$13:$15</definedName>
    <definedName name="Z_7F1A5DE7_1043_4C11_AB2C_CC6BC6A0F482_.wvu.PrintTitles" localSheetId="13" hidden="1">'Sch-5 Dis'!$3:$13</definedName>
    <definedName name="Z_7F1A5DE7_1043_4C11_AB2C_CC6BC6A0F482_.wvu.PrintTitles" localSheetId="15" hidden="1">'Sch-7'!$14:$14</definedName>
    <definedName name="Z_7F1A5DE7_1043_4C11_AB2C_CC6BC6A0F482_.wvu.PrintTitles" localSheetId="16" hidden="1">'Sch-7 Dis'!$14:$14</definedName>
    <definedName name="Z_7F1A5DE7_1043_4C11_AB2C_CC6BC6A0F482_.wvu.PrintTitles" localSheetId="12" hidden="1">'Schedule-2'!$3:$13</definedName>
    <definedName name="Z_7F1A5DE7_1043_4C11_AB2C_CC6BC6A0F482_.wvu.Rows" localSheetId="1" hidden="1">Cover!$7:$7</definedName>
    <definedName name="Z_7F1A5DE7_1043_4C11_AB2C_CC6BC6A0F482_.wvu.Rows" localSheetId="15" hidden="1">'Sch-7'!$98:$216</definedName>
    <definedName name="Z_7F1A5DE7_1043_4C11_AB2C_CC6BC6A0F482_.wvu.Rows" localSheetId="16" hidden="1">'Sch-7 Dis'!$104:$222</definedName>
    <definedName name="Z_86B8F583_1D80_4706_A303_30286C17F3DF_.wvu.Cols" localSheetId="10" hidden="1">'Sch-1  (2)'!$AH:$AM</definedName>
    <definedName name="Z_86B8F583_1D80_4706_A303_30286C17F3DF_.wvu.FilterData" localSheetId="10" hidden="1">'Sch-1  (2)'!#REF!</definedName>
    <definedName name="Z_86B8F583_1D80_4706_A303_30286C17F3DF_.wvu.PrintArea" localSheetId="10" hidden="1">'Sch-1  (2)'!$A$1:$N$180</definedName>
    <definedName name="Z_86B8F583_1D80_4706_A303_30286C17F3DF_.wvu.PrintTitles" localSheetId="10" hidden="1">'Sch-1  (2)'!$13:$16</definedName>
    <definedName name="Z_A7DBDDEF_9245_44C6_9EBF_032DB6E1C0A2_.wvu.Cols" localSheetId="4" hidden="1">'Sch-1'!$P:$P,'Sch-1'!#REF!</definedName>
    <definedName name="Z_A7DBDDEF_9245_44C6_9EBF_032DB6E1C0A2_.wvu.Cols" localSheetId="10" hidden="1">'Sch-1  (2)'!$S:$AB,'Sch-1  (2)'!$AH:$AM</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Dis'!$AA:$AF</definedName>
    <definedName name="Z_A7DBDDEF_9245_44C6_9EBF_032DB6E1C0A2_.wvu.Cols" localSheetId="15" hidden="1">'Sch-7'!$I:$L,'Sch-7'!$AD:$AJ</definedName>
    <definedName name="Z_A7DBDDEF_9245_44C6_9EBF_032DB6E1C0A2_.wvu.Cols" localSheetId="16" hidden="1">'Sch-7 Dis'!$AD:$AJ</definedName>
    <definedName name="Z_A7DBDDEF_9245_44C6_9EBF_032DB6E1C0A2_.wvu.Cols" localSheetId="12" hidden="1">'Schedule-2'!$I:$P</definedName>
    <definedName name="Z_A7DBDDEF_9245_44C6_9EBF_032DB6E1C0A2_.wvu.FilterData" localSheetId="4" hidden="1">'Sch-1'!$A$18:$O$18</definedName>
    <definedName name="Z_A7DBDDEF_9245_44C6_9EBF_032DB6E1C0A2_.wvu.FilterData" localSheetId="10" hidden="1">'Sch-1  (2)'!$A$17:$M$180</definedName>
    <definedName name="Z_A7DBDDEF_9245_44C6_9EBF_032DB6E1C0A2_.wvu.FilterData" localSheetId="5" hidden="1">'Sch-1 dis'!$A$16:$B$21</definedName>
    <definedName name="Z_A7DBDDEF_9245_44C6_9EBF_032DB6E1C0A2_.wvu.FilterData" localSheetId="6" hidden="1">'Sch-2'!$G$20:$J$20</definedName>
    <definedName name="Z_A7DBDDEF_9245_44C6_9EBF_032DB6E1C0A2_.wvu.FilterData" localSheetId="7" hidden="1">'Sch-2 Dis'!$A$15:$F$56</definedName>
    <definedName name="Z_A7DBDDEF_9245_44C6_9EBF_032DB6E1C0A2_.wvu.FilterData" localSheetId="8" hidden="1">'Sch-3 Dis'!$A$15:$F$81</definedName>
    <definedName name="Z_A7DBDDEF_9245_44C6_9EBF_032DB6E1C0A2_.wvu.PrintArea" localSheetId="20" hidden="1">'Bid Form '!$A$1:$F$66</definedName>
    <definedName name="Z_A7DBDDEF_9245_44C6_9EBF_032DB6E1C0A2_.wvu.PrintArea" localSheetId="18" hidden="1">'Entry Tax'!$A$1:$E$16</definedName>
    <definedName name="Z_A7DBDDEF_9245_44C6_9EBF_032DB6E1C0A2_.wvu.PrintArea" localSheetId="2" hidden="1">Instructions!$A$1:$C$52</definedName>
    <definedName name="Z_A7DBDDEF_9245_44C6_9EBF_032DB6E1C0A2_.wvu.PrintArea" localSheetId="3" hidden="1">'Names of Bidder'!$B$1:$G$34</definedName>
    <definedName name="Z_A7DBDDEF_9245_44C6_9EBF_032DB6E1C0A2_.wvu.PrintArea" localSheetId="17" hidden="1">Octroi!$A$1:$E$16</definedName>
    <definedName name="Z_A7DBDDEF_9245_44C6_9EBF_032DB6E1C0A2_.wvu.PrintArea" localSheetId="19" hidden="1">'Other Taxes &amp; Duties'!$A$1:$F$16</definedName>
    <definedName name="Z_A7DBDDEF_9245_44C6_9EBF_032DB6E1C0A2_.wvu.PrintArea" localSheetId="22" hidden="1">'Q &amp; C'!$A$1:$F$38</definedName>
    <definedName name="Z_A7DBDDEF_9245_44C6_9EBF_032DB6E1C0A2_.wvu.PrintArea" localSheetId="21" hidden="1">'Q &amp; C (2)'!$A$1:$F$44</definedName>
    <definedName name="Z_A7DBDDEF_9245_44C6_9EBF_032DB6E1C0A2_.wvu.PrintArea" localSheetId="4" hidden="1">'Sch-1'!$A$1:$O$30</definedName>
    <definedName name="Z_A7DBDDEF_9245_44C6_9EBF_032DB6E1C0A2_.wvu.PrintArea" localSheetId="10" hidden="1">'Sch-1  (2)'!$A$1:$M$180</definedName>
    <definedName name="Z_A7DBDDEF_9245_44C6_9EBF_032DB6E1C0A2_.wvu.PrintArea" localSheetId="5" hidden="1">'Sch-1 dis'!$A$1:$G$84</definedName>
    <definedName name="Z_A7DBDDEF_9245_44C6_9EBF_032DB6E1C0A2_.wvu.PrintArea" localSheetId="6" hidden="1">'Sch-2'!$A$1:$J$23</definedName>
    <definedName name="Z_A7DBDDEF_9245_44C6_9EBF_032DB6E1C0A2_.wvu.PrintArea" localSheetId="7" hidden="1">'Sch-2 Dis'!$A$1:$F$62</definedName>
    <definedName name="Z_A7DBDDEF_9245_44C6_9EBF_032DB6E1C0A2_.wvu.PrintArea" localSheetId="14" hidden="1">'Sch-3'!$A$1:$D$28</definedName>
    <definedName name="Z_A7DBDDEF_9245_44C6_9EBF_032DB6E1C0A2_.wvu.PrintArea" localSheetId="8" hidden="1">'Sch-3 Dis'!$A$1:$F$87</definedName>
    <definedName name="Z_A7DBDDEF_9245_44C6_9EBF_032DB6E1C0A2_.wvu.PrintArea" localSheetId="9" hidden="1">'Sch-4'!$A$1:$F$21</definedName>
    <definedName name="Z_A7DBDDEF_9245_44C6_9EBF_032DB6E1C0A2_.wvu.PrintArea" localSheetId="13" hidden="1">'Sch-5 Dis'!$A$1:$E$23</definedName>
    <definedName name="Z_A7DBDDEF_9245_44C6_9EBF_032DB6E1C0A2_.wvu.PrintArea" localSheetId="15" hidden="1">'Sch-7'!$A$1:$F$26</definedName>
    <definedName name="Z_A7DBDDEF_9245_44C6_9EBF_032DB6E1C0A2_.wvu.PrintArea" localSheetId="16" hidden="1">'Sch-7 Dis'!$A$1:$G$28</definedName>
    <definedName name="Z_A7DBDDEF_9245_44C6_9EBF_032DB6E1C0A2_.wvu.PrintArea" localSheetId="12" hidden="1">'Schedule-2'!$A$1:$E$21</definedName>
    <definedName name="Z_A7DBDDEF_9245_44C6_9EBF_032DB6E1C0A2_.wvu.PrintTitles" localSheetId="4" hidden="1">'Sch-1'!$15:$17</definedName>
    <definedName name="Z_A7DBDDEF_9245_44C6_9EBF_032DB6E1C0A2_.wvu.PrintTitles" localSheetId="10" hidden="1">'Sch-1  (2)'!$13:$16</definedName>
    <definedName name="Z_A7DBDDEF_9245_44C6_9EBF_032DB6E1C0A2_.wvu.PrintTitles" localSheetId="5" hidden="1">'Sch-1 dis'!$14:$16</definedName>
    <definedName name="Z_A7DBDDEF_9245_44C6_9EBF_032DB6E1C0A2_.wvu.PrintTitles" localSheetId="6" hidden="1">'Sch-2'!$14:$16</definedName>
    <definedName name="Z_A7DBDDEF_9245_44C6_9EBF_032DB6E1C0A2_.wvu.PrintTitles" localSheetId="7" hidden="1">'Sch-2 Dis'!$13:$15</definedName>
    <definedName name="Z_A7DBDDEF_9245_44C6_9EBF_032DB6E1C0A2_.wvu.PrintTitles" localSheetId="14" hidden="1">'Sch-3'!$3:$13</definedName>
    <definedName name="Z_A7DBDDEF_9245_44C6_9EBF_032DB6E1C0A2_.wvu.PrintTitles" localSheetId="8" hidden="1">'Sch-3 Dis'!$13:$15</definedName>
    <definedName name="Z_A7DBDDEF_9245_44C6_9EBF_032DB6E1C0A2_.wvu.PrintTitles" localSheetId="13" hidden="1">'Sch-5 Dis'!$3:$13</definedName>
    <definedName name="Z_A7DBDDEF_9245_44C6_9EBF_032DB6E1C0A2_.wvu.PrintTitles" localSheetId="15" hidden="1">'Sch-7'!$14:$14</definedName>
    <definedName name="Z_A7DBDDEF_9245_44C6_9EBF_032DB6E1C0A2_.wvu.PrintTitles" localSheetId="16" hidden="1">'Sch-7 Dis'!$14:$14</definedName>
    <definedName name="Z_A7DBDDEF_9245_44C6_9EBF_032DB6E1C0A2_.wvu.PrintTitles" localSheetId="12" hidden="1">'Schedule-2'!$3:$13</definedName>
    <definedName name="Z_A7DBDDEF_9245_44C6_9EBF_032DB6E1C0A2_.wvu.Rows" localSheetId="1" hidden="1">Cover!$7:$7</definedName>
    <definedName name="Z_A7DBDDEF_9245_44C6_9EBF_032DB6E1C0A2_.wvu.Rows" localSheetId="4" hidden="1">'Sch-1'!#REF!,'Sch-1'!#REF!,'Sch-1'!#REF!,'Sch-1'!#REF!</definedName>
    <definedName name="Z_A7DBDDEF_9245_44C6_9EBF_032DB6E1C0A2_.wvu.Rows" localSheetId="10" hidden="1">'Sch-1  (2)'!#REF!,'Sch-1  (2)'!#REF!,'Sch-1  (2)'!#REF!,'Sch-1  (2)'!#REF!</definedName>
    <definedName name="Z_A7DBDDEF_9245_44C6_9EBF_032DB6E1C0A2_.wvu.Rows" localSheetId="6" hidden="1">'Sch-2'!#REF!,'Sch-2'!#REF!,'Sch-2'!#REF!,'Sch-2'!#REF!</definedName>
    <definedName name="Z_A7DBDDEF_9245_44C6_9EBF_032DB6E1C0A2_.wvu.Rows" localSheetId="15" hidden="1">'Sch-7'!$23:$23,'Sch-7'!$98:$216</definedName>
    <definedName name="Z_A7DBDDEF_9245_44C6_9EBF_032DB6E1C0A2_.wvu.Rows" localSheetId="16" hidden="1">'Sch-7 Dis'!$104:$222</definedName>
    <definedName name="Z_B23AD343_29DA_4CE0_BD10_47BF44F3782F_.wvu.Cols" localSheetId="4" hidden="1">'Sch-1'!$R:$W</definedName>
    <definedName name="Z_B23AD343_29DA_4CE0_BD10_47BF44F3782F_.wvu.Cols" localSheetId="10" hidden="1">'Sch-1  (2)'!$S:$AB,'Sch-1  (2)'!$AH:$AM</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Dis'!$AA:$AF</definedName>
    <definedName name="Z_B23AD343_29DA_4CE0_BD10_47BF44F3782F_.wvu.Cols" localSheetId="15" hidden="1">'Sch-7'!$I:$L,'Sch-7'!$AD:$AJ</definedName>
    <definedName name="Z_B23AD343_29DA_4CE0_BD10_47BF44F3782F_.wvu.Cols" localSheetId="16" hidden="1">'Sch-7 Dis'!$AD:$AJ</definedName>
    <definedName name="Z_B23AD343_29DA_4CE0_BD10_47BF44F3782F_.wvu.Cols" localSheetId="12" hidden="1">'Schedule-2'!$I:$P</definedName>
    <definedName name="Z_B23AD343_29DA_4CE0_BD10_47BF44F3782F_.wvu.FilterData" localSheetId="4" hidden="1">'Sch-1'!$A$18:$O$18</definedName>
    <definedName name="Z_B23AD343_29DA_4CE0_BD10_47BF44F3782F_.wvu.FilterData" localSheetId="10" hidden="1">'Sch-1  (2)'!$A$17:$M$180</definedName>
    <definedName name="Z_B23AD343_29DA_4CE0_BD10_47BF44F3782F_.wvu.FilterData" localSheetId="5" hidden="1">'Sch-1 dis'!$A$16:$B$21</definedName>
    <definedName name="Z_B23AD343_29DA_4CE0_BD10_47BF44F3782F_.wvu.FilterData" localSheetId="6" hidden="1">'Sch-2'!$G$20:$J$20</definedName>
    <definedName name="Z_B23AD343_29DA_4CE0_BD10_47BF44F3782F_.wvu.FilterData" localSheetId="7" hidden="1">'Sch-2 Dis'!$A$15:$F$56</definedName>
    <definedName name="Z_B23AD343_29DA_4CE0_BD10_47BF44F3782F_.wvu.FilterData" localSheetId="8" hidden="1">'Sch-3 Dis'!$A$15:$F$81</definedName>
    <definedName name="Z_B23AD343_29DA_4CE0_BD10_47BF44F3782F_.wvu.PrintArea" localSheetId="20" hidden="1">'Bid Form '!$A$1:$F$66</definedName>
    <definedName name="Z_B23AD343_29DA_4CE0_BD10_47BF44F3782F_.wvu.PrintArea" localSheetId="18" hidden="1">'Entry Tax'!$A$1:$E$16</definedName>
    <definedName name="Z_B23AD343_29DA_4CE0_BD10_47BF44F3782F_.wvu.PrintArea" localSheetId="2" hidden="1">Instructions!$A$1:$C$52</definedName>
    <definedName name="Z_B23AD343_29DA_4CE0_BD10_47BF44F3782F_.wvu.PrintArea" localSheetId="3" hidden="1">'Names of Bidder'!$B$1:$E$32</definedName>
    <definedName name="Z_B23AD343_29DA_4CE0_BD10_47BF44F3782F_.wvu.PrintArea" localSheetId="17" hidden="1">Octroi!$A$1:$E$16</definedName>
    <definedName name="Z_B23AD343_29DA_4CE0_BD10_47BF44F3782F_.wvu.PrintArea" localSheetId="19" hidden="1">'Other Taxes &amp; Duties'!$A$1:$F$16</definedName>
    <definedName name="Z_B23AD343_29DA_4CE0_BD10_47BF44F3782F_.wvu.PrintArea" localSheetId="22" hidden="1">'Q &amp; C'!$A$1:$F$38</definedName>
    <definedName name="Z_B23AD343_29DA_4CE0_BD10_47BF44F3782F_.wvu.PrintArea" localSheetId="21" hidden="1">'Q &amp; C (2)'!$A$1:$F$44</definedName>
    <definedName name="Z_B23AD343_29DA_4CE0_BD10_47BF44F3782F_.wvu.PrintArea" localSheetId="4" hidden="1">'Sch-1'!$A$1:$O$30</definedName>
    <definedName name="Z_B23AD343_29DA_4CE0_BD10_47BF44F3782F_.wvu.PrintArea" localSheetId="10" hidden="1">'Sch-1  (2)'!$A$1:$M$180</definedName>
    <definedName name="Z_B23AD343_29DA_4CE0_BD10_47BF44F3782F_.wvu.PrintArea" localSheetId="5" hidden="1">'Sch-1 dis'!$A$1:$G$84</definedName>
    <definedName name="Z_B23AD343_29DA_4CE0_BD10_47BF44F3782F_.wvu.PrintArea" localSheetId="6" hidden="1">'Sch-2'!$A$1:$J$23</definedName>
    <definedName name="Z_B23AD343_29DA_4CE0_BD10_47BF44F3782F_.wvu.PrintArea" localSheetId="7" hidden="1">'Sch-2 Dis'!$A$1:$F$62</definedName>
    <definedName name="Z_B23AD343_29DA_4CE0_BD10_47BF44F3782F_.wvu.PrintArea" localSheetId="14" hidden="1">'Sch-3'!$A$1:$D$29</definedName>
    <definedName name="Z_B23AD343_29DA_4CE0_BD10_47BF44F3782F_.wvu.PrintArea" localSheetId="8" hidden="1">'Sch-3 Dis'!$A$1:$F$87</definedName>
    <definedName name="Z_B23AD343_29DA_4CE0_BD10_47BF44F3782F_.wvu.PrintArea" localSheetId="9" hidden="1">'Sch-4'!$A$1:$F$21</definedName>
    <definedName name="Z_B23AD343_29DA_4CE0_BD10_47BF44F3782F_.wvu.PrintArea" localSheetId="13" hidden="1">'Sch-5 Dis'!$A$1:$E$23</definedName>
    <definedName name="Z_B23AD343_29DA_4CE0_BD10_47BF44F3782F_.wvu.PrintArea" localSheetId="15" hidden="1">'Sch-7'!$A$1:$F$26</definedName>
    <definedName name="Z_B23AD343_29DA_4CE0_BD10_47BF44F3782F_.wvu.PrintArea" localSheetId="16" hidden="1">'Sch-7 Dis'!$A$1:$G$28</definedName>
    <definedName name="Z_B23AD343_29DA_4CE0_BD10_47BF44F3782F_.wvu.PrintArea" localSheetId="12" hidden="1">'Schedule-2'!$A$1:$E$21</definedName>
    <definedName name="Z_B23AD343_29DA_4CE0_BD10_47BF44F3782F_.wvu.PrintTitles" localSheetId="4" hidden="1">'Sch-1'!$15:$17</definedName>
    <definedName name="Z_B23AD343_29DA_4CE0_BD10_47BF44F3782F_.wvu.PrintTitles" localSheetId="10" hidden="1">'Sch-1  (2)'!$13:$16</definedName>
    <definedName name="Z_B23AD343_29DA_4CE0_BD10_47BF44F3782F_.wvu.PrintTitles" localSheetId="5" hidden="1">'Sch-1 dis'!$14:$16</definedName>
    <definedName name="Z_B23AD343_29DA_4CE0_BD10_47BF44F3782F_.wvu.PrintTitles" localSheetId="6" hidden="1">'Sch-2'!$14:$16</definedName>
    <definedName name="Z_B23AD343_29DA_4CE0_BD10_47BF44F3782F_.wvu.PrintTitles" localSheetId="7" hidden="1">'Sch-2 Dis'!$13:$15</definedName>
    <definedName name="Z_B23AD343_29DA_4CE0_BD10_47BF44F3782F_.wvu.PrintTitles" localSheetId="14" hidden="1">'Sch-3'!$3:$13</definedName>
    <definedName name="Z_B23AD343_29DA_4CE0_BD10_47BF44F3782F_.wvu.PrintTitles" localSheetId="8" hidden="1">'Sch-3 Dis'!$13:$15</definedName>
    <definedName name="Z_B23AD343_29DA_4CE0_BD10_47BF44F3782F_.wvu.PrintTitles" localSheetId="13" hidden="1">'Sch-5 Dis'!$3:$13</definedName>
    <definedName name="Z_B23AD343_29DA_4CE0_BD10_47BF44F3782F_.wvu.PrintTitles" localSheetId="15" hidden="1">'Sch-7'!$14:$14</definedName>
    <definedName name="Z_B23AD343_29DA_4CE0_BD10_47BF44F3782F_.wvu.PrintTitles" localSheetId="16" hidden="1">'Sch-7 Dis'!$14:$14</definedName>
    <definedName name="Z_B23AD343_29DA_4CE0_BD10_47BF44F3782F_.wvu.PrintTitles" localSheetId="12" hidden="1">'Schedule-2'!$3:$13</definedName>
    <definedName name="Z_B23AD343_29DA_4CE0_BD10_47BF44F3782F_.wvu.Rows" localSheetId="1" hidden="1">Cover!$7:$7</definedName>
    <definedName name="Z_B23AD343_29DA_4CE0_BD10_47BF44F3782F_.wvu.Rows" localSheetId="6" hidden="1">'Sch-2'!#REF!</definedName>
    <definedName name="Z_B23AD343_29DA_4CE0_BD10_47BF44F3782F_.wvu.Rows" localSheetId="15" hidden="1">'Sch-7'!$23:$23,'Sch-7'!$98:$216</definedName>
    <definedName name="Z_B23AD343_29DA_4CE0_BD10_47BF44F3782F_.wvu.Rows" localSheetId="16" hidden="1">'Sch-7 Dis'!$104:$222</definedName>
    <definedName name="Z_B3CE7B10_A914_4559_A6DA_AED8C22AFD6D_.wvu.Cols" localSheetId="4" hidden="1">'Sch-1'!$P:$S</definedName>
    <definedName name="Z_B3CE7B10_A914_4559_A6DA_AED8C22AFD6D_.wvu.Cols" localSheetId="10" hidden="1">'Sch-1  (2)'!$S:$AB,'Sch-1  (2)'!$AH:$AM</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Dis'!$AA:$AF</definedName>
    <definedName name="Z_B3CE7B10_A914_4559_A6DA_AED8C22AFD6D_.wvu.Cols" localSheetId="15" hidden="1">'Sch-7'!$I:$L,'Sch-7'!$AD:$AJ</definedName>
    <definedName name="Z_B3CE7B10_A914_4559_A6DA_AED8C22AFD6D_.wvu.Cols" localSheetId="16" hidden="1">'Sch-7 Dis'!$AD:$AJ</definedName>
    <definedName name="Z_B3CE7B10_A914_4559_A6DA_AED8C22AFD6D_.wvu.Cols" localSheetId="12" hidden="1">'Schedule-2'!$I:$P</definedName>
    <definedName name="Z_B3CE7B10_A914_4559_A6DA_AED8C22AFD6D_.wvu.FilterData" localSheetId="4" hidden="1">'Sch-1'!$A$18:$O$18</definedName>
    <definedName name="Z_B3CE7B10_A914_4559_A6DA_AED8C22AFD6D_.wvu.FilterData" localSheetId="10" hidden="1">'Sch-1  (2)'!$A$17:$M$180</definedName>
    <definedName name="Z_B3CE7B10_A914_4559_A6DA_AED8C22AFD6D_.wvu.FilterData" localSheetId="5" hidden="1">'Sch-1 dis'!$A$16:$B$21</definedName>
    <definedName name="Z_B3CE7B10_A914_4559_A6DA_AED8C22AFD6D_.wvu.FilterData" localSheetId="6" hidden="1">'Sch-2'!$G$20:$J$20</definedName>
    <definedName name="Z_B3CE7B10_A914_4559_A6DA_AED8C22AFD6D_.wvu.FilterData" localSheetId="7" hidden="1">'Sch-2 Dis'!$A$15:$F$56</definedName>
    <definedName name="Z_B3CE7B10_A914_4559_A6DA_AED8C22AFD6D_.wvu.FilterData" localSheetId="8" hidden="1">'Sch-3 Dis'!$A$15:$F$81</definedName>
    <definedName name="Z_B3CE7B10_A914_4559_A6DA_AED8C22AFD6D_.wvu.PrintArea" localSheetId="20" hidden="1">'Bid Form '!$A$1:$F$66</definedName>
    <definedName name="Z_B3CE7B10_A914_4559_A6DA_AED8C22AFD6D_.wvu.PrintArea" localSheetId="18" hidden="1">'Entry Tax'!$A$1:$E$16</definedName>
    <definedName name="Z_B3CE7B10_A914_4559_A6DA_AED8C22AFD6D_.wvu.PrintArea" localSheetId="2" hidden="1">Instructions!$A$1:$C$52</definedName>
    <definedName name="Z_B3CE7B10_A914_4559_A6DA_AED8C22AFD6D_.wvu.PrintArea" localSheetId="3" hidden="1">'Names of Bidder'!$B$1:$G$34</definedName>
    <definedName name="Z_B3CE7B10_A914_4559_A6DA_AED8C22AFD6D_.wvu.PrintArea" localSheetId="17" hidden="1">Octroi!$A$1:$E$16</definedName>
    <definedName name="Z_B3CE7B10_A914_4559_A6DA_AED8C22AFD6D_.wvu.PrintArea" localSheetId="19" hidden="1">'Other Taxes &amp; Duties'!$A$1:$F$16</definedName>
    <definedName name="Z_B3CE7B10_A914_4559_A6DA_AED8C22AFD6D_.wvu.PrintArea" localSheetId="22" hidden="1">'Q &amp; C'!$A$1:$F$38</definedName>
    <definedName name="Z_B3CE7B10_A914_4559_A6DA_AED8C22AFD6D_.wvu.PrintArea" localSheetId="21" hidden="1">'Q &amp; C (2)'!$A$1:$F$44</definedName>
    <definedName name="Z_B3CE7B10_A914_4559_A6DA_AED8C22AFD6D_.wvu.PrintArea" localSheetId="4" hidden="1">'Sch-1'!$A$1:$O$30</definedName>
    <definedName name="Z_B3CE7B10_A914_4559_A6DA_AED8C22AFD6D_.wvu.PrintArea" localSheetId="10" hidden="1">'Sch-1  (2)'!$A$1:$M$180</definedName>
    <definedName name="Z_B3CE7B10_A914_4559_A6DA_AED8C22AFD6D_.wvu.PrintArea" localSheetId="5" hidden="1">'Sch-1 dis'!$A$1:$G$84</definedName>
    <definedName name="Z_B3CE7B10_A914_4559_A6DA_AED8C22AFD6D_.wvu.PrintArea" localSheetId="6" hidden="1">'Sch-2'!$A$1:$J$23</definedName>
    <definedName name="Z_B3CE7B10_A914_4559_A6DA_AED8C22AFD6D_.wvu.PrintArea" localSheetId="7" hidden="1">'Sch-2 Dis'!$A$1:$F$62</definedName>
    <definedName name="Z_B3CE7B10_A914_4559_A6DA_AED8C22AFD6D_.wvu.PrintArea" localSheetId="14" hidden="1">'Sch-3'!$A$1:$D$28</definedName>
    <definedName name="Z_B3CE7B10_A914_4559_A6DA_AED8C22AFD6D_.wvu.PrintArea" localSheetId="8" hidden="1">'Sch-3 Dis'!$A$1:$F$87</definedName>
    <definedName name="Z_B3CE7B10_A914_4559_A6DA_AED8C22AFD6D_.wvu.PrintArea" localSheetId="9" hidden="1">'Sch-4'!$A$1:$F$21</definedName>
    <definedName name="Z_B3CE7B10_A914_4559_A6DA_AED8C22AFD6D_.wvu.PrintArea" localSheetId="13" hidden="1">'Sch-5 Dis'!$A$1:$E$23</definedName>
    <definedName name="Z_B3CE7B10_A914_4559_A6DA_AED8C22AFD6D_.wvu.PrintArea" localSheetId="15" hidden="1">'Sch-7'!$A$1:$F$26</definedName>
    <definedName name="Z_B3CE7B10_A914_4559_A6DA_AED8C22AFD6D_.wvu.PrintArea" localSheetId="16" hidden="1">'Sch-7 Dis'!$A$1:$G$28</definedName>
    <definedName name="Z_B3CE7B10_A914_4559_A6DA_AED8C22AFD6D_.wvu.PrintArea" localSheetId="12" hidden="1">'Schedule-2'!$A$1:$E$21</definedName>
    <definedName name="Z_B3CE7B10_A914_4559_A6DA_AED8C22AFD6D_.wvu.PrintTitles" localSheetId="4" hidden="1">'Sch-1'!$15:$17</definedName>
    <definedName name="Z_B3CE7B10_A914_4559_A6DA_AED8C22AFD6D_.wvu.PrintTitles" localSheetId="10" hidden="1">'Sch-1  (2)'!$13:$16</definedName>
    <definedName name="Z_B3CE7B10_A914_4559_A6DA_AED8C22AFD6D_.wvu.PrintTitles" localSheetId="5" hidden="1">'Sch-1 dis'!$14:$16</definedName>
    <definedName name="Z_B3CE7B10_A914_4559_A6DA_AED8C22AFD6D_.wvu.PrintTitles" localSheetId="6" hidden="1">'Sch-2'!$14:$16</definedName>
    <definedName name="Z_B3CE7B10_A914_4559_A6DA_AED8C22AFD6D_.wvu.PrintTitles" localSheetId="7" hidden="1">'Sch-2 Dis'!$13:$15</definedName>
    <definedName name="Z_B3CE7B10_A914_4559_A6DA_AED8C22AFD6D_.wvu.PrintTitles" localSheetId="14" hidden="1">'Sch-3'!$3:$13</definedName>
    <definedName name="Z_B3CE7B10_A914_4559_A6DA_AED8C22AFD6D_.wvu.PrintTitles" localSheetId="8" hidden="1">'Sch-3 Dis'!$13:$15</definedName>
    <definedName name="Z_B3CE7B10_A914_4559_A6DA_AED8C22AFD6D_.wvu.PrintTitles" localSheetId="13" hidden="1">'Sch-5 Dis'!$3:$13</definedName>
    <definedName name="Z_B3CE7B10_A914_4559_A6DA_AED8C22AFD6D_.wvu.PrintTitles" localSheetId="15" hidden="1">'Sch-7'!$14:$14</definedName>
    <definedName name="Z_B3CE7B10_A914_4559_A6DA_AED8C22AFD6D_.wvu.PrintTitles" localSheetId="16" hidden="1">'Sch-7 Dis'!$14:$14</definedName>
    <definedName name="Z_B3CE7B10_A914_4559_A6DA_AED8C22AFD6D_.wvu.PrintTitles" localSheetId="12" hidden="1">'Schedule-2'!$3:$13</definedName>
    <definedName name="Z_B3CE7B10_A914_4559_A6DA_AED8C22AFD6D_.wvu.Rows" localSheetId="1" hidden="1">Cover!$7:$7</definedName>
    <definedName name="Z_B3CE7B10_A914_4559_A6DA_AED8C22AFD6D_.wvu.Rows" localSheetId="6" hidden="1">'Sch-2'!#REF!</definedName>
    <definedName name="Z_B3CE7B10_A914_4559_A6DA_AED8C22AFD6D_.wvu.Rows" localSheetId="15" hidden="1">'Sch-7'!$23:$23,'Sch-7'!$98:$216</definedName>
    <definedName name="Z_B3CE7B10_A914_4559_A6DA_AED8C22AFD6D_.wvu.Rows" localSheetId="16" hidden="1">'Sch-7 Dis'!$104:$222</definedName>
    <definedName name="Z_B48B8B4C_A880_453D_8729_90D004BEF0DB_.wvu.Cols" localSheetId="4" hidden="1">'Sch-1'!$B:$E</definedName>
    <definedName name="Z_B48B8B4C_A880_453D_8729_90D004BEF0DB_.wvu.Cols" localSheetId="10" hidden="1">'Sch-1  (2)'!$AH:$AM</definedName>
    <definedName name="Z_B48B8B4C_A880_453D_8729_90D004BEF0DB_.wvu.Cols" localSheetId="6" hidden="1">'Sch-2'!$B:$E</definedName>
    <definedName name="Z_B48B8B4C_A880_453D_8729_90D004BEF0DB_.wvu.Cols" localSheetId="7" hidden="1">'Sch-2 Dis'!$K:$Q</definedName>
    <definedName name="Z_B48B8B4C_A880_453D_8729_90D004BEF0DB_.wvu.Cols" localSheetId="8" hidden="1">'Sch-3 Dis'!$AA:$AF</definedName>
    <definedName name="Z_B48B8B4C_A880_453D_8729_90D004BEF0DB_.wvu.Cols" localSheetId="15" hidden="1">'Sch-7'!$I:$L,'Sch-7'!$AD:$AJ</definedName>
    <definedName name="Z_B48B8B4C_A880_453D_8729_90D004BEF0DB_.wvu.Cols" localSheetId="16" hidden="1">'Sch-7 Dis'!$AD:$AJ</definedName>
    <definedName name="Z_B48B8B4C_A880_453D_8729_90D004BEF0DB_.wvu.Cols" localSheetId="12" hidden="1">'Schedule-2'!$I:$P</definedName>
    <definedName name="Z_B48B8B4C_A880_453D_8729_90D004BEF0DB_.wvu.FilterData" localSheetId="4" hidden="1">'Sch-1'!$K$1:$K$231</definedName>
    <definedName name="Z_B48B8B4C_A880_453D_8729_90D004BEF0DB_.wvu.FilterData" localSheetId="10" hidden="1">'Sch-1  (2)'!#REF!</definedName>
    <definedName name="Z_B48B8B4C_A880_453D_8729_90D004BEF0DB_.wvu.FilterData" localSheetId="5" hidden="1">'Sch-1 dis'!$A$16:$B$21</definedName>
    <definedName name="Z_B48B8B4C_A880_453D_8729_90D004BEF0DB_.wvu.FilterData" localSheetId="6" hidden="1">'Sch-2'!$G$20:$J$20</definedName>
    <definedName name="Z_B48B8B4C_A880_453D_8729_90D004BEF0DB_.wvu.FilterData" localSheetId="7" hidden="1">'Sch-2 Dis'!$A$15:$F$56</definedName>
    <definedName name="Z_B48B8B4C_A880_453D_8729_90D004BEF0DB_.wvu.FilterData" localSheetId="8" hidden="1">'Sch-3 Dis'!$A$15:$F$81</definedName>
    <definedName name="Z_B48B8B4C_A880_453D_8729_90D004BEF0DB_.wvu.PrintArea" localSheetId="20" hidden="1">'Bid Form '!$A$1:$F$64</definedName>
    <definedName name="Z_B48B8B4C_A880_453D_8729_90D004BEF0DB_.wvu.PrintArea" localSheetId="18" hidden="1">'Entry Tax'!$A$1:$E$16</definedName>
    <definedName name="Z_B48B8B4C_A880_453D_8729_90D004BEF0DB_.wvu.PrintArea" localSheetId="2" hidden="1">Instructions!$A$1:$C$52</definedName>
    <definedName name="Z_B48B8B4C_A880_453D_8729_90D004BEF0DB_.wvu.PrintArea" localSheetId="3" hidden="1">'Names of Bidder'!$B$1:$G$34</definedName>
    <definedName name="Z_B48B8B4C_A880_453D_8729_90D004BEF0DB_.wvu.PrintArea" localSheetId="17" hidden="1">Octroi!$A$1:$E$16</definedName>
    <definedName name="Z_B48B8B4C_A880_453D_8729_90D004BEF0DB_.wvu.PrintArea" localSheetId="19" hidden="1">'Other Taxes &amp; Duties'!$A$1:$F$16</definedName>
    <definedName name="Z_B48B8B4C_A880_453D_8729_90D004BEF0DB_.wvu.PrintArea" localSheetId="22" hidden="1">'Q &amp; C'!$A$1:$F$38</definedName>
    <definedName name="Z_B48B8B4C_A880_453D_8729_90D004BEF0DB_.wvu.PrintArea" localSheetId="21" hidden="1">'Q &amp; C (2)'!$A$1:$F$44</definedName>
    <definedName name="Z_B48B8B4C_A880_453D_8729_90D004BEF0DB_.wvu.PrintArea" localSheetId="4" hidden="1">'Sch-1'!$A$1:$O$30</definedName>
    <definedName name="Z_B48B8B4C_A880_453D_8729_90D004BEF0DB_.wvu.PrintArea" localSheetId="10" hidden="1">'Sch-1  (2)'!$A$1:$N$180</definedName>
    <definedName name="Z_B48B8B4C_A880_453D_8729_90D004BEF0DB_.wvu.PrintArea" localSheetId="5" hidden="1">'Sch-1 dis'!$A$1:$G$84</definedName>
    <definedName name="Z_B48B8B4C_A880_453D_8729_90D004BEF0DB_.wvu.PrintArea" localSheetId="6" hidden="1">'Sch-2'!$A$1:$J$23</definedName>
    <definedName name="Z_B48B8B4C_A880_453D_8729_90D004BEF0DB_.wvu.PrintArea" localSheetId="7" hidden="1">'Sch-2 Dis'!$A$1:$F$62</definedName>
    <definedName name="Z_B48B8B4C_A880_453D_8729_90D004BEF0DB_.wvu.PrintArea" localSheetId="14" hidden="1">'Sch-3'!$A$1:$D$28</definedName>
    <definedName name="Z_B48B8B4C_A880_453D_8729_90D004BEF0DB_.wvu.PrintArea" localSheetId="8" hidden="1">'Sch-3 Dis'!$A$1:$F$87</definedName>
    <definedName name="Z_B48B8B4C_A880_453D_8729_90D004BEF0DB_.wvu.PrintArea" localSheetId="9" hidden="1">'Sch-4'!$A$1:$F$21</definedName>
    <definedName name="Z_B48B8B4C_A880_453D_8729_90D004BEF0DB_.wvu.PrintArea" localSheetId="13" hidden="1">'Sch-5 Dis'!$A$1:$E$23</definedName>
    <definedName name="Z_B48B8B4C_A880_453D_8729_90D004BEF0DB_.wvu.PrintArea" localSheetId="15" hidden="1">'Sch-7'!$A$1:$F$26</definedName>
    <definedName name="Z_B48B8B4C_A880_453D_8729_90D004BEF0DB_.wvu.PrintArea" localSheetId="16" hidden="1">'Sch-7 Dis'!$A$1:$G$28</definedName>
    <definedName name="Z_B48B8B4C_A880_453D_8729_90D004BEF0DB_.wvu.PrintArea" localSheetId="12" hidden="1">'Schedule-2'!$A$1:$E$21</definedName>
    <definedName name="Z_B48B8B4C_A880_453D_8729_90D004BEF0DB_.wvu.PrintTitles" localSheetId="4" hidden="1">'Sch-1'!$15:$17</definedName>
    <definedName name="Z_B48B8B4C_A880_453D_8729_90D004BEF0DB_.wvu.PrintTitles" localSheetId="10" hidden="1">'Sch-1  (2)'!$13:$16</definedName>
    <definedName name="Z_B48B8B4C_A880_453D_8729_90D004BEF0DB_.wvu.PrintTitles" localSheetId="5" hidden="1">'Sch-1 dis'!$14:$16</definedName>
    <definedName name="Z_B48B8B4C_A880_453D_8729_90D004BEF0DB_.wvu.PrintTitles" localSheetId="6" hidden="1">'Sch-2'!$14:$16</definedName>
    <definedName name="Z_B48B8B4C_A880_453D_8729_90D004BEF0DB_.wvu.PrintTitles" localSheetId="7" hidden="1">'Sch-2 Dis'!$13:$15</definedName>
    <definedName name="Z_B48B8B4C_A880_453D_8729_90D004BEF0DB_.wvu.PrintTitles" localSheetId="14" hidden="1">'Sch-3'!$3:$13</definedName>
    <definedName name="Z_B48B8B4C_A880_453D_8729_90D004BEF0DB_.wvu.PrintTitles" localSheetId="8" hidden="1">'Sch-3 Dis'!$13:$15</definedName>
    <definedName name="Z_B48B8B4C_A880_453D_8729_90D004BEF0DB_.wvu.PrintTitles" localSheetId="13" hidden="1">'Sch-5 Dis'!$3:$13</definedName>
    <definedName name="Z_B48B8B4C_A880_453D_8729_90D004BEF0DB_.wvu.PrintTitles" localSheetId="15" hidden="1">'Sch-7'!$14:$14</definedName>
    <definedName name="Z_B48B8B4C_A880_453D_8729_90D004BEF0DB_.wvu.PrintTitles" localSheetId="16" hidden="1">'Sch-7 Dis'!$14:$14</definedName>
    <definedName name="Z_B48B8B4C_A880_453D_8729_90D004BEF0DB_.wvu.PrintTitles" localSheetId="12" hidden="1">'Schedule-2'!$3:$13</definedName>
    <definedName name="Z_B48B8B4C_A880_453D_8729_90D004BEF0DB_.wvu.Rows" localSheetId="20" hidden="1">'Bid Form '!$23:$24,'Bid Form '!$27:$27,'Bid Form '!$38:$38</definedName>
    <definedName name="Z_B48B8B4C_A880_453D_8729_90D004BEF0DB_.wvu.Rows" localSheetId="1" hidden="1">Cover!$7:$7</definedName>
    <definedName name="Z_B48B8B4C_A880_453D_8729_90D004BEF0DB_.wvu.Rows" localSheetId="2" hidden="1">Instructions!$15:$17,Instructions!$24:$24,Instructions!$26:$26,Instructions!$30:$34,Instructions!$40:$42</definedName>
    <definedName name="Z_B48B8B4C_A880_453D_8729_90D004BEF0DB_.wvu.Rows" localSheetId="3" hidden="1">'Names of Bidder'!$6:$6</definedName>
    <definedName name="Z_B48B8B4C_A880_453D_8729_90D004BEF0DB_.wvu.Rows" localSheetId="4" hidden="1">'Sch-1'!$22:$26</definedName>
    <definedName name="Z_B48B8B4C_A880_453D_8729_90D004BEF0DB_.wvu.Rows" localSheetId="14" hidden="1">'Sch-3'!$18:$19,'Sch-3'!$22:$23</definedName>
    <definedName name="Z_B48B8B4C_A880_453D_8729_90D004BEF0DB_.wvu.Rows" localSheetId="15" hidden="1">'Sch-7'!$98:$216</definedName>
    <definedName name="Z_B48B8B4C_A880_453D_8729_90D004BEF0DB_.wvu.Rows" localSheetId="16" hidden="1">'Sch-7 Dis'!$104:$222</definedName>
    <definedName name="Z_B48B8B4C_A880_453D_8729_90D004BEF0DB_.wvu.Rows" localSheetId="12" hidden="1">'Schedule-2'!$16:$17</definedName>
    <definedName name="Z_B835C05C_B615_4DCB_982D_4519616B3CD8_.wvu.Cols" localSheetId="4" hidden="1">'Sch-1'!$P:$S,'Sch-1'!#REF!</definedName>
    <definedName name="Z_B835C05C_B615_4DCB_982D_4519616B3CD8_.wvu.Cols" localSheetId="10" hidden="1">'Sch-1  (2)'!$S:$AB,'Sch-1  (2)'!$AH:$AM</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Dis'!$AA:$AF</definedName>
    <definedName name="Z_B835C05C_B615_4DCB_982D_4519616B3CD8_.wvu.Cols" localSheetId="15" hidden="1">'Sch-7'!$I:$L,'Sch-7'!$AD:$AJ</definedName>
    <definedName name="Z_B835C05C_B615_4DCB_982D_4519616B3CD8_.wvu.Cols" localSheetId="16" hidden="1">'Sch-7 Dis'!$AD:$AJ</definedName>
    <definedName name="Z_B835C05C_B615_4DCB_982D_4519616B3CD8_.wvu.Cols" localSheetId="12" hidden="1">'Schedule-2'!$I:$P</definedName>
    <definedName name="Z_B835C05C_B615_4DCB_982D_4519616B3CD8_.wvu.FilterData" localSheetId="4" hidden="1">'Sch-1'!$A$18:$Z$18</definedName>
    <definedName name="Z_B835C05C_B615_4DCB_982D_4519616B3CD8_.wvu.FilterData" localSheetId="10" hidden="1">'Sch-1  (2)'!#REF!</definedName>
    <definedName name="Z_B835C05C_B615_4DCB_982D_4519616B3CD8_.wvu.FilterData" localSheetId="5" hidden="1">'Sch-1 dis'!$A$16:$B$21</definedName>
    <definedName name="Z_B835C05C_B615_4DCB_982D_4519616B3CD8_.wvu.FilterData" localSheetId="6" hidden="1">'Sch-2'!$G$20:$J$20</definedName>
    <definedName name="Z_B835C05C_B615_4DCB_982D_4519616B3CD8_.wvu.FilterData" localSheetId="7" hidden="1">'Sch-2 Dis'!$A$15:$F$56</definedName>
    <definedName name="Z_B835C05C_B615_4DCB_982D_4519616B3CD8_.wvu.FilterData" localSheetId="8" hidden="1">'Sch-3 Dis'!$A$15:$F$81</definedName>
    <definedName name="Z_B835C05C_B615_4DCB_982D_4519616B3CD8_.wvu.PrintArea" localSheetId="20" hidden="1">'Bid Form '!$A$1:$F$66</definedName>
    <definedName name="Z_B835C05C_B615_4DCB_982D_4519616B3CD8_.wvu.PrintArea" localSheetId="18" hidden="1">'Entry Tax'!$A$1:$E$16</definedName>
    <definedName name="Z_B835C05C_B615_4DCB_982D_4519616B3CD8_.wvu.PrintArea" localSheetId="2" hidden="1">Instructions!$A$1:$C$52</definedName>
    <definedName name="Z_B835C05C_B615_4DCB_982D_4519616B3CD8_.wvu.PrintArea" localSheetId="3" hidden="1">'Names of Bidder'!$B$1:$G$34</definedName>
    <definedName name="Z_B835C05C_B615_4DCB_982D_4519616B3CD8_.wvu.PrintArea" localSheetId="17" hidden="1">Octroi!$A$1:$E$16</definedName>
    <definedName name="Z_B835C05C_B615_4DCB_982D_4519616B3CD8_.wvu.PrintArea" localSheetId="19" hidden="1">'Other Taxes &amp; Duties'!$A$1:$F$16</definedName>
    <definedName name="Z_B835C05C_B615_4DCB_982D_4519616B3CD8_.wvu.PrintArea" localSheetId="22" hidden="1">'Q &amp; C'!$A$1:$F$38</definedName>
    <definedName name="Z_B835C05C_B615_4DCB_982D_4519616B3CD8_.wvu.PrintArea" localSheetId="21" hidden="1">'Q &amp; C (2)'!$A$1:$F$44</definedName>
    <definedName name="Z_B835C05C_B615_4DCB_982D_4519616B3CD8_.wvu.PrintArea" localSheetId="4" hidden="1">'Sch-1'!$A$1:$O$30</definedName>
    <definedName name="Z_B835C05C_B615_4DCB_982D_4519616B3CD8_.wvu.PrintArea" localSheetId="10" hidden="1">'Sch-1  (2)'!$A$1:$M$180</definedName>
    <definedName name="Z_B835C05C_B615_4DCB_982D_4519616B3CD8_.wvu.PrintArea" localSheetId="5" hidden="1">'Sch-1 dis'!$A$1:$G$84</definedName>
    <definedName name="Z_B835C05C_B615_4DCB_982D_4519616B3CD8_.wvu.PrintArea" localSheetId="6" hidden="1">'Sch-2'!$A$1:$J$23</definedName>
    <definedName name="Z_B835C05C_B615_4DCB_982D_4519616B3CD8_.wvu.PrintArea" localSheetId="7" hidden="1">'Sch-2 Dis'!$A$1:$F$62</definedName>
    <definedName name="Z_B835C05C_B615_4DCB_982D_4519616B3CD8_.wvu.PrintArea" localSheetId="14" hidden="1">'Sch-3'!$A$1:$D$28</definedName>
    <definedName name="Z_B835C05C_B615_4DCB_982D_4519616B3CD8_.wvu.PrintArea" localSheetId="8" hidden="1">'Sch-3 Dis'!$A$1:$F$87</definedName>
    <definedName name="Z_B835C05C_B615_4DCB_982D_4519616B3CD8_.wvu.PrintArea" localSheetId="9" hidden="1">'Sch-4'!$A$1:$F$21</definedName>
    <definedName name="Z_B835C05C_B615_4DCB_982D_4519616B3CD8_.wvu.PrintArea" localSheetId="13" hidden="1">'Sch-5 Dis'!$A$1:$E$23</definedName>
    <definedName name="Z_B835C05C_B615_4DCB_982D_4519616B3CD8_.wvu.PrintArea" localSheetId="15" hidden="1">'Sch-7'!$A$1:$F$26</definedName>
    <definedName name="Z_B835C05C_B615_4DCB_982D_4519616B3CD8_.wvu.PrintArea" localSheetId="16" hidden="1">'Sch-7 Dis'!$A$1:$G$28</definedName>
    <definedName name="Z_B835C05C_B615_4DCB_982D_4519616B3CD8_.wvu.PrintArea" localSheetId="12" hidden="1">'Schedule-2'!$A$1:$E$21</definedName>
    <definedName name="Z_B835C05C_B615_4DCB_982D_4519616B3CD8_.wvu.PrintTitles" localSheetId="4" hidden="1">'Sch-1'!$15:$17</definedName>
    <definedName name="Z_B835C05C_B615_4DCB_982D_4519616B3CD8_.wvu.PrintTitles" localSheetId="10" hidden="1">'Sch-1  (2)'!$13:$16</definedName>
    <definedName name="Z_B835C05C_B615_4DCB_982D_4519616B3CD8_.wvu.PrintTitles" localSheetId="5" hidden="1">'Sch-1 dis'!$14:$16</definedName>
    <definedName name="Z_B835C05C_B615_4DCB_982D_4519616B3CD8_.wvu.PrintTitles" localSheetId="6" hidden="1">'Sch-2'!$14:$16</definedName>
    <definedName name="Z_B835C05C_B615_4DCB_982D_4519616B3CD8_.wvu.PrintTitles" localSheetId="7" hidden="1">'Sch-2 Dis'!$13:$15</definedName>
    <definedName name="Z_B835C05C_B615_4DCB_982D_4519616B3CD8_.wvu.PrintTitles" localSheetId="14" hidden="1">'Sch-3'!$3:$13</definedName>
    <definedName name="Z_B835C05C_B615_4DCB_982D_4519616B3CD8_.wvu.PrintTitles" localSheetId="8" hidden="1">'Sch-3 Dis'!$13:$15</definedName>
    <definedName name="Z_B835C05C_B615_4DCB_982D_4519616B3CD8_.wvu.PrintTitles" localSheetId="13" hidden="1">'Sch-5 Dis'!$3:$13</definedName>
    <definedName name="Z_B835C05C_B615_4DCB_982D_4519616B3CD8_.wvu.PrintTitles" localSheetId="15" hidden="1">'Sch-7'!$14:$14</definedName>
    <definedName name="Z_B835C05C_B615_4DCB_982D_4519616B3CD8_.wvu.PrintTitles" localSheetId="16" hidden="1">'Sch-7 Dis'!$14:$14</definedName>
    <definedName name="Z_B835C05C_B615_4DCB_982D_4519616B3CD8_.wvu.PrintTitles" localSheetId="12" hidden="1">'Schedule-2'!$3:$13</definedName>
    <definedName name="Z_B835C05C_B615_4DCB_982D_4519616B3CD8_.wvu.Rows" localSheetId="1" hidden="1">Cover!$7:$7</definedName>
    <definedName name="Z_B835C05C_B615_4DCB_982D_4519616B3CD8_.wvu.Rows" localSheetId="6" hidden="1">'Sch-2'!#REF!</definedName>
    <definedName name="Z_B835C05C_B615_4DCB_982D_4519616B3CD8_.wvu.Rows" localSheetId="15" hidden="1">'Sch-7'!$15:$20,'Sch-7'!$23:$23,'Sch-7'!$98:$216</definedName>
    <definedName name="Z_B835C05C_B615_4DCB_982D_4519616B3CD8_.wvu.Rows" localSheetId="16" hidden="1">'Sch-7 Dis'!$104:$222</definedName>
    <definedName name="Z_B84E1B9F_ABC9_444B_AF48_E02C4B05894D_.wvu.Cols" localSheetId="10" hidden="1">'Sch-1  (2)'!$AH:$AM</definedName>
    <definedName name="Z_B84E1B9F_ABC9_444B_AF48_E02C4B05894D_.wvu.FilterData" localSheetId="10" hidden="1">'Sch-1  (2)'!#REF!</definedName>
    <definedName name="Z_B84E1B9F_ABC9_444B_AF48_E02C4B05894D_.wvu.PrintArea" localSheetId="10" hidden="1">'Sch-1  (2)'!$A$1:$N$180</definedName>
    <definedName name="Z_B84E1B9F_ABC9_444B_AF48_E02C4B05894D_.wvu.PrintTitles" localSheetId="10" hidden="1">'Sch-1  (2)'!$13:$16</definedName>
    <definedName name="Z_D0757F9E_DF41_4B40_A5E5_F4F8FDD8D61D_.wvu.Cols" localSheetId="20" hidden="1">'Bid Form '!$G:$AO</definedName>
    <definedName name="Z_D0757F9E_DF41_4B40_A5E5_F4F8FDD8D61D_.wvu.Cols" localSheetId="4" hidden="1">'Sch-1'!$P:$T</definedName>
    <definedName name="Z_D0757F9E_DF41_4B40_A5E5_F4F8FDD8D61D_.wvu.Cols" localSheetId="10" hidden="1">'Sch-1  (2)'!$S:$AB,'Sch-1  (2)'!$AH:$AM</definedName>
    <definedName name="Z_D0757F9E_DF41_4B40_A5E5_F4F8FDD8D61D_.wvu.Cols" localSheetId="7" hidden="1">'Sch-2 Dis'!$K:$Q</definedName>
    <definedName name="Z_D0757F9E_DF41_4B40_A5E5_F4F8FDD8D61D_.wvu.Cols" localSheetId="8" hidden="1">'Sch-3 Dis'!$AA:$AF</definedName>
    <definedName name="Z_D0757F9E_DF41_4B40_A5E5_F4F8FDD8D61D_.wvu.Cols" localSheetId="15" hidden="1">'Sch-7'!$I:$L,'Sch-7'!$AD:$AJ</definedName>
    <definedName name="Z_D0757F9E_DF41_4B40_A5E5_F4F8FDD8D61D_.wvu.Cols" localSheetId="16" hidden="1">'Sch-7 Dis'!$AD:$AJ</definedName>
    <definedName name="Z_D0757F9E_DF41_4B40_A5E5_F4F8FDD8D61D_.wvu.Cols" localSheetId="12" hidden="1">'Schedule-2'!$I:$P</definedName>
    <definedName name="Z_D0757F9E_DF41_4B40_A5E5_F4F8FDD8D61D_.wvu.FilterData" localSheetId="4" hidden="1">'Sch-1'!$K$1:$K$231</definedName>
    <definedName name="Z_D0757F9E_DF41_4B40_A5E5_F4F8FDD8D61D_.wvu.FilterData" localSheetId="10" hidden="1">'Sch-1  (2)'!$A$17:$M$180</definedName>
    <definedName name="Z_D0757F9E_DF41_4B40_A5E5_F4F8FDD8D61D_.wvu.FilterData" localSheetId="5" hidden="1">'Sch-1 dis'!$A$16:$B$21</definedName>
    <definedName name="Z_D0757F9E_DF41_4B40_A5E5_F4F8FDD8D61D_.wvu.FilterData" localSheetId="6" hidden="1">'Sch-2'!$G$20:$J$20</definedName>
    <definedName name="Z_D0757F9E_DF41_4B40_A5E5_F4F8FDD8D61D_.wvu.FilterData" localSheetId="7" hidden="1">'Sch-2 Dis'!$A$15:$F$56</definedName>
    <definedName name="Z_D0757F9E_DF41_4B40_A5E5_F4F8FDD8D61D_.wvu.FilterData" localSheetId="8" hidden="1">'Sch-3 Dis'!$A$15:$F$81</definedName>
    <definedName name="Z_D0757F9E_DF41_4B40_A5E5_F4F8FDD8D61D_.wvu.PrintArea" localSheetId="20" hidden="1">'Bid Form '!$A$1:$F$66</definedName>
    <definedName name="Z_D0757F9E_DF41_4B40_A5E5_F4F8FDD8D61D_.wvu.PrintArea" localSheetId="18" hidden="1">'Entry Tax'!$A$1:$E$16</definedName>
    <definedName name="Z_D0757F9E_DF41_4B40_A5E5_F4F8FDD8D61D_.wvu.PrintArea" localSheetId="2" hidden="1">Instructions!$A$1:$C$52</definedName>
    <definedName name="Z_D0757F9E_DF41_4B40_A5E5_F4F8FDD8D61D_.wvu.PrintArea" localSheetId="3" hidden="1">'Names of Bidder'!$B$1:$G$34</definedName>
    <definedName name="Z_D0757F9E_DF41_4B40_A5E5_F4F8FDD8D61D_.wvu.PrintArea" localSheetId="17" hidden="1">Octroi!$A$1:$E$16</definedName>
    <definedName name="Z_D0757F9E_DF41_4B40_A5E5_F4F8FDD8D61D_.wvu.PrintArea" localSheetId="19" hidden="1">'Other Taxes &amp; Duties'!$A$1:$F$16</definedName>
    <definedName name="Z_D0757F9E_DF41_4B40_A5E5_F4F8FDD8D61D_.wvu.PrintArea" localSheetId="22" hidden="1">'Q &amp; C'!$A$1:$F$38</definedName>
    <definedName name="Z_D0757F9E_DF41_4B40_A5E5_F4F8FDD8D61D_.wvu.PrintArea" localSheetId="21" hidden="1">'Q &amp; C (2)'!$A$1:$F$44</definedName>
    <definedName name="Z_D0757F9E_DF41_4B40_A5E5_F4F8FDD8D61D_.wvu.PrintArea" localSheetId="4" hidden="1">'Sch-1'!$A$1:$N$30</definedName>
    <definedName name="Z_D0757F9E_DF41_4B40_A5E5_F4F8FDD8D61D_.wvu.PrintArea" localSheetId="10" hidden="1">'Sch-1  (2)'!$A$1:$M$180</definedName>
    <definedName name="Z_D0757F9E_DF41_4B40_A5E5_F4F8FDD8D61D_.wvu.PrintArea" localSheetId="5" hidden="1">'Sch-1 dis'!$A$1:$G$84</definedName>
    <definedName name="Z_D0757F9E_DF41_4B40_A5E5_F4F8FDD8D61D_.wvu.PrintArea" localSheetId="6" hidden="1">'Sch-2'!$A$1:$J$23</definedName>
    <definedName name="Z_D0757F9E_DF41_4B40_A5E5_F4F8FDD8D61D_.wvu.PrintArea" localSheetId="7" hidden="1">'Sch-2 Dis'!$A$1:$F$62</definedName>
    <definedName name="Z_D0757F9E_DF41_4B40_A5E5_F4F8FDD8D61D_.wvu.PrintArea" localSheetId="14" hidden="1">'Sch-3'!$A$1:$D$28</definedName>
    <definedName name="Z_D0757F9E_DF41_4B40_A5E5_F4F8FDD8D61D_.wvu.PrintArea" localSheetId="8" hidden="1">'Sch-3 Dis'!$A$1:$F$87</definedName>
    <definedName name="Z_D0757F9E_DF41_4B40_A5E5_F4F8FDD8D61D_.wvu.PrintArea" localSheetId="9" hidden="1">'Sch-4'!$A$1:$F$21</definedName>
    <definedName name="Z_D0757F9E_DF41_4B40_A5E5_F4F8FDD8D61D_.wvu.PrintArea" localSheetId="13" hidden="1">'Sch-5 Dis'!$A$1:$E$23</definedName>
    <definedName name="Z_D0757F9E_DF41_4B40_A5E5_F4F8FDD8D61D_.wvu.PrintArea" localSheetId="15" hidden="1">'Sch-7'!$A$1:$F$26</definedName>
    <definedName name="Z_D0757F9E_DF41_4B40_A5E5_F4F8FDD8D61D_.wvu.PrintArea" localSheetId="16" hidden="1">'Sch-7 Dis'!$A$1:$G$28</definedName>
    <definedName name="Z_D0757F9E_DF41_4B40_A5E5_F4F8FDD8D61D_.wvu.PrintArea" localSheetId="12" hidden="1">'Schedule-2'!$A$1:$E$21</definedName>
    <definedName name="Z_D0757F9E_DF41_4B40_A5E5_F4F8FDD8D61D_.wvu.PrintTitles" localSheetId="4" hidden="1">'Sch-1'!$15:$17</definedName>
    <definedName name="Z_D0757F9E_DF41_4B40_A5E5_F4F8FDD8D61D_.wvu.PrintTitles" localSheetId="10" hidden="1">'Sch-1  (2)'!$13:$16</definedName>
    <definedName name="Z_D0757F9E_DF41_4B40_A5E5_F4F8FDD8D61D_.wvu.PrintTitles" localSheetId="5" hidden="1">'Sch-1 dis'!$14:$16</definedName>
    <definedName name="Z_D0757F9E_DF41_4B40_A5E5_F4F8FDD8D61D_.wvu.PrintTitles" localSheetId="6" hidden="1">'Sch-2'!$14:$16</definedName>
    <definedName name="Z_D0757F9E_DF41_4B40_A5E5_F4F8FDD8D61D_.wvu.PrintTitles" localSheetId="7" hidden="1">'Sch-2 Dis'!$13:$15</definedName>
    <definedName name="Z_D0757F9E_DF41_4B40_A5E5_F4F8FDD8D61D_.wvu.PrintTitles" localSheetId="14" hidden="1">'Sch-3'!$3:$13</definedName>
    <definedName name="Z_D0757F9E_DF41_4B40_A5E5_F4F8FDD8D61D_.wvu.PrintTitles" localSheetId="8" hidden="1">'Sch-3 Dis'!$13:$15</definedName>
    <definedName name="Z_D0757F9E_DF41_4B40_A5E5_F4F8FDD8D61D_.wvu.PrintTitles" localSheetId="13" hidden="1">'Sch-5 Dis'!$3:$13</definedName>
    <definedName name="Z_D0757F9E_DF41_4B40_A5E5_F4F8FDD8D61D_.wvu.PrintTitles" localSheetId="15" hidden="1">'Sch-7'!$14:$14</definedName>
    <definedName name="Z_D0757F9E_DF41_4B40_A5E5_F4F8FDD8D61D_.wvu.PrintTitles" localSheetId="16" hidden="1">'Sch-7 Dis'!$14:$14</definedName>
    <definedName name="Z_D0757F9E_DF41_4B40_A5E5_F4F8FDD8D61D_.wvu.PrintTitles" localSheetId="12" hidden="1">'Schedule-2'!$3:$13</definedName>
    <definedName name="Z_D0757F9E_DF41_4B40_A5E5_F4F8FDD8D61D_.wvu.Rows" localSheetId="1" hidden="1">Cover!$7:$7</definedName>
    <definedName name="Z_D0757F9E_DF41_4B40_A5E5_F4F8FDD8D61D_.wvu.Rows" localSheetId="15" hidden="1">'Sch-7'!$98:$216</definedName>
    <definedName name="Z_D0757F9E_DF41_4B40_A5E5_F4F8FDD8D61D_.wvu.Rows" localSheetId="16" hidden="1">'Sch-7 Dis'!$104:$222</definedName>
    <definedName name="Z_D53177B2_31EC_4222_B97A_A37DCFD9E45B_.wvu.Cols" localSheetId="4" hidden="1">'Sch-1'!$P:$AA</definedName>
    <definedName name="Z_D53177B2_31EC_4222_B97A_A37DCFD9E45B_.wvu.Cols" localSheetId="10" hidden="1">'Sch-1  (2)'!$S:$AB,'Sch-1  (2)'!$AH:$AM</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Dis'!$AA:$AF</definedName>
    <definedName name="Z_D53177B2_31EC_4222_B97A_A37DCFD9E45B_.wvu.Cols" localSheetId="15" hidden="1">'Sch-7'!$I:$L,'Sch-7'!$AD:$AJ</definedName>
    <definedName name="Z_D53177B2_31EC_4222_B97A_A37DCFD9E45B_.wvu.Cols" localSheetId="16" hidden="1">'Sch-7 Dis'!$AD:$AJ</definedName>
    <definedName name="Z_D53177B2_31EC_4222_B97A_A37DCFD9E45B_.wvu.Cols" localSheetId="12" hidden="1">'Schedule-2'!$I:$P</definedName>
    <definedName name="Z_D53177B2_31EC_4222_B97A_A37DCFD9E45B_.wvu.FilterData" localSheetId="4" hidden="1">'Sch-1'!$A$18:$O$18</definedName>
    <definedName name="Z_D53177B2_31EC_4222_B97A_A37DCFD9E45B_.wvu.FilterData" localSheetId="10" hidden="1">'Sch-1  (2)'!$A$17:$M$180</definedName>
    <definedName name="Z_D53177B2_31EC_4222_B97A_A37DCFD9E45B_.wvu.FilterData" localSheetId="5" hidden="1">'Sch-1 dis'!$A$16:$B$21</definedName>
    <definedName name="Z_D53177B2_31EC_4222_B97A_A37DCFD9E45B_.wvu.FilterData" localSheetId="6" hidden="1">'Sch-2'!$G$20:$J$20</definedName>
    <definedName name="Z_D53177B2_31EC_4222_B97A_A37DCFD9E45B_.wvu.FilterData" localSheetId="7" hidden="1">'Sch-2 Dis'!$A$15:$F$56</definedName>
    <definedName name="Z_D53177B2_31EC_4222_B97A_A37DCFD9E45B_.wvu.FilterData" localSheetId="8" hidden="1">'Sch-3 Dis'!$A$15:$F$81</definedName>
    <definedName name="Z_D53177B2_31EC_4222_B97A_A37DCFD9E45B_.wvu.PrintArea" localSheetId="20" hidden="1">'Bid Form '!$A$1:$F$66</definedName>
    <definedName name="Z_D53177B2_31EC_4222_B97A_A37DCFD9E45B_.wvu.PrintArea" localSheetId="18" hidden="1">'Entry Tax'!$A$1:$E$16</definedName>
    <definedName name="Z_D53177B2_31EC_4222_B97A_A37DCFD9E45B_.wvu.PrintArea" localSheetId="2" hidden="1">Instructions!$A$1:$C$52</definedName>
    <definedName name="Z_D53177B2_31EC_4222_B97A_A37DCFD9E45B_.wvu.PrintArea" localSheetId="3" hidden="1">'Names of Bidder'!$B$1:$G$34</definedName>
    <definedName name="Z_D53177B2_31EC_4222_B97A_A37DCFD9E45B_.wvu.PrintArea" localSheetId="17" hidden="1">Octroi!$A$1:$E$16</definedName>
    <definedName name="Z_D53177B2_31EC_4222_B97A_A37DCFD9E45B_.wvu.PrintArea" localSheetId="19" hidden="1">'Other Taxes &amp; Duties'!$A$1:$F$16</definedName>
    <definedName name="Z_D53177B2_31EC_4222_B97A_A37DCFD9E45B_.wvu.PrintArea" localSheetId="22" hidden="1">'Q &amp; C'!$A$1:$F$38</definedName>
    <definedName name="Z_D53177B2_31EC_4222_B97A_A37DCFD9E45B_.wvu.PrintArea" localSheetId="21" hidden="1">'Q &amp; C (2)'!$A$1:$F$44</definedName>
    <definedName name="Z_D53177B2_31EC_4222_B97A_A37DCFD9E45B_.wvu.PrintArea" localSheetId="4" hidden="1">'Sch-1'!$A$1:$O$30</definedName>
    <definedName name="Z_D53177B2_31EC_4222_B97A_A37DCFD9E45B_.wvu.PrintArea" localSheetId="10" hidden="1">'Sch-1  (2)'!$A$1:$M$180</definedName>
    <definedName name="Z_D53177B2_31EC_4222_B97A_A37DCFD9E45B_.wvu.PrintArea" localSheetId="5" hidden="1">'Sch-1 dis'!$A$1:$G$84</definedName>
    <definedName name="Z_D53177B2_31EC_4222_B97A_A37DCFD9E45B_.wvu.PrintArea" localSheetId="6" hidden="1">'Sch-2'!$A$1:$J$23</definedName>
    <definedName name="Z_D53177B2_31EC_4222_B97A_A37DCFD9E45B_.wvu.PrintArea" localSheetId="7" hidden="1">'Sch-2 Dis'!$A$1:$F$62</definedName>
    <definedName name="Z_D53177B2_31EC_4222_B97A_A37DCFD9E45B_.wvu.PrintArea" localSheetId="14" hidden="1">'Sch-3'!$A$1:$D$28</definedName>
    <definedName name="Z_D53177B2_31EC_4222_B97A_A37DCFD9E45B_.wvu.PrintArea" localSheetId="8" hidden="1">'Sch-3 Dis'!$A$1:$F$87</definedName>
    <definedName name="Z_D53177B2_31EC_4222_B97A_A37DCFD9E45B_.wvu.PrintArea" localSheetId="9" hidden="1">'Sch-4'!$A$1:$F$21</definedName>
    <definedName name="Z_D53177B2_31EC_4222_B97A_A37DCFD9E45B_.wvu.PrintArea" localSheetId="13" hidden="1">'Sch-5 Dis'!$A$1:$E$23</definedName>
    <definedName name="Z_D53177B2_31EC_4222_B97A_A37DCFD9E45B_.wvu.PrintArea" localSheetId="15" hidden="1">'Sch-7'!$A$1:$F$26</definedName>
    <definedName name="Z_D53177B2_31EC_4222_B97A_A37DCFD9E45B_.wvu.PrintArea" localSheetId="16" hidden="1">'Sch-7 Dis'!$A$1:$G$28</definedName>
    <definedName name="Z_D53177B2_31EC_4222_B97A_A37DCFD9E45B_.wvu.PrintArea" localSheetId="12" hidden="1">'Schedule-2'!$A$1:$E$21</definedName>
    <definedName name="Z_D53177B2_31EC_4222_B97A_A37DCFD9E45B_.wvu.PrintTitles" localSheetId="4" hidden="1">'Sch-1'!$15:$17</definedName>
    <definedName name="Z_D53177B2_31EC_4222_B97A_A37DCFD9E45B_.wvu.PrintTitles" localSheetId="10" hidden="1">'Sch-1  (2)'!$13:$16</definedName>
    <definedName name="Z_D53177B2_31EC_4222_B97A_A37DCFD9E45B_.wvu.PrintTitles" localSheetId="5" hidden="1">'Sch-1 dis'!$14:$16</definedName>
    <definedName name="Z_D53177B2_31EC_4222_B97A_A37DCFD9E45B_.wvu.PrintTitles" localSheetId="6" hidden="1">'Sch-2'!$14:$16</definedName>
    <definedName name="Z_D53177B2_31EC_4222_B97A_A37DCFD9E45B_.wvu.PrintTitles" localSheetId="7" hidden="1">'Sch-2 Dis'!$13:$15</definedName>
    <definedName name="Z_D53177B2_31EC_4222_B97A_A37DCFD9E45B_.wvu.PrintTitles" localSheetId="14" hidden="1">'Sch-3'!$3:$13</definedName>
    <definedName name="Z_D53177B2_31EC_4222_B97A_A37DCFD9E45B_.wvu.PrintTitles" localSheetId="8" hidden="1">'Sch-3 Dis'!$13:$15</definedName>
    <definedName name="Z_D53177B2_31EC_4222_B97A_A37DCFD9E45B_.wvu.PrintTitles" localSheetId="13" hidden="1">'Sch-5 Dis'!$3:$13</definedName>
    <definedName name="Z_D53177B2_31EC_4222_B97A_A37DCFD9E45B_.wvu.PrintTitles" localSheetId="15" hidden="1">'Sch-7'!$14:$14</definedName>
    <definedName name="Z_D53177B2_31EC_4222_B97A_A37DCFD9E45B_.wvu.PrintTitles" localSheetId="16" hidden="1">'Sch-7 Dis'!$14:$14</definedName>
    <definedName name="Z_D53177B2_31EC_4222_B97A_A37DCFD9E45B_.wvu.PrintTitles" localSheetId="12" hidden="1">'Schedule-2'!$3:$13</definedName>
    <definedName name="Z_D53177B2_31EC_4222_B97A_A37DCFD9E45B_.wvu.Rows" localSheetId="1" hidden="1">Cover!$7:$7</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5" hidden="1">'Sch-7'!$23:$23,'Sch-7'!$98:$216</definedName>
    <definedName name="Z_D53177B2_31EC_4222_B97A_A37DCFD9E45B_.wvu.Rows" localSheetId="16" hidden="1">'Sch-7 Dis'!$104:$222</definedName>
    <definedName name="Z_E81F0721_C35D_4189_B675_E46A21339863_.wvu.Cols" localSheetId="4" hidden="1">'Sch-1'!$P:$S,'Sch-1'!#REF!</definedName>
    <definedName name="Z_E81F0721_C35D_4189_B675_E46A21339863_.wvu.Cols" localSheetId="10" hidden="1">'Sch-1  (2)'!$O:$W,'Sch-1  (2)'!$AH:$AM</definedName>
    <definedName name="Z_E81F0721_C35D_4189_B675_E46A21339863_.wvu.Cols" localSheetId="6" hidden="1">'Sch-2'!$K:$T</definedName>
    <definedName name="Z_E81F0721_C35D_4189_B675_E46A21339863_.wvu.Cols" localSheetId="7" hidden="1">'Sch-2 Dis'!$K:$Q</definedName>
    <definedName name="Z_E81F0721_C35D_4189_B675_E46A21339863_.wvu.Cols" localSheetId="8" hidden="1">'Sch-3 Dis'!$AA:$AF</definedName>
    <definedName name="Z_E81F0721_C35D_4189_B675_E46A21339863_.wvu.Cols" localSheetId="15" hidden="1">'Sch-7'!$I:$L,'Sch-7'!$AD:$AJ</definedName>
    <definedName name="Z_E81F0721_C35D_4189_B675_E46A21339863_.wvu.Cols" localSheetId="16" hidden="1">'Sch-7 Dis'!$AD:$AJ</definedName>
    <definedName name="Z_E81F0721_C35D_4189_B675_E46A21339863_.wvu.Cols" localSheetId="12" hidden="1">'Schedule-2'!$I:$P</definedName>
    <definedName name="Z_E81F0721_C35D_4189_B675_E46A21339863_.wvu.FilterData" localSheetId="4" hidden="1">'Sch-1'!$A$18:$Z$18</definedName>
    <definedName name="Z_E81F0721_C35D_4189_B675_E46A21339863_.wvu.FilterData" localSheetId="10" hidden="1">'Sch-1  (2)'!#REF!</definedName>
    <definedName name="Z_E81F0721_C35D_4189_B675_E46A21339863_.wvu.FilterData" localSheetId="5" hidden="1">'Sch-1 dis'!$A$16:$B$21</definedName>
    <definedName name="Z_E81F0721_C35D_4189_B675_E46A21339863_.wvu.FilterData" localSheetId="6" hidden="1">'Sch-2'!$G$20:$J$20</definedName>
    <definedName name="Z_E81F0721_C35D_4189_B675_E46A21339863_.wvu.FilterData" localSheetId="7" hidden="1">'Sch-2 Dis'!$A$15:$F$56</definedName>
    <definedName name="Z_E81F0721_C35D_4189_B675_E46A21339863_.wvu.FilterData" localSheetId="8" hidden="1">'Sch-3 Dis'!$A$15:$F$81</definedName>
    <definedName name="Z_E81F0721_C35D_4189_B675_E46A21339863_.wvu.PrintArea" localSheetId="20" hidden="1">'Bid Form '!$A$1:$F$66</definedName>
    <definedName name="Z_E81F0721_C35D_4189_B675_E46A21339863_.wvu.PrintArea" localSheetId="18" hidden="1">'Entry Tax'!$A$1:$E$16</definedName>
    <definedName name="Z_E81F0721_C35D_4189_B675_E46A21339863_.wvu.PrintArea" localSheetId="2" hidden="1">Instructions!$A$1:$C$52</definedName>
    <definedName name="Z_E81F0721_C35D_4189_B675_E46A21339863_.wvu.PrintArea" localSheetId="3" hidden="1">'Names of Bidder'!$B$1:$G$34</definedName>
    <definedName name="Z_E81F0721_C35D_4189_B675_E46A21339863_.wvu.PrintArea" localSheetId="17" hidden="1">Octroi!$A$1:$E$16</definedName>
    <definedName name="Z_E81F0721_C35D_4189_B675_E46A21339863_.wvu.PrintArea" localSheetId="19" hidden="1">'Other Taxes &amp; Duties'!$A$1:$F$16</definedName>
    <definedName name="Z_E81F0721_C35D_4189_B675_E46A21339863_.wvu.PrintArea" localSheetId="22" hidden="1">'Q &amp; C'!$A$1:$F$38</definedName>
    <definedName name="Z_E81F0721_C35D_4189_B675_E46A21339863_.wvu.PrintArea" localSheetId="21" hidden="1">'Q &amp; C (2)'!$A$1:$F$44</definedName>
    <definedName name="Z_E81F0721_C35D_4189_B675_E46A21339863_.wvu.PrintArea" localSheetId="4" hidden="1">'Sch-1'!$A$1:$O$30</definedName>
    <definedName name="Z_E81F0721_C35D_4189_B675_E46A21339863_.wvu.PrintArea" localSheetId="10" hidden="1">'Sch-1  (2)'!$A$1:$N$180</definedName>
    <definedName name="Z_E81F0721_C35D_4189_B675_E46A21339863_.wvu.PrintArea" localSheetId="5" hidden="1">'Sch-1 dis'!$A$1:$G$84</definedName>
    <definedName name="Z_E81F0721_C35D_4189_B675_E46A21339863_.wvu.PrintArea" localSheetId="6" hidden="1">'Sch-2'!$A$1:$J$23</definedName>
    <definedName name="Z_E81F0721_C35D_4189_B675_E46A21339863_.wvu.PrintArea" localSheetId="7" hidden="1">'Sch-2 Dis'!$A$1:$F$62</definedName>
    <definedName name="Z_E81F0721_C35D_4189_B675_E46A21339863_.wvu.PrintArea" localSheetId="14" hidden="1">'Sch-3'!$A$1:$D$28</definedName>
    <definedName name="Z_E81F0721_C35D_4189_B675_E46A21339863_.wvu.PrintArea" localSheetId="8" hidden="1">'Sch-3 Dis'!$A$1:$F$87</definedName>
    <definedName name="Z_E81F0721_C35D_4189_B675_E46A21339863_.wvu.PrintArea" localSheetId="9" hidden="1">'Sch-4'!$A$1:$F$21</definedName>
    <definedName name="Z_E81F0721_C35D_4189_B675_E46A21339863_.wvu.PrintArea" localSheetId="13" hidden="1">'Sch-5 Dis'!$A$1:$E$23</definedName>
    <definedName name="Z_E81F0721_C35D_4189_B675_E46A21339863_.wvu.PrintArea" localSheetId="15" hidden="1">'Sch-7'!$A$1:$F$26</definedName>
    <definedName name="Z_E81F0721_C35D_4189_B675_E46A21339863_.wvu.PrintArea" localSheetId="16" hidden="1">'Sch-7 Dis'!$A$1:$G$28</definedName>
    <definedName name="Z_E81F0721_C35D_4189_B675_E46A21339863_.wvu.PrintArea" localSheetId="12" hidden="1">'Schedule-2'!$A$1:$E$21</definedName>
    <definedName name="Z_E81F0721_C35D_4189_B675_E46A21339863_.wvu.PrintTitles" localSheetId="4" hidden="1">'Sch-1'!$15:$17</definedName>
    <definedName name="Z_E81F0721_C35D_4189_B675_E46A21339863_.wvu.PrintTitles" localSheetId="5" hidden="1">'Sch-1 dis'!$14:$16</definedName>
    <definedName name="Z_E81F0721_C35D_4189_B675_E46A21339863_.wvu.PrintTitles" localSheetId="6" hidden="1">'Sch-2'!$14:$16</definedName>
    <definedName name="Z_E81F0721_C35D_4189_B675_E46A21339863_.wvu.PrintTitles" localSheetId="7" hidden="1">'Sch-2 Dis'!$13:$15</definedName>
    <definedName name="Z_E81F0721_C35D_4189_B675_E46A21339863_.wvu.PrintTitles" localSheetId="14" hidden="1">'Sch-3'!$3:$13</definedName>
    <definedName name="Z_E81F0721_C35D_4189_B675_E46A21339863_.wvu.PrintTitles" localSheetId="8" hidden="1">'Sch-3 Dis'!$13:$15</definedName>
    <definedName name="Z_E81F0721_C35D_4189_B675_E46A21339863_.wvu.PrintTitles" localSheetId="13" hidden="1">'Sch-5 Dis'!$3:$13</definedName>
    <definedName name="Z_E81F0721_C35D_4189_B675_E46A21339863_.wvu.PrintTitles" localSheetId="15" hidden="1">'Sch-7'!$14:$14</definedName>
    <definedName name="Z_E81F0721_C35D_4189_B675_E46A21339863_.wvu.PrintTitles" localSheetId="16" hidden="1">'Sch-7 Dis'!$14:$14</definedName>
    <definedName name="Z_E81F0721_C35D_4189_B675_E46A21339863_.wvu.PrintTitles" localSheetId="12" hidden="1">'Schedule-2'!$3:$13</definedName>
    <definedName name="Z_E81F0721_C35D_4189_B675_E46A21339863_.wvu.Rows" localSheetId="1" hidden="1">Cover!$7:$7</definedName>
    <definedName name="Z_E81F0721_C35D_4189_B675_E46A21339863_.wvu.Rows" localSheetId="6" hidden="1">'Sch-2'!#REF!</definedName>
    <definedName name="Z_E81F0721_C35D_4189_B675_E46A21339863_.wvu.Rows" localSheetId="15" hidden="1">'Sch-7'!$15:$20,'Sch-7'!$23:$23,'Sch-7'!$98:$216</definedName>
    <definedName name="Z_E81F0721_C35D_4189_B675_E46A21339863_.wvu.Rows" localSheetId="16" hidden="1">'Sch-7 Dis'!$104:$222</definedName>
    <definedName name="Z_E97134B6_5E8D_4951_8DA0_73D065532361_.wvu.Cols" localSheetId="4" hidden="1">'Sch-1'!$P:$AA</definedName>
    <definedName name="Z_E97134B6_5E8D_4951_8DA0_73D065532361_.wvu.Cols" localSheetId="10" hidden="1">'Sch-1  (2)'!$S:$AB,'Sch-1  (2)'!$AH:$AM</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Dis'!$AA:$AF</definedName>
    <definedName name="Z_E97134B6_5E8D_4951_8DA0_73D065532361_.wvu.Cols" localSheetId="15" hidden="1">'Sch-7'!$I:$L,'Sch-7'!$AD:$AJ</definedName>
    <definedName name="Z_E97134B6_5E8D_4951_8DA0_73D065532361_.wvu.Cols" localSheetId="16" hidden="1">'Sch-7 Dis'!$AD:$AJ</definedName>
    <definedName name="Z_E97134B6_5E8D_4951_8DA0_73D065532361_.wvu.Cols" localSheetId="12" hidden="1">'Schedule-2'!$I:$P</definedName>
    <definedName name="Z_E97134B6_5E8D_4951_8DA0_73D065532361_.wvu.FilterData" localSheetId="4" hidden="1">'Sch-1'!$A$18:$O$18</definedName>
    <definedName name="Z_E97134B6_5E8D_4951_8DA0_73D065532361_.wvu.FilterData" localSheetId="10" hidden="1">'Sch-1  (2)'!$A$17:$M$180</definedName>
    <definedName name="Z_E97134B6_5E8D_4951_8DA0_73D065532361_.wvu.FilterData" localSheetId="5" hidden="1">'Sch-1 dis'!$A$16:$B$21</definedName>
    <definedName name="Z_E97134B6_5E8D_4951_8DA0_73D065532361_.wvu.FilterData" localSheetId="6" hidden="1">'Sch-2'!$G$20:$J$20</definedName>
    <definedName name="Z_E97134B6_5E8D_4951_8DA0_73D065532361_.wvu.FilterData" localSheetId="7" hidden="1">'Sch-2 Dis'!$A$15:$F$56</definedName>
    <definedName name="Z_E97134B6_5E8D_4951_8DA0_73D065532361_.wvu.FilterData" localSheetId="8" hidden="1">'Sch-3 Dis'!$A$15:$F$81</definedName>
    <definedName name="Z_E97134B6_5E8D_4951_8DA0_73D065532361_.wvu.PrintArea" localSheetId="20" hidden="1">'Bid Form '!$A$1:$F$66</definedName>
    <definedName name="Z_E97134B6_5E8D_4951_8DA0_73D065532361_.wvu.PrintArea" localSheetId="18" hidden="1">'Entry Tax'!$A$1:$E$16</definedName>
    <definedName name="Z_E97134B6_5E8D_4951_8DA0_73D065532361_.wvu.PrintArea" localSheetId="2" hidden="1">Instructions!$A$1:$C$52</definedName>
    <definedName name="Z_E97134B6_5E8D_4951_8DA0_73D065532361_.wvu.PrintArea" localSheetId="3" hidden="1">'Names of Bidder'!$B$1:$G$34</definedName>
    <definedName name="Z_E97134B6_5E8D_4951_8DA0_73D065532361_.wvu.PrintArea" localSheetId="17" hidden="1">Octroi!$A$1:$E$16</definedName>
    <definedName name="Z_E97134B6_5E8D_4951_8DA0_73D065532361_.wvu.PrintArea" localSheetId="19" hidden="1">'Other Taxes &amp; Duties'!$A$1:$F$16</definedName>
    <definedName name="Z_E97134B6_5E8D_4951_8DA0_73D065532361_.wvu.PrintArea" localSheetId="22" hidden="1">'Q &amp; C'!$A$1:$F$38</definedName>
    <definedName name="Z_E97134B6_5E8D_4951_8DA0_73D065532361_.wvu.PrintArea" localSheetId="21" hidden="1">'Q &amp; C (2)'!$A$1:$F$44</definedName>
    <definedName name="Z_E97134B6_5E8D_4951_8DA0_73D065532361_.wvu.PrintArea" localSheetId="4" hidden="1">'Sch-1'!$A$1:$O$30</definedName>
    <definedName name="Z_E97134B6_5E8D_4951_8DA0_73D065532361_.wvu.PrintArea" localSheetId="10" hidden="1">'Sch-1  (2)'!$A$1:$M$180</definedName>
    <definedName name="Z_E97134B6_5E8D_4951_8DA0_73D065532361_.wvu.PrintArea" localSheetId="5" hidden="1">'Sch-1 dis'!$A$1:$G$84</definedName>
    <definedName name="Z_E97134B6_5E8D_4951_8DA0_73D065532361_.wvu.PrintArea" localSheetId="6" hidden="1">'Sch-2'!$A$1:$J$23</definedName>
    <definedName name="Z_E97134B6_5E8D_4951_8DA0_73D065532361_.wvu.PrintArea" localSheetId="7" hidden="1">'Sch-2 Dis'!$A$1:$F$62</definedName>
    <definedName name="Z_E97134B6_5E8D_4951_8DA0_73D065532361_.wvu.PrintArea" localSheetId="14" hidden="1">'Sch-3'!$A$1:$D$28</definedName>
    <definedName name="Z_E97134B6_5E8D_4951_8DA0_73D065532361_.wvu.PrintArea" localSheetId="8" hidden="1">'Sch-3 Dis'!$A$1:$F$87</definedName>
    <definedName name="Z_E97134B6_5E8D_4951_8DA0_73D065532361_.wvu.PrintArea" localSheetId="9" hidden="1">'Sch-4'!$A$1:$F$21</definedName>
    <definedName name="Z_E97134B6_5E8D_4951_8DA0_73D065532361_.wvu.PrintArea" localSheetId="13" hidden="1">'Sch-5 Dis'!$A$1:$E$23</definedName>
    <definedName name="Z_E97134B6_5E8D_4951_8DA0_73D065532361_.wvu.PrintArea" localSheetId="15" hidden="1">'Sch-7'!$A$1:$F$26</definedName>
    <definedName name="Z_E97134B6_5E8D_4951_8DA0_73D065532361_.wvu.PrintArea" localSheetId="16" hidden="1">'Sch-7 Dis'!$A$1:$G$28</definedName>
    <definedName name="Z_E97134B6_5E8D_4951_8DA0_73D065532361_.wvu.PrintArea" localSheetId="12" hidden="1">'Schedule-2'!$A$1:$E$21</definedName>
    <definedName name="Z_E97134B6_5E8D_4951_8DA0_73D065532361_.wvu.PrintTitles" localSheetId="4" hidden="1">'Sch-1'!$15:$17</definedName>
    <definedName name="Z_E97134B6_5E8D_4951_8DA0_73D065532361_.wvu.PrintTitles" localSheetId="10" hidden="1">'Sch-1  (2)'!$13:$16</definedName>
    <definedName name="Z_E97134B6_5E8D_4951_8DA0_73D065532361_.wvu.PrintTitles" localSheetId="5" hidden="1">'Sch-1 dis'!$14:$16</definedName>
    <definedName name="Z_E97134B6_5E8D_4951_8DA0_73D065532361_.wvu.PrintTitles" localSheetId="6" hidden="1">'Sch-2'!$14:$16</definedName>
    <definedName name="Z_E97134B6_5E8D_4951_8DA0_73D065532361_.wvu.PrintTitles" localSheetId="7" hidden="1">'Sch-2 Dis'!$13:$15</definedName>
    <definedName name="Z_E97134B6_5E8D_4951_8DA0_73D065532361_.wvu.PrintTitles" localSheetId="14" hidden="1">'Sch-3'!$3:$13</definedName>
    <definedName name="Z_E97134B6_5E8D_4951_8DA0_73D065532361_.wvu.PrintTitles" localSheetId="8" hidden="1">'Sch-3 Dis'!$13:$15</definedName>
    <definedName name="Z_E97134B6_5E8D_4951_8DA0_73D065532361_.wvu.PrintTitles" localSheetId="13" hidden="1">'Sch-5 Dis'!$3:$13</definedName>
    <definedName name="Z_E97134B6_5E8D_4951_8DA0_73D065532361_.wvu.PrintTitles" localSheetId="15" hidden="1">'Sch-7'!$14:$14</definedName>
    <definedName name="Z_E97134B6_5E8D_4951_8DA0_73D065532361_.wvu.PrintTitles" localSheetId="16" hidden="1">'Sch-7 Dis'!$14:$14</definedName>
    <definedName name="Z_E97134B6_5E8D_4951_8DA0_73D065532361_.wvu.PrintTitles" localSheetId="12" hidden="1">'Schedule-2'!$3:$13</definedName>
    <definedName name="Z_E97134B6_5E8D_4951_8DA0_73D065532361_.wvu.Rows" localSheetId="1" hidden="1">Cover!$7:$7</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5" hidden="1">'Sch-7'!$23:$23,'Sch-7'!$98:$216</definedName>
    <definedName name="Z_E97134B6_5E8D_4951_8DA0_73D065532361_.wvu.Rows" localSheetId="16" hidden="1">'Sch-7 Dis'!$104:$222</definedName>
    <definedName name="Z_E9F4E142_7D26_464D_BECA_4F3806DB1FE1_.wvu.Cols" localSheetId="4" hidden="1">'Sch-1'!$R:$W</definedName>
    <definedName name="Z_E9F4E142_7D26_464D_BECA_4F3806DB1FE1_.wvu.Cols" localSheetId="10" hidden="1">'Sch-1  (2)'!$S:$AB,'Sch-1  (2)'!$AH:$AM</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Dis'!$AA:$AF</definedName>
    <definedName name="Z_E9F4E142_7D26_464D_BECA_4F3806DB1FE1_.wvu.Cols" localSheetId="15" hidden="1">'Sch-7'!$I:$L,'Sch-7'!$AD:$AJ</definedName>
    <definedName name="Z_E9F4E142_7D26_464D_BECA_4F3806DB1FE1_.wvu.Cols" localSheetId="16" hidden="1">'Sch-7 Dis'!$AD:$AJ</definedName>
    <definedName name="Z_E9F4E142_7D26_464D_BECA_4F3806DB1FE1_.wvu.Cols" localSheetId="12" hidden="1">'Schedule-2'!$I:$P</definedName>
    <definedName name="Z_E9F4E142_7D26_464D_BECA_4F3806DB1FE1_.wvu.FilterData" localSheetId="4" hidden="1">'Sch-1'!$A$18:$O$18</definedName>
    <definedName name="Z_E9F4E142_7D26_464D_BECA_4F3806DB1FE1_.wvu.FilterData" localSheetId="10" hidden="1">'Sch-1  (2)'!$A$17:$M$180</definedName>
    <definedName name="Z_E9F4E142_7D26_464D_BECA_4F3806DB1FE1_.wvu.FilterData" localSheetId="5" hidden="1">'Sch-1 dis'!$A$16:$B$21</definedName>
    <definedName name="Z_E9F4E142_7D26_464D_BECA_4F3806DB1FE1_.wvu.FilterData" localSheetId="6" hidden="1">'Sch-2'!$G$20:$J$20</definedName>
    <definedName name="Z_E9F4E142_7D26_464D_BECA_4F3806DB1FE1_.wvu.FilterData" localSheetId="7" hidden="1">'Sch-2 Dis'!$A$15:$F$56</definedName>
    <definedName name="Z_E9F4E142_7D26_464D_BECA_4F3806DB1FE1_.wvu.FilterData" localSheetId="8" hidden="1">'Sch-3 Dis'!$A$15:$F$81</definedName>
    <definedName name="Z_E9F4E142_7D26_464D_BECA_4F3806DB1FE1_.wvu.PrintArea" localSheetId="20" hidden="1">'Bid Form '!$A$1:$F$66</definedName>
    <definedName name="Z_E9F4E142_7D26_464D_BECA_4F3806DB1FE1_.wvu.PrintArea" localSheetId="18" hidden="1">'Entry Tax'!$A$1:$E$16</definedName>
    <definedName name="Z_E9F4E142_7D26_464D_BECA_4F3806DB1FE1_.wvu.PrintArea" localSheetId="2" hidden="1">Instructions!$A$1:$C$52</definedName>
    <definedName name="Z_E9F4E142_7D26_464D_BECA_4F3806DB1FE1_.wvu.PrintArea" localSheetId="3" hidden="1">'Names of Bidder'!$B$1:$E$32</definedName>
    <definedName name="Z_E9F4E142_7D26_464D_BECA_4F3806DB1FE1_.wvu.PrintArea" localSheetId="17" hidden="1">Octroi!$A$1:$E$16</definedName>
    <definedName name="Z_E9F4E142_7D26_464D_BECA_4F3806DB1FE1_.wvu.PrintArea" localSheetId="19" hidden="1">'Other Taxes &amp; Duties'!$A$1:$F$16</definedName>
    <definedName name="Z_E9F4E142_7D26_464D_BECA_4F3806DB1FE1_.wvu.PrintArea" localSheetId="22" hidden="1">'Q &amp; C'!$A$1:$F$38</definedName>
    <definedName name="Z_E9F4E142_7D26_464D_BECA_4F3806DB1FE1_.wvu.PrintArea" localSheetId="21" hidden="1">'Q &amp; C (2)'!$A$1:$F$44</definedName>
    <definedName name="Z_E9F4E142_7D26_464D_BECA_4F3806DB1FE1_.wvu.PrintArea" localSheetId="4" hidden="1">'Sch-1'!$A$1:$O$30</definedName>
    <definedName name="Z_E9F4E142_7D26_464D_BECA_4F3806DB1FE1_.wvu.PrintArea" localSheetId="10" hidden="1">'Sch-1  (2)'!$A$1:$M$180</definedName>
    <definedName name="Z_E9F4E142_7D26_464D_BECA_4F3806DB1FE1_.wvu.PrintArea" localSheetId="5" hidden="1">'Sch-1 dis'!$A$1:$G$84</definedName>
    <definedName name="Z_E9F4E142_7D26_464D_BECA_4F3806DB1FE1_.wvu.PrintArea" localSheetId="6" hidden="1">'Sch-2'!$A$1:$J$23</definedName>
    <definedName name="Z_E9F4E142_7D26_464D_BECA_4F3806DB1FE1_.wvu.PrintArea" localSheetId="7" hidden="1">'Sch-2 Dis'!$A$1:$F$62</definedName>
    <definedName name="Z_E9F4E142_7D26_464D_BECA_4F3806DB1FE1_.wvu.PrintArea" localSheetId="14" hidden="1">'Sch-3'!$A$1:$D$29</definedName>
    <definedName name="Z_E9F4E142_7D26_464D_BECA_4F3806DB1FE1_.wvu.PrintArea" localSheetId="8" hidden="1">'Sch-3 Dis'!$A$1:$F$87</definedName>
    <definedName name="Z_E9F4E142_7D26_464D_BECA_4F3806DB1FE1_.wvu.PrintArea" localSheetId="9" hidden="1">'Sch-4'!$A$1:$F$21</definedName>
    <definedName name="Z_E9F4E142_7D26_464D_BECA_4F3806DB1FE1_.wvu.PrintArea" localSheetId="13" hidden="1">'Sch-5 Dis'!$A$1:$E$23</definedName>
    <definedName name="Z_E9F4E142_7D26_464D_BECA_4F3806DB1FE1_.wvu.PrintArea" localSheetId="15" hidden="1">'Sch-7'!$A$1:$F$26</definedName>
    <definedName name="Z_E9F4E142_7D26_464D_BECA_4F3806DB1FE1_.wvu.PrintArea" localSheetId="16" hidden="1">'Sch-7 Dis'!$A$1:$G$28</definedName>
    <definedName name="Z_E9F4E142_7D26_464D_BECA_4F3806DB1FE1_.wvu.PrintArea" localSheetId="12" hidden="1">'Schedule-2'!$A$1:$E$21</definedName>
    <definedName name="Z_E9F4E142_7D26_464D_BECA_4F3806DB1FE1_.wvu.PrintTitles" localSheetId="4" hidden="1">'Sch-1'!$15:$17</definedName>
    <definedName name="Z_E9F4E142_7D26_464D_BECA_4F3806DB1FE1_.wvu.PrintTitles" localSheetId="10" hidden="1">'Sch-1  (2)'!$13:$16</definedName>
    <definedName name="Z_E9F4E142_7D26_464D_BECA_4F3806DB1FE1_.wvu.PrintTitles" localSheetId="5" hidden="1">'Sch-1 dis'!$14:$16</definedName>
    <definedName name="Z_E9F4E142_7D26_464D_BECA_4F3806DB1FE1_.wvu.PrintTitles" localSheetId="6" hidden="1">'Sch-2'!$14:$16</definedName>
    <definedName name="Z_E9F4E142_7D26_464D_BECA_4F3806DB1FE1_.wvu.PrintTitles" localSheetId="7" hidden="1">'Sch-2 Dis'!$13:$15</definedName>
    <definedName name="Z_E9F4E142_7D26_464D_BECA_4F3806DB1FE1_.wvu.PrintTitles" localSheetId="14" hidden="1">'Sch-3'!$3:$13</definedName>
    <definedName name="Z_E9F4E142_7D26_464D_BECA_4F3806DB1FE1_.wvu.PrintTitles" localSheetId="8" hidden="1">'Sch-3 Dis'!$13:$15</definedName>
    <definedName name="Z_E9F4E142_7D26_464D_BECA_4F3806DB1FE1_.wvu.PrintTitles" localSheetId="13" hidden="1">'Sch-5 Dis'!$3:$13</definedName>
    <definedName name="Z_E9F4E142_7D26_464D_BECA_4F3806DB1FE1_.wvu.PrintTitles" localSheetId="15" hidden="1">'Sch-7'!$14:$14</definedName>
    <definedName name="Z_E9F4E142_7D26_464D_BECA_4F3806DB1FE1_.wvu.PrintTitles" localSheetId="16" hidden="1">'Sch-7 Dis'!$14:$14</definedName>
    <definedName name="Z_E9F4E142_7D26_464D_BECA_4F3806DB1FE1_.wvu.PrintTitles" localSheetId="12" hidden="1">'Schedule-2'!$3:$13</definedName>
    <definedName name="Z_E9F4E142_7D26_464D_BECA_4F3806DB1FE1_.wvu.Rows" localSheetId="1" hidden="1">Cover!$7:$7</definedName>
    <definedName name="Z_E9F4E142_7D26_464D_BECA_4F3806DB1FE1_.wvu.Rows" localSheetId="6" hidden="1">'Sch-2'!#REF!</definedName>
    <definedName name="Z_E9F4E142_7D26_464D_BECA_4F3806DB1FE1_.wvu.Rows" localSheetId="15" hidden="1">'Sch-7'!$23:$23,'Sch-7'!$98:$216</definedName>
    <definedName name="Z_E9F4E142_7D26_464D_BECA_4F3806DB1FE1_.wvu.Rows" localSheetId="16" hidden="1">'Sch-7 Dis'!$104:$222</definedName>
    <definedName name="Z_ECE9294F_C910_4036_88BC_B1F2176FB06B_.wvu.Cols" localSheetId="4" hidden="1">'Sch-1'!$R:$W</definedName>
    <definedName name="Z_ECE9294F_C910_4036_88BC_B1F2176FB06B_.wvu.Cols" localSheetId="10" hidden="1">'Sch-1  (2)'!$S:$AB,'Sch-1  (2)'!$AH:$AM</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Dis'!$AA:$AF</definedName>
    <definedName name="Z_ECE9294F_C910_4036_88BC_B1F2176FB06B_.wvu.Cols" localSheetId="15" hidden="1">'Sch-7'!$I:$L,'Sch-7'!$AD:$AJ</definedName>
    <definedName name="Z_ECE9294F_C910_4036_88BC_B1F2176FB06B_.wvu.Cols" localSheetId="16" hidden="1">'Sch-7 Dis'!$AD:$AJ</definedName>
    <definedName name="Z_ECE9294F_C910_4036_88BC_B1F2176FB06B_.wvu.Cols" localSheetId="12" hidden="1">'Schedule-2'!$I:$P</definedName>
    <definedName name="Z_ECE9294F_C910_4036_88BC_B1F2176FB06B_.wvu.FilterData" localSheetId="4" hidden="1">'Sch-1'!$A$18:$O$18</definedName>
    <definedName name="Z_ECE9294F_C910_4036_88BC_B1F2176FB06B_.wvu.FilterData" localSheetId="10" hidden="1">'Sch-1  (2)'!$A$17:$M$180</definedName>
    <definedName name="Z_ECE9294F_C910_4036_88BC_B1F2176FB06B_.wvu.FilterData" localSheetId="5" hidden="1">'Sch-1 dis'!$A$16:$B$21</definedName>
    <definedName name="Z_ECE9294F_C910_4036_88BC_B1F2176FB06B_.wvu.FilterData" localSheetId="6" hidden="1">'Sch-2'!$G$20:$J$20</definedName>
    <definedName name="Z_ECE9294F_C910_4036_88BC_B1F2176FB06B_.wvu.FilterData" localSheetId="7" hidden="1">'Sch-2 Dis'!$A$15:$F$56</definedName>
    <definedName name="Z_ECE9294F_C910_4036_88BC_B1F2176FB06B_.wvu.FilterData" localSheetId="8" hidden="1">'Sch-3 Dis'!$A$15:$F$81</definedName>
    <definedName name="Z_ECE9294F_C910_4036_88BC_B1F2176FB06B_.wvu.PrintArea" localSheetId="20" hidden="1">'Bid Form '!$A$1:$F$66</definedName>
    <definedName name="Z_ECE9294F_C910_4036_88BC_B1F2176FB06B_.wvu.PrintArea" localSheetId="18" hidden="1">'Entry Tax'!$A$1:$E$16</definedName>
    <definedName name="Z_ECE9294F_C910_4036_88BC_B1F2176FB06B_.wvu.PrintArea" localSheetId="2" hidden="1">Instructions!$A$1:$C$52</definedName>
    <definedName name="Z_ECE9294F_C910_4036_88BC_B1F2176FB06B_.wvu.PrintArea" localSheetId="3" hidden="1">'Names of Bidder'!$B$1:$E$32</definedName>
    <definedName name="Z_ECE9294F_C910_4036_88BC_B1F2176FB06B_.wvu.PrintArea" localSheetId="17" hidden="1">Octroi!$A$1:$E$16</definedName>
    <definedName name="Z_ECE9294F_C910_4036_88BC_B1F2176FB06B_.wvu.PrintArea" localSheetId="19" hidden="1">'Other Taxes &amp; Duties'!$A$1:$F$16</definedName>
    <definedName name="Z_ECE9294F_C910_4036_88BC_B1F2176FB06B_.wvu.PrintArea" localSheetId="22" hidden="1">'Q &amp; C'!$A$1:$F$38</definedName>
    <definedName name="Z_ECE9294F_C910_4036_88BC_B1F2176FB06B_.wvu.PrintArea" localSheetId="21" hidden="1">'Q &amp; C (2)'!$A$1:$F$44</definedName>
    <definedName name="Z_ECE9294F_C910_4036_88BC_B1F2176FB06B_.wvu.PrintArea" localSheetId="4" hidden="1">'Sch-1'!$A$1:$O$30</definedName>
    <definedName name="Z_ECE9294F_C910_4036_88BC_B1F2176FB06B_.wvu.PrintArea" localSheetId="10" hidden="1">'Sch-1  (2)'!$A$1:$M$180</definedName>
    <definedName name="Z_ECE9294F_C910_4036_88BC_B1F2176FB06B_.wvu.PrintArea" localSheetId="5" hidden="1">'Sch-1 dis'!$A$1:$G$84</definedName>
    <definedName name="Z_ECE9294F_C910_4036_88BC_B1F2176FB06B_.wvu.PrintArea" localSheetId="6" hidden="1">'Sch-2'!$A$1:$J$23</definedName>
    <definedName name="Z_ECE9294F_C910_4036_88BC_B1F2176FB06B_.wvu.PrintArea" localSheetId="7" hidden="1">'Sch-2 Dis'!$A$1:$F$62</definedName>
    <definedName name="Z_ECE9294F_C910_4036_88BC_B1F2176FB06B_.wvu.PrintArea" localSheetId="14" hidden="1">'Sch-3'!$A$1:$D$29</definedName>
    <definedName name="Z_ECE9294F_C910_4036_88BC_B1F2176FB06B_.wvu.PrintArea" localSheetId="8" hidden="1">'Sch-3 Dis'!$A$1:$F$87</definedName>
    <definedName name="Z_ECE9294F_C910_4036_88BC_B1F2176FB06B_.wvu.PrintArea" localSheetId="9" hidden="1">'Sch-4'!$A$1:$F$21</definedName>
    <definedName name="Z_ECE9294F_C910_4036_88BC_B1F2176FB06B_.wvu.PrintArea" localSheetId="13" hidden="1">'Sch-5 Dis'!$A$1:$E$23</definedName>
    <definedName name="Z_ECE9294F_C910_4036_88BC_B1F2176FB06B_.wvu.PrintArea" localSheetId="15" hidden="1">'Sch-7'!$A$1:$F$26</definedName>
    <definedName name="Z_ECE9294F_C910_4036_88BC_B1F2176FB06B_.wvu.PrintArea" localSheetId="16" hidden="1">'Sch-7 Dis'!$A$1:$G$28</definedName>
    <definedName name="Z_ECE9294F_C910_4036_88BC_B1F2176FB06B_.wvu.PrintArea" localSheetId="12" hidden="1">'Schedule-2'!$A$1:$E$21</definedName>
    <definedName name="Z_ECE9294F_C910_4036_88BC_B1F2176FB06B_.wvu.PrintTitles" localSheetId="4" hidden="1">'Sch-1'!$15:$17</definedName>
    <definedName name="Z_ECE9294F_C910_4036_88BC_B1F2176FB06B_.wvu.PrintTitles" localSheetId="10" hidden="1">'Sch-1  (2)'!$13:$16</definedName>
    <definedName name="Z_ECE9294F_C910_4036_88BC_B1F2176FB06B_.wvu.PrintTitles" localSheetId="5" hidden="1">'Sch-1 dis'!$14:$16</definedName>
    <definedName name="Z_ECE9294F_C910_4036_88BC_B1F2176FB06B_.wvu.PrintTitles" localSheetId="6" hidden="1">'Sch-2'!$14:$16</definedName>
    <definedName name="Z_ECE9294F_C910_4036_88BC_B1F2176FB06B_.wvu.PrintTitles" localSheetId="7" hidden="1">'Sch-2 Dis'!$13:$15</definedName>
    <definedName name="Z_ECE9294F_C910_4036_88BC_B1F2176FB06B_.wvu.PrintTitles" localSheetId="14" hidden="1">'Sch-3'!$3:$13</definedName>
    <definedName name="Z_ECE9294F_C910_4036_88BC_B1F2176FB06B_.wvu.PrintTitles" localSheetId="8" hidden="1">'Sch-3 Dis'!$13:$15</definedName>
    <definedName name="Z_ECE9294F_C910_4036_88BC_B1F2176FB06B_.wvu.PrintTitles" localSheetId="13" hidden="1">'Sch-5 Dis'!$3:$13</definedName>
    <definedName name="Z_ECE9294F_C910_4036_88BC_B1F2176FB06B_.wvu.PrintTitles" localSheetId="15" hidden="1">'Sch-7'!$14:$14</definedName>
    <definedName name="Z_ECE9294F_C910_4036_88BC_B1F2176FB06B_.wvu.PrintTitles" localSheetId="16" hidden="1">'Sch-7 Dis'!$14:$14</definedName>
    <definedName name="Z_ECE9294F_C910_4036_88BC_B1F2176FB06B_.wvu.PrintTitles" localSheetId="12" hidden="1">'Schedule-2'!$3:$13</definedName>
    <definedName name="Z_ECE9294F_C910_4036_88BC_B1F2176FB06B_.wvu.Rows" localSheetId="1" hidden="1">Cover!$7:$7</definedName>
    <definedName name="Z_ECE9294F_C910_4036_88BC_B1F2176FB06B_.wvu.Rows" localSheetId="4" hidden="1">'Sch-1'!#REF!</definedName>
    <definedName name="Z_ECE9294F_C910_4036_88BC_B1F2176FB06B_.wvu.Rows" localSheetId="10" hidden="1">'Sch-1  (2)'!#REF!</definedName>
    <definedName name="Z_ECE9294F_C910_4036_88BC_B1F2176FB06B_.wvu.Rows" localSheetId="6" hidden="1">'Sch-2'!#REF!</definedName>
    <definedName name="Z_ECE9294F_C910_4036_88BC_B1F2176FB06B_.wvu.Rows" localSheetId="15" hidden="1">'Sch-7'!$23:$23,'Sch-7'!$98:$216</definedName>
    <definedName name="Z_ECE9294F_C910_4036_88BC_B1F2176FB06B_.wvu.Rows" localSheetId="16" hidden="1">'Sch-7 Dis'!$104:$222</definedName>
    <definedName name="Z_EE46BCD1_F715_4FA9_A5FC_1B125AD601E0_.wvu.Cols" localSheetId="10" hidden="1">'Sch-1  (2)'!$S:$AB,'Sch-1  (2)'!$AH:$AM</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Dis'!$AA:$AF</definedName>
    <definedName name="Z_EE46BCD1_F715_4FA9_A5FC_1B125AD601E0_.wvu.Cols" localSheetId="15" hidden="1">'Sch-7'!$I:$L,'Sch-7'!$AD:$AJ</definedName>
    <definedName name="Z_EE46BCD1_F715_4FA9_A5FC_1B125AD601E0_.wvu.Cols" localSheetId="16" hidden="1">'Sch-7 Dis'!$AD:$AJ</definedName>
    <definedName name="Z_EE46BCD1_F715_4FA9_A5FC_1B125AD601E0_.wvu.Cols" localSheetId="12" hidden="1">'Schedule-2'!$I:$P</definedName>
    <definedName name="Z_EE46BCD1_F715_4FA9_A5FC_1B125AD601E0_.wvu.FilterData" localSheetId="4" hidden="1">'Sch-1'!$A$18:$O$18</definedName>
    <definedName name="Z_EE46BCD1_F715_4FA9_A5FC_1B125AD601E0_.wvu.FilterData" localSheetId="10" hidden="1">'Sch-1  (2)'!$A$17:$M$180</definedName>
    <definedName name="Z_EE46BCD1_F715_4FA9_A5FC_1B125AD601E0_.wvu.FilterData" localSheetId="5" hidden="1">'Sch-1 dis'!$A$16:$B$21</definedName>
    <definedName name="Z_EE46BCD1_F715_4FA9_A5FC_1B125AD601E0_.wvu.FilterData" localSheetId="6" hidden="1">'Sch-2'!$G$20:$J$20</definedName>
    <definedName name="Z_EE46BCD1_F715_4FA9_A5FC_1B125AD601E0_.wvu.FilterData" localSheetId="7" hidden="1">'Sch-2 Dis'!$A$15:$F$56</definedName>
    <definedName name="Z_EE46BCD1_F715_4FA9_A5FC_1B125AD601E0_.wvu.FilterData" localSheetId="8" hidden="1">'Sch-3 Dis'!$A$15:$F$81</definedName>
    <definedName name="Z_EE46BCD1_F715_4FA9_A5FC_1B125AD601E0_.wvu.PrintArea" localSheetId="20" hidden="1">'Bid Form '!$A$1:$F$66</definedName>
    <definedName name="Z_EE46BCD1_F715_4FA9_A5FC_1B125AD601E0_.wvu.PrintArea" localSheetId="18" hidden="1">'Entry Tax'!$A$1:$E$16</definedName>
    <definedName name="Z_EE46BCD1_F715_4FA9_A5FC_1B125AD601E0_.wvu.PrintArea" localSheetId="2" hidden="1">Instructions!$A$1:$C$52</definedName>
    <definedName name="Z_EE46BCD1_F715_4FA9_A5FC_1B125AD601E0_.wvu.PrintArea" localSheetId="3" hidden="1">'Names of Bidder'!$B$1:$G$34</definedName>
    <definedName name="Z_EE46BCD1_F715_4FA9_A5FC_1B125AD601E0_.wvu.PrintArea" localSheetId="17" hidden="1">Octroi!$A$1:$E$16</definedName>
    <definedName name="Z_EE46BCD1_F715_4FA9_A5FC_1B125AD601E0_.wvu.PrintArea" localSheetId="19" hidden="1">'Other Taxes &amp; Duties'!$A$1:$F$16</definedName>
    <definedName name="Z_EE46BCD1_F715_4FA9_A5FC_1B125AD601E0_.wvu.PrintArea" localSheetId="22" hidden="1">'Q &amp; C'!$A$1:$F$38</definedName>
    <definedName name="Z_EE46BCD1_F715_4FA9_A5FC_1B125AD601E0_.wvu.PrintArea" localSheetId="21" hidden="1">'Q &amp; C (2)'!$A$1:$F$44</definedName>
    <definedName name="Z_EE46BCD1_F715_4FA9_A5FC_1B125AD601E0_.wvu.PrintArea" localSheetId="4" hidden="1">'Sch-1'!$A$1:$O$30</definedName>
    <definedName name="Z_EE46BCD1_F715_4FA9_A5FC_1B125AD601E0_.wvu.PrintArea" localSheetId="10" hidden="1">'Sch-1  (2)'!$A$1:$M$180</definedName>
    <definedName name="Z_EE46BCD1_F715_4FA9_A5FC_1B125AD601E0_.wvu.PrintArea" localSheetId="5" hidden="1">'Sch-1 dis'!$A$1:$G$84</definedName>
    <definedName name="Z_EE46BCD1_F715_4FA9_A5FC_1B125AD601E0_.wvu.PrintArea" localSheetId="6" hidden="1">'Sch-2'!$A$1:$J$23</definedName>
    <definedName name="Z_EE46BCD1_F715_4FA9_A5FC_1B125AD601E0_.wvu.PrintArea" localSheetId="7" hidden="1">'Sch-2 Dis'!$A$1:$F$62</definedName>
    <definedName name="Z_EE46BCD1_F715_4FA9_A5FC_1B125AD601E0_.wvu.PrintArea" localSheetId="14" hidden="1">'Sch-3'!$A$1:$D$28</definedName>
    <definedName name="Z_EE46BCD1_F715_4FA9_A5FC_1B125AD601E0_.wvu.PrintArea" localSheetId="8" hidden="1">'Sch-3 Dis'!$A$1:$F$87</definedName>
    <definedName name="Z_EE46BCD1_F715_4FA9_A5FC_1B125AD601E0_.wvu.PrintArea" localSheetId="9" hidden="1">'Sch-4'!$A$1:$F$21</definedName>
    <definedName name="Z_EE46BCD1_F715_4FA9_A5FC_1B125AD601E0_.wvu.PrintArea" localSheetId="13" hidden="1">'Sch-5 Dis'!$A$1:$E$23</definedName>
    <definedName name="Z_EE46BCD1_F715_4FA9_A5FC_1B125AD601E0_.wvu.PrintArea" localSheetId="15" hidden="1">'Sch-7'!$A$1:$F$26</definedName>
    <definedName name="Z_EE46BCD1_F715_4FA9_A5FC_1B125AD601E0_.wvu.PrintArea" localSheetId="16" hidden="1">'Sch-7 Dis'!$A$1:$G$28</definedName>
    <definedName name="Z_EE46BCD1_F715_4FA9_A5FC_1B125AD601E0_.wvu.PrintArea" localSheetId="12" hidden="1">'Schedule-2'!$A$1:$E$21</definedName>
    <definedName name="Z_EE46BCD1_F715_4FA9_A5FC_1B125AD601E0_.wvu.PrintTitles" localSheetId="4" hidden="1">'Sch-1'!$15:$17</definedName>
    <definedName name="Z_EE46BCD1_F715_4FA9_A5FC_1B125AD601E0_.wvu.PrintTitles" localSheetId="10" hidden="1">'Sch-1  (2)'!$13:$16</definedName>
    <definedName name="Z_EE46BCD1_F715_4FA9_A5FC_1B125AD601E0_.wvu.PrintTitles" localSheetId="5" hidden="1">'Sch-1 dis'!$14:$16</definedName>
    <definedName name="Z_EE46BCD1_F715_4FA9_A5FC_1B125AD601E0_.wvu.PrintTitles" localSheetId="6" hidden="1">'Sch-2'!$14:$16</definedName>
    <definedName name="Z_EE46BCD1_F715_4FA9_A5FC_1B125AD601E0_.wvu.PrintTitles" localSheetId="7" hidden="1">'Sch-2 Dis'!$13:$15</definedName>
    <definedName name="Z_EE46BCD1_F715_4FA9_A5FC_1B125AD601E0_.wvu.PrintTitles" localSheetId="14" hidden="1">'Sch-3'!$3:$13</definedName>
    <definedName name="Z_EE46BCD1_F715_4FA9_A5FC_1B125AD601E0_.wvu.PrintTitles" localSheetId="8" hidden="1">'Sch-3 Dis'!$13:$15</definedName>
    <definedName name="Z_EE46BCD1_F715_4FA9_A5FC_1B125AD601E0_.wvu.PrintTitles" localSheetId="13" hidden="1">'Sch-5 Dis'!$3:$13</definedName>
    <definedName name="Z_EE46BCD1_F715_4FA9_A5FC_1B125AD601E0_.wvu.PrintTitles" localSheetId="15" hidden="1">'Sch-7'!$14:$14</definedName>
    <definedName name="Z_EE46BCD1_F715_4FA9_A5FC_1B125AD601E0_.wvu.PrintTitles" localSheetId="16" hidden="1">'Sch-7 Dis'!$14:$14</definedName>
    <definedName name="Z_EE46BCD1_F715_4FA9_A5FC_1B125AD601E0_.wvu.PrintTitles" localSheetId="12" hidden="1">'Schedule-2'!$3:$13</definedName>
    <definedName name="Z_EE46BCD1_F715_4FA9_A5FC_1B125AD601E0_.wvu.Rows" localSheetId="1" hidden="1">Cover!$7:$7</definedName>
    <definedName name="Z_EE46BCD1_F715_4FA9_A5FC_1B125AD601E0_.wvu.Rows" localSheetId="6" hidden="1">'Sch-2'!#REF!</definedName>
    <definedName name="Z_EE46BCD1_F715_4FA9_A5FC_1B125AD601E0_.wvu.Rows" localSheetId="15" hidden="1">'Sch-7'!$23:$23,'Sch-7'!$98:$216</definedName>
    <definedName name="Z_EE46BCD1_F715_4FA9_A5FC_1B125AD601E0_.wvu.Rows" localSheetId="16" hidden="1">'Sch-7 Dis'!$104:$222</definedName>
  </definedNames>
  <calcPr calcId="191028"/>
  <customWorkbookViews>
    <customWorkbookView name="Sivadanam Sivakumar {शिवदानम शिवकुमार} - Personal View" guid="{B48B8B4C-A880-453D-8729-90D004BEF0DB}" mergeInterval="0" personalView="1" maximized="1" xWindow="-8" yWindow="-8" windowWidth="1936" windowHeight="1056" tabRatio="821" activeSheetId="20"/>
    <customWorkbookView name="Pradeep Varun Ragiri {प्रदीप वरूण रागिरी} - Personal View" guid="{7043F04C-1FA3-449D-BEB8-4AC08DF68A5A}" mergeInterval="0" personalView="1" maximized="1" xWindow="-8" yWindow="-8" windowWidth="1382" windowHeight="744" tabRatio="821" activeSheetId="14"/>
    <customWorkbookView name="60031094 - Personal View" guid="{D0757F9E-DF41-4B40-A5E5-F4F8FDD8D61D}" mergeInterval="0" personalView="1" maximized="1" xWindow="1" yWindow="1" windowWidth="1362" windowHeight="538" tabRatio="821" activeSheetId="2"/>
    <customWorkbookView name="D Lucius - Personal View" guid="{E81F0721-C35D-4189-B675-E46A21339863}" mergeInterval="0" personalView="1" maximized="1" windowWidth="1362" windowHeight="523" tabRatio="821" activeSheetId="10"/>
    <customWorkbookView name="Venkatesh Karri {वेंकटेश कर्री} - Personal View" guid="{223BC0FC-814D-40F0-9795-CE82A16FF3A5}" mergeInterval="0" personalView="1" maximized="1" windowWidth="1362" windowHeight="542" tabRatio="821" activeSheetId="20"/>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0"/>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10"/>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0"/>
    <customWorkbookView name="Pankaj Pandey {पंकज पांडे} - Personal View" guid="{E97134B6-5E8D-4951-8DA0-73D065532361}" mergeInterval="0" personalView="1" maximized="1" windowWidth="1362" windowHeight="532" tabRatio="821" activeSheetId="5"/>
    <customWorkbookView name="60001959 - Personal View" guid="{B835C05C-B615-4DCB-982D-4519616B3CD8}" mergeInterval="0" personalView="1" maximized="1" windowWidth="1362" windowHeight="553" tabRatio="821" activeSheetId="10"/>
    <customWorkbookView name="60003099 - Personal View" guid="{17F5C48B-526E-48D2-9F97-823D578F9893}" mergeInterval="0" personalView="1" maximized="1" windowWidth="1276" windowHeight="798" tabRatio="679" activeSheetId="20"/>
    <customWorkbookView name="Jella Ramu {जेल्‍ला रामू} - Personal View" guid="{7F1A5DE7-1043-4C11-AB2C-CC6BC6A0F482}" mergeInterval="0" personalView="1" maximized="1" windowWidth="1362" windowHeight="543" tabRatio="821" activeSheetId="2"/>
    <customWorkbookView name="Dhinesh Kumar S {Dhinesh Kumar S} - Personal View" guid="{75D87FDD-0292-4E5A-8E8F-63018B009393}" mergeInterval="0" personalView="1" maximized="1" xWindow="-8" yWindow="-8" windowWidth="1382" windowHeight="744" tabRatio="82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75" i="27" l="1"/>
  <c r="M475" i="27" s="1"/>
  <c r="N475" i="27" s="1"/>
  <c r="L475" i="27" s="1"/>
  <c r="K468" i="27"/>
  <c r="M468" i="27" s="1"/>
  <c r="N468" i="27" s="1"/>
  <c r="L468" i="27" s="1"/>
  <c r="K467" i="27"/>
  <c r="M467" i="27" s="1"/>
  <c r="N467" i="27" s="1"/>
  <c r="L467" i="27" s="1"/>
  <c r="K466" i="27"/>
  <c r="M466" i="27" s="1"/>
  <c r="N466" i="27" s="1"/>
  <c r="L466" i="27" s="1"/>
  <c r="K465" i="27"/>
  <c r="M465" i="27" s="1"/>
  <c r="N465" i="27" s="1"/>
  <c r="L465" i="27" s="1"/>
  <c r="K459" i="27"/>
  <c r="M459" i="27" s="1"/>
  <c r="N459" i="27" s="1"/>
  <c r="L459" i="27" s="1"/>
  <c r="K458" i="27"/>
  <c r="M458" i="27" s="1"/>
  <c r="N458" i="27" s="1"/>
  <c r="L458" i="27" s="1"/>
  <c r="K457" i="27"/>
  <c r="M457" i="27" s="1"/>
  <c r="N457" i="27" s="1"/>
  <c r="L457" i="27" s="1"/>
  <c r="K456" i="27"/>
  <c r="M456" i="27" s="1"/>
  <c r="N456" i="27" s="1"/>
  <c r="L456" i="27" s="1"/>
  <c r="K455" i="27"/>
  <c r="M455" i="27" s="1"/>
  <c r="N455" i="27" s="1"/>
  <c r="L455" i="27" s="1"/>
  <c r="K453" i="27"/>
  <c r="M453" i="27" s="1"/>
  <c r="N453" i="27" s="1"/>
  <c r="L453" i="27" s="1"/>
  <c r="M444" i="27"/>
  <c r="N444" i="27" s="1"/>
  <c r="K443" i="27"/>
  <c r="M443" i="27" s="1"/>
  <c r="N443" i="27" s="1"/>
  <c r="L443" i="27" s="1"/>
  <c r="K442" i="27"/>
  <c r="M442" i="27" s="1"/>
  <c r="N442" i="27" s="1"/>
  <c r="L442" i="27" s="1"/>
  <c r="K441" i="27"/>
  <c r="M441" i="27" s="1"/>
  <c r="N441" i="27" s="1"/>
  <c r="L441" i="27" s="1"/>
  <c r="K435" i="27"/>
  <c r="M435" i="27" s="1"/>
  <c r="N435" i="27" s="1"/>
  <c r="L435" i="27" s="1"/>
  <c r="K434" i="27"/>
  <c r="M434" i="27" s="1"/>
  <c r="N434" i="27" s="1"/>
  <c r="L434" i="27" s="1"/>
  <c r="K433" i="27"/>
  <c r="M433" i="27" s="1"/>
  <c r="N433" i="27" s="1"/>
  <c r="L433" i="27" s="1"/>
  <c r="K432" i="27"/>
  <c r="M432" i="27" s="1"/>
  <c r="N432" i="27" s="1"/>
  <c r="L432" i="27" s="1"/>
  <c r="K431" i="27"/>
  <c r="M431" i="27" s="1"/>
  <c r="N431" i="27" s="1"/>
  <c r="L431" i="27" s="1"/>
  <c r="K418" i="27"/>
  <c r="M418" i="27" s="1"/>
  <c r="N418" i="27" s="1"/>
  <c r="L418" i="27" s="1"/>
  <c r="K417" i="27"/>
  <c r="M417" i="27" s="1"/>
  <c r="N417" i="27" s="1"/>
  <c r="L417" i="27" s="1"/>
  <c r="K411" i="27"/>
  <c r="M411" i="27" s="1"/>
  <c r="N411" i="27" s="1"/>
  <c r="L411" i="27" s="1"/>
  <c r="K407" i="27"/>
  <c r="M407" i="27" s="1"/>
  <c r="N407" i="27" s="1"/>
  <c r="L407" i="27" s="1"/>
  <c r="K405" i="27"/>
  <c r="M405" i="27" s="1"/>
  <c r="N405" i="27" s="1"/>
  <c r="L405" i="27" s="1"/>
  <c r="K399" i="27"/>
  <c r="M399" i="27" s="1"/>
  <c r="N399" i="27" s="1"/>
  <c r="L399" i="27" s="1"/>
  <c r="K398" i="27"/>
  <c r="M398" i="27" s="1"/>
  <c r="N398" i="27" s="1"/>
  <c r="L398" i="27" s="1"/>
  <c r="K397" i="27"/>
  <c r="M397" i="27" s="1"/>
  <c r="N397" i="27" s="1"/>
  <c r="L397" i="27" s="1"/>
  <c r="K396" i="27"/>
  <c r="M396" i="27" s="1"/>
  <c r="N396" i="27" s="1"/>
  <c r="L396" i="27" s="1"/>
  <c r="K395" i="27"/>
  <c r="M395" i="27" s="1"/>
  <c r="N395" i="27" s="1"/>
  <c r="L395" i="27" s="1"/>
  <c r="K393" i="27"/>
  <c r="M393" i="27" s="1"/>
  <c r="N393" i="27" s="1"/>
  <c r="L393" i="27" s="1"/>
  <c r="K387" i="27"/>
  <c r="M387" i="27" s="1"/>
  <c r="N387" i="27" s="1"/>
  <c r="L387" i="27" s="1"/>
  <c r="K386" i="27"/>
  <c r="M386" i="27" s="1"/>
  <c r="N386" i="27" s="1"/>
  <c r="L386" i="27" s="1"/>
  <c r="K385" i="27"/>
  <c r="M385" i="27" s="1"/>
  <c r="N385" i="27" s="1"/>
  <c r="L385" i="27" s="1"/>
  <c r="K384" i="27"/>
  <c r="M384" i="27" s="1"/>
  <c r="N384" i="27" s="1"/>
  <c r="L384" i="27" s="1"/>
  <c r="K383" i="27"/>
  <c r="M383" i="27" s="1"/>
  <c r="N383" i="27" s="1"/>
  <c r="L383" i="27" s="1"/>
  <c r="K380" i="27"/>
  <c r="M380" i="27" s="1"/>
  <c r="N380" i="27" s="1"/>
  <c r="L380" i="27" s="1"/>
  <c r="K378" i="27"/>
  <c r="M378" i="27" s="1"/>
  <c r="N378" i="27" s="1"/>
  <c r="L378" i="27" s="1"/>
  <c r="K372" i="27"/>
  <c r="M372" i="27" s="1"/>
  <c r="N372" i="27" s="1"/>
  <c r="L372" i="27" s="1"/>
  <c r="K371" i="27"/>
  <c r="M371" i="27" s="1"/>
  <c r="N371" i="27" s="1"/>
  <c r="L371" i="27" s="1"/>
  <c r="K370" i="27"/>
  <c r="M370" i="27" s="1"/>
  <c r="N370" i="27" s="1"/>
  <c r="L370" i="27" s="1"/>
  <c r="K369" i="27"/>
  <c r="M369" i="27" s="1"/>
  <c r="N369" i="27" s="1"/>
  <c r="L369" i="27" s="1"/>
  <c r="K368" i="27"/>
  <c r="M368" i="27" s="1"/>
  <c r="N368" i="27" s="1"/>
  <c r="L368" i="27" s="1"/>
  <c r="K362" i="27"/>
  <c r="M362" i="27" s="1"/>
  <c r="N362" i="27" s="1"/>
  <c r="L362" i="27" s="1"/>
  <c r="K361" i="27"/>
  <c r="M361" i="27" s="1"/>
  <c r="N361" i="27" s="1"/>
  <c r="L361" i="27" s="1"/>
  <c r="K360" i="27"/>
  <c r="M360" i="27" s="1"/>
  <c r="N360" i="27" s="1"/>
  <c r="L360" i="27" s="1"/>
  <c r="K359" i="27"/>
  <c r="M359" i="27" s="1"/>
  <c r="N359" i="27" s="1"/>
  <c r="L359" i="27" s="1"/>
  <c r="K358" i="27"/>
  <c r="M358" i="27" s="1"/>
  <c r="N358" i="27" s="1"/>
  <c r="L358" i="27" s="1"/>
  <c r="K356" i="27"/>
  <c r="M356" i="27" s="1"/>
  <c r="N356" i="27" s="1"/>
  <c r="L356" i="27" s="1"/>
  <c r="K354" i="27"/>
  <c r="M354" i="27" s="1"/>
  <c r="N354" i="27" s="1"/>
  <c r="L354" i="27" s="1"/>
  <c r="K348" i="27"/>
  <c r="M348" i="27" s="1"/>
  <c r="N348" i="27" s="1"/>
  <c r="L348" i="27" s="1"/>
  <c r="K347" i="27"/>
  <c r="M347" i="27" s="1"/>
  <c r="N347" i="27" s="1"/>
  <c r="L347" i="27" s="1"/>
  <c r="K346" i="27"/>
  <c r="M346" i="27" s="1"/>
  <c r="N346" i="27" s="1"/>
  <c r="L346" i="27" s="1"/>
  <c r="K345" i="27"/>
  <c r="M345" i="27" s="1"/>
  <c r="N345" i="27" s="1"/>
  <c r="L345" i="27" s="1"/>
  <c r="K343" i="27"/>
  <c r="M343" i="27" s="1"/>
  <c r="N343" i="27" s="1"/>
  <c r="L343" i="27" s="1"/>
  <c r="K335" i="27"/>
  <c r="M335" i="27" s="1"/>
  <c r="N335" i="27" s="1"/>
  <c r="L335" i="27" s="1"/>
  <c r="K333" i="27"/>
  <c r="M333" i="27" s="1"/>
  <c r="N333" i="27" s="1"/>
  <c r="L333" i="27" s="1"/>
  <c r="K332" i="27"/>
  <c r="M332" i="27" s="1"/>
  <c r="N332" i="27" s="1"/>
  <c r="L332" i="27" s="1"/>
  <c r="K331" i="27"/>
  <c r="M331" i="27" s="1"/>
  <c r="N331" i="27" s="1"/>
  <c r="L331" i="27" s="1"/>
  <c r="K330" i="27"/>
  <c r="M330" i="27" s="1"/>
  <c r="N330" i="27" s="1"/>
  <c r="L330" i="27" s="1"/>
  <c r="K324" i="27"/>
  <c r="M324" i="27" s="1"/>
  <c r="N324" i="27" s="1"/>
  <c r="L324" i="27" s="1"/>
  <c r="K323" i="27"/>
  <c r="M323" i="27" s="1"/>
  <c r="N323" i="27" s="1"/>
  <c r="L323" i="27" s="1"/>
  <c r="K322" i="27"/>
  <c r="M322" i="27" s="1"/>
  <c r="N322" i="27" s="1"/>
  <c r="L322" i="27" s="1"/>
  <c r="K321" i="27"/>
  <c r="M321" i="27" s="1"/>
  <c r="N321" i="27" s="1"/>
  <c r="L321" i="27" s="1"/>
  <c r="K320" i="27"/>
  <c r="M320" i="27" s="1"/>
  <c r="N320" i="27" s="1"/>
  <c r="L320" i="27" s="1"/>
  <c r="K318" i="27"/>
  <c r="M318" i="27" s="1"/>
  <c r="N318" i="27" s="1"/>
  <c r="L318" i="27" s="1"/>
  <c r="K316" i="27"/>
  <c r="M316" i="27" s="1"/>
  <c r="N316" i="27" s="1"/>
  <c r="L316" i="27" s="1"/>
  <c r="K310" i="27"/>
  <c r="M310" i="27" s="1"/>
  <c r="N310" i="27" s="1"/>
  <c r="L310" i="27" s="1"/>
  <c r="K309" i="27"/>
  <c r="M309" i="27" s="1"/>
  <c r="N309" i="27" s="1"/>
  <c r="L309" i="27" s="1"/>
  <c r="K308" i="27"/>
  <c r="M308" i="27" s="1"/>
  <c r="N308" i="27" s="1"/>
  <c r="L308" i="27" s="1"/>
  <c r="K307" i="27"/>
  <c r="M307" i="27" s="1"/>
  <c r="N307" i="27" s="1"/>
  <c r="L307" i="27" s="1"/>
  <c r="K306" i="27"/>
  <c r="M306" i="27" s="1"/>
  <c r="N306" i="27" s="1"/>
  <c r="L306" i="27" s="1"/>
  <c r="K300" i="27"/>
  <c r="M300" i="27" s="1"/>
  <c r="N300" i="27" s="1"/>
  <c r="L300" i="27" s="1"/>
  <c r="K299" i="27"/>
  <c r="M299" i="27" s="1"/>
  <c r="N299" i="27" s="1"/>
  <c r="L299" i="27" s="1"/>
  <c r="K297" i="27"/>
  <c r="M297" i="27" s="1"/>
  <c r="N297" i="27" s="1"/>
  <c r="L297" i="27" s="1"/>
  <c r="K296" i="27"/>
  <c r="M296" i="27" s="1"/>
  <c r="N296" i="27" s="1"/>
  <c r="L296" i="27" s="1"/>
  <c r="K294" i="27"/>
  <c r="M294" i="27" s="1"/>
  <c r="N294" i="27" s="1"/>
  <c r="L294" i="27" s="1"/>
  <c r="K291" i="27"/>
  <c r="M291" i="27" s="1"/>
  <c r="N291" i="27" s="1"/>
  <c r="L291" i="27" s="1"/>
  <c r="M148" i="27"/>
  <c r="N148" i="27" s="1"/>
  <c r="M165" i="27"/>
  <c r="N165" i="27" s="1"/>
  <c r="M171" i="27"/>
  <c r="N171" i="27" s="1"/>
  <c r="M198" i="27"/>
  <c r="N198" i="27" s="1"/>
  <c r="M202" i="27"/>
  <c r="N202" i="27" s="1"/>
  <c r="M230" i="27"/>
  <c r="N230" i="27" s="1"/>
  <c r="M266" i="27"/>
  <c r="N266" i="27" s="1"/>
  <c r="M287" i="27"/>
  <c r="N287" i="27" s="1"/>
  <c r="M292" i="27"/>
  <c r="N292" i="27" s="1"/>
  <c r="M334" i="27"/>
  <c r="N334" i="27" s="1"/>
  <c r="M353" i="27"/>
  <c r="N353" i="27" s="1"/>
  <c r="M381" i="27"/>
  <c r="N381" i="27" s="1"/>
  <c r="M421" i="27"/>
  <c r="N421" i="27" s="1"/>
  <c r="M478" i="27"/>
  <c r="N478" i="27" s="1"/>
  <c r="M504" i="27"/>
  <c r="N504" i="27" s="1"/>
  <c r="M545" i="27"/>
  <c r="N545" i="27" s="1"/>
  <c r="M61" i="27"/>
  <c r="N61" i="27" s="1"/>
  <c r="M80" i="27"/>
  <c r="N80" i="27" s="1"/>
  <c r="K501" i="27"/>
  <c r="M501" i="27" s="1"/>
  <c r="N501" i="27" s="1"/>
  <c r="L501" i="27" s="1"/>
  <c r="M156" i="27"/>
  <c r="N156" i="27" s="1"/>
  <c r="I558" i="27"/>
  <c r="I557" i="27"/>
  <c r="I556" i="27"/>
  <c r="I555" i="27"/>
  <c r="I554" i="27"/>
  <c r="I553" i="27"/>
  <c r="I552" i="27"/>
  <c r="I551" i="27"/>
  <c r="I550" i="27"/>
  <c r="I549" i="27"/>
  <c r="I548" i="27"/>
  <c r="I547" i="27"/>
  <c r="I546" i="27"/>
  <c r="K555" i="27"/>
  <c r="M555" i="27" s="1"/>
  <c r="N555" i="27" s="1"/>
  <c r="L555" i="27" s="1"/>
  <c r="K554" i="27"/>
  <c r="M554" i="27" s="1"/>
  <c r="N554" i="27" s="1"/>
  <c r="L554" i="27" s="1"/>
  <c r="K553" i="27"/>
  <c r="M553" i="27" s="1"/>
  <c r="N553" i="27" s="1"/>
  <c r="L553" i="27" s="1"/>
  <c r="K552" i="27"/>
  <c r="M552" i="27" s="1"/>
  <c r="N552" i="27" s="1"/>
  <c r="L552" i="27" s="1"/>
  <c r="K551" i="27"/>
  <c r="M551" i="27" s="1"/>
  <c r="N551" i="27" s="1"/>
  <c r="L551" i="27" s="1"/>
  <c r="K550" i="27"/>
  <c r="M550" i="27" s="1"/>
  <c r="N550" i="27" s="1"/>
  <c r="L550" i="27" s="1"/>
  <c r="K549" i="27"/>
  <c r="M549" i="27" s="1"/>
  <c r="N549" i="27" s="1"/>
  <c r="L549" i="27" s="1"/>
  <c r="K548" i="27"/>
  <c r="M548" i="27" s="1"/>
  <c r="N548" i="27" s="1"/>
  <c r="L548" i="27" s="1"/>
  <c r="K547" i="27"/>
  <c r="M547" i="27" s="1"/>
  <c r="N547" i="27" s="1"/>
  <c r="L547" i="27" s="1"/>
  <c r="I544" i="27"/>
  <c r="I543" i="27"/>
  <c r="I542" i="27"/>
  <c r="I541" i="27"/>
  <c r="I540" i="27"/>
  <c r="I539" i="27"/>
  <c r="I538" i="27"/>
  <c r="I536" i="27"/>
  <c r="I534" i="27"/>
  <c r="I533" i="27"/>
  <c r="I532" i="27"/>
  <c r="I531" i="27"/>
  <c r="I530" i="27"/>
  <c r="I529" i="27"/>
  <c r="I528" i="27"/>
  <c r="I527" i="27"/>
  <c r="I526" i="27"/>
  <c r="I523" i="27"/>
  <c r="I521" i="27"/>
  <c r="I520" i="27"/>
  <c r="I519" i="27"/>
  <c r="I518" i="27"/>
  <c r="I517" i="27"/>
  <c r="I516" i="27"/>
  <c r="I515" i="27"/>
  <c r="I514" i="27"/>
  <c r="I513" i="27"/>
  <c r="I512" i="27"/>
  <c r="I511" i="27"/>
  <c r="I510" i="27"/>
  <c r="K562" i="27"/>
  <c r="M562" i="27" s="1"/>
  <c r="N562" i="27" s="1"/>
  <c r="L562" i="27" s="1"/>
  <c r="K561" i="27"/>
  <c r="M561" i="27" s="1"/>
  <c r="N561" i="27" s="1"/>
  <c r="L561" i="27" s="1"/>
  <c r="K560" i="27"/>
  <c r="M560" i="27" s="1"/>
  <c r="N560" i="27" s="1"/>
  <c r="L560" i="27" s="1"/>
  <c r="K559" i="27"/>
  <c r="M559" i="27" s="1"/>
  <c r="N559" i="27" s="1"/>
  <c r="L559" i="27" s="1"/>
  <c r="K558" i="27"/>
  <c r="M558" i="27" s="1"/>
  <c r="N558" i="27" s="1"/>
  <c r="L558" i="27" s="1"/>
  <c r="K557" i="27"/>
  <c r="M557" i="27" s="1"/>
  <c r="N557" i="27" s="1"/>
  <c r="L557" i="27" s="1"/>
  <c r="K556" i="27"/>
  <c r="M556" i="27" s="1"/>
  <c r="N556" i="27" s="1"/>
  <c r="L556" i="27" s="1"/>
  <c r="K546" i="27"/>
  <c r="M546" i="27" s="1"/>
  <c r="N546" i="27" s="1"/>
  <c r="L546" i="27" s="1"/>
  <c r="I457" i="27"/>
  <c r="I443" i="27"/>
  <c r="I442" i="27"/>
  <c r="I441" i="27"/>
  <c r="I440" i="27"/>
  <c r="I439" i="27"/>
  <c r="I437" i="27"/>
  <c r="I436" i="27"/>
  <c r="I435" i="27"/>
  <c r="I416" i="27"/>
  <c r="I411" i="27"/>
  <c r="I404" i="27"/>
  <c r="I403" i="27"/>
  <c r="I402" i="27"/>
  <c r="I395" i="27"/>
  <c r="I394" i="27"/>
  <c r="I392" i="27"/>
  <c r="I391" i="27"/>
  <c r="I387" i="27"/>
  <c r="I386" i="27"/>
  <c r="I385" i="27"/>
  <c r="I376" i="27"/>
  <c r="I356" i="27"/>
  <c r="I354" i="27"/>
  <c r="I347" i="27"/>
  <c r="I346" i="27"/>
  <c r="I344" i="27"/>
  <c r="I343" i="27"/>
  <c r="I342" i="27"/>
  <c r="I340" i="27"/>
  <c r="I339" i="27"/>
  <c r="I337" i="27"/>
  <c r="I331" i="27"/>
  <c r="I328" i="27"/>
  <c r="I326" i="27"/>
  <c r="I325" i="27"/>
  <c r="I324" i="27"/>
  <c r="I322" i="27"/>
  <c r="I321" i="27"/>
  <c r="I313" i="27"/>
  <c r="I310" i="27"/>
  <c r="I309" i="27"/>
  <c r="I308" i="27"/>
  <c r="I306" i="27"/>
  <c r="I305" i="27"/>
  <c r="I304" i="27"/>
  <c r="I299" i="27"/>
  <c r="I295" i="27"/>
  <c r="I294" i="27"/>
  <c r="K382" i="27"/>
  <c r="M382" i="27" s="1"/>
  <c r="N382" i="27" s="1"/>
  <c r="L382" i="27" s="1"/>
  <c r="K379" i="27"/>
  <c r="M379" i="27" s="1"/>
  <c r="N379" i="27" s="1"/>
  <c r="L379" i="27" s="1"/>
  <c r="K377" i="27"/>
  <c r="M377" i="27" s="1"/>
  <c r="N377" i="27" s="1"/>
  <c r="L377" i="27" s="1"/>
  <c r="K376" i="27"/>
  <c r="M376" i="27" s="1"/>
  <c r="N376" i="27" s="1"/>
  <c r="L376" i="27" s="1"/>
  <c r="K375" i="27"/>
  <c r="M375" i="27" s="1"/>
  <c r="N375" i="27" s="1"/>
  <c r="L375" i="27" s="1"/>
  <c r="K374" i="27"/>
  <c r="M374" i="27" s="1"/>
  <c r="N374" i="27" s="1"/>
  <c r="L374" i="27" s="1"/>
  <c r="K373" i="27"/>
  <c r="M373" i="27" s="1"/>
  <c r="N373" i="27" s="1"/>
  <c r="L373" i="27" s="1"/>
  <c r="K367" i="27"/>
  <c r="M367" i="27" s="1"/>
  <c r="N367" i="27" s="1"/>
  <c r="L367" i="27" s="1"/>
  <c r="K366" i="27"/>
  <c r="M366" i="27" s="1"/>
  <c r="N366" i="27" s="1"/>
  <c r="L366" i="27" s="1"/>
  <c r="K365" i="27"/>
  <c r="M365" i="27" s="1"/>
  <c r="N365" i="27" s="1"/>
  <c r="L365" i="27" s="1"/>
  <c r="K364" i="27"/>
  <c r="M364" i="27" s="1"/>
  <c r="N364" i="27" s="1"/>
  <c r="L364" i="27" s="1"/>
  <c r="K363" i="27"/>
  <c r="M363" i="27" s="1"/>
  <c r="N363" i="27" s="1"/>
  <c r="L363" i="27" s="1"/>
  <c r="K357" i="27"/>
  <c r="M357" i="27" s="1"/>
  <c r="N357" i="27" s="1"/>
  <c r="L357" i="27" s="1"/>
  <c r="K355" i="27"/>
  <c r="M355" i="27" s="1"/>
  <c r="N355" i="27" s="1"/>
  <c r="L355" i="27" s="1"/>
  <c r="K352" i="27"/>
  <c r="M352" i="27" s="1"/>
  <c r="N352" i="27" s="1"/>
  <c r="L352" i="27" s="1"/>
  <c r="K351" i="27"/>
  <c r="M351" i="27" s="1"/>
  <c r="N351" i="27" s="1"/>
  <c r="L351" i="27" s="1"/>
  <c r="K350" i="27"/>
  <c r="M350" i="27" s="1"/>
  <c r="N350" i="27" s="1"/>
  <c r="L350" i="27" s="1"/>
  <c r="K349" i="27"/>
  <c r="M349" i="27" s="1"/>
  <c r="N349" i="27" s="1"/>
  <c r="L349" i="27" s="1"/>
  <c r="K344" i="27"/>
  <c r="M344" i="27" s="1"/>
  <c r="N344" i="27" s="1"/>
  <c r="L344" i="27" s="1"/>
  <c r="K342" i="27"/>
  <c r="M342" i="27" s="1"/>
  <c r="N342" i="27" s="1"/>
  <c r="L342" i="27" s="1"/>
  <c r="K341" i="27"/>
  <c r="M341" i="27" s="1"/>
  <c r="N341" i="27" s="1"/>
  <c r="L341" i="27" s="1"/>
  <c r="K340" i="27"/>
  <c r="M340" i="27" s="1"/>
  <c r="N340" i="27" s="1"/>
  <c r="L340" i="27" s="1"/>
  <c r="K339" i="27"/>
  <c r="M339" i="27" s="1"/>
  <c r="N339" i="27" s="1"/>
  <c r="L339" i="27" s="1"/>
  <c r="K338" i="27"/>
  <c r="M338" i="27" s="1"/>
  <c r="N338" i="27" s="1"/>
  <c r="L338" i="27" s="1"/>
  <c r="K337" i="27"/>
  <c r="M337" i="27" s="1"/>
  <c r="N337" i="27" s="1"/>
  <c r="L337" i="27" s="1"/>
  <c r="K336" i="27"/>
  <c r="M336" i="27" s="1"/>
  <c r="N336" i="27" s="1"/>
  <c r="L336" i="27" s="1"/>
  <c r="K329" i="27"/>
  <c r="M329" i="27" s="1"/>
  <c r="N329" i="27" s="1"/>
  <c r="L329" i="27" s="1"/>
  <c r="K328" i="27"/>
  <c r="M328" i="27" s="1"/>
  <c r="N328" i="27" s="1"/>
  <c r="L328" i="27" s="1"/>
  <c r="K327" i="27"/>
  <c r="M327" i="27" s="1"/>
  <c r="N327" i="27" s="1"/>
  <c r="L327" i="27" s="1"/>
  <c r="K326" i="27"/>
  <c r="M326" i="27" s="1"/>
  <c r="N326" i="27" s="1"/>
  <c r="L326" i="27" s="1"/>
  <c r="K325" i="27"/>
  <c r="M325" i="27" s="1"/>
  <c r="N325" i="27" s="1"/>
  <c r="L325" i="27" s="1"/>
  <c r="K319" i="27"/>
  <c r="M319" i="27" s="1"/>
  <c r="N319" i="27" s="1"/>
  <c r="L319" i="27" s="1"/>
  <c r="K317" i="27"/>
  <c r="M317" i="27" s="1"/>
  <c r="N317" i="27" s="1"/>
  <c r="L317" i="27" s="1"/>
  <c r="K315" i="27"/>
  <c r="M315" i="27" s="1"/>
  <c r="N315" i="27" s="1"/>
  <c r="L315" i="27" s="1"/>
  <c r="K314" i="27"/>
  <c r="M314" i="27" s="1"/>
  <c r="N314" i="27" s="1"/>
  <c r="L314" i="27" s="1"/>
  <c r="K313" i="27"/>
  <c r="M313" i="27" s="1"/>
  <c r="N313" i="27" s="1"/>
  <c r="L313" i="27" s="1"/>
  <c r="K312" i="27"/>
  <c r="M312" i="27" s="1"/>
  <c r="N312" i="27" s="1"/>
  <c r="L312" i="27" s="1"/>
  <c r="K311" i="27"/>
  <c r="M311" i="27" s="1"/>
  <c r="N311" i="27" s="1"/>
  <c r="L311" i="27" s="1"/>
  <c r="K305" i="27"/>
  <c r="M305" i="27" s="1"/>
  <c r="N305" i="27" s="1"/>
  <c r="L305" i="27" s="1"/>
  <c r="K304" i="27"/>
  <c r="M304" i="27" s="1"/>
  <c r="N304" i="27" s="1"/>
  <c r="L304" i="27" s="1"/>
  <c r="K303" i="27"/>
  <c r="M303" i="27" s="1"/>
  <c r="N303" i="27" s="1"/>
  <c r="L303" i="27" s="1"/>
  <c r="K302" i="27"/>
  <c r="M302" i="27" s="1"/>
  <c r="N302" i="27" s="1"/>
  <c r="L302" i="27" s="1"/>
  <c r="K301" i="27"/>
  <c r="M301" i="27" s="1"/>
  <c r="N301" i="27" s="1"/>
  <c r="L301" i="27" s="1"/>
  <c r="K298" i="27"/>
  <c r="M298" i="27" s="1"/>
  <c r="N298" i="27" s="1"/>
  <c r="L298" i="27" s="1"/>
  <c r="K295" i="27"/>
  <c r="M295" i="27" s="1"/>
  <c r="N295" i="27" s="1"/>
  <c r="L295" i="27" s="1"/>
  <c r="K293" i="27"/>
  <c r="M293" i="27" s="1"/>
  <c r="N293" i="27" s="1"/>
  <c r="L293" i="27" s="1"/>
  <c r="K290" i="27"/>
  <c r="M290" i="27" s="1"/>
  <c r="N290" i="27" s="1"/>
  <c r="L290" i="27" s="1"/>
  <c r="K289" i="27"/>
  <c r="M289" i="27" s="1"/>
  <c r="N289" i="27" s="1"/>
  <c r="L289" i="27" s="1"/>
  <c r="K503" i="27"/>
  <c r="M503" i="27" s="1"/>
  <c r="N503" i="27" s="1"/>
  <c r="L503" i="27" s="1"/>
  <c r="K502" i="27"/>
  <c r="M502" i="27" s="1"/>
  <c r="N502" i="27" s="1"/>
  <c r="L502" i="27" s="1"/>
  <c r="K500" i="27"/>
  <c r="M500" i="27" s="1"/>
  <c r="N500" i="27" s="1"/>
  <c r="L500" i="27" s="1"/>
  <c r="K499" i="27"/>
  <c r="M499" i="27" s="1"/>
  <c r="N499" i="27" s="1"/>
  <c r="L499" i="27" s="1"/>
  <c r="K498" i="27"/>
  <c r="M498" i="27" s="1"/>
  <c r="N498" i="27" s="1"/>
  <c r="L498" i="27" s="1"/>
  <c r="K497" i="27"/>
  <c r="M497" i="27" s="1"/>
  <c r="N497" i="27" s="1"/>
  <c r="L497" i="27" s="1"/>
  <c r="K496" i="27"/>
  <c r="M496" i="27" s="1"/>
  <c r="N496" i="27" s="1"/>
  <c r="L496" i="27" s="1"/>
  <c r="K495" i="27"/>
  <c r="M495" i="27" s="1"/>
  <c r="N495" i="27" s="1"/>
  <c r="L495" i="27" s="1"/>
  <c r="K494" i="27"/>
  <c r="M494" i="27" s="1"/>
  <c r="N494" i="27" s="1"/>
  <c r="L494" i="27" s="1"/>
  <c r="K493" i="27"/>
  <c r="M493" i="27" s="1"/>
  <c r="N493" i="27" s="1"/>
  <c r="L493" i="27" s="1"/>
  <c r="K492" i="27"/>
  <c r="M492" i="27" s="1"/>
  <c r="N492" i="27" s="1"/>
  <c r="L492" i="27" s="1"/>
  <c r="K491" i="27"/>
  <c r="M491" i="27" s="1"/>
  <c r="N491" i="27" s="1"/>
  <c r="L491" i="27" s="1"/>
  <c r="K490" i="27"/>
  <c r="M490" i="27" s="1"/>
  <c r="N490" i="27" s="1"/>
  <c r="L490" i="27" s="1"/>
  <c r="K489" i="27"/>
  <c r="M489" i="27" s="1"/>
  <c r="N489" i="27" s="1"/>
  <c r="L489" i="27" s="1"/>
  <c r="K488" i="27"/>
  <c r="M488" i="27" s="1"/>
  <c r="N488" i="27" s="1"/>
  <c r="L488" i="27" s="1"/>
  <c r="K487" i="27"/>
  <c r="M487" i="27" s="1"/>
  <c r="N487" i="27" s="1"/>
  <c r="L487" i="27" s="1"/>
  <c r="K486" i="27"/>
  <c r="M486" i="27" s="1"/>
  <c r="N486" i="27" s="1"/>
  <c r="L486" i="27" s="1"/>
  <c r="K485" i="27"/>
  <c r="M485" i="27" s="1"/>
  <c r="N485" i="27" s="1"/>
  <c r="L485" i="27" s="1"/>
  <c r="K484" i="27"/>
  <c r="M484" i="27" s="1"/>
  <c r="N484" i="27" s="1"/>
  <c r="L484" i="27" s="1"/>
  <c r="K483" i="27"/>
  <c r="M483" i="27" s="1"/>
  <c r="N483" i="27" s="1"/>
  <c r="L483" i="27" s="1"/>
  <c r="K482" i="27"/>
  <c r="M482" i="27" s="1"/>
  <c r="N482" i="27" s="1"/>
  <c r="L482" i="27" s="1"/>
  <c r="K481" i="27"/>
  <c r="M481" i="27" s="1"/>
  <c r="N481" i="27" s="1"/>
  <c r="L481" i="27" s="1"/>
  <c r="K480" i="27"/>
  <c r="M480" i="27" s="1"/>
  <c r="N480" i="27" s="1"/>
  <c r="L480" i="27" s="1"/>
  <c r="K479" i="27"/>
  <c r="M479" i="27" s="1"/>
  <c r="N479" i="27" s="1"/>
  <c r="L479" i="27" s="1"/>
  <c r="K476" i="27"/>
  <c r="M476" i="27" s="1"/>
  <c r="N476" i="27" s="1"/>
  <c r="L476" i="27" s="1"/>
  <c r="M474" i="27"/>
  <c r="N474" i="27" s="1"/>
  <c r="K473" i="27"/>
  <c r="M473" i="27" s="1"/>
  <c r="N473" i="27" s="1"/>
  <c r="L473" i="27" s="1"/>
  <c r="K472" i="27"/>
  <c r="M472" i="27" s="1"/>
  <c r="N472" i="27" s="1"/>
  <c r="L472" i="27" s="1"/>
  <c r="M471" i="27"/>
  <c r="N471" i="27" s="1"/>
  <c r="K470" i="27"/>
  <c r="M470" i="27" s="1"/>
  <c r="N470" i="27" s="1"/>
  <c r="L470" i="27" s="1"/>
  <c r="K469" i="27"/>
  <c r="M469" i="27" s="1"/>
  <c r="N469" i="27" s="1"/>
  <c r="L469" i="27" s="1"/>
  <c r="K464" i="27"/>
  <c r="M464" i="27" s="1"/>
  <c r="N464" i="27" s="1"/>
  <c r="L464" i="27" s="1"/>
  <c r="K463" i="27"/>
  <c r="M463" i="27" s="1"/>
  <c r="N463" i="27" s="1"/>
  <c r="L463" i="27" s="1"/>
  <c r="K462" i="27"/>
  <c r="M462" i="27" s="1"/>
  <c r="N462" i="27" s="1"/>
  <c r="L462" i="27" s="1"/>
  <c r="K461" i="27"/>
  <c r="M461" i="27" s="1"/>
  <c r="N461" i="27" s="1"/>
  <c r="L461" i="27" s="1"/>
  <c r="K460" i="27"/>
  <c r="M460" i="27" s="1"/>
  <c r="N460" i="27" s="1"/>
  <c r="L460" i="27" s="1"/>
  <c r="K454" i="27"/>
  <c r="M454" i="27" s="1"/>
  <c r="N454" i="27" s="1"/>
  <c r="L454" i="27" s="1"/>
  <c r="K452" i="27"/>
  <c r="M452" i="27" s="1"/>
  <c r="N452" i="27" s="1"/>
  <c r="L452" i="27" s="1"/>
  <c r="K451" i="27"/>
  <c r="M451" i="27" s="1"/>
  <c r="N451" i="27" s="1"/>
  <c r="L451" i="27" s="1"/>
  <c r="K450" i="27"/>
  <c r="M450" i="27" s="1"/>
  <c r="N450" i="27" s="1"/>
  <c r="L450" i="27" s="1"/>
  <c r="K449" i="27"/>
  <c r="M449" i="27" s="1"/>
  <c r="N449" i="27" s="1"/>
  <c r="L449" i="27" s="1"/>
  <c r="K448" i="27"/>
  <c r="M448" i="27" s="1"/>
  <c r="N448" i="27" s="1"/>
  <c r="L448" i="27" s="1"/>
  <c r="K447" i="27"/>
  <c r="M447" i="27" s="1"/>
  <c r="N447" i="27" s="1"/>
  <c r="L447" i="27" s="1"/>
  <c r="K446" i="27"/>
  <c r="M446" i="27" s="1"/>
  <c r="N446" i="27" s="1"/>
  <c r="L446" i="27" s="1"/>
  <c r="K445" i="27"/>
  <c r="M445" i="27" s="1"/>
  <c r="N445" i="27" s="1"/>
  <c r="L445" i="27" s="1"/>
  <c r="K440" i="27"/>
  <c r="M440" i="27" s="1"/>
  <c r="N440" i="27" s="1"/>
  <c r="L440" i="27" s="1"/>
  <c r="K439" i="27"/>
  <c r="M439" i="27" s="1"/>
  <c r="N439" i="27" s="1"/>
  <c r="L439" i="27" s="1"/>
  <c r="M438" i="27"/>
  <c r="N438" i="27" s="1"/>
  <c r="K437" i="27"/>
  <c r="M437" i="27" s="1"/>
  <c r="N437" i="27" s="1"/>
  <c r="L437" i="27" s="1"/>
  <c r="K436" i="27"/>
  <c r="M436" i="27" s="1"/>
  <c r="N436" i="27" s="1"/>
  <c r="L436" i="27" s="1"/>
  <c r="K430" i="27"/>
  <c r="M430" i="27" s="1"/>
  <c r="N430" i="27" s="1"/>
  <c r="L430" i="27" s="1"/>
  <c r="M429" i="27"/>
  <c r="N429" i="27" s="1"/>
  <c r="K428" i="27"/>
  <c r="M428" i="27" s="1"/>
  <c r="N428" i="27" s="1"/>
  <c r="L428" i="27" s="1"/>
  <c r="K427" i="27"/>
  <c r="M427" i="27" s="1"/>
  <c r="N427" i="27" s="1"/>
  <c r="L427" i="27" s="1"/>
  <c r="K426" i="27"/>
  <c r="M426" i="27" s="1"/>
  <c r="N426" i="27" s="1"/>
  <c r="L426" i="27" s="1"/>
  <c r="K425" i="27"/>
  <c r="M425" i="27" s="1"/>
  <c r="N425" i="27" s="1"/>
  <c r="L425" i="27" s="1"/>
  <c r="K424" i="27"/>
  <c r="M424" i="27" s="1"/>
  <c r="N424" i="27" s="1"/>
  <c r="L424" i="27" s="1"/>
  <c r="K423" i="27"/>
  <c r="M423" i="27" s="1"/>
  <c r="N423" i="27" s="1"/>
  <c r="L423" i="27" s="1"/>
  <c r="K422" i="27"/>
  <c r="M422" i="27" s="1"/>
  <c r="N422" i="27" s="1"/>
  <c r="L422" i="27" s="1"/>
  <c r="K420" i="27"/>
  <c r="M420" i="27" s="1"/>
  <c r="N420" i="27" s="1"/>
  <c r="L420" i="27" s="1"/>
  <c r="K419" i="27"/>
  <c r="M419" i="27" s="1"/>
  <c r="N419" i="27" s="1"/>
  <c r="L419" i="27" s="1"/>
  <c r="K416" i="27"/>
  <c r="M416" i="27" s="1"/>
  <c r="N416" i="27" s="1"/>
  <c r="L416" i="27" s="1"/>
  <c r="K415" i="27"/>
  <c r="M415" i="27" s="1"/>
  <c r="N415" i="27" s="1"/>
  <c r="L415" i="27" s="1"/>
  <c r="K414" i="27"/>
  <c r="M414" i="27" s="1"/>
  <c r="N414" i="27" s="1"/>
  <c r="L414" i="27" s="1"/>
  <c r="K413" i="27"/>
  <c r="M413" i="27" s="1"/>
  <c r="N413" i="27" s="1"/>
  <c r="L413" i="27" s="1"/>
  <c r="K412" i="27"/>
  <c r="M412" i="27" s="1"/>
  <c r="N412" i="27" s="1"/>
  <c r="L412" i="27" s="1"/>
  <c r="K410" i="27"/>
  <c r="M410" i="27" s="1"/>
  <c r="N410" i="27" s="1"/>
  <c r="L410" i="27" s="1"/>
  <c r="K409" i="27"/>
  <c r="M409" i="27" s="1"/>
  <c r="N409" i="27" s="1"/>
  <c r="L409" i="27" s="1"/>
  <c r="K408" i="27"/>
  <c r="M408" i="27" s="1"/>
  <c r="N408" i="27" s="1"/>
  <c r="L408" i="27" s="1"/>
  <c r="K406" i="27"/>
  <c r="M406" i="27" s="1"/>
  <c r="N406" i="27" s="1"/>
  <c r="L406" i="27" s="1"/>
  <c r="K404" i="27"/>
  <c r="M404" i="27" s="1"/>
  <c r="N404" i="27" s="1"/>
  <c r="L404" i="27" s="1"/>
  <c r="K403" i="27"/>
  <c r="M403" i="27" s="1"/>
  <c r="N403" i="27" s="1"/>
  <c r="L403" i="27" s="1"/>
  <c r="K402" i="27"/>
  <c r="M402" i="27" s="1"/>
  <c r="N402" i="27" s="1"/>
  <c r="L402" i="27" s="1"/>
  <c r="K401" i="27"/>
  <c r="M401" i="27" s="1"/>
  <c r="N401" i="27" s="1"/>
  <c r="L401" i="27" s="1"/>
  <c r="K400" i="27"/>
  <c r="M400" i="27" s="1"/>
  <c r="N400" i="27" s="1"/>
  <c r="L400" i="27" s="1"/>
  <c r="K394" i="27"/>
  <c r="M394" i="27" s="1"/>
  <c r="N394" i="27" s="1"/>
  <c r="L394" i="27" s="1"/>
  <c r="K392" i="27"/>
  <c r="M392" i="27" s="1"/>
  <c r="N392" i="27" s="1"/>
  <c r="L392" i="27" s="1"/>
  <c r="K391" i="27"/>
  <c r="M391" i="27" s="1"/>
  <c r="N391" i="27" s="1"/>
  <c r="L391" i="27" s="1"/>
  <c r="K390" i="27"/>
  <c r="M390" i="27" s="1"/>
  <c r="N390" i="27" s="1"/>
  <c r="L390" i="27" s="1"/>
  <c r="K389" i="27"/>
  <c r="M389" i="27" s="1"/>
  <c r="N389" i="27" s="1"/>
  <c r="L389" i="27" s="1"/>
  <c r="K388" i="27"/>
  <c r="M388" i="27" s="1"/>
  <c r="N388" i="27" s="1"/>
  <c r="L388" i="27" s="1"/>
  <c r="K563" i="27"/>
  <c r="M563" i="27" s="1"/>
  <c r="N563" i="27" s="1"/>
  <c r="K544" i="27"/>
  <c r="M544" i="27" s="1"/>
  <c r="N544" i="27" s="1"/>
  <c r="K543" i="27"/>
  <c r="M543" i="27" s="1"/>
  <c r="N543" i="27" s="1"/>
  <c r="K542" i="27"/>
  <c r="M542" i="27" s="1"/>
  <c r="N542" i="27" s="1"/>
  <c r="K541" i="27"/>
  <c r="M541" i="27" s="1"/>
  <c r="N541" i="27" s="1"/>
  <c r="K540" i="27"/>
  <c r="M540" i="27" s="1"/>
  <c r="N540" i="27" s="1"/>
  <c r="K539" i="27"/>
  <c r="M539" i="27" s="1"/>
  <c r="N539" i="27" s="1"/>
  <c r="K538" i="27"/>
  <c r="M538" i="27" s="1"/>
  <c r="N538" i="27" s="1"/>
  <c r="K537" i="27"/>
  <c r="M537" i="27" s="1"/>
  <c r="N537" i="27" s="1"/>
  <c r="K536" i="27"/>
  <c r="M536" i="27" s="1"/>
  <c r="N536" i="27" s="1"/>
  <c r="K535" i="27"/>
  <c r="M535" i="27" s="1"/>
  <c r="N535" i="27" s="1"/>
  <c r="K534" i="27"/>
  <c r="M534" i="27" s="1"/>
  <c r="N534" i="27" s="1"/>
  <c r="K533" i="27"/>
  <c r="M533" i="27" s="1"/>
  <c r="N533" i="27" s="1"/>
  <c r="K532" i="27"/>
  <c r="M532" i="27" s="1"/>
  <c r="N532" i="27" s="1"/>
  <c r="K531" i="27"/>
  <c r="M531" i="27" s="1"/>
  <c r="N531" i="27" s="1"/>
  <c r="K530" i="27"/>
  <c r="M530" i="27" s="1"/>
  <c r="N530" i="27" s="1"/>
  <c r="K529" i="27"/>
  <c r="M529" i="27" s="1"/>
  <c r="N529" i="27" s="1"/>
  <c r="K528" i="27"/>
  <c r="M528" i="27" s="1"/>
  <c r="N528" i="27" s="1"/>
  <c r="K527" i="27"/>
  <c r="M527" i="27" s="1"/>
  <c r="N527" i="27" s="1"/>
  <c r="K526" i="27"/>
  <c r="M526" i="27" s="1"/>
  <c r="N526" i="27" s="1"/>
  <c r="K524" i="27"/>
  <c r="M524" i="27" s="1"/>
  <c r="N524" i="27" s="1"/>
  <c r="L524" i="27" s="1"/>
  <c r="K523" i="27"/>
  <c r="M523" i="27" s="1"/>
  <c r="N523" i="27" s="1"/>
  <c r="L523" i="27" s="1"/>
  <c r="K522" i="27"/>
  <c r="M522" i="27" s="1"/>
  <c r="N522" i="27" s="1"/>
  <c r="L522" i="27" s="1"/>
  <c r="K521" i="27"/>
  <c r="M521" i="27" s="1"/>
  <c r="N521" i="27" s="1"/>
  <c r="L521" i="27" s="1"/>
  <c r="K520" i="27"/>
  <c r="M520" i="27" s="1"/>
  <c r="N520" i="27" s="1"/>
  <c r="L520" i="27" s="1"/>
  <c r="K519" i="27"/>
  <c r="M519" i="27" s="1"/>
  <c r="N519" i="27" s="1"/>
  <c r="L519" i="27" s="1"/>
  <c r="K518" i="27"/>
  <c r="M518" i="27" s="1"/>
  <c r="N518" i="27" s="1"/>
  <c r="L518" i="27" s="1"/>
  <c r="K517" i="27"/>
  <c r="M517" i="27" s="1"/>
  <c r="N517" i="27" s="1"/>
  <c r="L517" i="27" s="1"/>
  <c r="K516" i="27"/>
  <c r="M516" i="27" s="1"/>
  <c r="N516" i="27" s="1"/>
  <c r="L516" i="27" s="1"/>
  <c r="K515" i="27"/>
  <c r="M515" i="27" s="1"/>
  <c r="N515" i="27" s="1"/>
  <c r="L515" i="27" s="1"/>
  <c r="K514" i="27"/>
  <c r="M514" i="27" s="1"/>
  <c r="N514" i="27" s="1"/>
  <c r="L514" i="27" s="1"/>
  <c r="K513" i="27"/>
  <c r="M513" i="27" s="1"/>
  <c r="N513" i="27" s="1"/>
  <c r="L513" i="27" s="1"/>
  <c r="K512" i="27"/>
  <c r="M512" i="27" s="1"/>
  <c r="N512" i="27" s="1"/>
  <c r="L512" i="27" s="1"/>
  <c r="K511" i="27"/>
  <c r="M511" i="27" s="1"/>
  <c r="N511" i="27" s="1"/>
  <c r="L511" i="27" s="1"/>
  <c r="K510" i="27"/>
  <c r="M510" i="27" s="1"/>
  <c r="N510" i="27" s="1"/>
  <c r="L510" i="27" s="1"/>
  <c r="K508" i="27"/>
  <c r="M508" i="27" s="1"/>
  <c r="N508" i="27" s="1"/>
  <c r="L508" i="27" s="1"/>
  <c r="K507" i="27"/>
  <c r="M507" i="27" s="1"/>
  <c r="N507" i="27" s="1"/>
  <c r="L507" i="27" s="1"/>
  <c r="K506" i="27"/>
  <c r="M506" i="27" s="1"/>
  <c r="N506" i="27" s="1"/>
  <c r="L506" i="27" s="1"/>
  <c r="K505" i="27"/>
  <c r="M505" i="27" s="1"/>
  <c r="N505" i="27" s="1"/>
  <c r="L505" i="27" s="1"/>
  <c r="K288" i="27"/>
  <c r="K284" i="27"/>
  <c r="M284" i="27" s="1"/>
  <c r="N284" i="27" s="1"/>
  <c r="L284" i="27" s="1"/>
  <c r="K283" i="27"/>
  <c r="M283" i="27" s="1"/>
  <c r="N283" i="27" s="1"/>
  <c r="L283" i="27" s="1"/>
  <c r="K282" i="27"/>
  <c r="M282" i="27" s="1"/>
  <c r="N282" i="27" s="1"/>
  <c r="L282" i="27" s="1"/>
  <c r="K281" i="27"/>
  <c r="M281" i="27" s="1"/>
  <c r="N281" i="27" s="1"/>
  <c r="L281" i="27" s="1"/>
  <c r="K280" i="27"/>
  <c r="M280" i="27" s="1"/>
  <c r="N280" i="27" s="1"/>
  <c r="L280" i="27" s="1"/>
  <c r="K279" i="27"/>
  <c r="M279" i="27" s="1"/>
  <c r="N279" i="27" s="1"/>
  <c r="L279" i="27" s="1"/>
  <c r="K278" i="27"/>
  <c r="M278" i="27" s="1"/>
  <c r="N278" i="27" s="1"/>
  <c r="L278" i="27" s="1"/>
  <c r="K277" i="27"/>
  <c r="M277" i="27" s="1"/>
  <c r="N277" i="27" s="1"/>
  <c r="L277" i="27" s="1"/>
  <c r="K276" i="27"/>
  <c r="M276" i="27" s="1"/>
  <c r="N276" i="27" s="1"/>
  <c r="L276" i="27" s="1"/>
  <c r="K275" i="27"/>
  <c r="M275" i="27" s="1"/>
  <c r="N275" i="27" s="1"/>
  <c r="L275" i="27" s="1"/>
  <c r="K274" i="27"/>
  <c r="M274" i="27" s="1"/>
  <c r="N274" i="27" s="1"/>
  <c r="L274" i="27" s="1"/>
  <c r="K273" i="27"/>
  <c r="M273" i="27" s="1"/>
  <c r="N273" i="27" s="1"/>
  <c r="L273" i="27" s="1"/>
  <c r="K272" i="27"/>
  <c r="M272" i="27" s="1"/>
  <c r="N272" i="27" s="1"/>
  <c r="L272" i="27" s="1"/>
  <c r="K271" i="27"/>
  <c r="M271" i="27" s="1"/>
  <c r="N271" i="27" s="1"/>
  <c r="L271" i="27" s="1"/>
  <c r="K270" i="27"/>
  <c r="M270" i="27" s="1"/>
  <c r="N270" i="27" s="1"/>
  <c r="L270" i="27" s="1"/>
  <c r="K269" i="27"/>
  <c r="M269" i="27" s="1"/>
  <c r="N269" i="27" s="1"/>
  <c r="L269" i="27" s="1"/>
  <c r="K268" i="27"/>
  <c r="M268" i="27" s="1"/>
  <c r="N268" i="27" s="1"/>
  <c r="L268" i="27" s="1"/>
  <c r="K267" i="27"/>
  <c r="M267" i="27" s="1"/>
  <c r="N267" i="27" s="1"/>
  <c r="L267" i="27" s="1"/>
  <c r="K265" i="27"/>
  <c r="M265" i="27" s="1"/>
  <c r="N265" i="27" s="1"/>
  <c r="L265" i="27" s="1"/>
  <c r="K264" i="27"/>
  <c r="M264" i="27" s="1"/>
  <c r="N264" i="27" s="1"/>
  <c r="L264" i="27" s="1"/>
  <c r="K263" i="27"/>
  <c r="M263" i="27" s="1"/>
  <c r="N263" i="27" s="1"/>
  <c r="L263" i="27" s="1"/>
  <c r="K262" i="27"/>
  <c r="M262" i="27" s="1"/>
  <c r="N262" i="27" s="1"/>
  <c r="L262" i="27" s="1"/>
  <c r="K261" i="27"/>
  <c r="M261" i="27" s="1"/>
  <c r="N261" i="27" s="1"/>
  <c r="L261" i="27" s="1"/>
  <c r="K260" i="27"/>
  <c r="M260" i="27" s="1"/>
  <c r="N260" i="27" s="1"/>
  <c r="L260" i="27" s="1"/>
  <c r="K259" i="27"/>
  <c r="M259" i="27" s="1"/>
  <c r="N259" i="27" s="1"/>
  <c r="L259" i="27" s="1"/>
  <c r="K258" i="27"/>
  <c r="M258" i="27" s="1"/>
  <c r="N258" i="27" s="1"/>
  <c r="L258" i="27" s="1"/>
  <c r="K257" i="27"/>
  <c r="M257" i="27" s="1"/>
  <c r="N257" i="27" s="1"/>
  <c r="L257" i="27" s="1"/>
  <c r="K256" i="27"/>
  <c r="M256" i="27" s="1"/>
  <c r="N256" i="27" s="1"/>
  <c r="L256" i="27" s="1"/>
  <c r="K255" i="27"/>
  <c r="M255" i="27" s="1"/>
  <c r="N255" i="27" s="1"/>
  <c r="L255" i="27" s="1"/>
  <c r="K254" i="27"/>
  <c r="M254" i="27" s="1"/>
  <c r="N254" i="27" s="1"/>
  <c r="L254" i="27" s="1"/>
  <c r="K253" i="27"/>
  <c r="M253" i="27" s="1"/>
  <c r="N253" i="27" s="1"/>
  <c r="L253" i="27" s="1"/>
  <c r="K252" i="27"/>
  <c r="M252" i="27" s="1"/>
  <c r="N252" i="27" s="1"/>
  <c r="L252" i="27" s="1"/>
  <c r="K251" i="27"/>
  <c r="M251" i="27" s="1"/>
  <c r="N251" i="27" s="1"/>
  <c r="L251" i="27" s="1"/>
  <c r="K250" i="27"/>
  <c r="M250" i="27" s="1"/>
  <c r="N250" i="27" s="1"/>
  <c r="L250" i="27" s="1"/>
  <c r="K249" i="27"/>
  <c r="M249" i="27" s="1"/>
  <c r="N249" i="27" s="1"/>
  <c r="L249" i="27" s="1"/>
  <c r="K248" i="27"/>
  <c r="M248" i="27" s="1"/>
  <c r="N248" i="27" s="1"/>
  <c r="L248" i="27" s="1"/>
  <c r="K247" i="27"/>
  <c r="M247" i="27" s="1"/>
  <c r="N247" i="27" s="1"/>
  <c r="L247" i="27" s="1"/>
  <c r="K246" i="27"/>
  <c r="M246" i="27" s="1"/>
  <c r="N246" i="27" s="1"/>
  <c r="L246" i="27" s="1"/>
  <c r="K245" i="27"/>
  <c r="M245" i="27" s="1"/>
  <c r="N245" i="27" s="1"/>
  <c r="L245" i="27" s="1"/>
  <c r="K244" i="27"/>
  <c r="M244" i="27" s="1"/>
  <c r="N244" i="27" s="1"/>
  <c r="L244" i="27" s="1"/>
  <c r="K243" i="27"/>
  <c r="M243" i="27" s="1"/>
  <c r="N243" i="27" s="1"/>
  <c r="L243" i="27" s="1"/>
  <c r="K242" i="27"/>
  <c r="M242" i="27" s="1"/>
  <c r="N242" i="27" s="1"/>
  <c r="L242" i="27" s="1"/>
  <c r="K241" i="27"/>
  <c r="M241" i="27" s="1"/>
  <c r="N241" i="27" s="1"/>
  <c r="L241" i="27" s="1"/>
  <c r="K240" i="27"/>
  <c r="M240" i="27" s="1"/>
  <c r="N240" i="27" s="1"/>
  <c r="L240" i="27" s="1"/>
  <c r="K239" i="27"/>
  <c r="M239" i="27" s="1"/>
  <c r="N239" i="27" s="1"/>
  <c r="L239" i="27" s="1"/>
  <c r="K238" i="27"/>
  <c r="M238" i="27" s="1"/>
  <c r="N238" i="27" s="1"/>
  <c r="L238" i="27" s="1"/>
  <c r="K237" i="27"/>
  <c r="M237" i="27" s="1"/>
  <c r="N237" i="27" s="1"/>
  <c r="L237" i="27" s="1"/>
  <c r="K236" i="27"/>
  <c r="M236" i="27" s="1"/>
  <c r="N236" i="27" s="1"/>
  <c r="L236" i="27" s="1"/>
  <c r="K235" i="27"/>
  <c r="M235" i="27" s="1"/>
  <c r="N235" i="27" s="1"/>
  <c r="L235" i="27" s="1"/>
  <c r="K234" i="27"/>
  <c r="M234" i="27" s="1"/>
  <c r="N234" i="27" s="1"/>
  <c r="L234" i="27" s="1"/>
  <c r="K233" i="27"/>
  <c r="M233" i="27" s="1"/>
  <c r="N233" i="27" s="1"/>
  <c r="L233" i="27" s="1"/>
  <c r="K232" i="27"/>
  <c r="M232" i="27" s="1"/>
  <c r="N232" i="27" s="1"/>
  <c r="L232" i="27" s="1"/>
  <c r="K231" i="27"/>
  <c r="M231" i="27" s="1"/>
  <c r="N231" i="27" s="1"/>
  <c r="I209" i="27"/>
  <c r="I208" i="27"/>
  <c r="I207" i="27"/>
  <c r="I206" i="27"/>
  <c r="I205" i="27"/>
  <c r="I204" i="27"/>
  <c r="I203" i="27"/>
  <c r="I131" i="27"/>
  <c r="I130" i="27"/>
  <c r="I129" i="27"/>
  <c r="I122" i="27"/>
  <c r="I121" i="27"/>
  <c r="I119" i="27"/>
  <c r="I118" i="27"/>
  <c r="I114" i="27"/>
  <c r="I113" i="27"/>
  <c r="I112" i="27"/>
  <c r="I103" i="27"/>
  <c r="I83" i="27"/>
  <c r="I81" i="27"/>
  <c r="I74" i="27"/>
  <c r="I73" i="27"/>
  <c r="I71" i="27"/>
  <c r="I70" i="27"/>
  <c r="I69" i="27"/>
  <c r="I67" i="27"/>
  <c r="I66" i="27"/>
  <c r="I64" i="27"/>
  <c r="I58" i="27"/>
  <c r="I55" i="27"/>
  <c r="I53" i="27"/>
  <c r="I52" i="27"/>
  <c r="I51" i="27"/>
  <c r="I49" i="27"/>
  <c r="I48" i="27"/>
  <c r="I40" i="27"/>
  <c r="I37" i="27"/>
  <c r="I36" i="27"/>
  <c r="I35" i="27"/>
  <c r="I33" i="27"/>
  <c r="I32" i="27"/>
  <c r="I31" i="27"/>
  <c r="I26" i="27"/>
  <c r="I22" i="27"/>
  <c r="I21" i="27"/>
  <c r="K103" i="27"/>
  <c r="M103" i="27" s="1"/>
  <c r="N103" i="27" s="1"/>
  <c r="L103" i="27" s="1"/>
  <c r="K102" i="27"/>
  <c r="M102" i="27" s="1"/>
  <c r="N102" i="27" s="1"/>
  <c r="L102" i="27" s="1"/>
  <c r="K101" i="27"/>
  <c r="M101" i="27" s="1"/>
  <c r="N101" i="27" s="1"/>
  <c r="L101" i="27" s="1"/>
  <c r="K100" i="27"/>
  <c r="M100" i="27" s="1"/>
  <c r="N100" i="27" s="1"/>
  <c r="L100" i="27" s="1"/>
  <c r="K99" i="27"/>
  <c r="M99" i="27" s="1"/>
  <c r="N99" i="27" s="1"/>
  <c r="L99" i="27" s="1"/>
  <c r="K98" i="27"/>
  <c r="M98" i="27" s="1"/>
  <c r="N98" i="27" s="1"/>
  <c r="L98" i="27" s="1"/>
  <c r="K97" i="27"/>
  <c r="M97" i="27" s="1"/>
  <c r="N97" i="27" s="1"/>
  <c r="L97" i="27" s="1"/>
  <c r="K96" i="27"/>
  <c r="M96" i="27" s="1"/>
  <c r="N96" i="27" s="1"/>
  <c r="L96" i="27" s="1"/>
  <c r="K95" i="27"/>
  <c r="M95" i="27" s="1"/>
  <c r="N95" i="27" s="1"/>
  <c r="L95" i="27" s="1"/>
  <c r="K94" i="27"/>
  <c r="M94" i="27" s="1"/>
  <c r="N94" i="27" s="1"/>
  <c r="L94" i="27" s="1"/>
  <c r="K93" i="27"/>
  <c r="M93" i="27" s="1"/>
  <c r="N93" i="27" s="1"/>
  <c r="L93" i="27" s="1"/>
  <c r="K92" i="27"/>
  <c r="M92" i="27" s="1"/>
  <c r="N92" i="27" s="1"/>
  <c r="L92" i="27" s="1"/>
  <c r="K91" i="27"/>
  <c r="M91" i="27" s="1"/>
  <c r="N91" i="27" s="1"/>
  <c r="L91" i="27" s="1"/>
  <c r="K90" i="27"/>
  <c r="M90" i="27" s="1"/>
  <c r="N90" i="27" s="1"/>
  <c r="L90" i="27" s="1"/>
  <c r="K89" i="27"/>
  <c r="M89" i="27" s="1"/>
  <c r="N89" i="27" s="1"/>
  <c r="L89" i="27" s="1"/>
  <c r="K88" i="27"/>
  <c r="M88" i="27" s="1"/>
  <c r="N88" i="27" s="1"/>
  <c r="L88" i="27" s="1"/>
  <c r="K87" i="27"/>
  <c r="M87" i="27" s="1"/>
  <c r="N87" i="27" s="1"/>
  <c r="L87" i="27" s="1"/>
  <c r="K86" i="27"/>
  <c r="M86" i="27" s="1"/>
  <c r="N86" i="27" s="1"/>
  <c r="L86" i="27" s="1"/>
  <c r="K85" i="27"/>
  <c r="M85" i="27" s="1"/>
  <c r="N85" i="27" s="1"/>
  <c r="L85" i="27" s="1"/>
  <c r="K84" i="27"/>
  <c r="M84" i="27" s="1"/>
  <c r="N84" i="27" s="1"/>
  <c r="L84" i="27" s="1"/>
  <c r="K83" i="27"/>
  <c r="M83" i="27" s="1"/>
  <c r="N83" i="27" s="1"/>
  <c r="L83" i="27" s="1"/>
  <c r="K82" i="27"/>
  <c r="M82" i="27" s="1"/>
  <c r="N82" i="27" s="1"/>
  <c r="L82" i="27" s="1"/>
  <c r="K81" i="27"/>
  <c r="M81" i="27" s="1"/>
  <c r="N81" i="27" s="1"/>
  <c r="L81" i="27" s="1"/>
  <c r="K79" i="27"/>
  <c r="M79" i="27" s="1"/>
  <c r="N79" i="27" s="1"/>
  <c r="L79" i="27" s="1"/>
  <c r="K78" i="27"/>
  <c r="M78" i="27" s="1"/>
  <c r="N78" i="27" s="1"/>
  <c r="L78" i="27" s="1"/>
  <c r="K77" i="27"/>
  <c r="M77" i="27" s="1"/>
  <c r="N77" i="27" s="1"/>
  <c r="L77" i="27" s="1"/>
  <c r="K76" i="27"/>
  <c r="M76" i="27" s="1"/>
  <c r="N76" i="27" s="1"/>
  <c r="L76" i="27" s="1"/>
  <c r="K75" i="27"/>
  <c r="M75" i="27" s="1"/>
  <c r="N75" i="27" s="1"/>
  <c r="L75" i="27" s="1"/>
  <c r="K74" i="27"/>
  <c r="M74" i="27" s="1"/>
  <c r="N74" i="27" s="1"/>
  <c r="L74" i="27" s="1"/>
  <c r="K73" i="27"/>
  <c r="M73" i="27" s="1"/>
  <c r="N73" i="27" s="1"/>
  <c r="L73" i="27" s="1"/>
  <c r="K72" i="27"/>
  <c r="M72" i="27" s="1"/>
  <c r="N72" i="27" s="1"/>
  <c r="L72" i="27" s="1"/>
  <c r="K71" i="27"/>
  <c r="M71" i="27" s="1"/>
  <c r="N71" i="27" s="1"/>
  <c r="L71" i="27" s="1"/>
  <c r="K70" i="27"/>
  <c r="M70" i="27" s="1"/>
  <c r="N70" i="27" s="1"/>
  <c r="L70" i="27" s="1"/>
  <c r="K69" i="27"/>
  <c r="M69" i="27" s="1"/>
  <c r="N69" i="27" s="1"/>
  <c r="L69" i="27" s="1"/>
  <c r="K68" i="27"/>
  <c r="M68" i="27" s="1"/>
  <c r="N68" i="27" s="1"/>
  <c r="L68" i="27" s="1"/>
  <c r="K67" i="27"/>
  <c r="M67" i="27" s="1"/>
  <c r="N67" i="27" s="1"/>
  <c r="L67" i="27" s="1"/>
  <c r="K66" i="27"/>
  <c r="M66" i="27" s="1"/>
  <c r="N66" i="27" s="1"/>
  <c r="L66" i="27" s="1"/>
  <c r="K65" i="27"/>
  <c r="M65" i="27" s="1"/>
  <c r="N65" i="27" s="1"/>
  <c r="L65" i="27" s="1"/>
  <c r="K64" i="27"/>
  <c r="M64" i="27" s="1"/>
  <c r="N64" i="27" s="1"/>
  <c r="L64" i="27" s="1"/>
  <c r="K63" i="27"/>
  <c r="M63" i="27" s="1"/>
  <c r="N63" i="27" s="1"/>
  <c r="L63" i="27" s="1"/>
  <c r="K62" i="27"/>
  <c r="M62" i="27" s="1"/>
  <c r="N62" i="27" s="1"/>
  <c r="L62" i="27" s="1"/>
  <c r="K60" i="27"/>
  <c r="M60" i="27" s="1"/>
  <c r="N60" i="27" s="1"/>
  <c r="L60" i="27" s="1"/>
  <c r="K59" i="27"/>
  <c r="M59" i="27" s="1"/>
  <c r="N59" i="27" s="1"/>
  <c r="L59" i="27" s="1"/>
  <c r="K58" i="27"/>
  <c r="M58" i="27" s="1"/>
  <c r="N58" i="27" s="1"/>
  <c r="L58" i="27" s="1"/>
  <c r="K57" i="27"/>
  <c r="M57" i="27" s="1"/>
  <c r="N57" i="27" s="1"/>
  <c r="L57" i="27" s="1"/>
  <c r="K56" i="27"/>
  <c r="M56" i="27" s="1"/>
  <c r="N56" i="27" s="1"/>
  <c r="L56" i="27" s="1"/>
  <c r="K55" i="27"/>
  <c r="M55" i="27" s="1"/>
  <c r="N55" i="27" s="1"/>
  <c r="L55" i="27" s="1"/>
  <c r="K54" i="27"/>
  <c r="M54" i="27" s="1"/>
  <c r="N54" i="27" s="1"/>
  <c r="L54" i="27" s="1"/>
  <c r="K53" i="27"/>
  <c r="M53" i="27" s="1"/>
  <c r="N53" i="27" s="1"/>
  <c r="L53" i="27" s="1"/>
  <c r="K52" i="27"/>
  <c r="M52" i="27" s="1"/>
  <c r="N52" i="27" s="1"/>
  <c r="L52" i="27" s="1"/>
  <c r="K51" i="27"/>
  <c r="M51" i="27" s="1"/>
  <c r="N51" i="27" s="1"/>
  <c r="L51" i="27" s="1"/>
  <c r="K120" i="27"/>
  <c r="K48" i="27"/>
  <c r="M48" i="27" s="1"/>
  <c r="N48" i="27" s="1"/>
  <c r="L48" i="27" s="1"/>
  <c r="K124" i="27"/>
  <c r="K112" i="27"/>
  <c r="K200" i="27"/>
  <c r="M200" i="27" s="1"/>
  <c r="N200" i="27" s="1"/>
  <c r="L200" i="27" s="1"/>
  <c r="K199" i="27"/>
  <c r="M199" i="27" s="1"/>
  <c r="N199" i="27" s="1"/>
  <c r="L199" i="27" s="1"/>
  <c r="K197" i="27"/>
  <c r="M197" i="27" s="1"/>
  <c r="N197" i="27" s="1"/>
  <c r="L197" i="27" s="1"/>
  <c r="K196" i="27"/>
  <c r="M196" i="27" s="1"/>
  <c r="N196" i="27" s="1"/>
  <c r="L196" i="27" s="1"/>
  <c r="K195" i="27"/>
  <c r="M195" i="27" s="1"/>
  <c r="N195" i="27" s="1"/>
  <c r="L195" i="27" s="1"/>
  <c r="K194" i="27"/>
  <c r="M194" i="27" s="1"/>
  <c r="N194" i="27" s="1"/>
  <c r="L194" i="27" s="1"/>
  <c r="K193" i="27"/>
  <c r="M193" i="27" s="1"/>
  <c r="N193" i="27" s="1"/>
  <c r="L193" i="27" s="1"/>
  <c r="K192" i="27"/>
  <c r="M192" i="27" s="1"/>
  <c r="N192" i="27" s="1"/>
  <c r="L192" i="27" s="1"/>
  <c r="K191" i="27"/>
  <c r="M191" i="27" s="1"/>
  <c r="N191" i="27" s="1"/>
  <c r="L191" i="27" s="1"/>
  <c r="K190" i="27"/>
  <c r="M190" i="27" s="1"/>
  <c r="N190" i="27" s="1"/>
  <c r="L190" i="27" s="1"/>
  <c r="K189" i="27"/>
  <c r="M189" i="27" s="1"/>
  <c r="N189" i="27" s="1"/>
  <c r="L189" i="27" s="1"/>
  <c r="K188" i="27"/>
  <c r="M188" i="27" s="1"/>
  <c r="N188" i="27" s="1"/>
  <c r="L188" i="27" s="1"/>
  <c r="K187" i="27"/>
  <c r="M187" i="27" s="1"/>
  <c r="N187" i="27" s="1"/>
  <c r="L187" i="27" s="1"/>
  <c r="K186" i="27"/>
  <c r="M186" i="27" s="1"/>
  <c r="N186" i="27" s="1"/>
  <c r="L186" i="27" s="1"/>
  <c r="K185" i="27"/>
  <c r="M185" i="27" s="1"/>
  <c r="N185" i="27" s="1"/>
  <c r="L185" i="27" s="1"/>
  <c r="K184" i="27"/>
  <c r="M184" i="27" s="1"/>
  <c r="N184" i="27" s="1"/>
  <c r="L184" i="27" s="1"/>
  <c r="K183" i="27"/>
  <c r="M183" i="27" s="1"/>
  <c r="N183" i="27" s="1"/>
  <c r="L183" i="27" s="1"/>
  <c r="K182" i="27"/>
  <c r="M182" i="27" s="1"/>
  <c r="N182" i="27" s="1"/>
  <c r="L182" i="27" s="1"/>
  <c r="K181" i="27"/>
  <c r="M181" i="27" s="1"/>
  <c r="N181" i="27" s="1"/>
  <c r="L181" i="27" s="1"/>
  <c r="K180" i="27"/>
  <c r="M180" i="27" s="1"/>
  <c r="N180" i="27" s="1"/>
  <c r="L180" i="27" s="1"/>
  <c r="K179" i="27"/>
  <c r="M179" i="27" s="1"/>
  <c r="N179" i="27" s="1"/>
  <c r="L179" i="27" s="1"/>
  <c r="K178" i="27"/>
  <c r="M178" i="27" s="1"/>
  <c r="N178" i="27" s="1"/>
  <c r="L178" i="27" s="1"/>
  <c r="K177" i="27"/>
  <c r="M177" i="27" s="1"/>
  <c r="N177" i="27" s="1"/>
  <c r="L177" i="27" s="1"/>
  <c r="K176" i="27"/>
  <c r="M176" i="27" s="1"/>
  <c r="N176" i="27" s="1"/>
  <c r="L176" i="27" s="1"/>
  <c r="K175" i="27"/>
  <c r="M175" i="27" s="1"/>
  <c r="N175" i="27" s="1"/>
  <c r="L175" i="27" s="1"/>
  <c r="K174" i="27"/>
  <c r="M174" i="27" s="1"/>
  <c r="N174" i="27" s="1"/>
  <c r="L174" i="27" s="1"/>
  <c r="K173" i="27"/>
  <c r="M173" i="27" s="1"/>
  <c r="N173" i="27" s="1"/>
  <c r="L173" i="27" s="1"/>
  <c r="K172" i="27"/>
  <c r="M172" i="27" s="1"/>
  <c r="N172" i="27" s="1"/>
  <c r="L172" i="27" s="1"/>
  <c r="K170" i="27"/>
  <c r="M170" i="27" s="1"/>
  <c r="N170" i="27" s="1"/>
  <c r="L170" i="27" s="1"/>
  <c r="K227" i="27"/>
  <c r="M227" i="27" s="1"/>
  <c r="N227" i="27" s="1"/>
  <c r="L227" i="27" s="1"/>
  <c r="K226" i="27"/>
  <c r="M226" i="27" s="1"/>
  <c r="N226" i="27" s="1"/>
  <c r="L226" i="27" s="1"/>
  <c r="K225" i="27"/>
  <c r="M225" i="27" s="1"/>
  <c r="N225" i="27" s="1"/>
  <c r="L225" i="27" s="1"/>
  <c r="K224" i="27"/>
  <c r="M224" i="27" s="1"/>
  <c r="N224" i="27" s="1"/>
  <c r="L224" i="27" s="1"/>
  <c r="K223" i="27"/>
  <c r="M223" i="27" s="1"/>
  <c r="N223" i="27" s="1"/>
  <c r="L223" i="27" s="1"/>
  <c r="K222" i="27"/>
  <c r="M222" i="27" s="1"/>
  <c r="N222" i="27" s="1"/>
  <c r="L222" i="27" s="1"/>
  <c r="K221" i="27"/>
  <c r="M221" i="27" s="1"/>
  <c r="N221" i="27" s="1"/>
  <c r="L221" i="27" s="1"/>
  <c r="K220" i="27"/>
  <c r="M220" i="27" s="1"/>
  <c r="N220" i="27" s="1"/>
  <c r="L220" i="27" s="1"/>
  <c r="K219" i="27"/>
  <c r="M219" i="27" s="1"/>
  <c r="N219" i="27" s="1"/>
  <c r="L219" i="27" s="1"/>
  <c r="K218" i="27"/>
  <c r="M218" i="27" s="1"/>
  <c r="N218" i="27" s="1"/>
  <c r="L218" i="27" s="1"/>
  <c r="K217" i="27"/>
  <c r="M217" i="27" s="1"/>
  <c r="N217" i="27" s="1"/>
  <c r="L217" i="27" s="1"/>
  <c r="K216" i="27"/>
  <c r="M216" i="27" s="1"/>
  <c r="N216" i="27" s="1"/>
  <c r="L216" i="27" s="1"/>
  <c r="K215" i="27"/>
  <c r="M215" i="27" s="1"/>
  <c r="N215" i="27" s="1"/>
  <c r="L215" i="27" s="1"/>
  <c r="K214" i="27"/>
  <c r="M214" i="27" s="1"/>
  <c r="N214" i="27" s="1"/>
  <c r="L214" i="27" s="1"/>
  <c r="K213" i="27"/>
  <c r="M213" i="27" s="1"/>
  <c r="N213" i="27" s="1"/>
  <c r="L213" i="27" s="1"/>
  <c r="K212" i="27"/>
  <c r="M212" i="27" s="1"/>
  <c r="N212" i="27" s="1"/>
  <c r="L212" i="27" s="1"/>
  <c r="K211" i="27"/>
  <c r="M211" i="27" s="1"/>
  <c r="N211" i="27" s="1"/>
  <c r="L211" i="27" s="1"/>
  <c r="K210" i="27"/>
  <c r="M210" i="27" s="1"/>
  <c r="N210" i="27" s="1"/>
  <c r="L210" i="27" s="1"/>
  <c r="K209" i="27"/>
  <c r="M209" i="27" s="1"/>
  <c r="N209" i="27" s="1"/>
  <c r="L209" i="27" s="1"/>
  <c r="K208" i="27"/>
  <c r="M208" i="27" s="1"/>
  <c r="N208" i="27" s="1"/>
  <c r="L208" i="27" s="1"/>
  <c r="K207" i="27"/>
  <c r="M207" i="27" s="1"/>
  <c r="N207" i="27" s="1"/>
  <c r="L207" i="27" s="1"/>
  <c r="K206" i="27"/>
  <c r="M206" i="27" s="1"/>
  <c r="N206" i="27" s="1"/>
  <c r="L206" i="27" s="1"/>
  <c r="K205" i="27"/>
  <c r="M205" i="27" s="1"/>
  <c r="N205" i="27" s="1"/>
  <c r="L205" i="27" s="1"/>
  <c r="K204" i="27"/>
  <c r="M204" i="27" s="1"/>
  <c r="N204" i="27" s="1"/>
  <c r="L204" i="27" s="1"/>
  <c r="K203" i="27"/>
  <c r="M203" i="27" s="1"/>
  <c r="N203" i="27" s="1"/>
  <c r="L203" i="27" s="1"/>
  <c r="K168" i="27"/>
  <c r="M168" i="27" s="1"/>
  <c r="N168" i="27" s="1"/>
  <c r="L168" i="27" s="1"/>
  <c r="K167" i="27"/>
  <c r="M167" i="27" s="1"/>
  <c r="N167" i="27" s="1"/>
  <c r="L167" i="27" s="1"/>
  <c r="K166" i="27"/>
  <c r="M166" i="27" s="1"/>
  <c r="N166" i="27" s="1"/>
  <c r="L166" i="27" s="1"/>
  <c r="K164" i="27"/>
  <c r="M164" i="27" s="1"/>
  <c r="N164" i="27" s="1"/>
  <c r="L164" i="27" s="1"/>
  <c r="K163" i="27"/>
  <c r="M163" i="27" s="1"/>
  <c r="N163" i="27" s="1"/>
  <c r="L163" i="27" s="1"/>
  <c r="K162" i="27"/>
  <c r="M162" i="27" s="1"/>
  <c r="N162" i="27" s="1"/>
  <c r="L162" i="27" s="1"/>
  <c r="K161" i="27"/>
  <c r="M161" i="27" s="1"/>
  <c r="N161" i="27" s="1"/>
  <c r="L161" i="27" s="1"/>
  <c r="K160" i="27"/>
  <c r="M160" i="27" s="1"/>
  <c r="N160" i="27" s="1"/>
  <c r="L160" i="27" s="1"/>
  <c r="K159" i="27"/>
  <c r="M159" i="27" s="1"/>
  <c r="N159" i="27" s="1"/>
  <c r="L159" i="27" s="1"/>
  <c r="K158" i="27"/>
  <c r="M158" i="27" s="1"/>
  <c r="N158" i="27" s="1"/>
  <c r="L158" i="27" s="1"/>
  <c r="K157" i="27"/>
  <c r="M157" i="27" s="1"/>
  <c r="N157" i="27" s="1"/>
  <c r="L157" i="27" s="1"/>
  <c r="K155" i="27"/>
  <c r="M155" i="27" s="1"/>
  <c r="N155" i="27" s="1"/>
  <c r="L155" i="27" s="1"/>
  <c r="K154" i="27"/>
  <c r="M154" i="27" s="1"/>
  <c r="N154" i="27" s="1"/>
  <c r="L154" i="27" s="1"/>
  <c r="K153" i="27"/>
  <c r="M153" i="27" s="1"/>
  <c r="N153" i="27" s="1"/>
  <c r="L153" i="27" s="1"/>
  <c r="K152" i="27"/>
  <c r="M152" i="27" s="1"/>
  <c r="N152" i="27" s="1"/>
  <c r="L152" i="27" s="1"/>
  <c r="K151" i="27"/>
  <c r="M151" i="27" s="1"/>
  <c r="N151" i="27" s="1"/>
  <c r="L151" i="27" s="1"/>
  <c r="K150" i="27"/>
  <c r="M150" i="27" s="1"/>
  <c r="N150" i="27" s="1"/>
  <c r="L150" i="27" s="1"/>
  <c r="K149" i="27"/>
  <c r="M149" i="27" s="1"/>
  <c r="N149" i="27" s="1"/>
  <c r="L149" i="27" s="1"/>
  <c r="K147" i="27"/>
  <c r="M147" i="27" s="1"/>
  <c r="N147" i="27" s="1"/>
  <c r="L147" i="27" s="1"/>
  <c r="K146" i="27"/>
  <c r="M146" i="27" s="1"/>
  <c r="N146" i="27" s="1"/>
  <c r="L146" i="27" s="1"/>
  <c r="K145" i="27"/>
  <c r="M145" i="27" s="1"/>
  <c r="N145" i="27" s="1"/>
  <c r="L145" i="27" s="1"/>
  <c r="K477" i="27" l="1"/>
  <c r="M288" i="27"/>
  <c r="N288" i="27" s="1"/>
  <c r="L288" i="27" s="1"/>
  <c r="L509" i="27" s="1"/>
  <c r="K228" i="27"/>
  <c r="L228" i="27"/>
  <c r="K509" i="27"/>
  <c r="K285" i="27"/>
  <c r="M285" i="27" s="1"/>
  <c r="N285" i="27" s="1"/>
  <c r="L563" i="27"/>
  <c r="L544" i="27"/>
  <c r="L543" i="27"/>
  <c r="L542" i="27"/>
  <c r="L541" i="27"/>
  <c r="L540" i="27"/>
  <c r="L539" i="27"/>
  <c r="L538" i="27"/>
  <c r="L537" i="27"/>
  <c r="L536" i="27"/>
  <c r="L535" i="27"/>
  <c r="L534" i="27"/>
  <c r="L533" i="27"/>
  <c r="L532" i="27"/>
  <c r="L531" i="27"/>
  <c r="L530" i="27"/>
  <c r="L529" i="27"/>
  <c r="L528" i="27"/>
  <c r="L527" i="27"/>
  <c r="L526" i="27"/>
  <c r="K525" i="27"/>
  <c r="L231" i="27"/>
  <c r="L285" i="27" s="1"/>
  <c r="K169" i="27"/>
  <c r="K144" i="27"/>
  <c r="M144" i="27" s="1"/>
  <c r="N144" i="27" s="1"/>
  <c r="L144" i="27" s="1"/>
  <c r="K143" i="27"/>
  <c r="M143" i="27" s="1"/>
  <c r="N143" i="27" s="1"/>
  <c r="L143" i="27" s="1"/>
  <c r="K142" i="27"/>
  <c r="M142" i="27" s="1"/>
  <c r="N142" i="27" s="1"/>
  <c r="L142" i="27" s="1"/>
  <c r="K141" i="27"/>
  <c r="M141" i="27" s="1"/>
  <c r="N141" i="27" s="1"/>
  <c r="L141" i="27" s="1"/>
  <c r="K140" i="27"/>
  <c r="M140" i="27" s="1"/>
  <c r="N140" i="27" s="1"/>
  <c r="L140" i="27" s="1"/>
  <c r="K139" i="27"/>
  <c r="M139" i="27" s="1"/>
  <c r="N139" i="27" s="1"/>
  <c r="L139" i="27" s="1"/>
  <c r="K138" i="27"/>
  <c r="M138" i="27" s="1"/>
  <c r="N138" i="27" s="1"/>
  <c r="L138" i="27" s="1"/>
  <c r="K137" i="27"/>
  <c r="M137" i="27" s="1"/>
  <c r="N137" i="27" s="1"/>
  <c r="L137" i="27" s="1"/>
  <c r="K136" i="27"/>
  <c r="M136" i="27" s="1"/>
  <c r="N136" i="27" s="1"/>
  <c r="L136" i="27" s="1"/>
  <c r="K135" i="27"/>
  <c r="M135" i="27" s="1"/>
  <c r="N135" i="27" s="1"/>
  <c r="L135" i="27" s="1"/>
  <c r="K49" i="27"/>
  <c r="M49" i="27" s="1"/>
  <c r="N49" i="27" s="1"/>
  <c r="L49" i="27" s="1"/>
  <c r="K50" i="27"/>
  <c r="M50" i="27" s="1"/>
  <c r="N50" i="27" s="1"/>
  <c r="L50" i="27" s="1"/>
  <c r="K104" i="27"/>
  <c r="M104" i="27" s="1"/>
  <c r="N104" i="27" s="1"/>
  <c r="L104" i="27" s="1"/>
  <c r="K105" i="27"/>
  <c r="M105" i="27" s="1"/>
  <c r="N105" i="27" s="1"/>
  <c r="L105" i="27" s="1"/>
  <c r="K106" i="27"/>
  <c r="M106" i="27" s="1"/>
  <c r="N106" i="27" s="1"/>
  <c r="L106" i="27" s="1"/>
  <c r="K107" i="27"/>
  <c r="M107" i="27" s="1"/>
  <c r="N107" i="27" s="1"/>
  <c r="L107" i="27" s="1"/>
  <c r="M108" i="27"/>
  <c r="N108" i="27" s="1"/>
  <c r="K109" i="27"/>
  <c r="M109" i="27" s="1"/>
  <c r="N109" i="27" s="1"/>
  <c r="L109" i="27" s="1"/>
  <c r="K110" i="27"/>
  <c r="M110" i="27" s="1"/>
  <c r="N110" i="27" s="1"/>
  <c r="L110" i="27" s="1"/>
  <c r="K111" i="27"/>
  <c r="M111" i="27" s="1"/>
  <c r="N111" i="27" s="1"/>
  <c r="L111" i="27" s="1"/>
  <c r="K113" i="27"/>
  <c r="M113" i="27" s="1"/>
  <c r="N113" i="27" s="1"/>
  <c r="L113" i="27" s="1"/>
  <c r="K114" i="27"/>
  <c r="M114" i="27" s="1"/>
  <c r="N114" i="27" s="1"/>
  <c r="L114" i="27" s="1"/>
  <c r="K115" i="27"/>
  <c r="M115" i="27" s="1"/>
  <c r="N115" i="27" s="1"/>
  <c r="L115" i="27" s="1"/>
  <c r="K116" i="27"/>
  <c r="M116" i="27" s="1"/>
  <c r="N116" i="27" s="1"/>
  <c r="L116" i="27" s="1"/>
  <c r="K117" i="27"/>
  <c r="M117" i="27" s="1"/>
  <c r="N117" i="27" s="1"/>
  <c r="L117" i="27" s="1"/>
  <c r="K118" i="27"/>
  <c r="M118" i="27" s="1"/>
  <c r="N118" i="27" s="1"/>
  <c r="L118" i="27" s="1"/>
  <c r="K119" i="27"/>
  <c r="M119" i="27" s="1"/>
  <c r="N119" i="27" s="1"/>
  <c r="L119" i="27" s="1"/>
  <c r="K121" i="27"/>
  <c r="M121" i="27" s="1"/>
  <c r="N121" i="27" s="1"/>
  <c r="L121" i="27" s="1"/>
  <c r="K122" i="27"/>
  <c r="M122" i="27" s="1"/>
  <c r="N122" i="27" s="1"/>
  <c r="L122" i="27" s="1"/>
  <c r="K123" i="27"/>
  <c r="M123" i="27" s="1"/>
  <c r="N123" i="27" s="1"/>
  <c r="L123" i="27" s="1"/>
  <c r="K125" i="27"/>
  <c r="M125" i="27" s="1"/>
  <c r="N125" i="27" s="1"/>
  <c r="L125" i="27" s="1"/>
  <c r="K126" i="27"/>
  <c r="M126" i="27" s="1"/>
  <c r="N126" i="27" s="1"/>
  <c r="L126" i="27" s="1"/>
  <c r="K127" i="27"/>
  <c r="M127" i="27" s="1"/>
  <c r="N127" i="27" s="1"/>
  <c r="L127" i="27" s="1"/>
  <c r="K128" i="27"/>
  <c r="M128" i="27" s="1"/>
  <c r="N128" i="27" s="1"/>
  <c r="L128" i="27" s="1"/>
  <c r="K129" i="27"/>
  <c r="M129" i="27" s="1"/>
  <c r="N129" i="27" s="1"/>
  <c r="L129" i="27" s="1"/>
  <c r="K130" i="27"/>
  <c r="M130" i="27" s="1"/>
  <c r="N130" i="27" s="1"/>
  <c r="L130" i="27" s="1"/>
  <c r="K131" i="27"/>
  <c r="M131" i="27" s="1"/>
  <c r="N131" i="27" s="1"/>
  <c r="L131" i="27" s="1"/>
  <c r="K132" i="27"/>
  <c r="M132" i="27" s="1"/>
  <c r="N132" i="27" s="1"/>
  <c r="L132" i="27" s="1"/>
  <c r="K133" i="27"/>
  <c r="M133" i="27" s="1"/>
  <c r="N133" i="27" s="1"/>
  <c r="L133" i="27" s="1"/>
  <c r="K134" i="27"/>
  <c r="M134" i="27" s="1"/>
  <c r="N134" i="27" s="1"/>
  <c r="L134" i="27" s="1"/>
  <c r="M124" i="27"/>
  <c r="N124" i="27" s="1"/>
  <c r="L124" i="27" s="1"/>
  <c r="M120" i="27"/>
  <c r="N120" i="27" s="1"/>
  <c r="L120" i="27" s="1"/>
  <c r="M112" i="27"/>
  <c r="N112" i="27" s="1"/>
  <c r="L112" i="27" s="1"/>
  <c r="K47" i="27"/>
  <c r="M47" i="27" s="1"/>
  <c r="N47" i="27" s="1"/>
  <c r="L47" i="27" s="1"/>
  <c r="K46" i="27"/>
  <c r="M46" i="27" s="1"/>
  <c r="N46" i="27" s="1"/>
  <c r="L46" i="27" s="1"/>
  <c r="K45" i="27"/>
  <c r="M45" i="27" s="1"/>
  <c r="N45" i="27" s="1"/>
  <c r="L45" i="27" s="1"/>
  <c r="K44" i="27"/>
  <c r="M44" i="27" s="1"/>
  <c r="N44" i="27" s="1"/>
  <c r="L44" i="27" s="1"/>
  <c r="K43" i="27"/>
  <c r="M43" i="27" s="1"/>
  <c r="N43" i="27" s="1"/>
  <c r="L43" i="27" s="1"/>
  <c r="K42" i="27"/>
  <c r="M42" i="27" s="1"/>
  <c r="N42" i="27" s="1"/>
  <c r="L42" i="27" s="1"/>
  <c r="K41" i="27"/>
  <c r="M41" i="27" s="1"/>
  <c r="N41" i="27" s="1"/>
  <c r="L41" i="27" s="1"/>
  <c r="K40" i="27"/>
  <c r="M40" i="27" s="1"/>
  <c r="N40" i="27" s="1"/>
  <c r="L40" i="27" s="1"/>
  <c r="K39" i="27"/>
  <c r="M39" i="27" s="1"/>
  <c r="N39" i="27" s="1"/>
  <c r="L39" i="27" s="1"/>
  <c r="K26" i="27"/>
  <c r="M26" i="27" s="1"/>
  <c r="N26" i="27" s="1"/>
  <c r="L26" i="27" s="1"/>
  <c r="K25" i="27"/>
  <c r="M25" i="27" s="1"/>
  <c r="N25" i="27" s="1"/>
  <c r="L25" i="27" s="1"/>
  <c r="K24" i="27"/>
  <c r="M24" i="27" s="1"/>
  <c r="N24" i="27" s="1"/>
  <c r="L24" i="27" s="1"/>
  <c r="K23" i="27"/>
  <c r="M23" i="27" s="1"/>
  <c r="N23" i="27" s="1"/>
  <c r="L23" i="27" s="1"/>
  <c r="K22" i="27"/>
  <c r="M22" i="27" s="1"/>
  <c r="N22" i="27" s="1"/>
  <c r="L22" i="27" s="1"/>
  <c r="K21" i="27"/>
  <c r="M21" i="27" s="1"/>
  <c r="N21" i="27" s="1"/>
  <c r="L21" i="27" s="1"/>
  <c r="K20" i="27"/>
  <c r="M20" i="27" s="1"/>
  <c r="N20" i="27" s="1"/>
  <c r="L20" i="27" s="1"/>
  <c r="M19" i="27"/>
  <c r="N19" i="27" s="1"/>
  <c r="K18" i="27"/>
  <c r="M18" i="27" s="1"/>
  <c r="N18" i="27" s="1"/>
  <c r="L18" i="27" s="1"/>
  <c r="K17" i="27"/>
  <c r="M17" i="27" s="1"/>
  <c r="N17" i="27" s="1"/>
  <c r="L17" i="27" s="1"/>
  <c r="K16" i="27"/>
  <c r="M16" i="27" s="1"/>
  <c r="N16" i="27" s="1"/>
  <c r="L16" i="27" s="1"/>
  <c r="K15" i="27"/>
  <c r="K32" i="27"/>
  <c r="M32" i="27" s="1"/>
  <c r="N32" i="27" s="1"/>
  <c r="L32" i="27" s="1"/>
  <c r="K31" i="27"/>
  <c r="M31" i="27" s="1"/>
  <c r="N31" i="27" s="1"/>
  <c r="L31" i="27" s="1"/>
  <c r="K30" i="27"/>
  <c r="M30" i="27" s="1"/>
  <c r="N30" i="27" s="1"/>
  <c r="L30" i="27" s="1"/>
  <c r="K29" i="27"/>
  <c r="M29" i="27" s="1"/>
  <c r="N29" i="27" s="1"/>
  <c r="L29" i="27" s="1"/>
  <c r="K28" i="27"/>
  <c r="M28" i="27" s="1"/>
  <c r="N28" i="27" s="1"/>
  <c r="L28" i="27" s="1"/>
  <c r="K27" i="27"/>
  <c r="M27" i="27" s="1"/>
  <c r="N27" i="27" s="1"/>
  <c r="L27" i="27" s="1"/>
  <c r="K35" i="27"/>
  <c r="M35" i="27" s="1"/>
  <c r="N35" i="27" s="1"/>
  <c r="L35" i="27" s="1"/>
  <c r="K34" i="27"/>
  <c r="M34" i="27" s="1"/>
  <c r="N34" i="27" s="1"/>
  <c r="L34" i="27" s="1"/>
  <c r="K33" i="27"/>
  <c r="M33" i="27" s="1"/>
  <c r="N33" i="27" s="1"/>
  <c r="L33" i="27" s="1"/>
  <c r="B2" i="2"/>
  <c r="M477" i="27" l="1"/>
  <c r="N477" i="27" s="1"/>
  <c r="M228" i="27"/>
  <c r="N228" i="27" s="1"/>
  <c r="M169" i="27"/>
  <c r="N169" i="27" s="1"/>
  <c r="L169" i="27" s="1"/>
  <c r="M525" i="27"/>
  <c r="N525" i="27" s="1"/>
  <c r="L525" i="27" s="1"/>
  <c r="L564" i="27" s="1"/>
  <c r="L565" i="27" s="1"/>
  <c r="K564" i="27"/>
  <c r="L477" i="27"/>
  <c r="K565" i="27"/>
  <c r="M565" i="27" s="1"/>
  <c r="M509" i="27"/>
  <c r="N509" i="27" s="1"/>
  <c r="M15" i="27"/>
  <c r="N15" i="27" s="1"/>
  <c r="L15" i="27" s="1"/>
  <c r="A1" i="27"/>
  <c r="D9" i="27"/>
  <c r="D8" i="27"/>
  <c r="B7" i="27"/>
  <c r="B6" i="27"/>
  <c r="K36" i="27"/>
  <c r="K37" i="27"/>
  <c r="K38" i="27"/>
  <c r="M38" i="27" s="1"/>
  <c r="N38" i="27" s="1"/>
  <c r="L38" i="27" s="1"/>
  <c r="O180" i="26"/>
  <c r="P180" i="26" s="1"/>
  <c r="N180" i="26" s="1"/>
  <c r="M180" i="26"/>
  <c r="M177" i="26"/>
  <c r="O177" i="26" s="1"/>
  <c r="P177" i="26" s="1"/>
  <c r="N177" i="26" s="1"/>
  <c r="M176" i="26"/>
  <c r="O176" i="26" s="1"/>
  <c r="P176" i="26" s="1"/>
  <c r="N176" i="26" s="1"/>
  <c r="O175" i="26"/>
  <c r="P175" i="26" s="1"/>
  <c r="N175" i="26" s="1"/>
  <c r="M175" i="26"/>
  <c r="M174" i="26"/>
  <c r="O174" i="26" s="1"/>
  <c r="P174" i="26" s="1"/>
  <c r="N174" i="26" s="1"/>
  <c r="M173" i="26"/>
  <c r="O173" i="26" s="1"/>
  <c r="P173" i="26" s="1"/>
  <c r="N173" i="26" s="1"/>
  <c r="O171" i="26"/>
  <c r="P171" i="26" s="1"/>
  <c r="N171" i="26" s="1"/>
  <c r="M171" i="26"/>
  <c r="M170" i="26"/>
  <c r="O170" i="26" s="1"/>
  <c r="P170" i="26" s="1"/>
  <c r="N170" i="26" s="1"/>
  <c r="M169" i="26"/>
  <c r="O169" i="26" s="1"/>
  <c r="P169" i="26" s="1"/>
  <c r="N169" i="26" s="1"/>
  <c r="O168" i="26"/>
  <c r="P168" i="26" s="1"/>
  <c r="N168" i="26" s="1"/>
  <c r="M168" i="26"/>
  <c r="M167" i="26"/>
  <c r="O167" i="26" s="1"/>
  <c r="P167" i="26" s="1"/>
  <c r="N167" i="26" s="1"/>
  <c r="M166" i="26"/>
  <c r="O166" i="26" s="1"/>
  <c r="P166" i="26" s="1"/>
  <c r="N166" i="26" s="1"/>
  <c r="O165" i="26"/>
  <c r="P165" i="26" s="1"/>
  <c r="N165" i="26" s="1"/>
  <c r="M165" i="26"/>
  <c r="M164" i="26"/>
  <c r="O164" i="26" s="1"/>
  <c r="P164" i="26" s="1"/>
  <c r="N164" i="26" s="1"/>
  <c r="P163" i="26"/>
  <c r="N163" i="26" s="1"/>
  <c r="M163" i="26"/>
  <c r="O163" i="26" s="1"/>
  <c r="O162" i="26"/>
  <c r="P162" i="26" s="1"/>
  <c r="N162" i="26" s="1"/>
  <c r="M162" i="26"/>
  <c r="M161" i="26"/>
  <c r="O161" i="26" s="1"/>
  <c r="P161" i="26" s="1"/>
  <c r="N161" i="26" s="1"/>
  <c r="P160" i="26"/>
  <c r="N160" i="26" s="1"/>
  <c r="M160" i="26"/>
  <c r="O160" i="26" s="1"/>
  <c r="O159" i="26"/>
  <c r="P159" i="26" s="1"/>
  <c r="N159" i="26"/>
  <c r="M159" i="26"/>
  <c r="O158" i="26"/>
  <c r="P158" i="26" s="1"/>
  <c r="N158" i="26" s="1"/>
  <c r="M158" i="26"/>
  <c r="P157" i="26"/>
  <c r="N157" i="26" s="1"/>
  <c r="M157" i="26"/>
  <c r="O157" i="26" s="1"/>
  <c r="O156" i="26"/>
  <c r="P156" i="26" s="1"/>
  <c r="N156" i="26"/>
  <c r="M156" i="26"/>
  <c r="O155" i="26"/>
  <c r="P155" i="26" s="1"/>
  <c r="N155" i="26" s="1"/>
  <c r="M155" i="26"/>
  <c r="M154" i="26"/>
  <c r="O154" i="26" s="1"/>
  <c r="P154" i="26" s="1"/>
  <c r="N154" i="26" s="1"/>
  <c r="O153" i="26"/>
  <c r="P153" i="26" s="1"/>
  <c r="N153" i="26"/>
  <c r="M153" i="26"/>
  <c r="M152" i="26"/>
  <c r="O152" i="26" s="1"/>
  <c r="P152" i="26" s="1"/>
  <c r="N152" i="26" s="1"/>
  <c r="M151" i="26"/>
  <c r="O151" i="26" s="1"/>
  <c r="P151" i="26" s="1"/>
  <c r="N151" i="26" s="1"/>
  <c r="O150" i="26"/>
  <c r="P150" i="26" s="1"/>
  <c r="N150" i="26" s="1"/>
  <c r="M150" i="26"/>
  <c r="M149" i="26"/>
  <c r="O149" i="26" s="1"/>
  <c r="P149" i="26" s="1"/>
  <c r="N149" i="26" s="1"/>
  <c r="M148" i="26"/>
  <c r="O148" i="26" s="1"/>
  <c r="P148" i="26" s="1"/>
  <c r="N148" i="26" s="1"/>
  <c r="O147" i="26"/>
  <c r="P147" i="26" s="1"/>
  <c r="N147" i="26" s="1"/>
  <c r="M147" i="26"/>
  <c r="M146" i="26"/>
  <c r="O146" i="26" s="1"/>
  <c r="P146" i="26" s="1"/>
  <c r="N146" i="26" s="1"/>
  <c r="P145" i="26"/>
  <c r="N145" i="26" s="1"/>
  <c r="M145" i="26"/>
  <c r="O145" i="26" s="1"/>
  <c r="O144" i="26"/>
  <c r="P144" i="26" s="1"/>
  <c r="N144" i="26" s="1"/>
  <c r="M144" i="26"/>
  <c r="M143" i="26"/>
  <c r="O143" i="26" s="1"/>
  <c r="P143" i="26" s="1"/>
  <c r="N143" i="26" s="1"/>
  <c r="P142" i="26"/>
  <c r="N142" i="26" s="1"/>
  <c r="M142" i="26"/>
  <c r="O142" i="26" s="1"/>
  <c r="O139" i="26"/>
  <c r="P139" i="26" s="1"/>
  <c r="N139" i="26"/>
  <c r="M139" i="26"/>
  <c r="O138" i="26"/>
  <c r="P138" i="26" s="1"/>
  <c r="N138" i="26" s="1"/>
  <c r="M138" i="26"/>
  <c r="M137" i="26"/>
  <c r="O137" i="26" s="1"/>
  <c r="P137" i="26" s="1"/>
  <c r="N137" i="26" s="1"/>
  <c r="O136" i="26"/>
  <c r="P136" i="26" s="1"/>
  <c r="N136" i="26"/>
  <c r="M136" i="26"/>
  <c r="O135" i="26"/>
  <c r="P135" i="26" s="1"/>
  <c r="N135" i="26" s="1"/>
  <c r="M135" i="26"/>
  <c r="M134" i="26"/>
  <c r="O134" i="26" s="1"/>
  <c r="P134" i="26" s="1"/>
  <c r="N134" i="26" s="1"/>
  <c r="O133" i="26"/>
  <c r="P133" i="26" s="1"/>
  <c r="N133" i="26"/>
  <c r="M133" i="26"/>
  <c r="O132" i="26"/>
  <c r="P132" i="26" s="1"/>
  <c r="N132" i="26" s="1"/>
  <c r="M132" i="26"/>
  <c r="M131" i="26"/>
  <c r="O131" i="26" s="1"/>
  <c r="P131" i="26" s="1"/>
  <c r="N131" i="26" s="1"/>
  <c r="O130" i="26"/>
  <c r="P130" i="26" s="1"/>
  <c r="N130" i="26" s="1"/>
  <c r="M130" i="26"/>
  <c r="M129" i="26"/>
  <c r="O129" i="26" s="1"/>
  <c r="P129" i="26" s="1"/>
  <c r="N129" i="26" s="1"/>
  <c r="M128" i="26"/>
  <c r="O128" i="26" s="1"/>
  <c r="P128" i="26" s="1"/>
  <c r="N128" i="26" s="1"/>
  <c r="O127" i="26"/>
  <c r="P127" i="26" s="1"/>
  <c r="N127" i="26" s="1"/>
  <c r="M127" i="26"/>
  <c r="M125" i="26"/>
  <c r="O125" i="26" s="1"/>
  <c r="P125" i="26" s="1"/>
  <c r="N125" i="26" s="1"/>
  <c r="P124" i="26"/>
  <c r="N124" i="26" s="1"/>
  <c r="M124" i="26"/>
  <c r="O124" i="26" s="1"/>
  <c r="O123" i="26"/>
  <c r="P123" i="26" s="1"/>
  <c r="M122" i="26"/>
  <c r="O122" i="26" s="1"/>
  <c r="P122" i="26" s="1"/>
  <c r="N122" i="26" s="1"/>
  <c r="O121" i="26"/>
  <c r="P121" i="26" s="1"/>
  <c r="N121" i="26"/>
  <c r="M121" i="26"/>
  <c r="O120" i="26"/>
  <c r="P120" i="26" s="1"/>
  <c r="N120" i="26" s="1"/>
  <c r="M120" i="26"/>
  <c r="M119" i="26"/>
  <c r="O119" i="26" s="1"/>
  <c r="P119" i="26" s="1"/>
  <c r="N119" i="26" s="1"/>
  <c r="O118" i="26"/>
  <c r="P118" i="26" s="1"/>
  <c r="N118" i="26" s="1"/>
  <c r="M118" i="26"/>
  <c r="M117" i="26"/>
  <c r="O117" i="26" s="1"/>
  <c r="P117" i="26" s="1"/>
  <c r="N117" i="26" s="1"/>
  <c r="M116" i="26"/>
  <c r="O116" i="26" s="1"/>
  <c r="P116" i="26" s="1"/>
  <c r="N116" i="26" s="1"/>
  <c r="O115" i="26"/>
  <c r="P115" i="26" s="1"/>
  <c r="N115" i="26" s="1"/>
  <c r="M115" i="26"/>
  <c r="M114" i="26"/>
  <c r="O114" i="26" s="1"/>
  <c r="P114" i="26" s="1"/>
  <c r="N114" i="26" s="1"/>
  <c r="P113" i="26"/>
  <c r="O113" i="26"/>
  <c r="O112" i="26"/>
  <c r="P112" i="26" s="1"/>
  <c r="N112" i="26" s="1"/>
  <c r="M112" i="26"/>
  <c r="M111" i="26"/>
  <c r="O111" i="26" s="1"/>
  <c r="P111" i="26" s="1"/>
  <c r="N111" i="26" s="1"/>
  <c r="O110" i="26"/>
  <c r="P110" i="26" s="1"/>
  <c r="N110" i="26" s="1"/>
  <c r="M110" i="26"/>
  <c r="M109" i="26"/>
  <c r="O109" i="26" s="1"/>
  <c r="P109" i="26" s="1"/>
  <c r="N109" i="26" s="1"/>
  <c r="M108" i="26"/>
  <c r="O108" i="26" s="1"/>
  <c r="P108" i="26" s="1"/>
  <c r="N108" i="26" s="1"/>
  <c r="O107" i="26"/>
  <c r="P107" i="26" s="1"/>
  <c r="N107" i="26" s="1"/>
  <c r="M107" i="26"/>
  <c r="M106" i="26"/>
  <c r="O106" i="26" s="1"/>
  <c r="P106" i="26" s="1"/>
  <c r="N106" i="26" s="1"/>
  <c r="P105" i="26"/>
  <c r="N105" i="26" s="1"/>
  <c r="M105" i="26"/>
  <c r="O105" i="26" s="1"/>
  <c r="O104" i="26"/>
  <c r="P104" i="26" s="1"/>
  <c r="N104" i="26" s="1"/>
  <c r="M104" i="26"/>
  <c r="O103" i="26"/>
  <c r="P103" i="26" s="1"/>
  <c r="O102" i="26"/>
  <c r="P102" i="26" s="1"/>
  <c r="N102" i="26" s="1"/>
  <c r="M102" i="26"/>
  <c r="M101" i="26"/>
  <c r="O101" i="26" s="1"/>
  <c r="P101" i="26" s="1"/>
  <c r="N101" i="26" s="1"/>
  <c r="M100" i="26"/>
  <c r="O100" i="26" s="1"/>
  <c r="P100" i="26" s="1"/>
  <c r="N100" i="26" s="1"/>
  <c r="O99" i="26"/>
  <c r="P99" i="26" s="1"/>
  <c r="N99" i="26" s="1"/>
  <c r="M99" i="26"/>
  <c r="M98" i="26"/>
  <c r="O98" i="26" s="1"/>
  <c r="P98" i="26" s="1"/>
  <c r="N98" i="26" s="1"/>
  <c r="P97" i="26"/>
  <c r="N97" i="26" s="1"/>
  <c r="M97" i="26"/>
  <c r="O97" i="26" s="1"/>
  <c r="O96" i="26"/>
  <c r="P96" i="26" s="1"/>
  <c r="N96" i="26" s="1"/>
  <c r="M96" i="26"/>
  <c r="M95" i="26"/>
  <c r="O95" i="26" s="1"/>
  <c r="P95" i="26" s="1"/>
  <c r="N95" i="26" s="1"/>
  <c r="P94" i="26"/>
  <c r="N94" i="26" s="1"/>
  <c r="M94" i="26"/>
  <c r="O94" i="26" s="1"/>
  <c r="O93" i="26"/>
  <c r="P93" i="26" s="1"/>
  <c r="M92" i="26"/>
  <c r="O92" i="26" s="1"/>
  <c r="P92" i="26" s="1"/>
  <c r="N92" i="26" s="1"/>
  <c r="O91" i="26"/>
  <c r="P91" i="26" s="1"/>
  <c r="N91" i="26" s="1"/>
  <c r="M91" i="26"/>
  <c r="M90" i="26"/>
  <c r="O90" i="26" s="1"/>
  <c r="P90" i="26" s="1"/>
  <c r="N90" i="26" s="1"/>
  <c r="M89" i="26"/>
  <c r="O89" i="26" s="1"/>
  <c r="P89" i="26" s="1"/>
  <c r="N89" i="26" s="1"/>
  <c r="O88" i="26"/>
  <c r="P88" i="26" s="1"/>
  <c r="N88" i="26" s="1"/>
  <c r="M88" i="26"/>
  <c r="M87" i="26"/>
  <c r="O87" i="26" s="1"/>
  <c r="P87" i="26" s="1"/>
  <c r="N87" i="26" s="1"/>
  <c r="P86" i="26"/>
  <c r="N86" i="26" s="1"/>
  <c r="M86" i="26"/>
  <c r="O86" i="26" s="1"/>
  <c r="O85" i="26"/>
  <c r="P85" i="26" s="1"/>
  <c r="N85" i="26" s="1"/>
  <c r="M85" i="26"/>
  <c r="M84" i="26"/>
  <c r="O84" i="26" s="1"/>
  <c r="P84" i="26" s="1"/>
  <c r="N84" i="26" s="1"/>
  <c r="P83" i="26"/>
  <c r="N83" i="26" s="1"/>
  <c r="M83" i="26"/>
  <c r="O83" i="26" s="1"/>
  <c r="O82" i="26"/>
  <c r="P82" i="26" s="1"/>
  <c r="N82" i="26"/>
  <c r="M82" i="26"/>
  <c r="O81" i="26"/>
  <c r="P81" i="26" s="1"/>
  <c r="N81" i="26" s="1"/>
  <c r="M81" i="26"/>
  <c r="P80" i="26"/>
  <c r="N80" i="26" s="1"/>
  <c r="M80" i="26"/>
  <c r="O80" i="26" s="1"/>
  <c r="O79" i="26"/>
  <c r="P79" i="26" s="1"/>
  <c r="N79" i="26"/>
  <c r="M79" i="26"/>
  <c r="O78" i="26"/>
  <c r="P78" i="26" s="1"/>
  <c r="O77" i="26"/>
  <c r="P77" i="26" s="1"/>
  <c r="N77" i="26" s="1"/>
  <c r="M77" i="26"/>
  <c r="M76" i="26"/>
  <c r="O76" i="26" s="1"/>
  <c r="P76" i="26" s="1"/>
  <c r="N76" i="26" s="1"/>
  <c r="P75" i="26"/>
  <c r="N75" i="26" s="1"/>
  <c r="M75" i="26"/>
  <c r="O75" i="26" s="1"/>
  <c r="O74" i="26"/>
  <c r="P74" i="26" s="1"/>
  <c r="N74" i="26" s="1"/>
  <c r="M74" i="26"/>
  <c r="O73" i="26"/>
  <c r="P73" i="26" s="1"/>
  <c r="N73" i="26" s="1"/>
  <c r="M73" i="26"/>
  <c r="P72" i="26"/>
  <c r="N72" i="26" s="1"/>
  <c r="M72" i="26"/>
  <c r="O72" i="26" s="1"/>
  <c r="O71" i="26"/>
  <c r="P71" i="26" s="1"/>
  <c r="N71" i="26"/>
  <c r="M71" i="26"/>
  <c r="O70" i="26"/>
  <c r="P70" i="26" s="1"/>
  <c r="N70" i="26" s="1"/>
  <c r="M70" i="26"/>
  <c r="M69" i="26"/>
  <c r="O69" i="26" s="1"/>
  <c r="P69" i="26" s="1"/>
  <c r="N69" i="26" s="1"/>
  <c r="O68" i="26"/>
  <c r="P68" i="26" s="1"/>
  <c r="P67" i="26"/>
  <c r="N67" i="26" s="1"/>
  <c r="M67" i="26"/>
  <c r="O67" i="26" s="1"/>
  <c r="O66" i="26"/>
  <c r="P66" i="26" s="1"/>
  <c r="N66" i="26" s="1"/>
  <c r="M66" i="26"/>
  <c r="M65" i="26"/>
  <c r="O65" i="26" s="1"/>
  <c r="P65" i="26" s="1"/>
  <c r="N65" i="26" s="1"/>
  <c r="P64" i="26"/>
  <c r="N64" i="26" s="1"/>
  <c r="M64" i="26"/>
  <c r="O64" i="26" s="1"/>
  <c r="O63" i="26"/>
  <c r="P63" i="26" s="1"/>
  <c r="N63" i="26" s="1"/>
  <c r="M63" i="26"/>
  <c r="O62" i="26"/>
  <c r="P62" i="26" s="1"/>
  <c r="N62" i="26" s="1"/>
  <c r="M62" i="26"/>
  <c r="P61" i="26"/>
  <c r="N61" i="26" s="1"/>
  <c r="M61" i="26"/>
  <c r="O61" i="26" s="1"/>
  <c r="O60" i="26"/>
  <c r="P60" i="26" s="1"/>
  <c r="N60" i="26"/>
  <c r="M60" i="26"/>
  <c r="O59" i="26"/>
  <c r="P59" i="26" s="1"/>
  <c r="N59" i="26" s="1"/>
  <c r="M59" i="26"/>
  <c r="P58" i="26"/>
  <c r="O58" i="26"/>
  <c r="M57" i="26"/>
  <c r="O57" i="26" s="1"/>
  <c r="P57" i="26" s="1"/>
  <c r="N57" i="26" s="1"/>
  <c r="P56" i="26"/>
  <c r="N56" i="26" s="1"/>
  <c r="M56" i="26"/>
  <c r="O56" i="26" s="1"/>
  <c r="O55" i="26"/>
  <c r="P55" i="26" s="1"/>
  <c r="N55" i="26" s="1"/>
  <c r="M55" i="26"/>
  <c r="O54" i="26"/>
  <c r="P54" i="26" s="1"/>
  <c r="N54" i="26" s="1"/>
  <c r="M54" i="26"/>
  <c r="P53" i="26"/>
  <c r="N53" i="26" s="1"/>
  <c r="M53" i="26"/>
  <c r="O53" i="26" s="1"/>
  <c r="O52" i="26"/>
  <c r="P52" i="26" s="1"/>
  <c r="N52" i="26"/>
  <c r="M52" i="26"/>
  <c r="O51" i="26"/>
  <c r="P51" i="26" s="1"/>
  <c r="N51" i="26" s="1"/>
  <c r="M51" i="26"/>
  <c r="M50" i="26"/>
  <c r="O50" i="26" s="1"/>
  <c r="P50" i="26" s="1"/>
  <c r="N50" i="26" s="1"/>
  <c r="O49" i="26"/>
  <c r="P49" i="26" s="1"/>
  <c r="N49" i="26" s="1"/>
  <c r="M49" i="26"/>
  <c r="P48" i="26"/>
  <c r="O48" i="26"/>
  <c r="O47" i="26"/>
  <c r="P47" i="26" s="1"/>
  <c r="N47" i="26"/>
  <c r="M47" i="26"/>
  <c r="P46" i="26"/>
  <c r="N46" i="26" s="1"/>
  <c r="O46" i="26"/>
  <c r="M46" i="26"/>
  <c r="P45" i="26"/>
  <c r="N45" i="26"/>
  <c r="M45" i="26"/>
  <c r="O45" i="26" s="1"/>
  <c r="O44" i="26"/>
  <c r="P44" i="26" s="1"/>
  <c r="N44" i="26" s="1"/>
  <c r="M44" i="26"/>
  <c r="O43" i="26"/>
  <c r="P43" i="26" s="1"/>
  <c r="N43" i="26" s="1"/>
  <c r="M43" i="26"/>
  <c r="M42" i="26"/>
  <c r="O42" i="26" s="1"/>
  <c r="P42" i="26" s="1"/>
  <c r="N42" i="26" s="1"/>
  <c r="P41" i="26"/>
  <c r="N41" i="26" s="1"/>
  <c r="O41" i="26"/>
  <c r="M41" i="26"/>
  <c r="O40" i="26"/>
  <c r="P40" i="26" s="1"/>
  <c r="N40" i="26" s="1"/>
  <c r="M40" i="26"/>
  <c r="P39" i="26"/>
  <c r="N39" i="26" s="1"/>
  <c r="M39" i="26"/>
  <c r="O39" i="26" s="1"/>
  <c r="O38" i="26"/>
  <c r="P38" i="26" s="1"/>
  <c r="P37" i="26"/>
  <c r="N37" i="26" s="1"/>
  <c r="M37" i="26"/>
  <c r="O37" i="26" s="1"/>
  <c r="O36" i="26"/>
  <c r="P36" i="26" s="1"/>
  <c r="N36" i="26" s="1"/>
  <c r="M36" i="26"/>
  <c r="M35" i="26"/>
  <c r="O35" i="26" s="1"/>
  <c r="P35" i="26" s="1"/>
  <c r="N35" i="26" s="1"/>
  <c r="P34" i="26"/>
  <c r="N34" i="26" s="1"/>
  <c r="M34" i="26"/>
  <c r="O34" i="26" s="1"/>
  <c r="P33" i="26"/>
  <c r="O33" i="26"/>
  <c r="N33" i="26"/>
  <c r="M33" i="26"/>
  <c r="P32" i="26"/>
  <c r="N32" i="26" s="1"/>
  <c r="O32" i="26"/>
  <c r="M32" i="26"/>
  <c r="P31" i="26"/>
  <c r="N31" i="26"/>
  <c r="M31" i="26"/>
  <c r="O31" i="26" s="1"/>
  <c r="P30" i="26"/>
  <c r="N30" i="26" s="1"/>
  <c r="O30" i="26"/>
  <c r="M30" i="26"/>
  <c r="P29" i="26"/>
  <c r="N29" i="26" s="1"/>
  <c r="O29" i="26"/>
  <c r="M29" i="26"/>
  <c r="P28" i="26"/>
  <c r="O28" i="26"/>
  <c r="P27" i="26"/>
  <c r="N27" i="26" s="1"/>
  <c r="O27" i="26"/>
  <c r="M27" i="26"/>
  <c r="M26" i="26"/>
  <c r="O26" i="26" s="1"/>
  <c r="P26" i="26" s="1"/>
  <c r="N26" i="26" s="1"/>
  <c r="P25" i="26"/>
  <c r="N25" i="26" s="1"/>
  <c r="O25" i="26"/>
  <c r="M25" i="26"/>
  <c r="O24" i="26"/>
  <c r="P24" i="26" s="1"/>
  <c r="N24" i="26" s="1"/>
  <c r="M24" i="26"/>
  <c r="M23" i="26"/>
  <c r="O23" i="26" s="1"/>
  <c r="P23" i="26" s="1"/>
  <c r="N23" i="26" s="1"/>
  <c r="P22" i="26"/>
  <c r="N22" i="26" s="1"/>
  <c r="O22" i="26"/>
  <c r="M22" i="26"/>
  <c r="O21" i="26"/>
  <c r="P21" i="26" s="1"/>
  <c r="N21" i="26" s="1"/>
  <c r="M21" i="26"/>
  <c r="P20" i="26"/>
  <c r="N20" i="26" s="1"/>
  <c r="M20" i="26"/>
  <c r="O20" i="26" s="1"/>
  <c r="O19" i="26"/>
  <c r="P19" i="26" s="1"/>
  <c r="N19" i="26" s="1"/>
  <c r="M19" i="26"/>
  <c r="D11" i="26"/>
  <c r="AJ10" i="26"/>
  <c r="D10" i="26"/>
  <c r="D9" i="26"/>
  <c r="D8" i="26"/>
  <c r="A7" i="26"/>
  <c r="AJ6" i="26"/>
  <c r="A6" i="26"/>
  <c r="AJ5" i="26"/>
  <c r="AJ4" i="26"/>
  <c r="AJ3" i="26"/>
  <c r="A3" i="26"/>
  <c r="A1" i="26"/>
  <c r="K201" i="27" l="1"/>
  <c r="M201" i="27" s="1"/>
  <c r="N201" i="27" s="1"/>
  <c r="M36" i="27"/>
  <c r="N36" i="27" s="1"/>
  <c r="L36" i="27" s="1"/>
  <c r="M37" i="27"/>
  <c r="N37" i="27" s="1"/>
  <c r="L37" i="27" s="1"/>
  <c r="N182" i="26"/>
  <c r="M181" i="26"/>
  <c r="AJ7" i="26"/>
  <c r="L201" i="27" l="1"/>
  <c r="L229" i="27" s="1"/>
  <c r="K229" i="27"/>
  <c r="M229" i="27" s="1"/>
  <c r="N229" i="27" s="1"/>
  <c r="M183" i="26"/>
  <c r="K286" i="27" l="1"/>
  <c r="L286" i="27"/>
  <c r="J19" i="7"/>
  <c r="J18" i="7"/>
  <c r="F2" i="2"/>
  <c r="M286" i="27" l="1"/>
  <c r="N286" i="27" s="1"/>
  <c r="K566" i="27"/>
  <c r="D18" i="14" s="1"/>
  <c r="L566" i="27"/>
  <c r="N19" i="5"/>
  <c r="Q19" i="5" s="1"/>
  <c r="R19" i="5" s="1"/>
  <c r="O19" i="5" s="1"/>
  <c r="N20" i="5"/>
  <c r="Q20" i="5" s="1"/>
  <c r="R20" i="5" s="1"/>
  <c r="O20" i="5" s="1"/>
  <c r="N18" i="5"/>
  <c r="K567" i="27" l="1"/>
  <c r="D15" i="12"/>
  <c r="N21" i="5"/>
  <c r="B18" i="20"/>
  <c r="B3" i="2" l="1"/>
  <c r="J17" i="7" l="1"/>
  <c r="J20" i="7" s="1"/>
  <c r="A48" i="20" l="1"/>
  <c r="Q18" i="5" l="1"/>
  <c r="G10" i="5"/>
  <c r="R18" i="5" l="1"/>
  <c r="O18" i="5" s="1"/>
  <c r="O21" i="5" s="1"/>
  <c r="F9" i="22"/>
  <c r="D11" i="22"/>
  <c r="F11" i="22" s="1"/>
  <c r="D16" i="22"/>
  <c r="F24" i="22" s="1"/>
  <c r="D17" i="22"/>
  <c r="F25" i="22" s="1"/>
  <c r="F17" i="22"/>
  <c r="F31" i="22"/>
  <c r="F32" i="22" s="1"/>
  <c r="F14" i="22" s="1"/>
  <c r="F18" i="22" s="1"/>
  <c r="I31" i="22"/>
  <c r="J31" i="22" s="1"/>
  <c r="M31" i="22"/>
  <c r="O31" i="22" s="1"/>
  <c r="I33" i="22"/>
  <c r="K33" i="22" s="1"/>
  <c r="M33" i="22"/>
  <c r="O33" i="22" s="1"/>
  <c r="I34" i="22"/>
  <c r="K34" i="22" s="1"/>
  <c r="M34" i="22"/>
  <c r="O34" i="22" s="1"/>
  <c r="I35" i="22"/>
  <c r="J35" i="22" s="1"/>
  <c r="M35" i="22"/>
  <c r="N35" i="22" s="1"/>
  <c r="I36" i="22"/>
  <c r="J36" i="22" s="1"/>
  <c r="M36" i="22"/>
  <c r="N36" i="22" s="1"/>
  <c r="I37" i="22"/>
  <c r="K37" i="22" s="1"/>
  <c r="M37" i="22"/>
  <c r="N37" i="22" s="1"/>
  <c r="I38" i="22"/>
  <c r="D4" i="21"/>
  <c r="F9" i="21"/>
  <c r="D16" i="21"/>
  <c r="L26" i="21" s="1"/>
  <c r="K26" i="21" s="1"/>
  <c r="D17" i="21"/>
  <c r="L27" i="21" s="1"/>
  <c r="K27" i="21" s="1"/>
  <c r="B27" i="21" s="1"/>
  <c r="F21" i="21"/>
  <c r="I24" i="21"/>
  <c r="I25" i="21"/>
  <c r="I26" i="21"/>
  <c r="L28" i="21"/>
  <c r="K28" i="21" s="1"/>
  <c r="B28" i="21" s="1"/>
  <c r="F32" i="21"/>
  <c r="F14" i="21" s="1"/>
  <c r="F33" i="21"/>
  <c r="F34" i="21" s="1"/>
  <c r="A43" i="21"/>
  <c r="B44" i="21"/>
  <c r="Z1" i="20"/>
  <c r="E50" i="20" s="1"/>
  <c r="A63" i="20"/>
  <c r="F6" i="19"/>
  <c r="F7" i="19"/>
  <c r="F8" i="19"/>
  <c r="F9" i="19"/>
  <c r="F10" i="19"/>
  <c r="F11" i="19"/>
  <c r="F12" i="19"/>
  <c r="F13" i="19"/>
  <c r="F14" i="19"/>
  <c r="F15" i="19"/>
  <c r="E6" i="18"/>
  <c r="E7" i="18"/>
  <c r="E8" i="18"/>
  <c r="E9" i="18"/>
  <c r="E10" i="18"/>
  <c r="E11" i="18"/>
  <c r="E12" i="18"/>
  <c r="E13" i="18"/>
  <c r="E14" i="18"/>
  <c r="E15" i="18"/>
  <c r="E6" i="17"/>
  <c r="E7" i="17"/>
  <c r="E8" i="17"/>
  <c r="E9" i="17"/>
  <c r="E10" i="17"/>
  <c r="E11" i="17"/>
  <c r="E12" i="17"/>
  <c r="E13" i="17"/>
  <c r="E14" i="17"/>
  <c r="E15" i="17"/>
  <c r="AF4" i="16"/>
  <c r="AF5" i="16"/>
  <c r="AF6" i="16"/>
  <c r="E7" i="16"/>
  <c r="E8" i="16"/>
  <c r="E9" i="16"/>
  <c r="E10" i="16"/>
  <c r="AF10" i="16"/>
  <c r="E11" i="16"/>
  <c r="B15" i="16"/>
  <c r="B16" i="16"/>
  <c r="C16" i="16"/>
  <c r="D16" i="16"/>
  <c r="E16" i="16"/>
  <c r="F16" i="16" s="1"/>
  <c r="F18" i="16" s="1"/>
  <c r="F19" i="16" s="1"/>
  <c r="F74" i="6" s="1"/>
  <c r="B17" i="16"/>
  <c r="C17" i="16"/>
  <c r="D17" i="16"/>
  <c r="E17" i="16"/>
  <c r="F17" i="16" s="1"/>
  <c r="AE21" i="16"/>
  <c r="AH21" i="16"/>
  <c r="AE22" i="16"/>
  <c r="B106" i="16"/>
  <c r="C106" i="16"/>
  <c r="G106" i="16"/>
  <c r="A107" i="16"/>
  <c r="B107" i="16"/>
  <c r="C107" i="16"/>
  <c r="G107" i="16"/>
  <c r="G109" i="16"/>
  <c r="B110" i="16"/>
  <c r="C110" i="16"/>
  <c r="G110" i="16"/>
  <c r="A111" i="16"/>
  <c r="C111" i="16"/>
  <c r="G111" i="16"/>
  <c r="A112" i="16"/>
  <c r="C112" i="16"/>
  <c r="G112" i="16"/>
  <c r="C113" i="16"/>
  <c r="G113" i="16"/>
  <c r="C114" i="16"/>
  <c r="G114" i="16"/>
  <c r="A116" i="16"/>
  <c r="B116" i="16"/>
  <c r="C116" i="16"/>
  <c r="A117" i="16"/>
  <c r="B117" i="16"/>
  <c r="C117" i="16"/>
  <c r="A118" i="16"/>
  <c r="B118" i="16"/>
  <c r="A119" i="16"/>
  <c r="B119" i="16"/>
  <c r="C119" i="16"/>
  <c r="A120" i="16"/>
  <c r="B120" i="16"/>
  <c r="C120" i="16"/>
  <c r="B121" i="16"/>
  <c r="C121" i="16"/>
  <c r="A122" i="16"/>
  <c r="B122" i="16"/>
  <c r="A123" i="16"/>
  <c r="B123" i="16"/>
  <c r="A124" i="16"/>
  <c r="B124" i="16"/>
  <c r="A125" i="16"/>
  <c r="B125" i="16"/>
  <c r="C125" i="16"/>
  <c r="A126" i="16"/>
  <c r="B126" i="16"/>
  <c r="C126" i="16"/>
  <c r="A127" i="16"/>
  <c r="B127" i="16"/>
  <c r="C127" i="16"/>
  <c r="A128" i="16"/>
  <c r="B128" i="16"/>
  <c r="C128" i="16"/>
  <c r="B129" i="16"/>
  <c r="C129" i="16"/>
  <c r="A130" i="16"/>
  <c r="B130" i="16"/>
  <c r="A131" i="16"/>
  <c r="B131" i="16"/>
  <c r="C131" i="16"/>
  <c r="A132" i="16"/>
  <c r="B132" i="16"/>
  <c r="C132" i="16"/>
  <c r="A133" i="16"/>
  <c r="B133" i="16"/>
  <c r="C133" i="16"/>
  <c r="A134" i="16"/>
  <c r="B134" i="16"/>
  <c r="C134" i="16"/>
  <c r="B135" i="16"/>
  <c r="C135" i="16"/>
  <c r="A136" i="16"/>
  <c r="B136" i="16"/>
  <c r="A137" i="16"/>
  <c r="B137" i="16"/>
  <c r="C137" i="16"/>
  <c r="A138" i="16"/>
  <c r="B138" i="16"/>
  <c r="C138" i="16"/>
  <c r="A139" i="16"/>
  <c r="B139" i="16"/>
  <c r="C139" i="16"/>
  <c r="B140" i="16"/>
  <c r="C140" i="16"/>
  <c r="A141" i="16"/>
  <c r="B141" i="16"/>
  <c r="A142" i="16"/>
  <c r="B142" i="16"/>
  <c r="C142" i="16"/>
  <c r="A143" i="16"/>
  <c r="B143" i="16"/>
  <c r="C143" i="16"/>
  <c r="A144" i="16"/>
  <c r="B144" i="16"/>
  <c r="C144" i="16"/>
  <c r="B145" i="16"/>
  <c r="C145" i="16"/>
  <c r="A146" i="16"/>
  <c r="B146" i="16"/>
  <c r="A147" i="16"/>
  <c r="B147" i="16"/>
  <c r="C147" i="16"/>
  <c r="A148" i="16"/>
  <c r="B148" i="16"/>
  <c r="C148" i="16"/>
  <c r="A149" i="16"/>
  <c r="B149" i="16"/>
  <c r="C149" i="16"/>
  <c r="A150" i="16"/>
  <c r="B150" i="16"/>
  <c r="C150" i="16"/>
  <c r="B151" i="16"/>
  <c r="C151" i="16"/>
  <c r="B152" i="16"/>
  <c r="C152" i="16"/>
  <c r="A154" i="16"/>
  <c r="B154" i="16"/>
  <c r="A155" i="16"/>
  <c r="B155" i="16"/>
  <c r="A156" i="16"/>
  <c r="B156" i="16"/>
  <c r="C156" i="16"/>
  <c r="A157" i="16"/>
  <c r="B157" i="16"/>
  <c r="C157" i="16"/>
  <c r="A158" i="16"/>
  <c r="B158" i="16"/>
  <c r="C158" i="16"/>
  <c r="B159" i="16"/>
  <c r="C159" i="16"/>
  <c r="B160" i="16"/>
  <c r="C160" i="16"/>
  <c r="A161" i="16"/>
  <c r="B161" i="16"/>
  <c r="A162" i="16"/>
  <c r="B162" i="16"/>
  <c r="A163" i="16"/>
  <c r="B163" i="16"/>
  <c r="C163" i="16"/>
  <c r="A164" i="16"/>
  <c r="B164" i="16"/>
  <c r="C164" i="16"/>
  <c r="A165" i="16"/>
  <c r="B165" i="16"/>
  <c r="C165" i="16"/>
  <c r="A166" i="16"/>
  <c r="B166" i="16"/>
  <c r="C166" i="16"/>
  <c r="A167" i="16"/>
  <c r="B167" i="16"/>
  <c r="C167" i="16"/>
  <c r="B168" i="16"/>
  <c r="C168" i="16"/>
  <c r="A169" i="16"/>
  <c r="B169" i="16"/>
  <c r="A170" i="16"/>
  <c r="B170" i="16"/>
  <c r="C170" i="16"/>
  <c r="A171" i="16"/>
  <c r="B171" i="16"/>
  <c r="C171" i="16"/>
  <c r="A172" i="16"/>
  <c r="B172" i="16"/>
  <c r="C172" i="16"/>
  <c r="A173" i="16"/>
  <c r="B173" i="16"/>
  <c r="C173" i="16"/>
  <c r="A174" i="16"/>
  <c r="B174" i="16"/>
  <c r="C174" i="16"/>
  <c r="A175" i="16"/>
  <c r="B175" i="16"/>
  <c r="C175" i="16"/>
  <c r="B176" i="16"/>
  <c r="C176" i="16"/>
  <c r="A177" i="16"/>
  <c r="B177" i="16"/>
  <c r="A178" i="16"/>
  <c r="B178" i="16"/>
  <c r="C178" i="16"/>
  <c r="A179" i="16"/>
  <c r="B179" i="16"/>
  <c r="C179" i="16"/>
  <c r="A180" i="16"/>
  <c r="B180" i="16"/>
  <c r="C180" i="16"/>
  <c r="A181" i="16"/>
  <c r="B181" i="16"/>
  <c r="C181" i="16"/>
  <c r="A182" i="16"/>
  <c r="B182" i="16"/>
  <c r="C182" i="16"/>
  <c r="A183" i="16"/>
  <c r="B183" i="16"/>
  <c r="C183" i="16"/>
  <c r="A184" i="16"/>
  <c r="B184" i="16"/>
  <c r="C184" i="16"/>
  <c r="A185" i="16"/>
  <c r="B185" i="16"/>
  <c r="C185" i="16"/>
  <c r="A186" i="16"/>
  <c r="B186" i="16"/>
  <c r="C186" i="16"/>
  <c r="B187" i="16"/>
  <c r="C187" i="16"/>
  <c r="A188" i="16"/>
  <c r="B188" i="16"/>
  <c r="A189" i="16"/>
  <c r="B189" i="16"/>
  <c r="C189" i="16"/>
  <c r="A190" i="16"/>
  <c r="B190" i="16"/>
  <c r="C190" i="16"/>
  <c r="A191" i="16"/>
  <c r="B191" i="16"/>
  <c r="C191" i="16"/>
  <c r="B192" i="16"/>
  <c r="C192" i="16"/>
  <c r="A193" i="16"/>
  <c r="B193" i="16"/>
  <c r="A194" i="16"/>
  <c r="B194" i="16"/>
  <c r="C194" i="16"/>
  <c r="A195" i="16"/>
  <c r="B195" i="16"/>
  <c r="C195" i="16"/>
  <c r="A196" i="16"/>
  <c r="B196" i="16"/>
  <c r="C196" i="16"/>
  <c r="B197" i="16"/>
  <c r="C197" i="16"/>
  <c r="A198" i="16"/>
  <c r="B198" i="16"/>
  <c r="A199" i="16"/>
  <c r="B199" i="16"/>
  <c r="C199" i="16"/>
  <c r="A200" i="16"/>
  <c r="B200" i="16"/>
  <c r="C200" i="16"/>
  <c r="B201" i="16"/>
  <c r="C201" i="16"/>
  <c r="A202" i="16"/>
  <c r="B202" i="16"/>
  <c r="A203" i="16"/>
  <c r="B203" i="16"/>
  <c r="C203" i="16"/>
  <c r="A204" i="16"/>
  <c r="B204" i="16"/>
  <c r="C204" i="16"/>
  <c r="A205" i="16"/>
  <c r="B205" i="16"/>
  <c r="C205" i="16"/>
  <c r="A206" i="16"/>
  <c r="B206" i="16"/>
  <c r="C206" i="16"/>
  <c r="A207" i="16"/>
  <c r="B207" i="16"/>
  <c r="C207" i="16"/>
  <c r="A208" i="16"/>
  <c r="B208" i="16"/>
  <c r="C208" i="16"/>
  <c r="B209" i="16"/>
  <c r="C209" i="16"/>
  <c r="A210" i="16"/>
  <c r="B210" i="16"/>
  <c r="A211" i="16"/>
  <c r="B211" i="16"/>
  <c r="C211" i="16"/>
  <c r="A212" i="16"/>
  <c r="B212" i="16"/>
  <c r="C212" i="16"/>
  <c r="A213" i="16"/>
  <c r="B213" i="16"/>
  <c r="C213" i="16"/>
  <c r="A214" i="16"/>
  <c r="B214" i="16"/>
  <c r="C214" i="16"/>
  <c r="A215" i="16"/>
  <c r="B215" i="16"/>
  <c r="A216" i="16"/>
  <c r="B216" i="16"/>
  <c r="C216" i="16"/>
  <c r="A217" i="16"/>
  <c r="B217" i="16"/>
  <c r="C217" i="16"/>
  <c r="A218" i="16"/>
  <c r="B218" i="16"/>
  <c r="C218" i="16"/>
  <c r="A219" i="16"/>
  <c r="B219" i="16"/>
  <c r="C219" i="16"/>
  <c r="B220" i="16"/>
  <c r="C220" i="16"/>
  <c r="B221" i="16"/>
  <c r="C221" i="16"/>
  <c r="B222" i="16"/>
  <c r="C222" i="16"/>
  <c r="AF4" i="15"/>
  <c r="AF5" i="15"/>
  <c r="AF6" i="15"/>
  <c r="D7" i="15"/>
  <c r="D8" i="15"/>
  <c r="D9" i="15"/>
  <c r="D10" i="15"/>
  <c r="AF10" i="15"/>
  <c r="D11" i="15"/>
  <c r="F20" i="15"/>
  <c r="D22" i="14" s="1"/>
  <c r="AE22" i="15"/>
  <c r="B100" i="15"/>
  <c r="C100" i="15"/>
  <c r="G100" i="15"/>
  <c r="A101" i="15"/>
  <c r="B101" i="15"/>
  <c r="C101" i="15"/>
  <c r="G101" i="15"/>
  <c r="G103" i="15"/>
  <c r="B104" i="15"/>
  <c r="C104" i="15"/>
  <c r="G104" i="15"/>
  <c r="A105" i="15"/>
  <c r="C105" i="15"/>
  <c r="G105" i="15"/>
  <c r="A106" i="15"/>
  <c r="C106" i="15"/>
  <c r="G106" i="15"/>
  <c r="C107" i="15"/>
  <c r="G107" i="15"/>
  <c r="C108" i="15"/>
  <c r="G108" i="15"/>
  <c r="A110" i="15"/>
  <c r="B110" i="15"/>
  <c r="C110" i="15"/>
  <c r="A111" i="15"/>
  <c r="B111" i="15"/>
  <c r="C111" i="15"/>
  <c r="A112" i="15"/>
  <c r="B112" i="15"/>
  <c r="A113" i="15"/>
  <c r="B113" i="15"/>
  <c r="C113" i="15"/>
  <c r="A114" i="15"/>
  <c r="B114" i="15"/>
  <c r="C114" i="15"/>
  <c r="B115" i="15"/>
  <c r="C115" i="15"/>
  <c r="A116" i="15"/>
  <c r="B116" i="15"/>
  <c r="A117" i="15"/>
  <c r="B117" i="15"/>
  <c r="A118" i="15"/>
  <c r="B118" i="15"/>
  <c r="A119" i="15"/>
  <c r="B119" i="15"/>
  <c r="C119" i="15"/>
  <c r="A120" i="15"/>
  <c r="B120" i="15"/>
  <c r="C120" i="15"/>
  <c r="A121" i="15"/>
  <c r="B121" i="15"/>
  <c r="C121" i="15"/>
  <c r="A122" i="15"/>
  <c r="B122" i="15"/>
  <c r="C122" i="15"/>
  <c r="B123" i="15"/>
  <c r="C123" i="15"/>
  <c r="A124" i="15"/>
  <c r="B124" i="15"/>
  <c r="A125" i="15"/>
  <c r="B125" i="15"/>
  <c r="C125" i="15"/>
  <c r="A126" i="15"/>
  <c r="B126" i="15"/>
  <c r="C126" i="15"/>
  <c r="A127" i="15"/>
  <c r="B127" i="15"/>
  <c r="C127" i="15"/>
  <c r="A128" i="15"/>
  <c r="B128" i="15"/>
  <c r="C128" i="15"/>
  <c r="B129" i="15"/>
  <c r="C129" i="15"/>
  <c r="A130" i="15"/>
  <c r="B130" i="15"/>
  <c r="A131" i="15"/>
  <c r="B131" i="15"/>
  <c r="C131" i="15"/>
  <c r="A132" i="15"/>
  <c r="B132" i="15"/>
  <c r="C132" i="15"/>
  <c r="A133" i="15"/>
  <c r="B133" i="15"/>
  <c r="C133" i="15"/>
  <c r="B134" i="15"/>
  <c r="C134" i="15"/>
  <c r="A135" i="15"/>
  <c r="B135" i="15"/>
  <c r="A136" i="15"/>
  <c r="B136" i="15"/>
  <c r="C136" i="15"/>
  <c r="A137" i="15"/>
  <c r="B137" i="15"/>
  <c r="C137" i="15"/>
  <c r="A138" i="15"/>
  <c r="B138" i="15"/>
  <c r="C138" i="15"/>
  <c r="B139" i="15"/>
  <c r="C139" i="15"/>
  <c r="A140" i="15"/>
  <c r="B140" i="15"/>
  <c r="A141" i="15"/>
  <c r="B141" i="15"/>
  <c r="C141" i="15"/>
  <c r="A142" i="15"/>
  <c r="B142" i="15"/>
  <c r="C142" i="15"/>
  <c r="A143" i="15"/>
  <c r="B143" i="15"/>
  <c r="C143" i="15"/>
  <c r="A144" i="15"/>
  <c r="B144" i="15"/>
  <c r="C144" i="15"/>
  <c r="B145" i="15"/>
  <c r="C145" i="15"/>
  <c r="B146" i="15"/>
  <c r="C146" i="15"/>
  <c r="A148" i="15"/>
  <c r="B148" i="15"/>
  <c r="A149" i="15"/>
  <c r="B149" i="15"/>
  <c r="A150" i="15"/>
  <c r="B150" i="15"/>
  <c r="C150" i="15"/>
  <c r="A151" i="15"/>
  <c r="B151" i="15"/>
  <c r="C151" i="15"/>
  <c r="A152" i="15"/>
  <c r="B152" i="15"/>
  <c r="C152" i="15"/>
  <c r="B153" i="15"/>
  <c r="C153" i="15"/>
  <c r="B154" i="15"/>
  <c r="C154" i="15"/>
  <c r="A155" i="15"/>
  <c r="B155" i="15"/>
  <c r="A156" i="15"/>
  <c r="B156" i="15"/>
  <c r="A157" i="15"/>
  <c r="B157" i="15"/>
  <c r="C157" i="15"/>
  <c r="A158" i="15"/>
  <c r="B158" i="15"/>
  <c r="C158" i="15"/>
  <c r="A159" i="15"/>
  <c r="B159" i="15"/>
  <c r="C159" i="15"/>
  <c r="A160" i="15"/>
  <c r="B160" i="15"/>
  <c r="C160" i="15"/>
  <c r="A161" i="15"/>
  <c r="B161" i="15"/>
  <c r="C161" i="15"/>
  <c r="B162" i="15"/>
  <c r="C162" i="15"/>
  <c r="A163" i="15"/>
  <c r="B163" i="15"/>
  <c r="A164" i="15"/>
  <c r="B164" i="15"/>
  <c r="C164" i="15"/>
  <c r="A165" i="15"/>
  <c r="B165" i="15"/>
  <c r="C165" i="15"/>
  <c r="A166" i="15"/>
  <c r="B166" i="15"/>
  <c r="C166" i="15"/>
  <c r="A167" i="15"/>
  <c r="B167" i="15"/>
  <c r="C167" i="15"/>
  <c r="A168" i="15"/>
  <c r="B168" i="15"/>
  <c r="C168" i="15"/>
  <c r="A169" i="15"/>
  <c r="B169" i="15"/>
  <c r="C169" i="15"/>
  <c r="B170" i="15"/>
  <c r="C170" i="15"/>
  <c r="A171" i="15"/>
  <c r="B171" i="15"/>
  <c r="A172" i="15"/>
  <c r="B172" i="15"/>
  <c r="C172" i="15"/>
  <c r="A173" i="15"/>
  <c r="B173" i="15"/>
  <c r="C173" i="15"/>
  <c r="A174" i="15"/>
  <c r="B174" i="15"/>
  <c r="C174" i="15"/>
  <c r="A175" i="15"/>
  <c r="B175" i="15"/>
  <c r="C175" i="15"/>
  <c r="A176" i="15"/>
  <c r="B176" i="15"/>
  <c r="C176" i="15"/>
  <c r="A177" i="15"/>
  <c r="B177" i="15"/>
  <c r="C177" i="15"/>
  <c r="A178" i="15"/>
  <c r="B178" i="15"/>
  <c r="C178" i="15"/>
  <c r="A179" i="15"/>
  <c r="B179" i="15"/>
  <c r="C179" i="15"/>
  <c r="A180" i="15"/>
  <c r="B180" i="15"/>
  <c r="C180" i="15"/>
  <c r="B181" i="15"/>
  <c r="C181" i="15"/>
  <c r="A182" i="15"/>
  <c r="B182" i="15"/>
  <c r="A183" i="15"/>
  <c r="B183" i="15"/>
  <c r="C183" i="15"/>
  <c r="A184" i="15"/>
  <c r="B184" i="15"/>
  <c r="C184" i="15"/>
  <c r="A185" i="15"/>
  <c r="B185" i="15"/>
  <c r="C185" i="15"/>
  <c r="B186" i="15"/>
  <c r="C186" i="15"/>
  <c r="A187" i="15"/>
  <c r="B187" i="15"/>
  <c r="A188" i="15"/>
  <c r="B188" i="15"/>
  <c r="C188" i="15"/>
  <c r="A189" i="15"/>
  <c r="B189" i="15"/>
  <c r="C189" i="15"/>
  <c r="A190" i="15"/>
  <c r="B190" i="15"/>
  <c r="C190" i="15"/>
  <c r="B191" i="15"/>
  <c r="C191" i="15"/>
  <c r="A192" i="15"/>
  <c r="B192" i="15"/>
  <c r="A193" i="15"/>
  <c r="B193" i="15"/>
  <c r="C193" i="15"/>
  <c r="A194" i="15"/>
  <c r="B194" i="15"/>
  <c r="C194" i="15"/>
  <c r="B195" i="15"/>
  <c r="C195" i="15"/>
  <c r="A196" i="15"/>
  <c r="B196" i="15"/>
  <c r="A197" i="15"/>
  <c r="B197" i="15"/>
  <c r="C197" i="15"/>
  <c r="A198" i="15"/>
  <c r="B198" i="15"/>
  <c r="C198" i="15"/>
  <c r="A199" i="15"/>
  <c r="B199" i="15"/>
  <c r="C199" i="15"/>
  <c r="A200" i="15"/>
  <c r="B200" i="15"/>
  <c r="C200" i="15"/>
  <c r="A201" i="15"/>
  <c r="B201" i="15"/>
  <c r="C201" i="15"/>
  <c r="A202" i="15"/>
  <c r="B202" i="15"/>
  <c r="C202" i="15"/>
  <c r="B203" i="15"/>
  <c r="C203" i="15"/>
  <c r="A204" i="15"/>
  <c r="B204" i="15"/>
  <c r="A205" i="15"/>
  <c r="B205" i="15"/>
  <c r="C205" i="15"/>
  <c r="A206" i="15"/>
  <c r="B206" i="15"/>
  <c r="C206" i="15"/>
  <c r="A207" i="15"/>
  <c r="B207" i="15"/>
  <c r="C207" i="15"/>
  <c r="A208" i="15"/>
  <c r="B208" i="15"/>
  <c r="C208" i="15"/>
  <c r="A209" i="15"/>
  <c r="B209" i="15"/>
  <c r="A210" i="15"/>
  <c r="B210" i="15"/>
  <c r="C210" i="15"/>
  <c r="A211" i="15"/>
  <c r="B211" i="15"/>
  <c r="C211" i="15"/>
  <c r="A212" i="15"/>
  <c r="B212" i="15"/>
  <c r="C212" i="15"/>
  <c r="A213" i="15"/>
  <c r="B213" i="15"/>
  <c r="C213" i="15"/>
  <c r="B214" i="15"/>
  <c r="C214" i="15"/>
  <c r="B215" i="15"/>
  <c r="C215" i="15"/>
  <c r="B216" i="15"/>
  <c r="C216" i="15"/>
  <c r="D7" i="13"/>
  <c r="D8" i="13"/>
  <c r="D9" i="13"/>
  <c r="D10" i="13"/>
  <c r="D11" i="13"/>
  <c r="K14" i="12"/>
  <c r="D14" i="22" s="1"/>
  <c r="O14" i="12"/>
  <c r="E7" i="11"/>
  <c r="E8" i="11"/>
  <c r="E9" i="11"/>
  <c r="E10" i="11"/>
  <c r="E11" i="11"/>
  <c r="F18" i="1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M4" i="9"/>
  <c r="M5" i="9"/>
  <c r="M6" i="9"/>
  <c r="E7" i="9"/>
  <c r="E8" i="9"/>
  <c r="E9" i="9"/>
  <c r="E10" i="9"/>
  <c r="M10" i="9"/>
  <c r="E11" i="9"/>
  <c r="A16" i="9"/>
  <c r="B16" i="9"/>
  <c r="A17" i="9"/>
  <c r="B17" i="9"/>
  <c r="C17" i="9"/>
  <c r="D17" i="9"/>
  <c r="E17" i="9"/>
  <c r="F17" i="9" s="1"/>
  <c r="F56" i="9" s="1"/>
  <c r="A19" i="9"/>
  <c r="B19" i="9"/>
  <c r="C19" i="9"/>
  <c r="D19" i="9"/>
  <c r="E19" i="9"/>
  <c r="F19" i="9" s="1"/>
  <c r="A21" i="9"/>
  <c r="B21" i="9"/>
  <c r="A22" i="9"/>
  <c r="B22" i="9"/>
  <c r="C22" i="9"/>
  <c r="D22" i="9"/>
  <c r="E22" i="9"/>
  <c r="F22" i="9" s="1"/>
  <c r="A23" i="9"/>
  <c r="B23" i="9"/>
  <c r="C23" i="9"/>
  <c r="D23" i="9"/>
  <c r="E23" i="9"/>
  <c r="F23" i="9" s="1"/>
  <c r="A25" i="9"/>
  <c r="B25" i="9"/>
  <c r="A26" i="9"/>
  <c r="B26" i="9"/>
  <c r="C26" i="9"/>
  <c r="D26" i="9"/>
  <c r="E26" i="9"/>
  <c r="F26" i="9" s="1"/>
  <c r="A27" i="9"/>
  <c r="B27" i="9"/>
  <c r="C27" i="9"/>
  <c r="D27" i="9"/>
  <c r="E27" i="9"/>
  <c r="F27" i="9" s="1"/>
  <c r="A28" i="9"/>
  <c r="B28" i="9"/>
  <c r="C28" i="9"/>
  <c r="D28" i="9"/>
  <c r="E28" i="9"/>
  <c r="F28" i="9" s="1"/>
  <c r="A29" i="9"/>
  <c r="B29" i="9"/>
  <c r="C29" i="9"/>
  <c r="D29" i="9"/>
  <c r="E29" i="9"/>
  <c r="F29" i="9" s="1"/>
  <c r="A30" i="9"/>
  <c r="B30" i="9"/>
  <c r="C30" i="9"/>
  <c r="D30" i="9"/>
  <c r="E30" i="9"/>
  <c r="F30" i="9" s="1"/>
  <c r="A31" i="9"/>
  <c r="B31" i="9"/>
  <c r="C31" i="9"/>
  <c r="D31" i="9"/>
  <c r="E31" i="9"/>
  <c r="F31" i="9" s="1"/>
  <c r="A33" i="9"/>
  <c r="B33" i="9"/>
  <c r="A34" i="9"/>
  <c r="B34" i="9"/>
  <c r="C34" i="9"/>
  <c r="D34" i="9"/>
  <c r="E34" i="9"/>
  <c r="F34" i="9" s="1"/>
  <c r="A36" i="9"/>
  <c r="B36" i="9"/>
  <c r="A37" i="9"/>
  <c r="B37" i="9"/>
  <c r="C37" i="9"/>
  <c r="D37" i="9"/>
  <c r="E37" i="9"/>
  <c r="F37" i="9" s="1"/>
  <c r="A38" i="9"/>
  <c r="B38" i="9"/>
  <c r="C38" i="9"/>
  <c r="D38" i="9"/>
  <c r="E38" i="9"/>
  <c r="F38" i="9" s="1"/>
  <c r="A39" i="9"/>
  <c r="B39" i="9"/>
  <c r="C39" i="9"/>
  <c r="D39" i="9"/>
  <c r="E39" i="9"/>
  <c r="F39" i="9" s="1"/>
  <c r="A40" i="9"/>
  <c r="B40" i="9"/>
  <c r="C40" i="9"/>
  <c r="D40" i="9"/>
  <c r="E40" i="9"/>
  <c r="F40" i="9" s="1"/>
  <c r="A42" i="9"/>
  <c r="B42" i="9"/>
  <c r="A43" i="9"/>
  <c r="B43" i="9"/>
  <c r="C43" i="9"/>
  <c r="D43" i="9"/>
  <c r="E43" i="9"/>
  <c r="F43" i="9" s="1"/>
  <c r="A44" i="9"/>
  <c r="B44" i="9"/>
  <c r="C44" i="9"/>
  <c r="D44" i="9"/>
  <c r="E44" i="9"/>
  <c r="F44" i="9" s="1"/>
  <c r="A45" i="9"/>
  <c r="B45" i="9"/>
  <c r="C45" i="9"/>
  <c r="D45" i="9"/>
  <c r="E45" i="9"/>
  <c r="F45" i="9" s="1"/>
  <c r="A46" i="9"/>
  <c r="B46" i="9"/>
  <c r="C46" i="9"/>
  <c r="D46" i="9"/>
  <c r="E46" i="9"/>
  <c r="F46" i="9" s="1"/>
  <c r="A47" i="9"/>
  <c r="B47" i="9"/>
  <c r="C47" i="9"/>
  <c r="D47" i="9"/>
  <c r="E47" i="9"/>
  <c r="F47" i="9" s="1"/>
  <c r="A48" i="9"/>
  <c r="B48" i="9"/>
  <c r="C48" i="9"/>
  <c r="D48" i="9"/>
  <c r="E48" i="9"/>
  <c r="F48" i="9" s="1"/>
  <c r="A49" i="9"/>
  <c r="B49" i="9"/>
  <c r="C49" i="9"/>
  <c r="D49" i="9"/>
  <c r="E49" i="9"/>
  <c r="F49" i="9" s="1"/>
  <c r="A50" i="9"/>
  <c r="B50" i="9"/>
  <c r="C50" i="9"/>
  <c r="D50" i="9"/>
  <c r="E50" i="9"/>
  <c r="F50" i="9" s="1"/>
  <c r="A52" i="9"/>
  <c r="B52" i="9"/>
  <c r="B53" i="9"/>
  <c r="C53" i="9"/>
  <c r="D53" i="9"/>
  <c r="E53" i="9"/>
  <c r="F53" i="9" s="1"/>
  <c r="A54" i="9"/>
  <c r="B54" i="9"/>
  <c r="C54" i="9"/>
  <c r="D54" i="9"/>
  <c r="E54" i="9"/>
  <c r="F54" i="9" s="1"/>
  <c r="A55" i="9"/>
  <c r="B55" i="9"/>
  <c r="C55" i="9"/>
  <c r="D55" i="9"/>
  <c r="E55" i="9"/>
  <c r="F55" i="9" s="1"/>
  <c r="I8" i="7"/>
  <c r="I9" i="7"/>
  <c r="I10" i="7"/>
  <c r="I11" i="7"/>
  <c r="I12" i="7"/>
  <c r="Z1" i="6"/>
  <c r="A7" i="6"/>
  <c r="B8" i="6"/>
  <c r="Z8" i="6"/>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3" i="5"/>
  <c r="A8" i="5"/>
  <c r="G9" i="5"/>
  <c r="B9" i="9"/>
  <c r="G11" i="5"/>
  <c r="G12" i="5"/>
  <c r="B11" i="9" s="1"/>
  <c r="F28" i="5"/>
  <c r="F21" i="7" s="1"/>
  <c r="F29" i="5"/>
  <c r="F22" i="7" s="1"/>
  <c r="M29" i="5"/>
  <c r="M30" i="5"/>
  <c r="AA6" i="4"/>
  <c r="B7" i="4"/>
  <c r="B14" i="4"/>
  <c r="B15" i="4"/>
  <c r="H33" i="4"/>
  <c r="G33" i="4" s="1"/>
  <c r="B1" i="4"/>
  <c r="K31" i="22" l="1"/>
  <c r="T76" i="6"/>
  <c r="N33" i="22"/>
  <c r="O32" i="22"/>
  <c r="O37" i="22"/>
  <c r="N34" i="22"/>
  <c r="J37" i="22"/>
  <c r="K36" i="22"/>
  <c r="N22" i="5"/>
  <c r="D20" i="22" s="1"/>
  <c r="F20" i="22" s="1"/>
  <c r="E16" i="18"/>
  <c r="J34" i="22"/>
  <c r="J33" i="22"/>
  <c r="N31" i="22"/>
  <c r="E51" i="20"/>
  <c r="E16" i="17"/>
  <c r="B26" i="21"/>
  <c r="O36" i="22"/>
  <c r="F16" i="19"/>
  <c r="F36" i="21"/>
  <c r="F18" i="21" s="1"/>
  <c r="U1" i="6"/>
  <c r="U2" i="6" s="1"/>
  <c r="F71" i="6"/>
  <c r="O23" i="5"/>
  <c r="B45" i="20"/>
  <c r="B6" i="20"/>
  <c r="B24" i="16"/>
  <c r="B24" i="15"/>
  <c r="B84" i="10"/>
  <c r="B21" i="13"/>
  <c r="B19" i="12"/>
  <c r="B27" i="14"/>
  <c r="B59" i="9"/>
  <c r="A1" i="16"/>
  <c r="A104" i="16" s="1"/>
  <c r="A1" i="20"/>
  <c r="A1" i="15"/>
  <c r="A98" i="15" s="1"/>
  <c r="A1" i="13"/>
  <c r="A1" i="14"/>
  <c r="A1" i="10"/>
  <c r="A1" i="12"/>
  <c r="A1" i="11"/>
  <c r="A1" i="7"/>
  <c r="A1" i="9"/>
  <c r="A1" i="6"/>
  <c r="A1" i="5"/>
  <c r="B46" i="20"/>
  <c r="B25" i="16"/>
  <c r="B25" i="15"/>
  <c r="B22" i="13"/>
  <c r="B20" i="12"/>
  <c r="B28" i="14"/>
  <c r="B85" i="10"/>
  <c r="B60" i="9"/>
  <c r="Z2" i="20"/>
  <c r="Z2" i="6"/>
  <c r="F46" i="20"/>
  <c r="C25" i="16"/>
  <c r="E86" i="10"/>
  <c r="C25" i="15"/>
  <c r="D22" i="13"/>
  <c r="D20" i="12"/>
  <c r="D28" i="14"/>
  <c r="I23" i="7"/>
  <c r="E61" i="9"/>
  <c r="C16" i="20"/>
  <c r="A38" i="22"/>
  <c r="A3" i="16"/>
  <c r="A106" i="16" s="1"/>
  <c r="A3" i="12"/>
  <c r="A3" i="11"/>
  <c r="A3" i="13"/>
  <c r="A3" i="15"/>
  <c r="A100" i="15" s="1"/>
  <c r="A3" i="14"/>
  <c r="A3" i="10"/>
  <c r="A3" i="9"/>
  <c r="A4" i="7"/>
  <c r="A3" i="6"/>
  <c r="A7" i="5"/>
  <c r="A6" i="6"/>
  <c r="B2" i="4"/>
  <c r="C24" i="16"/>
  <c r="C24" i="15"/>
  <c r="F45" i="20"/>
  <c r="D27" i="14"/>
  <c r="D21" i="13"/>
  <c r="D19" i="12"/>
  <c r="E85" i="10"/>
  <c r="I22" i="7"/>
  <c r="E60" i="9"/>
  <c r="B10" i="15"/>
  <c r="B107" i="15" s="1"/>
  <c r="B10" i="16"/>
  <c r="B113" i="16" s="1"/>
  <c r="B10" i="13"/>
  <c r="B10" i="10"/>
  <c r="B10" i="14"/>
  <c r="B10" i="12"/>
  <c r="B10" i="11"/>
  <c r="A7" i="16"/>
  <c r="A110" i="16" s="1"/>
  <c r="A7" i="15"/>
  <c r="A104" i="15" s="1"/>
  <c r="A7" i="14"/>
  <c r="A7" i="13"/>
  <c r="A7" i="12"/>
  <c r="A7" i="11"/>
  <c r="A7" i="10"/>
  <c r="B77" i="6"/>
  <c r="B9" i="16"/>
  <c r="B112" i="16" s="1"/>
  <c r="B9" i="15"/>
  <c r="B106" i="15" s="1"/>
  <c r="B9" i="14"/>
  <c r="B9" i="12"/>
  <c r="B9" i="11"/>
  <c r="B9" i="13"/>
  <c r="B9" i="10"/>
  <c r="F72" i="6"/>
  <c r="B10" i="9"/>
  <c r="B11" i="15"/>
  <c r="B108" i="15" s="1"/>
  <c r="B11" i="16"/>
  <c r="B114" i="16" s="1"/>
  <c r="B11" i="14"/>
  <c r="B11" i="10"/>
  <c r="B11" i="12"/>
  <c r="B11" i="11"/>
  <c r="B11" i="13"/>
  <c r="F43" i="20"/>
  <c r="D4" i="22"/>
  <c r="B8" i="16"/>
  <c r="B111" i="16" s="1"/>
  <c r="B8" i="14"/>
  <c r="B8" i="12"/>
  <c r="B8" i="11"/>
  <c r="B8" i="15"/>
  <c r="B105" i="15" s="1"/>
  <c r="B8" i="13"/>
  <c r="B8" i="10"/>
  <c r="A8" i="7"/>
  <c r="B8" i="9"/>
  <c r="A7" i="9"/>
  <c r="F15" i="21"/>
  <c r="F33" i="22"/>
  <c r="F15" i="22" s="1"/>
  <c r="D15" i="22"/>
  <c r="F23" i="22" s="1"/>
  <c r="F22" i="22"/>
  <c r="F35" i="21"/>
  <c r="F16" i="21" s="1"/>
  <c r="O35" i="22"/>
  <c r="K35" i="22"/>
  <c r="K32" i="22"/>
  <c r="I39" i="22" l="1"/>
  <c r="I41" i="22"/>
  <c r="I40" i="22"/>
  <c r="F73" i="6"/>
  <c r="F75" i="6" s="1"/>
  <c r="Q76" i="6" s="1"/>
  <c r="D16" i="14"/>
  <c r="D7" i="21" s="1"/>
  <c r="F7" i="21" s="1"/>
  <c r="N23" i="5"/>
  <c r="D14" i="14" s="1"/>
  <c r="F37" i="21"/>
  <c r="F38" i="21" s="1"/>
  <c r="F17" i="21" s="1"/>
  <c r="F19" i="21" s="1"/>
  <c r="AG6" i="20"/>
  <c r="AG7" i="20"/>
  <c r="AG8" i="20" s="1"/>
  <c r="AG9" i="20"/>
  <c r="D18" i="22"/>
  <c r="A6" i="15"/>
  <c r="A103" i="15" s="1"/>
  <c r="A6" i="16"/>
  <c r="A109" i="16" s="1"/>
  <c r="A6" i="14"/>
  <c r="A6" i="10"/>
  <c r="A6" i="12"/>
  <c r="A6" i="11"/>
  <c r="A6" i="13"/>
  <c r="A6" i="9"/>
  <c r="A7" i="7"/>
  <c r="C49" i="20"/>
  <c r="B50" i="20"/>
  <c r="F49" i="20"/>
  <c r="B52" i="20"/>
  <c r="B51" i="20"/>
  <c r="H11" i="21" l="1"/>
  <c r="D11" i="21" s="1"/>
  <c r="F11" i="21" s="1"/>
  <c r="D7" i="22"/>
  <c r="F7" i="22" s="1"/>
  <c r="B40" i="20"/>
  <c r="D8" i="22"/>
  <c r="F8" i="22" s="1"/>
  <c r="D8" i="21"/>
  <c r="F8" i="21" s="1"/>
  <c r="D16" i="13"/>
  <c r="D15" i="21" s="1"/>
  <c r="L25" i="21" s="1"/>
  <c r="K25" i="21" s="1"/>
  <c r="B25" i="21" s="1"/>
  <c r="D6" i="21"/>
  <c r="AF3" i="15"/>
  <c r="AF7" i="15" s="1"/>
  <c r="D6" i="22"/>
  <c r="AF3" i="16"/>
  <c r="AF7" i="16" s="1"/>
  <c r="AC3" i="10"/>
  <c r="AC7" i="10" s="1"/>
  <c r="M3" i="9"/>
  <c r="M7" i="9" s="1"/>
  <c r="F6" i="21" l="1"/>
  <c r="F10" i="21" s="1"/>
  <c r="D10" i="21"/>
  <c r="I14" i="15"/>
  <c r="F6" i="22"/>
  <c r="F10" i="22" s="1"/>
  <c r="D10" i="22"/>
  <c r="F35" i="22"/>
  <c r="F36" i="22" s="1"/>
  <c r="F16" i="22" s="1"/>
  <c r="D14" i="13"/>
  <c r="F20" i="21" l="1"/>
  <c r="F12" i="21"/>
  <c r="D12" i="22"/>
  <c r="D19" i="22"/>
  <c r="I17" i="15"/>
  <c r="I18" i="15"/>
  <c r="I19" i="15"/>
  <c r="D14" i="21"/>
  <c r="D18" i="13"/>
  <c r="F12" i="22"/>
  <c r="F19" i="22"/>
  <c r="D12" i="21"/>
  <c r="D19" i="21" l="1"/>
  <c r="D20" i="21" s="1"/>
  <c r="L24" i="21"/>
  <c r="K24" i="21" s="1"/>
  <c r="B24" i="21" s="1"/>
  <c r="A1" i="23"/>
  <c r="A7" i="23" l="1"/>
  <c r="B7" i="23" s="1"/>
  <c r="D7" i="23" s="1"/>
  <c r="A8" i="23"/>
  <c r="B8" i="23" s="1"/>
  <c r="D8" i="23" s="1"/>
  <c r="A9" i="23"/>
  <c r="B9" i="23" s="1"/>
  <c r="D9" i="23" s="1"/>
  <c r="A10" i="23"/>
  <c r="B10" i="23" s="1"/>
  <c r="D10" i="23" s="1"/>
  <c r="A11" i="23"/>
  <c r="B11" i="23" s="1"/>
  <c r="D11" i="23" s="1"/>
  <c r="A6" i="23"/>
  <c r="B6" i="23" s="1"/>
  <c r="A4" i="23" l="1"/>
  <c r="D20" i="14"/>
  <c r="D24" i="14" s="1"/>
</calcChain>
</file>

<file path=xl/sharedStrings.xml><?xml version="1.0" encoding="utf-8"?>
<sst xmlns="http://schemas.openxmlformats.org/spreadsheetml/2006/main" count="3567" uniqueCount="1286">
  <si>
    <t>Package Name</t>
  </si>
  <si>
    <t>Package Code</t>
  </si>
  <si>
    <t>Civil Works</t>
  </si>
  <si>
    <t>Specification No.</t>
  </si>
  <si>
    <t>REV_01</t>
  </si>
  <si>
    <t>Price Schedules</t>
  </si>
  <si>
    <t>Fill up only green shaded cells in Sch-1, Sch-2, Sch-3 and Bid Form of price bid</t>
  </si>
  <si>
    <t/>
  </si>
  <si>
    <t>All the cells in Sch-2 &amp; Sch-3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</si>
  <si>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</si>
  <si>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</si>
  <si>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General Instruction to the Bidders for filling up this workbook of Price Schedules for Package SS01</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</si>
  <si>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</si>
  <si>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</si>
  <si>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</si>
  <si>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</si>
  <si>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</si>
  <si>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</si>
  <si>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</si>
  <si>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</si>
  <si>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</si>
  <si>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</si>
  <si>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</si>
  <si>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</si>
  <si>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</si>
  <si>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</si>
  <si>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</si>
  <si>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</si>
  <si>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</si>
  <si>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</si>
  <si>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</si>
  <si>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</si>
  <si>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</si>
  <si>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</si>
  <si>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</si>
  <si>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</si>
  <si>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</si>
  <si>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proceed given at the right top of the worksheet and go to Sch-3.</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</si>
  <si>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</si>
  <si>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</si>
  <si>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</si>
  <si>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Total amount shall get calculated automatically.</t>
  </si>
  <si>
    <t>Type Test charges shall appear automatically after filling up Sch-7 appropriately.</t>
  </si>
  <si>
    <t>Sch-2 (Freight &amp; Insurance Charges) :</t>
  </si>
  <si>
    <t>Sch-4 (Training  Charges) :</t>
  </si>
  <si>
    <t>Not applicable, hence no cell is required to be filled up.</t>
  </si>
  <si>
    <t>No cell is required to be filled in by the bidder in this worksheet.</t>
  </si>
  <si>
    <t>Sch -3 (Grand-Total)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</si>
  <si>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</si>
  <si>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</si>
  <si>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</si>
  <si>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</si>
  <si>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t>Bid from of price bid :</t>
  </si>
  <si>
    <t>Fill up ref. no. as bidder's ref no. of this letter.</t>
  </si>
  <si>
    <t xml:space="preserve">This letter shall consider the net price as per Sch-3 </t>
  </si>
  <si>
    <t xml:space="preserve">Fill up names &amp; Designation of the representatives of other JV partner(s) if the bidder is JV (Joint Venture) . </t>
  </si>
  <si>
    <t>Fill up additional information as required.</t>
  </si>
  <si>
    <t>* * *</t>
  </si>
  <si>
    <t>Happy Bidding !</t>
  </si>
  <si>
    <t>Sole Bidder</t>
  </si>
  <si>
    <t>JV (Joint Venture)</t>
  </si>
  <si>
    <t>2 or More</t>
  </si>
  <si>
    <t>Enter following details of the bidder</t>
  </si>
  <si>
    <t>Specify type of Bidder         [Select from drop down menu]</t>
  </si>
  <si>
    <t>Name of Bidder</t>
  </si>
  <si>
    <t>Address of Bidder</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</si>
  <si>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</si>
  <si>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</si>
  <si>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</si>
  <si>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</si>
  <si>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</si>
  <si>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</si>
  <si>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</si>
  <si>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</si>
  <si>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</si>
  <si>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</si>
  <si>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</si>
  <si>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</si>
  <si>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(SCHEDULE OF RATES AND PRICES)</t>
  </si>
  <si>
    <t>To:</t>
  </si>
  <si>
    <t>Sr.GM , Contracts &amp; Materials Department,</t>
  </si>
  <si>
    <t>Name        :</t>
  </si>
  <si>
    <t>Power Grid Corporation of India Ltd.,</t>
  </si>
  <si>
    <t>Address    :</t>
  </si>
  <si>
    <t>SRTS-II, RHQ</t>
  </si>
  <si>
    <t>Singanayakanahalli</t>
  </si>
  <si>
    <t>Bengaluru-560064</t>
  </si>
  <si>
    <t>Construction of Storage platform for spares of ±320 kV HVDC Line Materials at Palakkad SS</t>
  </si>
  <si>
    <t>All Prices are in Indian Rupees.</t>
  </si>
  <si>
    <t>SI. No.</t>
  </si>
  <si>
    <t>PR No</t>
  </si>
  <si>
    <t>PR Line Item No</t>
  </si>
  <si>
    <t>Activity Description</t>
  </si>
  <si>
    <t>Material Code</t>
  </si>
  <si>
    <t xml:space="preserve">HSN Code </t>
  </si>
  <si>
    <t>Whether HSN in column ‘6’ is confirmed. If not  indicate applicable the HSN code *</t>
  </si>
  <si>
    <t>Rate of GST applicable ( in %)</t>
  </si>
  <si>
    <t>Whether  rate of GST in column ‘8’ is confirmed. If not  indicate applicable rate of GST *</t>
  </si>
  <si>
    <t>Item  Description</t>
  </si>
  <si>
    <t>Unit</t>
  </si>
  <si>
    <t>Qty.</t>
  </si>
  <si>
    <t xml:space="preserve">Unit Ex-works price (excluding GST) </t>
  </si>
  <si>
    <t>Total Ex-works price (excluding GST)</t>
  </si>
  <si>
    <t>GST</t>
  </si>
  <si>
    <t>14 = 12x13</t>
  </si>
  <si>
    <t xml:space="preserve">FABRICATION AND SUPPLY                  </t>
  </si>
  <si>
    <t xml:space="preserve">Supply of Galvanised Steel PG Clamps for Sheild / Earth wire of dia 10.98 mm in line with the drawing enclosed </t>
  </si>
  <si>
    <t>Nos</t>
  </si>
  <si>
    <t>Supply of Galvanised Steel PG clamps suitable to accommodate Earthwire of 10.98 mm in one groove and 12 mm OPGW cable in the other groove, in line with the tentative drawing enclosed.</t>
  </si>
  <si>
    <t>Supply of 1.5 mm thickness Galvanised steel 'C' /  'U' clamp suitable for 10.98 mm earthwire / shield wire,in line with the drawing enclosed.</t>
  </si>
  <si>
    <t xml:space="preserve"> Total Ex-Works Price </t>
  </si>
  <si>
    <t>Total Type Test charges as per Schedule-7</t>
  </si>
  <si>
    <t>Total Ex-works Price including Type Test charges</t>
  </si>
  <si>
    <t>Total GST</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</si>
  <si>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</si>
  <si>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</si>
  <si>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</si>
  <si>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</si>
  <si>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 </t>
  </si>
  <si>
    <t>Place         :</t>
  </si>
  <si>
    <t>Printed Name   :</t>
  </si>
  <si>
    <t>Designation   :</t>
  </si>
  <si>
    <t>Direct Total</t>
  </si>
  <si>
    <t>`</t>
  </si>
  <si>
    <t>BO Total</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</si>
  <si>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</si>
  <si>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</si>
  <si>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</si>
  <si>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</si>
  <si>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</si>
  <si>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</si>
  <si>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Direct</t>
  </si>
  <si>
    <t>Bought-Out</t>
  </si>
  <si>
    <t>Unit Ex-works price</t>
  </si>
  <si>
    <t>Total Ex-works price</t>
  </si>
  <si>
    <t>Mode of Transaction (Direct / Bought-out)</t>
  </si>
  <si>
    <t>6 = 4 x 5</t>
  </si>
  <si>
    <t xml:space="preserve"> Total Ex-Works Price  Direct</t>
  </si>
  <si>
    <t xml:space="preserve"> Total Ex-Works Price Bought Out</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</si>
  <si>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</si>
  <si>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</si>
  <si>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</si>
  <si>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</si>
  <si>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</si>
  <si>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- 2</t>
  </si>
  <si>
    <t>(SCHEDULE OF RATES AND PRICES :Transportation, In-transit insurance, loading and unloading.)</t>
  </si>
  <si>
    <t xml:space="preserve"> </t>
  </si>
  <si>
    <t>Description</t>
  </si>
  <si>
    <t>Quantity</t>
  </si>
  <si>
    <t>Unit Prices  F&amp;I including packing and forwading Including taxes</t>
  </si>
  <si>
    <t xml:space="preserve">Total Prices </t>
  </si>
  <si>
    <t>11= 9 x 10</t>
  </si>
  <si>
    <t>Supply of 1.5 mm thcikness Galvanised steel 'C' /  'U' clamp suitable for 10.98 mm earthwire / shield wire,in line with the drawing enclosed.</t>
  </si>
  <si>
    <t xml:space="preserve">Total F&amp;I Price </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</si>
  <si>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</si>
  <si>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</si>
  <si>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</si>
  <si>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</si>
  <si>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</si>
  <si>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</si>
  <si>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</si>
  <si>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</si>
  <si>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</si>
  <si>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</si>
  <si>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</si>
  <si>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</si>
  <si>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Schedule - 3</t>
  </si>
  <si>
    <t>(SCHEDULE OF RATES AND PRICES : ERECTION CHARGES)</t>
  </si>
  <si>
    <t>As per lum-sum on Sch-3</t>
  </si>
  <si>
    <t>As per Percent on Sch-3</t>
  </si>
  <si>
    <t>Multipackage lum-sum</t>
  </si>
  <si>
    <t>Unit Erection Charges</t>
  </si>
  <si>
    <t>Total Erection Charges</t>
  </si>
  <si>
    <t>(a)</t>
  </si>
  <si>
    <t>Detailed Soil Investigation</t>
  </si>
  <si>
    <t>(b)</t>
  </si>
  <si>
    <t>All kinds of soil except fissured rock &amp; hard rock</t>
  </si>
  <si>
    <t>(e)</t>
  </si>
  <si>
    <t>River Crossing Location</t>
  </si>
  <si>
    <t>(f)</t>
  </si>
  <si>
    <t>Total Erection Price (A+B)</t>
  </si>
  <si>
    <t>Schedule - 4</t>
  </si>
  <si>
    <t>(SCHEDULE OF RATES AND PRICES )</t>
  </si>
  <si>
    <t>AMC Charges</t>
  </si>
  <si>
    <t>TOTAL TRAINING CHARGES</t>
  </si>
  <si>
    <t>--</t>
  </si>
  <si>
    <t>C&amp;M Department</t>
  </si>
  <si>
    <t>Power Grid Corporation of India Ltd.</t>
  </si>
  <si>
    <t>SR-II, RHQ</t>
  </si>
  <si>
    <t>Singanayakkanahalli, Yelahanka</t>
  </si>
  <si>
    <t>Bangalore</t>
  </si>
  <si>
    <t>DSR-2021 Ref</t>
  </si>
  <si>
    <t>SAC (Service Accounting Codes)</t>
  </si>
  <si>
    <t>Whether SAC in column '2’ is confirmed. If not  indicate applicable the SAC *</t>
  </si>
  <si>
    <t>Whether  rate of GST in column ‘ 4 ’ is confirmed. If not  indicate applicable rate of GST *</t>
  </si>
  <si>
    <t xml:space="preserve">DSR 2023 Ref </t>
  </si>
  <si>
    <t xml:space="preserve">Unit Rate in Rs. </t>
  </si>
  <si>
    <t>Total in Rs.</t>
  </si>
  <si>
    <t>GST TAX as confirmed by Bidder</t>
  </si>
  <si>
    <t>10 = 8 x 9</t>
  </si>
  <si>
    <t xml:space="preserve">I </t>
  </si>
  <si>
    <t>SCHEDULE 1</t>
  </si>
  <si>
    <t xml:space="preserve">Civil works -Proposal for Renovation of B type, B+ type, C type &amp; D type quarters at Udumalpet SS </t>
  </si>
  <si>
    <t>PART - A SCHEDULE ITEMS</t>
  </si>
  <si>
    <t>13.91 mod</t>
  </si>
  <si>
    <t>confirmed</t>
  </si>
  <si>
    <t>Removing dry or oil bound distemper, water proofing cement paint, other paint, by scrapping, hacking, sand papering and preparing the surface smooth including necessary repairs to scratches, sealing of cracks etc. complete. as per direction of Engineer-in-charge. (Item includes all tools and tackles including scaffolding wherever necessary upto 1st floor roof level.)</t>
  </si>
  <si>
    <t>sqm</t>
  </si>
  <si>
    <t>14.83 mod</t>
  </si>
  <si>
    <t xml:space="preserve">Hacking of CC flooring,wall including cleaning for surface etc. complete as per direction of the Engineer-in-Charge. </t>
  </si>
  <si>
    <t>15.56 mod</t>
  </si>
  <si>
    <t>Dismantling old plaster or skirting raking out joints and cleaning the surface for plaster including disposal of rubbish to the dumping ground within 1 km lead.as per direction of the Engineer-in-Charge.</t>
  </si>
  <si>
    <t>3a</t>
  </si>
  <si>
    <t xml:space="preserve">11.41A.1 </t>
  </si>
  <si>
    <t>Providing and laying Vitrified tiles in floor in different sizes (thickness 8-10mm as directed by engineer in charge) with water absorption less than 0.08% and conforming to IS:15622, of approved brand &amp; manufacturer, in all colours and shade, laid on 20 mm thick cement mortar 1:4 (1 cement: 4 coarse sand) jointing with grey cement slurry @3.3 kg/sqm including grouting the joints with white cement and matching pigments etc. The tiles must be cut with the zero chipping diamond cutter only . Laying of tiles will be done with the notch trowel, plier, wedge, clips of required thickness, leveling system and rubber mallet for placing the tiles gently and easily. Double charge vitrified tile polished finish of size. Size of Tile 600 x 600 mm as per direction of the Engineer-in-Charge.</t>
  </si>
  <si>
    <t>11.46.2</t>
  </si>
  <si>
    <t>Providing and laying Vitrified tiles in different sizes(thickness 8-10mm as directed by engineer in charge) , with water absorption less than 0.08 % and conforming to I.S. 15622, of approved make, in all colours &amp; shade, in skirting, riser of steps, over 12 mm thick bed of cement mortar 1:3 (1 cement: 3 coarse sand), jointing with grey cement slurry @ 3.3 kg/ sqm including grouting the joint with white cement &amp; matching pigments etc. complete. Size of Tile 600x600 mm as per direction of the Engineer-in-Charge. In ground floor and first floor quarters.</t>
  </si>
  <si>
    <t>Providing and fixing Ist quality ceramic glazed wall tiles conforming to IS: 15622 (thickness to be specified by the manufacturer), of approved make, in all colours, shades except burgundy, bottle green, black of any size as approved by Engineer-in-Charge, in toilet walls, kitchen walls, over 12 mm thick bed of cement mortar 1:3 (1 cement : 3 coarse sand) and jointing with grey cement slurry @ 3.3kg per sqm, including pointing in white cement mixed with pigment of matching shade complete.as per direction of the Engineer-in-Charge.( Item includes hacking of wall wherever necessary.)</t>
  </si>
  <si>
    <t>11.38 mod</t>
  </si>
  <si>
    <t>Providing and laying antiskid Ceramic glazed floor tiles of size 300x300 mm (thickness to be specified by the manufacturer), of 1st quality conforming to IS : 15622, of approved make, in all colours, shades, except White, Ivory, Grey, Fume Red Brown, laid on 20 mm thick bed of cement mortar 1:4 (1 Cement : 4 Coarse sand), jointing with grey cement slurry @ 3.3kg/ sq.m including pointing the joints with white cement and matching pigments etc., complete</t>
  </si>
  <si>
    <t>14.75 mod</t>
  </si>
  <si>
    <t>Repair to plaster of thickness 12mm to 20 mm in patches of area 2.5 sqm and under, including cutting the patch in proper shape, raking out joints and preparing plastering the wall surface with white cement based polymer modified self curing mortar, including disposal of rubbish upto a lead of 1km and lift of 1.5m, all complete as per the direction of Engineer-In-Charge.Item includes all tools and tackles including scaffolding wherever necessary upto 1st floor roof level.</t>
  </si>
  <si>
    <t>15.12.1 mod</t>
  </si>
  <si>
    <t>Dismantling doors, windows,Cupboard and clerestory windows (steel or wood) shutter including chowkhats, architrave, holdfasts etc. complete as per direction of the Engineer-in-Charge. and stacking within 1km lead :Of area 3 sq. metres and below. (Item includes all tools and tackles including scaffolding wherever necessary upto 1st floor roof level.)</t>
  </si>
  <si>
    <t>each</t>
  </si>
  <si>
    <t>13.80 mod</t>
  </si>
  <si>
    <t>Providing and applying white cement based putty of average thickness 1 mm-5mm, of approved brand and manufacturer, over the plastered wall surface to prepare the surface even and smooth complete as per direction of the Engineer-in-Charge.(Item includes all tools and tackles including scaffolding wherever necessary upto 1st floor roof level.)</t>
  </si>
  <si>
    <t xml:space="preserve">13.43.1 </t>
  </si>
  <si>
    <t>Applying one coat of water thinnable cement primer of approved brand and manufacture on wall surface  as per direction of the Engineer-in-Charge.: Water thinnable cement primer.(Item includes all tools and tackles including scaffolding wherever necessary upto 1st floor roof level.)</t>
  </si>
  <si>
    <t xml:space="preserve">13.83.2 </t>
  </si>
  <si>
    <t>Wall painting with premium emulsion paint of interior grade of superior quality, of approved brand and manufacture, including applying additional coats wherever required to achieve even shade and colour as per direction of the Engineer-in-Charge.Two coats. (Item includes all tools and tackles including scaffolding wherever necessary upto 1st floor roof level.)</t>
  </si>
  <si>
    <t>13.112.1</t>
  </si>
  <si>
    <t>Finishing walls with Premium Acrylic Smooth exterior paint of superior quality of required shade: Old work (Two or more coats applied @ 1.43 ltr/ 10 sqm) over existing cement paint surface. as per direction of the Engineer-in-Charge. (Item includes all tools and tackles including scaffolding wherever necessary upto 1st floor roof level.)</t>
  </si>
  <si>
    <t xml:space="preserve">13.99.1 </t>
  </si>
  <si>
    <t>Painting with synthetic enamel paint of approved brand and manufacture to give an even shade :One or more coats on old work as per direction of the Engineer-in-Charge. (Item includes all tools and tackles including scaffolding wherever necessary upto 1st floor roof level.)</t>
  </si>
  <si>
    <t>15.23.1 mod</t>
  </si>
  <si>
    <t xml:space="preserve">Dismantling tile work in floors and walls laid in cement mortar including stacking material within 2 km metres lead.For thickness of tiles 10 mm to 25 mm. </t>
  </si>
  <si>
    <t>9.147D.2 mod</t>
  </si>
  <si>
    <t xml:space="preserve">Providing and fixing factory made uPVC white colour sliding glazed window upto 1.50 m in height dimension comprising of uPVC multi-chambered frame with in-built roller track and sash extruded profiles duly reinforced with 1.60 ± 0.2 mm thick galvanized mild steel section made from roll forming process of required length (shape &amp; size according to uPVC profile), appropriate dimension of uPVC extruded glazing beads and uPVC extruded interlocks, EPDM gasket, wool pile, zinc alloy (white powder coated) touch locks with hook, zinc alloy body with double or more nylon rollers (weight bearing capacity to be 40 kg), G.I fasteners 100 x 8 mm size for fixing frame to finished wall and necessary stainless steel screws etc. Profile of frame &amp; sash shall be mitred cut and fusion welded at all corners, including drilling of holes for fixing hardware's and drainage of water etc. After fixing frame the gap between frame and adjacent finished wall shall be filled with weather proof silicon sealent over backer rod of required size and of approved quality, all complete as per approved drawing &amp; direction of Engineer-in-Charge. (Single / double glass panes, wire mesh and silicon sealent shall be paid separately). Variation in profile dimension in higher side shall be accepted but no extra payment on this account shall be made. Three track three panels sliding window with fly proof SS wire mesh (Two nos. glazed &amp; one no. wire mesh panels) made of (small series) frame 92 x 44 mm &amp; sash 32 x 60 mm both having wall thickness of 1.9 ± 0.2 mm and single glazing bead of appropriate dimension including approved star locks and fittings  (Area of window upto 1.75 sqm). </t>
  </si>
  <si>
    <t>9.7.7.1</t>
  </si>
  <si>
    <t>Providing and fixing panelling or panelling and glazing in panelled or panelled and glazed shutters for doors, windows and clerestory windows with EPDM rubber / neoprene gasket etc. (Area of opening for panel inserts excluding portion inside grooves or rebates to be measured). Panelling for panelled or panelled and glazed shutters 25 mm to 40 mm thick :Float glass panes of 4 mm thick glass pane (weight not less than 10kg/sqm).</t>
  </si>
  <si>
    <t xml:space="preserve">Extra for providing frosted glass panes 4 mm thick instead of ordinary float glass panes 4 mm thick in doors, windows and clerestory window shutters. (Area of opening for glass panes excluding portion inside rebate shall be measured).  as per direction of the Engineer-in-Charge. </t>
  </si>
  <si>
    <t>9.135.2</t>
  </si>
  <si>
    <t>Providing and fixing fly proof stainless steel grade 304 wire gauge, to windows and clerestory windows using wire gauge with average width of aperture 1.4 mm in both directions with wire of dia. 0.50 mm all complete.With 12 mm mild steel U beading  as per direction of the Engineer-in-Charge.</t>
  </si>
  <si>
    <t>21.8.1</t>
  </si>
  <si>
    <t>Filling the gap in between aluminium frame &amp; adjacent RCC/ Brick/ Stone work by providing weather silicon sealant over backer rod of approved quality as per architectural drawings and direction of Engineer-in-charge complete.Upto 5mm depth and 5 mm width. For ground floor and first floor quarters.</t>
  </si>
  <si>
    <t>metre</t>
  </si>
  <si>
    <t>2.10.1.3 mod</t>
  </si>
  <si>
    <t>Excavating trenches of required width for pipes, cables, etc including excavation for sockets, and dressing of sides, ramming of bottoms, depth upto 1.5 m, including getting out the excavated soil, and then returning the soil as required, in layers not exceeding 20 cm in depth, including consolidating each deposited layer by ramming, watering, etc. and disposing of surplus excavated soil as per direction of the Engineer-in-Charge., within a lead of 1 km :All kinds of soil. Pipes, cables etc. exceeding 80 mm dia. but not exceeding 300 mm dia</t>
  </si>
  <si>
    <t>2.6.1 mod</t>
  </si>
  <si>
    <t>Earth work in excavation by mechanical means (Hydraulic excavator)/
manual means over areas (exceeding 30 cm in depth, 1.5 m in width as
well as 10 sqm on plan) including getting out and disposal of excavated earth lead upto 1 km and lift upto 1.5 m, as directed by Engineer-incharge. All kinds of soil.</t>
  </si>
  <si>
    <t>cum</t>
  </si>
  <si>
    <t xml:space="preserve">4.1.10 </t>
  </si>
  <si>
    <t>Providing and laying in position cement concrete of specified grade excluding the cost of centering and shuttering - All work up to plinth level &amp; above plinth level  : 1:5:10 (1 cement : 5 coarse sand (zone-III) derived from natural sources : 10 graded stone aggregate 40 mm nominal size derived from natural sources)  as per direction of the Engineer-in-Charge.</t>
  </si>
  <si>
    <t>6.4.2</t>
  </si>
  <si>
    <t>Brick work with common burnt clay F.P.S. (non modular) bricks of class
designation 7.5 in superstructure upto plinth level &amp; above plinth level up to floor V roof level in all shapes and sizes in :Cement mortar 1:6 (1 cement : 6 coarse sand) as per direction of the Engineer-in-Charge.</t>
  </si>
  <si>
    <t>8.2.2.2 mod</t>
  </si>
  <si>
    <t>Providing and fixing 18 mm thick gang saw cut, mirror polished, premoulded and prepolished, machine cut for kitchen platforms, vanity counters, window sills, facias and similar locations of required size, approved shade, colour and texture laid over 20 mm thick base cement mortar 1:4 (1 cement : 4 coarse sand), joints treated with white cement, mixed with matching pigment, epoxy touch ups, including rubbing,nosing curing, moulding and machine polishing to edges to give high gloss finish etc. complete at all levels.Area of slab over 0.50 sqm.Granite of any colour and shade as directed by engineer in charge.</t>
  </si>
  <si>
    <t>Extra for fixing marble /granite stone, over and above corresponding basic item, in facia and drops of width upto 150 mm with epoxy resin based adhesive, including cleaning etc. complete.  as per direction of the Engineer-in-Charge.</t>
  </si>
  <si>
    <t>Extra for providing opening of required size &amp; shape for wash basin/ kitchen sink in kitchen platform, vanity counter and similar location in marble/ Granite/ stone work, including necessary holes for pillar taps, gas connections,etc. including moulding, rubbing and polishing of cut edges etc. complete.  as per direction of the Engineer-in-Charge.</t>
  </si>
  <si>
    <t xml:space="preserve">9.48.2 </t>
  </si>
  <si>
    <t>Providing and fixing M.S. grills of required pattern in frames of windows etc. with M.S. flats, square or round bars etc. including priming coat with approved steel primer all complete.Fixed to openings /wooden frames with rawl plugs screws etc.  as per direction of the Engineer-in-Charge. (Item includes welding also wherever necessary for making strong connections.)</t>
  </si>
  <si>
    <t>kg</t>
  </si>
  <si>
    <t>9.21.1</t>
  </si>
  <si>
    <t>Providing and fixing ISI marked flush door shutters conforming to IS : 2202 (Part I) non-decorative type, core of block board construction with frame of 1st class hard wood and well matched commercial 3 ply veneering with vertical grains or cross bands and face veneers on both faces of shutters:35 mm thick including ISI marked Stainless Steel butt hinges with necessary screws  as per direction of the Engineer-in-Charge.</t>
  </si>
  <si>
    <t>Extra for providing lipping with 2nd class teak wood battens 25mm minimum depth on all edges of flush door shutters as per requirement. as per direction of the Engineer-in-Charge.For ground floor and first floor quarters.</t>
  </si>
  <si>
    <t>9.96.2</t>
  </si>
  <si>
    <t xml:space="preserve">Providing and fixing aluminium sliding door bolts, ISI marked anodised (anodic coating not less than grade AC 10 as per IS : 1868), transparent or dyed to required colour or shade, with nuts and screws etc. complete :250x16 mm  </t>
  </si>
  <si>
    <t>9.100.1</t>
  </si>
  <si>
    <t xml:space="preserve">Providing and fixing aluminium handles, ISI marked, anodised (anodic coating not less than grade AC 10 as per IS : 1868) transparent or dyed to required colour or shade, with necessary screws etc. complete : 125 mm  </t>
  </si>
  <si>
    <t>9.101.2</t>
  </si>
  <si>
    <t xml:space="preserve">Providing and fixing aluminium hanging floor door stopper, ISI marked, anodised (anodic coating not less than grade AC 10 as per IS : 1868) transparent or dyed to required colour and shade, with necessary screws etc. complete as per direction of the Engineer-in-Charge. Twin rubber stopper </t>
  </si>
  <si>
    <t>9.72.1</t>
  </si>
  <si>
    <t xml:space="preserve">Providing and fixing bright finished brass butt hinges with necessary screws etc. complete  as per direction of the Engineer-in-Charge. :125x85x5.5 mm (heavy type) </t>
  </si>
  <si>
    <t>9.97.2</t>
  </si>
  <si>
    <t xml:space="preserve">Providing and fixing aluminium tower bolts, ISI marked, anodised (anodic coating not less than grade AC 10 as per IS : 1868 ) transparent or dyed to required colour or shade, with necessary screws etc. complete : 250x10mm </t>
  </si>
  <si>
    <t>9.92.1</t>
  </si>
  <si>
    <t xml:space="preserve">Providing and fixing chromium plated brass handles with necessary screws etc. complete: 125 mm   </t>
  </si>
  <si>
    <t>9.127.2</t>
  </si>
  <si>
    <t>Providing &amp; Fixing decorative high pressure laminated sheet of plain / wood grain in gloss / matt/ suede finish with high density protective surface layer and reverse side of adhesive bonding quality conforming to IS : 2046 Type S, including cost of adhesive of approved quality. 1mm thick, as per direction of the Engineer-in-Charge.For ground floor and first floor quarters.</t>
  </si>
  <si>
    <t>9.117.1</t>
  </si>
  <si>
    <t>Providing and fixing factory made uPVC door frame made of uPVC extruded sections having an overall dimension as below (tolerance ±1mm), with wall thickness 2.0 mm (± 0.2 mm), corners of the door frame to be Jointed with galvanized brackets and stainless steel screws, joints mitred and Plastic welded. The hinge side vertical of the frames reinforced by galvanized M.S. tube of size 19 X 19 mm and 1mm (± 0.1 mm) wall thickness and 3 nos. stainless steel hinges fixed to the frame complete as per manufacturer’s specification and direction of Engineerin- charge. Extruded section profile size 48x40 mm. (Size of each door shall vary from quarters to quarters. Fabrication shall be done accordingly.)</t>
  </si>
  <si>
    <t xml:space="preserve">9.118.1 </t>
  </si>
  <si>
    <t xml:space="preserve">Providing and fixing to existing door frames (UPVC or PVC), 24 mm thick factory made PVC door shutters made of styles and rails of a uPVC hollow section of size 59x24 mm and wall thickness 2 mm (± 0.2 mm) with inbuilt edging on both sides. The styles and rails mitred and joint at the corners by means of M.S. galvanised/ plastic brackets of size 75x220 mm having wall thickness 1.0 mm and stainless steel screws. The styles of the shutter reinforced by inserting galvanised M.S. tube of size 20x20 mm and 1 mm (± 0.1 mm) wall thickness. The lock rail made up of 'H' section, a uPVC hollow section of size 100x24 mm and 2 mm (± 0.2 mm) wall thickness, fixed to the shutter styles by means of plastic/ galvanised M.S. 'U' cleats. The shutter frame filled with a uPVC multi-chambered single panel of size not less than 620 mm, having over all thickness of 20 mm and 1 mm (± 0.1 mm) wall thickness. The panels filled vertically and tie bar at two places by inserting horizontally 6 mm galvanised M.S. rod and fastened with nuts and washers, complete as per manufacturer's specification and direction of Engineer-in-charge. (For W.C. and bathroom door shutter). </t>
  </si>
  <si>
    <t>Providing 40x5 mm flat iron hold fast 40 cm long including fixing to frame with 10 mm diameter bolts, nuts and wooden plugs and embedding in cement concrete block 30x10x15cm 1:3:6 mix (1 cement : 3 coarse sand : 6 graded stone aggregate 20mm nominal size).  as per direction of the Engineer-in-Charge.( Item shall be welded to pressed steel door frames &amp; upvc window frames.)</t>
  </si>
  <si>
    <t>9.46.2</t>
  </si>
  <si>
    <t xml:space="preserve">Providing and fixing chromium plated brass curtain rod having wall thickness of 1.25mm with two chromium plated brass brackets fixed with C.P. brass screws and PVC sleeves etc., wherever necessary complete : 20 mm dia </t>
  </si>
  <si>
    <t>9.61.1</t>
  </si>
  <si>
    <t xml:space="preserve">Providing M.S. Piano hinges ISI marked IS : 3818 finished with nickel plating and fixing with necessary screws etc., complete. Overall width 35 mm  </t>
  </si>
  <si>
    <t>9.90.2</t>
  </si>
  <si>
    <t>Providing and fixing special quality chromium plated brass cupboard locks with six levers of approved quality including necessary screws etc. complete. Size 50 mm as per direction of the Engineer-in-Charge.</t>
  </si>
  <si>
    <t>9.114.1</t>
  </si>
  <si>
    <t>Providing and fixing magnetic catcher of approved quality in cupboard / ward robe shutters, including fixing with necessary screws etc. complete. Triple strip vertical type . as per direction of the Engineer-in-Charge.</t>
  </si>
  <si>
    <t>9.96.1</t>
  </si>
  <si>
    <t>Providing and fixing aluminium sliding door bolts, ISI marked anodised (anodic coating not less than grade AC 10 as per IS : 1868), transparent or dyed to required colour or shade, with nuts and screws etc. complete : 300x16 mm as per direction of the Engineer-in-Charge.</t>
  </si>
  <si>
    <t>9.97.4</t>
  </si>
  <si>
    <t xml:space="preserve">Providing and fixing aluminium tower bolts, ISI marked, anodised (anodic coating not less than grade AC 10 as per IS : 1868 ) transparent or dyed to required colour or shade, with necessary screws etc. complete : 150x10 mm as per direction of the Engineer-in-Charge. </t>
  </si>
  <si>
    <t>9.100.2</t>
  </si>
  <si>
    <t>Providing and fixing aluminium handles, ISI marked, anodised (anodic
coating not less than grade AC 10 as per IS : 1868) transparent or dyed
to required colour or shade, with necessary screws etc. complete : 100 mm as per direction of the Engineer-in-Charge.</t>
  </si>
  <si>
    <t>Providing and fixing bright finished brass 100 mm mortice latch and lock, ISI marked, with six levers and a pair of anodised (anodic coating not less than grade AC 10 as per IS : 1868) aluminium lever handles of approved quality with necessary screws etc. complete.  as per direction of the Engineer-in-Charge.</t>
  </si>
  <si>
    <t>10.14.1.1</t>
  </si>
  <si>
    <t>Providing and fixing pressed steel door frames conforming to IS: 4351, manufactured from commercial mild steel sheet of 1.60 mm thickness, including hinges, jamb, lock jamb, bead and if required angle threshold of mild steel angle of section 50x25 mm, or base ties of 1.60 mm, pressed mild steel welded or rigidly fixed together by mechanical means, including M.S. pressed butt hinges 2.5 mm thick with mortar guards, lock strike-plate and shock absorbers as specified and applying a coat of approved steel primer after pre-treatment of the surface as directed by Engineer-in-charge: Profile B Fixing with adjustable lugs with split end tail to each jamb. For ground floor and first floor quarters.</t>
  </si>
  <si>
    <t>Structural steel work in single section, fixed with or without connecting plate, including cutting, hoisting, fixing in position and applying a priming coat of approved steel primer all complete. (For overhead cabinet supports- Bracket L angle 50x50x6 as per direction of the Engineer-in-Charge.)</t>
  </si>
  <si>
    <t>12.41.2</t>
  </si>
  <si>
    <t xml:space="preserve">Providing and fixing on wall face unplasticised Rigid PVC rain water pipes conforming to IS : 13592 Type A, including jointing with seal ring conforming to IS : 5382, leaving 10 mm gap for thermal expansion, (i) Single socketed pipes. 110 mm diameter </t>
  </si>
  <si>
    <t>12.42.6.2</t>
  </si>
  <si>
    <t xml:space="preserve">Providing and fixing on wall face unplasticised - PVC moulded fittings/ accessories for unplasticised Rigid PVC rain water pipes conforming to IS : 13592 Type A, including jointing with seal ring conforming to IS : 5382, leaving 10 mm gap for thermal expansion. 110 mm Shoe  </t>
  </si>
  <si>
    <t>12.43.2</t>
  </si>
  <si>
    <t xml:space="preserve">Providing and fixing unplasticised -PVC pipe clips of approved design to unplasticised - PVC rain water pipes by means of 50x50x50 mm hard wood plugs, screwed with M.S. screws of required length, including cutting brick work and fixing in cement mortar 1:4 (1 cement : 4 coarse sand) and making good the wall etc. complete. 110 mm </t>
  </si>
  <si>
    <t>13.1.2</t>
  </si>
  <si>
    <t>12 mm cement plaster of mix :1:6 (1 cement: 6 fine sand)  as per direction of the Engineer-in-Charge.</t>
  </si>
  <si>
    <t>14.82 mod</t>
  </si>
  <si>
    <t>Dismantling W.C. Pan,Wash basin,kitchen sink of all sizes including all fittings and disposal of dismantled materials i/c malba all complete as per directions of Engineer-in-Charge. Lead upto 1km.</t>
  </si>
  <si>
    <t>14.84 mod</t>
  </si>
  <si>
    <t>Dismantling 15 to 40 mm dia G.I. pipe including stacking of dismantled pipes (within 1 km lead) as per direction of Engineerin- Charge. Internal work</t>
  </si>
  <si>
    <t xml:space="preserve">Disconnecting damaged overhead/terrace PVC water storage tank
of any size from water supply line and removing from the terrace
including shifting at ground level as per direction of Engineer-in-charge. </t>
  </si>
  <si>
    <t>15.19 mod</t>
  </si>
  <si>
    <t xml:space="preserve">Dismantling steel work manually/ by mechanical means in built up
sections without dismembering and stacking within 1 km lead
as per direction of Engineer-in-charge. </t>
  </si>
  <si>
    <t>15.2.1 mod</t>
  </si>
  <si>
    <t xml:space="preserve">Demolishing cement concrete manually/ by mechanical means
including disposal of material within 1 km lead as per direction
of Engineer - in - charge.Nominal concrete 1:3:6 or richer mix (i/c equivalent design mix) </t>
  </si>
  <si>
    <t>15.52 mod</t>
  </si>
  <si>
    <t>Dismantling of flushing cistern of all types (C.I./PVC/Vitrious China)
including stacking of useful materials near the site and disposal of
unserviceable materials within 1km lead.  as per direction of the Engineer-in-Charge.</t>
  </si>
  <si>
    <t>15.25 mod</t>
  </si>
  <si>
    <t>Dismantling stone slab flooring laid in cement mortar including stacking of serviceable material and disposal of unserviceable material within 1km lead.  as per direction of the Engineer-in-Charge.</t>
  </si>
  <si>
    <t>15.44.2 mod</t>
  </si>
  <si>
    <t xml:space="preserve">Dismantling G.I. pipes (external work) including excavation and refilling trenches after taking out the pipes, manually/ by mechanical means including stacking of pipes within 1 km lead as per direction of Engineer-in-charge :Above 40 mm nominal bore </t>
  </si>
  <si>
    <t>15.60 mod</t>
  </si>
  <si>
    <t xml:space="preserve">Disposal of building rubbish / malba / similar unserviceable, dismantled or waste materials by mechanical means, including loading, transporting, unloading to approved municipal dumping ground or as approved by Engineer-in-charge, beyond 2 km initial lead, for all leads including all lifts involved. </t>
  </si>
  <si>
    <t>18.8.2</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</si>
  <si>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using concrete/plaster, including testing of joints complete as per direction of Engineer in Charge. Concealed work, including cutting chases and making good the walls etc. 20 mm nominal dia Pipes </t>
  </si>
  <si>
    <t>18.8.3</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</si>
  <si>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using concrete/plaster including testing of joints complete as per direction of Engineer in Charge. Concealed work, including cutting chases and making good the walls etc. 25 mm nominal dia Pipes </t>
  </si>
  <si>
    <t>18.8.4</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</si>
  <si>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using concrete/plasterincluding testing of joints complete as per direction of Engineer in Charge. Concealed work, including cutting chases and making good the walls etc. 32 mm nominal dia Pipes </t>
  </si>
  <si>
    <t>18.9.4</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</si>
  <si>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 in trenches as well as exposed on wall with clamps: 32 mm nominal dia pipes. Depth of trench as directed by engineer-in-charge.</t>
  </si>
  <si>
    <t>18.9.5</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</si>
  <si>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 in trenches as well as exposed on wall with clamps: 40 mm nominal dia pipes. Depth of trench as directed by engineer-in-charge.</t>
  </si>
  <si>
    <t>18.9.6</t>
  </si>
  <si>
    <t>Providing and fixing Chlorinated Polyvinyl Chloride (CPVC) pipes, having thermal stability for hot &amp; cold water supply including all CPVC plain &amp; brass threaded fittings This includes jointing of pipes &amp; fittings with one step CPVC solvent cement, trenching, refilling &amp; testing of joints complete as per direction of Engineer in Charge. External work in trenches as well as exposed on wall with clamps: 50 mm nominal dia pipes. Depth of trench as directed by engineer-in-charge.</t>
  </si>
  <si>
    <t>18.21.2.1</t>
  </si>
  <si>
    <t>Providing and fixing uplasticised PVC connection pipe with brass unions : 45 cm /60cm length: 15 mm nominal bore  as per direction of the Engineer-in-Charge.</t>
  </si>
  <si>
    <t>Providing and placing on terrace (at all floor levels) polyethylene water storage tank, IS : 12701 marked, with cover and suitable locking arrangement and making necessary holes for inlet, outlet and overflow pipes but without fittings and the base support for tank.  as per direction of the Engineer-in-Charge.</t>
  </si>
  <si>
    <t>per litre</t>
  </si>
  <si>
    <t>18.75.3</t>
  </si>
  <si>
    <t>Providing and fixing PTMT extension nipple for water tank pipe, fittings of approved quality and colour. 25mm nominal bore, weighing not less than 62 gms  as per direction of the Engineer-in-Charge.</t>
  </si>
  <si>
    <t xml:space="preserve">18.62.3 </t>
  </si>
  <si>
    <t>Providing and fixing PTMT Ball cock of approved quality, colour and make complete with Epoxy coated aluminium rod with L.P./ H.P.H.D. plastic ball. 25 mm nominal bore, 152 mm long, weighing not less than 440 gms  as per direction of the Engineer-in-Charge.</t>
  </si>
  <si>
    <t>18.17.1</t>
  </si>
  <si>
    <t>Providing and fixing gun metal gate valve with C.I. wheel of approved
quality (screwed end) : 25 mm nominal bore.  as per direction of the Engineer-in-Charge.</t>
  </si>
  <si>
    <t>18.17.2</t>
  </si>
  <si>
    <t>Providing and fixing gun metal gate valve with C.I. wheel of approved
quality (screwed end) : 32 mm nominal bore.  as per direction of the Engineer-in-Charge.</t>
  </si>
  <si>
    <t>18.17.3</t>
  </si>
  <si>
    <t>Providing and fixing gun metal gate valve with C.I. wheel of approved
quality (screwed end) : 40 mm nominal bore.  as per direction of the Engineer-in-Charge.</t>
  </si>
  <si>
    <t>18.17.4</t>
  </si>
  <si>
    <t>Providing and fixing gun metal gate valve with C.I. wheel of approved
quality (screwed end) : 50 mm nominal bore.  as per direction of the Engineer-in-Charge.</t>
  </si>
  <si>
    <t>19.4.1.1</t>
  </si>
  <si>
    <t>Providing and fixing square-mouth S.W. gully trap class SP-1 complete with C.I. grating brick masonry chamber with water tight C.I. cover with frame of 300 x300 mm size (inside) the weight of cover to be not less than 4.50 kg and frame to be not less than 2.70 kg as per standard design:100x100 mm size P type 19.4.1.1 With common burnt clay F.P.S. (non modular) bricks of class designation 7.5  as per direction of the Engineer-in-Charge.</t>
  </si>
  <si>
    <t>19.7.1.1</t>
  </si>
  <si>
    <t>Constructing brick masonry manhole in cement mortar 1:4 ( 1 cement : 4 coarse sand ) with R.C.C. top slab with 1:1.5:3 mix (1 cement : 1.5 coarse sand (zone-III) : 3 graded stone aggregate 20 mm nominal size), foundation concrete 1:4:8 mix (1 cement : 4 coarse sand (zone-III) : 8 graded stone aggregate 40 mm nominal size), inside plastering 12 mm thick with cement mortar 1:3 (1 cement : 3 coarse sand) finished with floating coat of neat cement and making channels in cement concrete 1:2:4 (1 cement : 2 coarse sand : 4 graded stone aggregate 20 mm nominal size) finished with a floating coat of neat cement complete as per standard design : Inside size 90x80 cm and 45 cm deep including C.I. cover with frame (light duty) 455x610 mm internal dimensions, total weight of cover and frame to be not less than 38 kg (weight of cover 23 kg and weight of frame 15 kg) : With common burnt clay F.P.S. (non modular) bricks of class designation 7.5. Shall be provided at suitable depth as directed by Engineer-in-charge</t>
  </si>
  <si>
    <t>19.8.1.1</t>
  </si>
  <si>
    <t>Extra for depth for manholes :Size 90x80 cm With common burnt clay F.P.S. (non modular)
bricks of class designation 7.5</t>
  </si>
  <si>
    <t>21.1.1.2 mod</t>
  </si>
  <si>
    <t xml:space="preserve">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&amp; paneling to be paid for separately) : For fixed portion Powder coated aluminium (minimum thickness of powder coating 50 micron) . </t>
  </si>
  <si>
    <t>5.9.19</t>
  </si>
  <si>
    <t>Centering and shuttering including strutting, propping etc. and removal of form for Weather shade, Chajjas, corbels etc., including edges  as per direction of the Engineer-in-Charge.To be provided in both ground floor &amp; first floor quarters.</t>
  </si>
  <si>
    <t>9.168 mod</t>
  </si>
  <si>
    <t>Providing and fixing cupboard shutter with 19mm thick one side decorative and other side balancing lamination factory pressed BWP grade marine ply as per IS 710 of approved brand including 2mm thick PVC edge banding tape with hot glue by edge bending machine etc. with auto closing spring loaded hinges (hydraulic type) etc. for shutters, drawers, partitions, shelves etc. complete as per direction of Engineer-in-charge. The facial area of the shutter shall be measured for payment which includes shutter, drawers, partitions.(Payment of providing and fixing auto closing hinges shall be paid separately)</t>
  </si>
  <si>
    <t>9.170.1</t>
  </si>
  <si>
    <t>Providing and fixing stainless steel fancy handle of approved make fixed with SS screws etc. complete as per direction of Engineer-in-charge. 200mm</t>
  </si>
  <si>
    <t xml:space="preserve">Providing and fixing stainless steel soft closing spring hinges at 0 degree hinges (hydraulic type) of approved make/brand to cupboard shutters with full threaded steel screws including making necessary recess in board and finished etc. complete as per direction of Engineer-in-charge. </t>
  </si>
  <si>
    <t xml:space="preserve">Providing and fixing stainless steel soft closing heavy type telescopic drawer channels of approved make 500 mm long with screws etc. complete as per directions of Engineer- in-charge. </t>
  </si>
  <si>
    <t>one set</t>
  </si>
  <si>
    <t>9.173 mod</t>
  </si>
  <si>
    <t xml:space="preserve">Providing and fixing ready made 304 grade stainless steel Modular kitchen basket and accessories such as right angle basket (Plain Cup &amp; Saucer, plant, Partition, Bottle rack, Thali, Cutlery) kitchen utensil basket, Dinner set basket, kitchen grain basket, Multipurpose basket as per site requirement including finishing (wherever required) and fittings. The same shall be fixed with necessary stainless steel nuts &amp; bolts, Stainless Steel screws &amp; telescopic channel etc. as per direction of Engineer-incharge. (For payment purpose, weight of Stainless steel basket shall be considered including weight of all fixing accessories such as nuts, bolts, fasteners but excluding telescopic basket channels etc. Payment of providing and fixing telescopic channel shall be paid separately) </t>
  </si>
  <si>
    <t>22.22A</t>
  </si>
  <si>
    <t>Providing and applying fibre reinforced elastomeric liquid water proofing membrane with resilient acrylic polymers having Sun Reflectivity Index (SRI) of 105 on top of concrete roof in three coats @10.76 litre/ 10 sqm. One coat of self-priming of elastomeric waterproofing liquid (dilution with water in the ratio of 3:1) and two coats of undiluted elastomeric waterproofing liquid (dry film thickness of complete application/system not less than 500 microns). The operation shall be carried out after scrapping and properly cleaning the surface to remove loose particles with wire brushes, complete in all respect as per the direction of Engineer-in-Charge. At  roof level of  ground floor &amp; first floor.</t>
  </si>
  <si>
    <t>5.2.2</t>
  </si>
  <si>
    <t>Reinforced cement concrete work in walls (any thickness), including attached pilasters, buttresses, plinth and string courses, fillets, columns,
pillars, piers, abutments, posts and struts etc. above plinth level up to floor five level, excluding cost of centering, shuttering, finishing and reinforcement :1:1.5:3 (1 cement : 1.5 coarse sand(zone-III) derived from natural sources : 3 graded stone aggregate 20 mm nominal size derived from natural sources)  as per direction of the Engineer-in-Charge.</t>
  </si>
  <si>
    <t>5.22A.6</t>
  </si>
  <si>
    <t>Steel reinforcement for R.C.C. work including straightening, cutting, bending, placing in position and binding all complete above plinth level upto floor 1 level. Thermo-Mechanically Treated bars of grade Fe-500D or more.  as per direction of the Engineer-in-Charge.</t>
  </si>
  <si>
    <t>2.25 mod</t>
  </si>
  <si>
    <t xml:space="preserve">Filling available excavated earth (excluding rock) in trenches, plinth, sides of foundations etc. in layers not exceeding 20cm in depth, consolidating each deposited layer by ramming and watering, lead up to 1km and lift upto 3 m. </t>
  </si>
  <si>
    <t xml:space="preserve">Supplying and filling in plinth with sand under floors, including watering, ramming, consolidating and dressing complete.  </t>
  </si>
  <si>
    <t>2.28.1 mod</t>
  </si>
  <si>
    <t>Surface dressing of the ground including removing vegetation and inequalities not exceeding 15cm deep and disposal of rubbish, lead up to 1km and lift up to 1.5 m. All kinds of soil</t>
  </si>
  <si>
    <t xml:space="preserve">Making plinth protection 50mm thick of cement concrete 1:3:6 (1 cement : 3 coarse sand (zone-III) derived from natural sources : 6 graded stone aggregate 20 mm nominal size derived from natural sources) over 75mm thick bed of dry brick ballast 40 mm nominal size, well rammed and consolidated and grouted with fine sand, including necessary excavation, levelling &amp; dressing &amp; finishing the top smooth. </t>
  </si>
  <si>
    <t>6.12.2</t>
  </si>
  <si>
    <t xml:space="preserve">Half brick masonry with common burnt clay F.P.S. (non modular) bricks of class designation 7.5 in foundations and plinth in:cement mortar 1:4 (1 cement : 4 coarse sand) </t>
  </si>
  <si>
    <t>17.7.2</t>
  </si>
  <si>
    <t>Providing and fixing wash basin with C.I. brackets, 15 mm C.P. brass pillar taps, 32 mm C.P. brass waste coupling of standard pattern, including painting of fittings and brackets, cutting and making good the walls wherever require:White Vitreous China Wash basin size 630x450 mm with a single 15 mm C.P. brass pillar tap</t>
  </si>
  <si>
    <t>17.22A</t>
  </si>
  <si>
    <t>Providing and fixing CP Brass 32mm size Bottle Trap of approved quality &amp; make and as per the direction of Engineer-in-charge.</t>
  </si>
  <si>
    <t>17.2.1</t>
  </si>
  <si>
    <t>Providing and fixing white vitreous china pedestal type water closet(European type W.C. pan) with seat and lid, 10 litre low level white P.V.C. flushing cistern, including flush pipe, with manually controlled device (handle lever), conforming to IS : 7231, with all fittings and fixtures complete, including cutting and making good the walls and floors wherever required :W.C. pan with ISI marked white solid plastic seat and lid</t>
  </si>
  <si>
    <t>17.10.1</t>
  </si>
  <si>
    <t>Providing and fixing Stainless Steel A ISI 304 (18/8) kitchen sink as per IS:13983 with C.I. brackets and stainless steel plug 40 mm, including painting of fittings and brackets, cutting and making good the walls wherever required :Kitchen sink with drain board 510x1040 mm bowl depth 250 mm</t>
  </si>
  <si>
    <t xml:space="preserve">Providing and fixing 600x450 mm beveled edge mirror of superior glass (of approved quality) complete with 6 mm thick hard board ground fixed to wooden cleats with C.P. brass screws and washers complete. </t>
  </si>
  <si>
    <t>Providing and fixing 600x120x5 mm glass shelf with edges round off, supported on anodised aluminium angle frame with C.P. brass brackets and guard rail complete fixed with 40 mm long screws, rawl plugs etc., complete</t>
  </si>
  <si>
    <t>18.49.1</t>
  </si>
  <si>
    <t>Providing and fixing C.P. brass bib cock of approved quality conforming to IS:8931 :15 mm nominal bore</t>
  </si>
  <si>
    <t>18.51.1</t>
  </si>
  <si>
    <t>Providing and fixing C.P. brass long body bib cock of approved quality conforming to IS standards and weighing not less than 690 gms.15 mm nominal bore</t>
  </si>
  <si>
    <t>18.53.1</t>
  </si>
  <si>
    <t>Providing and fixing C.P. brass angle valve for basin mixer and geyser points etc  of approved quality conforming to IS 8931:15mm nominal bore</t>
  </si>
  <si>
    <t>26.35.1</t>
  </si>
  <si>
    <t>Providing and injecting approved grout in proportion recommended by the manufacturer into cracks/honey-comb area of concrete/ masonry by suitable gun/pump at required pressure including cutting of nipples after curing etc. complete as per directions of Engineer-in_x0002_Charge.(The payment shall be made on the basis of actual weight of approved grout injected.)Stirrer mixed Acrylic Polymer of approved make @ 2% of weight of cement used) modified Cement slurry made with non shrink compound in concrete/RCC work</t>
  </si>
  <si>
    <t>18.22.1</t>
  </si>
  <si>
    <t>Providing and fixing C.P. brass shower rose with 15 or 20 mm inlet :100 mm diameter</t>
  </si>
  <si>
    <t>26.22.1 mod</t>
  </si>
  <si>
    <t xml:space="preserve">Providing and fixing false ceiling at all heights with integral densified calcium silicate reinforced with fibre and natural filler false ceiling tiles of Size 595x595mm of approved texture, design and patterns as per CPWD Specification 2019, to be laid in true horizontal level suspended on inter-locking metal T-Grid of hot dipped galvanised iron section of 0.33mmthick (galvanized @ 120 grams per sqm including both sides)comprising of main-T runners of size 24x38 mm of length 3000 mm,cross - T of size 24x27 mm of length 1200 mm and secondary intermediate cross-T of size 24x27 mm of length 600mm to formgrid module of size 600 x 600 mm, suspended from ceiling usinggalvanised mild steel items (galvanizing @ 80 grams per sqm) i.e. 12x50 mm long dash fasteners, 6 mm dia fully threaded hanger rod upto 2000 mm length and L-shape level adjuster of size 76x25x25x1.6 mm fixed with grid and Z cleat of size 25x37x25x1.6mm thick with precut hole on both 25mm flange to pierce into 12x50mm or even bigger size dash fastener if require, fixed with Glavanised iron perimeter wall angle or size 24x24x0.40 mm of length 3000 mm to be fixed on periphey wall / partition with the help of plastic rawl plugs at 450mm center to center and 40 mm long dry wall S.S screws. The workshall be carried out as per specifications, drawing and as per directionsof the Engineer-in- Charge. With 15 mm thick Tegular edged light weight calcium sliciate false ceiling tiles </t>
  </si>
  <si>
    <t>PART - B NON SCHEDULED</t>
  </si>
  <si>
    <t>NS-1</t>
  </si>
  <si>
    <t>Supplying, laying, jointing, testing and commissioning approved make PVC-U pipe of grade SN4 conforming to IS 15328. The quoted rates shall include necessary fittings like Tees, bends, offsets, etc, including MS angle with GI clamps complete. Work includes jointing pipes from sanitary fitting outlet upto manhole/septic tank inlet whichever necessary as per directions of Engineer-in-charge. 160 mm dia</t>
  </si>
  <si>
    <t>NS-2</t>
  </si>
  <si>
    <t>Supplying, laying, jointing, testing and commissioning approved make upvc pipes SWR grade B conforming to IS 13592. The quoted rates shall include necessary fittings like Tees, bends, offsets, etc, including MS angle with GI clamps complete. Work includes jointing pipes from sanitary fitting outlet upto manhole/septic tank inlet whichever necessary as per directions of Engineer-in-charge:110 mm dia. (Item includes clamping on walls with necessary clamps if required, cutting of holes in manhole or septic tank, and including all tools and tackles inculding scaffolding for first floor or wherever necessary. )</t>
  </si>
  <si>
    <t>NS-3</t>
  </si>
  <si>
    <t>Supplying, laying, jointing, testing and commissioning approved make upvc pipes SWR grade B conforming to IS 13592. The quoted rates shall include necessary fittings like Tees, bends, offsets, etc, including MS angle with GI clamps complete. Work includes jointing pipes from sanitary fitting outlet upto manhole/septic tank inlet whichever necessary as per directions of Engineer-in-charge. 75 mm dia. (Item includes clamping on walls with necessary clamps if required, and all tools and tackles inculding scaffolding for first floor or wherever necessary. )</t>
  </si>
  <si>
    <t>NS-4</t>
  </si>
  <si>
    <t>Supplying, laying, jointing, testing and commissioning approved make upvc pipes SWR grade B conforming to IS 13592. The quoted rates shall include necessary fittings like Tees, bends, offsets, etc, including MS angle with GI clamps complete. Work includes jointing pipes from sanitary fitting outlet upto manhole/septic tank inlet whichever necessary as per directions of Engineer-in-charge. 50 mm dia. (Item includes clamping on walls with necessary clamps if required, and all tools and tackles inculding scaffolding for first floor or wherever necessary. )</t>
  </si>
  <si>
    <t>NS-5</t>
  </si>
  <si>
    <t>Providing and fixing minimum 1.5mm thick acrylic sheet of approved quality to toilet doors with screws and washers without damaging the edge of shutter</t>
  </si>
  <si>
    <t>NS-6</t>
  </si>
  <si>
    <t>Providing and fixing 20mm thick commercial boards non decorative type core of block board construction with frame of first class hard wood and well matched commercial three ply veneering with vertical grains or cross bands and face veneers on both faces, fixed over 25mm x 12mm second class teak wood supports in to masonry, all cut edges of commercial boards finished with 20mm x 4mm teak wood beading, including painting with synthetic enamel paint on all surfaces over a coat of approved primer for shelves in cupboards or shoe racks complete in all respects as directed by engineer-in-charge. Area of each board or shelf shall be measured for payment.</t>
  </si>
  <si>
    <t>NS-7</t>
  </si>
  <si>
    <t>Providing and fixing of CP Brass over head arm of length minimum 30 cm for fixing shower through 15mm GI pipe with wall flange</t>
  </si>
  <si>
    <t>NS-8</t>
  </si>
  <si>
    <t>Providing nad fixing stainless steel gratings with or without hole for waste pipe for floor /nahni traps 100mm dia</t>
  </si>
  <si>
    <t>NS-9</t>
  </si>
  <si>
    <t>Supplying and fixing of approved make CP towel rail 600mm long including CP screws etc. complete.Jaquar make</t>
  </si>
  <si>
    <t>NS-10</t>
  </si>
  <si>
    <t>Supplying,installing ,testing and commissioning of approved make 15mm CP health faucet with CP flexible tube 1.0m long,CP crutch,nozzle and 2-way Bib cock with wall flange,fittings etc complete.Jaquar Model No.573 and 041 or Equivalent.</t>
  </si>
  <si>
    <t>NS-11</t>
  </si>
  <si>
    <t>Providing and fixing composite wall mixer with two inlets(for cold and hot water) one tap outlet and common shower outlet with CP brass arm of required length for connection including fittings.Wall flange lever controlled operation complete.Jaquar make</t>
  </si>
  <si>
    <t>NS-12</t>
  </si>
  <si>
    <t>Supplying and fixing of SS AISI-316 Liquid Soap Dispenser(Round shape) 200 ml capacity fixed to the wall with PVC rubber plug with CP brass screws  etc complete. (Jaquar/Kich/Roca/Arch/D-line)</t>
  </si>
  <si>
    <t>NS-13</t>
  </si>
  <si>
    <t>Supplying and fixing of SS AISI-316 soap dish holder (100mm length) fixed to the wall with PVC rubber plug with CP brass screws  etc complete.(Jaquar/Kich/Roca/Arch/D-line)</t>
  </si>
  <si>
    <t xml:space="preserve">Electrical works- Proposal for Renovation of B-type, B plus type, C-type &amp; D-type quarters at Udumalpet SS </t>
  </si>
  <si>
    <t xml:space="preserve">1.10.2 </t>
  </si>
  <si>
    <t>Wiring for light point/ fan point/ exhaust fan point/ call bell point 
with 1.5 sq.mm FRLS PVC insulated copper conductor single 
core cable in surface / recessed medium class PVC conduit, with 
modular switch, modular plate, suitable GI box and earthing the 
point with 1.5 sq.mm FRLS PVC insulated copper conductor 
single core cable etc. as required including all necessary fittings. - 
Group B</t>
  </si>
  <si>
    <t>point</t>
  </si>
  <si>
    <t>1.10.3</t>
  </si>
  <si>
    <t>Wiring for light point/ fan point/ exhaust fan point/ call bell point 
with 1.5 sq.mm FRLS PVC insulated copper conductor single 
core cable in surface / recessed medium class PVC conduit, with 
modular switch, modular plate, suitable GI box and earthing the 
point with 1.5 sq.mm FRLS PVC insulated copper conductor 
single core cable etc. as required including all necessary fittings. - 
Group C</t>
  </si>
  <si>
    <t>1.10.2 mod</t>
  </si>
  <si>
    <t>Wiring for light point/ fan point/ exhaust fan point/ call bell point with 1.5 sq.mm FRLS PVC insulated copper conductor single core cable in surface / recessed medium class PVC conduit, with modular switch, modular plate, suitable GI box and earthing the point with 1.5 sq.mm FRLS PVC insulated copper conductor single core cable etc. as required including all necessary fittings. - Group B. Single wire lenth/conduit length from Switchbox to lightpoint/fan point/exhaust point etc may vary upto 20m.</t>
  </si>
  <si>
    <t>1.10.3 mod</t>
  </si>
  <si>
    <t>Wiring for panel light point for false ceiling in community hall with 1.5 sq.mm FRLS PVC insulated copper conductor single core cable in surface / recessed medium class PVC conduit, with modular switch, modular plate, suitable GI box and earthing the point with 1.5 sq.mm FRLS PVC insulated copper conductor single core cable etc. as required including all necessary fittings. - Group C. Single wire lenth/ conduit length  from Switchbox to lightpoint/fan point/exhaust point etc may vary upto 45m.</t>
  </si>
  <si>
    <t>Wiring for twin control light point with 1.5 sq.mm FRLS PVC 
insulated copper conductor single core cable in surface / recessed 
medium class PVC conduit, 2 way modular switch, modular plate, 
suitable GI box and earthing the point with 1.5 sq.mm FRLS PVC 
insulated copper conductor single core cable etc. as required.</t>
  </si>
  <si>
    <t>1.11 mod</t>
  </si>
  <si>
    <t>Wiring for twin control light point with 1.5 sq.mm FRLS PVC insulated copper conductor single core cable in surface / recessed medium class PVC conduit, 2 way modular switch, modular plate, suitable GI box and earthing the point with 1.5 sq.mm FRLS PVC insulated copper conductor single core cable etc. as required. Single wire/conduit length length may vary upto 20m for each point.</t>
  </si>
  <si>
    <t>1.14.1</t>
  </si>
  <si>
    <t>Wiring for circuit/ submain wiring alongwith earth wire with the following sizes of FRLS PVC insulated copper conductor, single core cable in surface/ recessed medium class PVC conduit as required. - 2 X 1.5 sq. mm + 1 X 1.5 sq. mm earth wire</t>
  </si>
  <si>
    <t>m</t>
  </si>
  <si>
    <t>1.14.2</t>
  </si>
  <si>
    <t>Wiring for circuit/ submain wiring alongwith earth wire with the following sizes of FRLS PVC insulated copper conductor, single core cable in surface/ recessed medium class PVC conduit as required. - 2 X 2.5 sq. mm + 1 X 2.5 sq. mm earth wire</t>
  </si>
  <si>
    <t>1.14.3</t>
  </si>
  <si>
    <t>Wiring for circuit/ submain wiring alongwith earth wire with the following sizes of FRLS PVC insulated copper conductor, single core cable in surface/ recessed medium class PVC conduit as required. - 2 X 4 sq. mm + 1 X 4 sq. mm earth wire</t>
  </si>
  <si>
    <t>1.14.4</t>
  </si>
  <si>
    <t>Wiring for circuit/ submain wiring alongwith earth wire with the following sizes of FRLS PVC insulated copper conductor, single core cable in surface/ recessed medium class PVC conduit as required. - 2 X 6 sq. mm + 1 X 6 sq. mm earth wire</t>
  </si>
  <si>
    <t>Supply,  drawing  and  termination  of  Co-axial  TV  cable,  RG-6 grade,   0.7mm  solid  copper  conductor,   PE  insulated,   shielded with fine tinned copper braid, protected with PVC sheath</t>
  </si>
  <si>
    <t>1.21.2</t>
  </si>
  <si>
    <t>Supplying and fixing of 25mm sizes of medium class PVC conduit along with accessories in surface/recess including cutting the wall and making good the same in case of recessed conduit as required.</t>
  </si>
  <si>
    <t>Meter</t>
  </si>
  <si>
    <t>1.21.3</t>
  </si>
  <si>
    <t>Supplying and fixing of 32mm sizes of medium class PVC conduit along with accessories in surface/recess including cutting the wall and making good the same in case of recessed conduit as required.</t>
  </si>
  <si>
    <t>1.24.1</t>
  </si>
  <si>
    <t>Supply, Fixing and Termination of Modular  type switches and accessories, on the existing modular plate- Telephone socket outlet  - Power sockets - Modular Switch 6A</t>
  </si>
  <si>
    <t>Each</t>
  </si>
  <si>
    <t>1.24.4</t>
  </si>
  <si>
    <t>Supply, Fixing and Termination of Modular  type switches and accessories, on the existing modular plate- Telephone socket outlet  - Power sockets - 6A, 5 Pin (Universal type-Provision for insertion of both round and Flat pins tops)</t>
  </si>
  <si>
    <t>1.24.7</t>
  </si>
  <si>
    <t>Supply, Fixing and Termination of Modular  type switches and accessories, on the existing modular plate- TV Socket (for co-axial cable)</t>
  </si>
  <si>
    <t>1.24.8</t>
  </si>
  <si>
    <t>Supply, Fixing and Termination of Modular  type switches and accessories, on the existing modular plate- Modular Bell Push</t>
  </si>
  <si>
    <t>Supplying and fixing two module stepped type electronic fan regulator on the existing modular plate switch box including connections but excluding modular plate etc. as required.</t>
  </si>
  <si>
    <t>Supplying and fixing suitable size GI box with modular plate and cover in front on surface or in recess, including providing and fixing 3 pin 5/6 A modular socket outlet and 5/6 A modular switch, connections etc. as required.</t>
  </si>
  <si>
    <t>Supplying and fixing suitable size GI box with modular plate and cover in front on surface or in recess, including providing and fixing 6 pin 5/6 &amp; 15/16 A modular socket outlet and 15/16 A modular switch, connections etc. as required.</t>
  </si>
  <si>
    <t>Supplying and fixing 3 pin, 5 A ceiling rose on the existing junction box/ wooden block including connections etc. as required.</t>
  </si>
  <si>
    <t>Supplying and fixing brass batten/ angle holder including connection etc. as required.</t>
  </si>
  <si>
    <t>Calling  Bell  of   reputed  make  and  model,as  per  directions  of Engineer-in-charge</t>
  </si>
  <si>
    <t xml:space="preserve">Installation, testing and commissioning of pre-wired,
LED fitting of all types, complete with all accessories and tube/lamp etc. directly on ceiling/ wall, including connections with 1.5 sq. mm FRLS PVC insulated, copper conductor, single core cable and earthing etc. as required. </t>
  </si>
  <si>
    <t>Installation, testing and commissioning of ceiling fan, including wiring the down
rods of standard length (upto 30 cm) with 1.5 sq. mm FRLS PVC insulated, copper conductor, single core cable etc. as required.</t>
  </si>
  <si>
    <t>1.50.1</t>
  </si>
  <si>
    <t>Installation of exhaust fan in the existing opening, including making good the damage, connection, testing, commissioning etc. as required-Upto 450 mm sweep</t>
  </si>
  <si>
    <t>Extra for fixing the louvers/ shutters complete with frame for a exhaust fan of all sizes</t>
  </si>
  <si>
    <t>Modified 5.2</t>
  </si>
  <si>
    <t>Earthing with G.I. earth pipe 3 metre long, 40 mm dia
including accessories, and providing masonry enclosure with cover plate having locking arrangement and watering pipe etc. with charcoal/ coke and salt as required.</t>
  </si>
  <si>
    <t>Set</t>
  </si>
  <si>
    <t>Providing and fixing 25 mm X 5 mm G.I. strip on surface or in recess for connections etc. as required.</t>
  </si>
  <si>
    <t>DSR AOR BLDC mod</t>
  </si>
  <si>
    <t>Supply, Installation, Testing and Commissioning of 1200 mm sweep, BEE 5 star rated, ceiling fan with Brush Less Direct Current (BLDC) Motor, class of insulation: B, 3 nos. blades, 30 cm long down rod, 2 nos. canopies, shackle kit, safety rope, copper winding, Power Factor not less than 0.9, Service Value (CMM/W) minimum 6.85, Air delivery minimum 215 CMM, 350 RPM (tolerance as per IS : 374- 2019), THD less than 10%, remote or electronic regulator unit for speed control and all remaining accessories including safety pin, nut bolts, washers, temperature rise=75 degree C (max.), insulation resistance more than 2 mega ohm, suitable for 230 V, 50 Hz, single phase AC Supply, earthing etc. complete as required.Item inludes wiring also, single wire may vary upto 20m for each connection.</t>
  </si>
  <si>
    <t>No</t>
  </si>
  <si>
    <t xml:space="preserve">PART - B NON SCHEDULED </t>
  </si>
  <si>
    <t>Exhaust  fan  250  V  A.C  50  Hz,200mm  (or  nearest  higher  size) sweep, with Louvers, frame. Item includes wiring with 1.5sqmm, single length may vary upto 20m for each fan.</t>
  </si>
  <si>
    <t>Wall Mounted Fan -450mm sweep. Item includes wiring with 1.5sqmm, single length may vary upto 20m for each fan.Item includes wiring with 1.5sqmm, single length may vary upto 20m for each fan.</t>
  </si>
  <si>
    <t>Supply and fixing of Square panel light of size 2ftx2ft 36W in false ceiling.</t>
  </si>
  <si>
    <t>18 W LED sleek tube light fitting, cool white colour light</t>
  </si>
  <si>
    <t>No's</t>
  </si>
  <si>
    <t xml:space="preserve">9W LED light fitting ( with T5 tube ) , cool white colour light </t>
  </si>
  <si>
    <t>Community hall</t>
  </si>
  <si>
    <t>Revaluation of J column</t>
  </si>
  <si>
    <t>Tax Calculation</t>
  </si>
  <si>
    <t xml:space="preserve">Providing and fixing false ceiling at all heights with integral densified calcium silicate reinforced with fibre and natural filler false ceiling tiles of Size 595x595mm of approved texture, design and patterns as per CPWD Specification 2019, to be laid in true horizontal level suspended on inter-locking metal T-Grid of hot dipped galvanised iron section of 0.33mmthick (galvanized @ 120 grams per sqm including both sides)comprising of main-T runners of size 24x38 mm of length 3000 mm,cross - T of size 24x27 mm of length 1200 mm and secondary intermediate cross-T of size 24x27 mm of length 600mm to formgrid module of size 600 x 600 mm, suspended from ceiling usinggalvanised mild steel items (galvanizing @ 80 grams per sqm) i.e. 12x50 mm long dash fasteners, 6 mm dia fully threaded hanger rod upto 1000 mm length and L-shape level adjuster of size 76x25x25x1.6 mm fixed with grid and Z cleat of size 25x37x25x1.6mm thick with precut hole on both 25mm flange to pierce into 12x50mm or even bigger size dash fastener if require, fixed with Glavanised iron perimeter wall angle or size 24x24x0.40 mm of length 3000 mm to be fixed on periphey wall / partition with the help of plastic rawl plugs at 450mm center to center and 40 mm long dry wall S.S screws. The workshall be carried out as per specifications, drawing and as per directionsof the Engineer-in- Charge. With 15 mm thick Tegular edged light weight calcium sliciate false ceiling tiles </t>
  </si>
  <si>
    <t xml:space="preserve"> Total for Civil &amp; Electrical Portion</t>
  </si>
  <si>
    <t>Total GST Tax as confirmed by Bidder</t>
  </si>
  <si>
    <t>Grand Total including GST</t>
  </si>
  <si>
    <t>Schedule- 1 (Schedule of Items and Prices)</t>
  </si>
  <si>
    <t>All Price in Indian Rupees</t>
  </si>
  <si>
    <t>Sr. No.</t>
  </si>
  <si>
    <t>DSR 2023 Ref.</t>
  </si>
  <si>
    <t>2.6.1</t>
  </si>
  <si>
    <t>Cum</t>
  </si>
  <si>
    <t>2.8.1</t>
  </si>
  <si>
    <t>Sqm</t>
  </si>
  <si>
    <t>4.1.3</t>
  </si>
  <si>
    <t>5.9.1</t>
  </si>
  <si>
    <t>5.9.3</t>
  </si>
  <si>
    <t>5.9.5</t>
  </si>
  <si>
    <t>5.9.6</t>
  </si>
  <si>
    <t>Metre</t>
  </si>
  <si>
    <t>5.22.6/5.22A.6</t>
  </si>
  <si>
    <t>Kg</t>
  </si>
  <si>
    <t>9.147A</t>
  </si>
  <si>
    <t>11.41.2</t>
  </si>
  <si>
    <t>Providing and laying Vitrified tiles in different sizes (thickness to be
specified by manufacturer), with water absorption less than 0.08 % and
conforming to I.S. 15622, of approved make, in all colours &amp; shade, in
skirting, riser of steps, over 12 mm thick bed of cement mortar 1:3 (1
cement: 3 coarse sand), jointing with grey cement slurry @ 3.3 kg/
sqm including grouting the joint with white cement &amp; matching pigments
etc. complete.Size of Tile 600x600 mm</t>
  </si>
  <si>
    <t>11.56.1</t>
  </si>
  <si>
    <t>13.16.1</t>
  </si>
  <si>
    <t>13.85.3</t>
  </si>
  <si>
    <t>Applying priming coats with primer of approved brand and
manufacture, having low VOC (Volatile Organic Compound ) content.With water thinnable cement primer on wall surface
having VOC content less than 50 grams/litre</t>
  </si>
  <si>
    <t>Providing &amp; fixing mesh Arpita or equivalent made out of galvanized iron of nominal thickness 0.35 mm with a zinc coating of 120 gms per sqm along the junctions of masonry and concrete works including fixing,scaffolding,lead &amp; lifts etc.</t>
  </si>
  <si>
    <t>1.10.2</t>
  </si>
  <si>
    <t>Point</t>
  </si>
  <si>
    <t>1.21.1</t>
  </si>
  <si>
    <t>1.27.3</t>
  </si>
  <si>
    <t>1.27.4</t>
  </si>
  <si>
    <t>1.27.5</t>
  </si>
  <si>
    <t>2.10.1</t>
  </si>
  <si>
    <t>(SUMMARY OF TAXES &amp; DUTIES APPLICABLE ON PLANT &amp; EQUIPMENT)</t>
  </si>
  <si>
    <t>Name     :</t>
  </si>
  <si>
    <t>Address :</t>
  </si>
  <si>
    <t>Sl. No.</t>
  </si>
  <si>
    <t>Item Nos.</t>
  </si>
  <si>
    <t>Total Price (INR)</t>
  </si>
  <si>
    <t>After Discount</t>
  </si>
  <si>
    <t>After MPDiscount</t>
  </si>
  <si>
    <t>1</t>
  </si>
  <si>
    <t>TOTAL GST ON Service</t>
  </si>
  <si>
    <t>Excise Duty</t>
  </si>
  <si>
    <t>Total GST for Supply of Services between the Contractor and the Employer (identified in Schedule 1') which are not included in the Unit price as per the provision of the Bidding Documents, as applicable.</t>
  </si>
  <si>
    <t>TOTAL GST ON GOODS</t>
  </si>
  <si>
    <t>Total GST on AMC charges</t>
  </si>
  <si>
    <t xml:space="preserve">Date         : </t>
  </si>
  <si>
    <t>Place        :</t>
  </si>
  <si>
    <t>Schedule - 5</t>
  </si>
  <si>
    <t>SUMMARY OF TAXES &amp; DUTIES APPLICABLE ON GOODS</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</si>
  <si>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</si>
  <si>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</si>
  <si>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</si>
  <si>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Total GST on Installation Services  (Schedule-3) and Training to be imparted in India (Schedule-4)</t>
  </si>
  <si>
    <t xml:space="preserve">GRAND TOTAL [1+2] </t>
  </si>
  <si>
    <t>(GRAND SUMMARY)</t>
  </si>
  <si>
    <t>TOTAL SCHEDULE NO. 1</t>
  </si>
  <si>
    <t>Ex-works price of Plant and Equipment</t>
  </si>
  <si>
    <t>TOTAL SCHEDULE NO. 2</t>
  </si>
  <si>
    <t>RATES AND PRICES : FREIGHT &amp; INSURANCE CHARGES</t>
  </si>
  <si>
    <t>6</t>
  </si>
  <si>
    <t>TOTAL SCHEDULE NO. 7</t>
  </si>
  <si>
    <r>
      <t xml:space="preserve">Type Test Charges 
</t>
    </r>
    <r>
      <rPr>
        <sz val="10"/>
        <rFont val="Book Antiqua"/>
        <family val="1"/>
      </rPr>
      <t>[Total of this Schedule is included in Schedule - 1 above.]</t>
    </r>
  </si>
  <si>
    <t>GRAND TOTAL [1+2]</t>
  </si>
  <si>
    <t>Schedule 7</t>
  </si>
  <si>
    <t>As per lum-sum on Sch-7</t>
  </si>
  <si>
    <t>As per Percent on Sch-7</t>
  </si>
  <si>
    <t xml:space="preserve">Type test Charges </t>
  </si>
  <si>
    <t>SL. NO.</t>
  </si>
  <si>
    <t>Description of Test</t>
  </si>
  <si>
    <t>Unit Test Charge</t>
  </si>
  <si>
    <t>Total Test Charges (Rs.)</t>
  </si>
  <si>
    <t>Total Test Charges After Discount (Rs.)</t>
  </si>
  <si>
    <t>Total Test Charges After MPD (Rs.)</t>
  </si>
  <si>
    <t>NOT APPLICABLE</t>
  </si>
  <si>
    <t>TOTAL TYPE TEST CHARGES</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</si>
  <si>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</si>
  <si>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</si>
  <si>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</si>
  <si>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</si>
  <si>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</si>
  <si>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</si>
  <si>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</si>
  <si>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</si>
  <si>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</si>
  <si>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</si>
  <si>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</si>
  <si>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</si>
  <si>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</si>
  <si>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</si>
  <si>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</si>
  <si>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</si>
  <si>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</si>
  <si>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</si>
  <si>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</si>
  <si>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</si>
  <si>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</si>
  <si>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</si>
  <si>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</si>
  <si>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</si>
  <si>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</si>
  <si>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</si>
  <si>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</si>
  <si>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</si>
  <si>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</si>
  <si>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</si>
  <si>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</si>
  <si>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</si>
  <si>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</si>
  <si>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 xml:space="preserve">Bid Form </t>
  </si>
  <si>
    <t>st</t>
  </si>
  <si>
    <t>January</t>
  </si>
  <si>
    <t>nd</t>
  </si>
  <si>
    <t>February</t>
  </si>
  <si>
    <t>BID FORM (Price bid)</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</si>
  <si>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</si>
  <si>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</si>
  <si>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</si>
  <si>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</si>
  <si>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</si>
  <si>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</si>
  <si>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</si>
  <si>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</si>
  <si>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</si>
  <si>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</si>
  <si>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</si>
  <si>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</si>
  <si>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</si>
  <si>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</si>
  <si>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</si>
  <si>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</si>
  <si>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t>
  </si>
  <si>
    <t xml:space="preserve">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</si>
  <si>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</si>
  <si>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</si>
  <si>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</si>
  <si>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</si>
  <si>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t>
  </si>
  <si>
    <t>Schedule 2</t>
  </si>
  <si>
    <t>Local Transportation, In-transit Insurance, loading and unloading</t>
  </si>
  <si>
    <t>Schedule 4</t>
  </si>
  <si>
    <t>Training charges for training to be imparted.</t>
  </si>
  <si>
    <t xml:space="preserve">Taxes and Duties </t>
  </si>
  <si>
    <t>Schedule 3</t>
  </si>
  <si>
    <t>Grand Total [Schedule 1 to 2]</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</si>
  <si>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</si>
  <si>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</si>
  <si>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</si>
  <si>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</si>
  <si>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</si>
  <si>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</si>
  <si>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to be incorporated into the Facilities of the Price Schedule in this Second Envelope; by the Indian Laws.</t>
  </si>
  <si>
    <t>We confirm that we have also registered/we shall also get registered in the GST Network with a GSTIN, in all the states where the project is located and the states from which we shall make our supply of goods.</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</si>
  <si>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</si>
  <si>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</si>
  <si>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</si>
  <si>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</si>
  <si>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Signature :</t>
  </si>
  <si>
    <t>Date :</t>
  </si>
  <si>
    <t>Printed Name :</t>
  </si>
  <si>
    <t>Place :</t>
  </si>
  <si>
    <t>Designation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</si>
  <si>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</si>
  <si>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</si>
  <si>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</si>
  <si>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</si>
  <si>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</si>
  <si>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</si>
  <si>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</si>
  <si>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</si>
  <si>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</si>
  <si>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</si>
  <si>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</si>
  <si>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</si>
  <si>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</si>
  <si>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</si>
  <si>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</si>
  <si>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</si>
  <si>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</si>
  <si>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</si>
  <si>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</si>
  <si>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</si>
  <si>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</si>
  <si>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</si>
  <si>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</si>
  <si>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</si>
  <si>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</si>
  <si>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</si>
  <si>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</si>
  <si>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</si>
  <si>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</si>
  <si>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</si>
  <si>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</si>
  <si>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</si>
  <si>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</si>
  <si>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</si>
  <si>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</si>
  <si>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</si>
  <si>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</si>
  <si>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</si>
  <si>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</si>
  <si>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</si>
  <si>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</si>
  <si>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</si>
  <si>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</si>
  <si>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</si>
  <si>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</si>
  <si>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</si>
  <si>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</si>
  <si>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</si>
  <si>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</si>
  <si>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</si>
  <si>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</si>
  <si>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</si>
  <si>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</si>
  <si>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</si>
  <si>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</si>
  <si>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</si>
  <si>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</si>
  <si>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</si>
  <si>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</si>
  <si>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</si>
  <si>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</si>
  <si>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</si>
  <si>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</si>
  <si>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</si>
  <si>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</si>
  <si>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</si>
  <si>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</si>
  <si>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</si>
  <si>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</si>
  <si>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</si>
  <si>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</si>
  <si>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</si>
  <si>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</si>
  <si>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</si>
  <si>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</si>
  <si>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</si>
  <si>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</si>
  <si>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</si>
  <si>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</si>
  <si>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</si>
  <si>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</si>
  <si>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</si>
  <si>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</si>
  <si>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</si>
  <si>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</si>
  <si>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</si>
  <si>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</si>
  <si>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</si>
  <si>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</si>
  <si>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</si>
  <si>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</si>
  <si>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</si>
  <si>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</si>
  <si>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</si>
  <si>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</si>
  <si>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</si>
  <si>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</si>
  <si>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</si>
  <si>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</si>
  <si>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</si>
  <si>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</si>
  <si>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</si>
  <si>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</si>
  <si>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</si>
  <si>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</si>
  <si>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</si>
  <si>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</si>
  <si>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</si>
  <si>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</si>
  <si>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</si>
  <si>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</si>
  <si>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</si>
  <si>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</si>
  <si>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</si>
  <si>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</si>
  <si>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</si>
  <si>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</si>
  <si>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</si>
  <si>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</si>
  <si>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</si>
  <si>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</si>
  <si>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</si>
  <si>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</si>
  <si>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</si>
  <si>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</si>
  <si>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</si>
  <si>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</si>
  <si>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</si>
  <si>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</si>
  <si>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</si>
  <si>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</si>
  <si>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</si>
  <si>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</si>
  <si>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</si>
  <si>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</si>
  <si>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</si>
  <si>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</si>
  <si>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</si>
  <si>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</si>
  <si>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</si>
  <si>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</si>
  <si>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</si>
  <si>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</si>
  <si>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</si>
  <si>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</si>
  <si>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</si>
  <si>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</si>
  <si>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</si>
  <si>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</si>
  <si>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</si>
  <si>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</si>
  <si>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</si>
  <si>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</si>
  <si>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</si>
  <si>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</si>
  <si>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</si>
  <si>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</si>
  <si>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</si>
  <si>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</si>
  <si>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</si>
  <si>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</si>
  <si>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</si>
  <si>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</si>
  <si>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</si>
  <si>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</si>
  <si>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</si>
  <si>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</si>
  <si>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</si>
  <si>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</si>
  <si>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</si>
  <si>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</si>
  <si>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</si>
  <si>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</si>
  <si>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</si>
  <si>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</si>
  <si>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</si>
  <si>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</si>
  <si>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</si>
  <si>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</si>
  <si>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</si>
  <si>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</si>
  <si>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</si>
  <si>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</si>
  <si>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</si>
  <si>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</si>
  <si>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</si>
  <si>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Part A -  Shahjahanpur Sub-station</t>
  </si>
  <si>
    <t>A.I Civil Works (Schedule Items)</t>
  </si>
  <si>
    <t>1.1.2</t>
  </si>
  <si>
    <t>CARRIAGE OF MATERIALS:  By mechanical transport including loading, unloading and stacking with in a lead of 1 km:Earth</t>
  </si>
  <si>
    <t>Demolishing RCC work manually/by mechanical means including stacking of  steel bars amd disposable of  unserviceable material within 50 metre lead as per directions of Engineer-In Charge</t>
  </si>
  <si>
    <t xml:space="preserve">Earth work in excavation by mechanical means (Hydraulic excavator)/ manual means over areas (exceeding 30 cm in depth, 1.5 m in width as well as 10 sqm on plan) including getting out and disposal of excavated earth lead upto 50 m and for all lift , as directed by Engineer-incharge.All kinds of soil. </t>
  </si>
  <si>
    <t>Earth work in excavation by mechanical means (Hydraulic excavator) / manual means in foundation trenches or drains (not exceeding 1.5 m in width or 10 sqm on plan), including dressing of sides and ramming of bottoms,for all lift , including getting out the excavated soil and disposal of surplus excavated soil as directed, within a lead of 50 m. All kinds of soil.</t>
  </si>
  <si>
    <t>Excavating trenches of required width for pipes, cables, etc including excavation for sockets, and dressing of sides, ramming of bottoms, depth upto 1.5 m, including getting out the excavated soil, and then returning the soil as required, in layers not exceeding 20 cm in depth, including consolidating each deposited layer by ramming, watering, etc. and disposing of  urplus excavated soil as directed, within a lead of 50 m :All kinds of soil. Pipes, cables etc, not exceeding 80 mm dia.</t>
  </si>
  <si>
    <t>2.10.1.1</t>
  </si>
  <si>
    <t>Pipes, cables etc, not exceeding 80 mm dia.</t>
  </si>
  <si>
    <t>2.10.1.2</t>
  </si>
  <si>
    <t>Pipes, cables etc. exceeding 80 mm dia. but
not exceeding 300 mm dia</t>
  </si>
  <si>
    <t>Filling available excavated earth (excluding rock) in trenches, plinth, sides of foundations etc. in layers not exceeding 20cm in depth, consolidating each deposited layer by ramming and watering, lead up to 50 m and lift upto 1.5 m.</t>
  </si>
  <si>
    <t>Supplying and filling in plinth with sand under floors, including watering, ramming, consolidating and dressing complete.</t>
  </si>
  <si>
    <t>2.28.1</t>
  </si>
  <si>
    <t>Surface dressing of the ground including removing vegetation and inequalities not exceeding 15 cm deep and disposal of rubbish, lead up to 50 m and lift up to 1.5 m.
All kinds of soil</t>
  </si>
  <si>
    <t xml:space="preserve">Providing and laying in position cement concrete of specified grade excluding the cost of centring and shuttering - All work upto plinth leve 1:2:4 (1 cement : 2 coarse sand : 4 graded stone aggregate 20 mm nominal size)  </t>
  </si>
  <si>
    <t xml:space="preserve">4.1.8 </t>
  </si>
  <si>
    <t>Providing and laying in position cement concrete of specified grade excluding the cost of centering and shuttering - All work up to plinth level :
1:4:8 (1 Cement : 4 coarse sand (zone-III) : 8 graded stone aggregate 40 mm nominal size)</t>
  </si>
  <si>
    <t>Providing and laying damp-proof course 50mm thick with cement concrete 1:2:4 (1 cement : 2 coarse sand(zone-III) : 4 graded stone aggregate 20mm nominal size).</t>
  </si>
  <si>
    <t>Extra for providing and mixing water proofing material in cement concrete work in doses by weight of cement as per manufacturer's specification.</t>
  </si>
  <si>
    <t>Providing &amp; applying a coat of residual petroleum bitumen of grade of VG-10 of approved quality using 1.7kg per square metre on damp proof course after cleaning the surface with brushes and finally with a piece of cloth lightly soaked in kerosene oil.</t>
  </si>
  <si>
    <t>Reinforced cement concrete work in walls (any thickness), including attached pilasters, buttresses, plinth and string courses, fillets, columns, pillars, piers, abutments, posts and struts etc. up to floor five level, excluding cost of centering, shuttering, finishing and reinforcement :
1:1.5:3 (1 cement : 1.5 coarse sand : 3 graded stone aggregate 20 mm nominal size)</t>
  </si>
  <si>
    <t xml:space="preserve"> Reinforced cement concrete work in beams, suspended floors, roofs having slope up to 15° landings, balconies, shelves, chajjas, lintels, bands, plain window sills, staircases and spiral stair cases above plinth level up to floor five level, excluding the cost of centering, shuttering, finishing and reinforcement with 1:1.5:3 (1 cement : 1.5 coarse sand(zone-III) derived from natural sources : 3 graded stone aggregate 20 mm nominal size derived from natural sources).</t>
  </si>
  <si>
    <t>Centering and shuttering including strutting, propping etc. and removal of form for :Foundations, footings, bases of columns, etc. for mass concrete</t>
  </si>
  <si>
    <t>Centering and shuttering including strutting, propping etc. and removal of form for :Suspended floors, roofs, landings, balconies and access
platform</t>
  </si>
  <si>
    <t>5.9.4</t>
  </si>
  <si>
    <t>FORM WRK:
Centring and shuttering including strutting, propping etc. and removal of form for :
Shelves ( Cast-in-situ )</t>
  </si>
  <si>
    <t>Centering and shuttering including strutting, propping etc. and removal of form for : Lintels, beams, plinth beams, girders, bressumers and
cantilevers</t>
  </si>
  <si>
    <t>Centering and shuttering including strutting, propping etc. and removal of form for : Columns, Pillars, Piers, Abutments, Posts and Struts</t>
  </si>
  <si>
    <t>5.9.7</t>
  </si>
  <si>
    <t>Centering and shuttering including strutting, propping etc. and removal of form for : Stairs, (excluding landings) except spiral-staircases</t>
  </si>
  <si>
    <t>5.9.15</t>
  </si>
  <si>
    <t>Small lintels not exceeding 1.5 m clear span, moulding as in cornices, window sills, string courses, bands, copings, bed plates, anchor blocks and the like</t>
  </si>
  <si>
    <t>Centering and shuttering including strutting, propping etc. and removal of form for : Weather shade, Chajjas, corbels etc., including edges.</t>
  </si>
  <si>
    <t>STEEL REINFORCEMENT
Steel reinforcement for R.C.C. work including straightening, cutting, bending, placing in position and binding all complete at all level Thermo-Mechanically Treated bars of grade Fe-500D or more.</t>
  </si>
  <si>
    <t>Add for plaster drip course/ groove in plastered surface or moulding to R.C.C. projections.</t>
  </si>
  <si>
    <t>5.33.1</t>
  </si>
  <si>
    <t>DESIGN MIX CONCRETE
Providing and laying in position ready mixed or site batched design mix cement concrete  for reinforced cement concrete work, using coarse aggregate and fine aggregates derived from natural sources, Potrland Puzzzolana/ Ordinary Portland/ Portland slag, admixutues in recommneded proportions as per IS: 9103 to accelerate/ retard setting of concrete   to improve workability without impairing strength and including pumping of concrete to site of laying, curing, carriage for all leads but excluding cost of centering, shuttering, finishing &amp; reinforcement as per direction of Engineer-in-charge.
Note: Extra cement up to 10% of the minimum specified cement content in design mix shall be payable separately. In case the cement content in design mix is more than 110% of the specified minimum cement content, the contractor shall have discretion to either re-design the mix or bear the cost of extra cement. 
All works upto plinth level, Concrete of M25 grade with minimum cement content of 330 kg /cum</t>
  </si>
  <si>
    <t>5.33.2</t>
  </si>
  <si>
    <t>DESIGN MIX CONCRETE
Providing and laying in position ready mixed or site batched design mix cement concrete  for reinforced cement concrete work, using coarse aggregate and fine aggregates derived from natural sources, Potrland Puzzzolana/ Ordinary Portland/ Portland slag, admixutues in recommneded proportions as per IS: 9103 to accelerate/ retard setting of concrete   to improve workability without impairing strength and including pumping of concrete to site of laying, curing, carriage for all leads but excluding cost of centering, shuttering, finishing &amp; reinforcement as per direction of Engineer-in-charge.Note: Extra cement up to 10% of the minimum specified cement content in design mix shall be payable separately. In case the cement content in design mix is more than 110% of the specified minimum cement content, the contractor shall have discretion to either re-design the mix or bear the cost of extra cement Concrete of M25 grade. All works above plinth level upto floor V level,Concrete of M25 grade with minimum cement
content of 330 kg /cum</t>
  </si>
  <si>
    <t>6.1.2</t>
  </si>
  <si>
    <t>Brick work with common burnt clay F.P.S. (non modular) bricks of class designation 7.5 in foundation and plinth in: Cement mortar 1:6 (1 cement : 6 coarse sand)</t>
  </si>
  <si>
    <t>6.2.2</t>
  </si>
  <si>
    <t xml:space="preserve">Brick work with common burnt clay F.P.S bricks (non modular) of class designation 7.5 in foundations and plinth in : cement mortar 1 : 6 ( 1 cement : 6 coarse sand ). </t>
  </si>
  <si>
    <t>6.4.1</t>
  </si>
  <si>
    <t>Brick work with common burnt clay F.P.S. (non modular) bricks of class designation 7.5 in superstructure above plinth level up to floor V level in all shapes and sizes in :
Cement mortar 1:4 (1 cement : 4 coarse sand)</t>
  </si>
  <si>
    <t xml:space="preserve">Brick work with common burnt clay F.P.S. (non modular) bricks of class designation 7.5 in superstructure above plinth level up to floor V level in all shapes and sizes in : cement mortar 1 : 6 ( 1 cement : 6 coarse sand ). </t>
  </si>
  <si>
    <t>6.13.2</t>
  </si>
  <si>
    <t>Half brick masonry with common burnt clay F.P.S. (non modular) bricks of class designation 7.5 in superstructure above plinth level up to floor V level.
Cement mortar 1:4 (1 cement :4 coarse sand)</t>
  </si>
  <si>
    <t xml:space="preserve"> Extra for providing and placing in position 2 Nos 6mm dia. M.S. bars at every third course of half brick masonry.</t>
  </si>
  <si>
    <t>8.2.2.1</t>
  </si>
  <si>
    <t>Providing and fixing 18 mm thick gang saw cut, mirror polished, premoulded and prepolished, machine cut for kitchen platforms, vanity counters, window sills , facias and similar locations of required size, approved shade, colour and texture laid over 20 mm thick base cement mortar 1:4 (1 cement : 4 coarse sand), joints treated with white cement, mixed with matching pigment, epoxy touch ups, including rubbing, curing, moulding and polishing to edges to give high gloss finish etc. complete at all levels.
Granite stone slab of colour black,cherry/Ruby Red :area of slab upto 0.50 Sq,mts.</t>
  </si>
  <si>
    <t>8.2.2.2</t>
  </si>
  <si>
    <t>Providing and fixing 18 mm thick gang saw cut, mirror polished, premoulded and prepolished, machine cut for kitchen platforms, vanity counters, window sills, facias and similar locations of required size, approved shade, colour and texture laid over 20 mm thick base cement mortar 1:4 (1 cement : 4 coarse sand), joints treated with white cement, mixed with matching pigment, epoxy touch ups, including rubbing, curing, moulding and polishing of edges to give high gloss finish etc. complete at all levels.
Granite of any colour and shadeArea of slab over 0.50 sqm</t>
  </si>
  <si>
    <t>8.3.2</t>
  </si>
  <si>
    <t>Providing edge moulding to 18 mm thick marble stone counters, Vanities etc., including machine polishing to edge to give high gloss finish etc. complete as per design approved by Engineer-in-Charge. Granite work</t>
  </si>
  <si>
    <t>Extra for fixing marble /granite stone over and above corresponding basic item, in facia and drops of width upto 150 mm  with epoxy resin based adhesive including cleaning etc.complete.</t>
  </si>
  <si>
    <t>8.9.1.2</t>
  </si>
  <si>
    <t>Stone tile (polished) work for wall lining over 12 mm thick bed of cement mortar 1:3 (1 cement : 3 coarse sand) and cement slurry @ 3.3 kg/sqm including pointing in white cement complete. 8mm thick,Granite of any colour and shade</t>
  </si>
  <si>
    <t>Providing and fixing Ist quality ceramic glazed wall tiles conforming to IS: 15622 (thickness to be specified by the manufacturer), of approved make, in all colours, shades except burgundy, bottle green, black of any size as approved by Engineer-in-Charge, in skirting, risers of steps and dados, over 12 mm thick bed of cement mortar 1:3 (1 cement : 3 coarse sand) and jointing with grey cement slurry @ 3.3kg per sqm, including pointing in white cement mixed with pigment of matching shade complete.</t>
  </si>
  <si>
    <t>9.7.7.2</t>
  </si>
  <si>
    <t>Providing and fixing panelling or panelling and glazing in panelled or panelled and glazed shutters for doors, windows and clerestory windows (Area of opening for panel inserts excluding portion inside grooves or rebates to be measured). Panelling for panelled or panelled and glazed shutters 25 mm to 40 mm thick :Float glass panes 5.0 mm thick glass panes (weight not less than 12.50 kg/sqm).</t>
  </si>
  <si>
    <t>Providing and fixing teak wood lipping of size 25x3 mm in pelmet.</t>
  </si>
  <si>
    <t>9.47.1</t>
  </si>
  <si>
    <t xml:space="preserve">Providing and fixing nickel plated M.S. pipe curtain rods with nickel plated brackets : 20 mm dia (heavy type) </t>
  </si>
  <si>
    <t>9.48.2</t>
  </si>
  <si>
    <t>Providing and fixing M.S. grills of required pattern in frames of windows etc. with M.S. flats, square or round bars etc. including priming coat with approved steel primer all complete.Fixed to openings /wooden frames with rawl plugs screws etc.</t>
  </si>
  <si>
    <t>Providing and fixing M.S. grills of required pattern in frames of windows etc. with M.S. flats, square or round bars etc. including priming coat with approved steel primer all complete 
Fixed to openings /wooden frames with rawl plugs screws etc.</t>
  </si>
  <si>
    <t>Providing and fixing ISI marked IS : 1341 M.S. pressed butt hinges bright finished with necessary screws etc. complete :</t>
  </si>
  <si>
    <t>a</t>
  </si>
  <si>
    <t>9.55.1</t>
  </si>
  <si>
    <t xml:space="preserve"> 125x65x2.12 mm</t>
  </si>
  <si>
    <t>b</t>
  </si>
  <si>
    <t>9.55.3</t>
  </si>
  <si>
    <t>75x47x1.70 mm</t>
  </si>
  <si>
    <t>Providing M.S. Piano hinges ISI marked IS : 3818 finished with nickel plating and fixing with necessary screws etc., complete.
Overall width 35 mm</t>
  </si>
  <si>
    <t>Providing and fixing chromium plated brass 100 mm mortice latch and lock with 6 levers and a pair of lever handles of approved quality with necessary screws etc. complete.</t>
  </si>
  <si>
    <t>Providing and fixing special quality chromium plated brass cupboard locks with six levers of approved quality including necessary screws etc. complete.
Size 50 mm</t>
  </si>
  <si>
    <t>9.92.2</t>
  </si>
  <si>
    <t xml:space="preserve">Providing and fixing chromium plated brass handles with necessary screws etc. complete:100 mm </t>
  </si>
  <si>
    <t>9.95.4</t>
  </si>
  <si>
    <t>Providing and fixing ISI marked aluminium butt hinges anodised (anodic coating not less than grade AC 10 as per IS : 1868) transparent or dyed to required colour or shade with necessary screws etc. complete:
100x63x4 mm</t>
  </si>
  <si>
    <t>Providing and fixing aluminium sliding door bolts, ISI marked anodised (anodic coating not less than grade AC 10 as per IS : 1868), transparent or dyed to required colour or shade, with nuts and screws etc. complete :300x16 mm</t>
  </si>
  <si>
    <t>Providing and fixing aluminium tower bolts, ISI marked, anodised (anodic coating not less than grade AC 10 as per IS : 1868 ) transparent or dyed  to required colour or shade, with necessary screws etc. complete :
250x10 mm</t>
  </si>
  <si>
    <t>Providing and fixing aluminium tower bolts, ISI marked, anodised (anodic coating not less than grade AC 10 as per IS : 1868 ) transparent or dyed  to required colour or shade, with necessary screws etc. complete                                 :150x10 mm</t>
  </si>
  <si>
    <t>9.97.5</t>
  </si>
  <si>
    <t>Providing and fixing aluminium tower bolts, ISI marked, anodised (anodic coating not less than grade AC 10 as per IS : 1868 ) transparent or dyed to required colour or shade, with necessary screws etc. complete :
100x10 mm (for cup boards)</t>
  </si>
  <si>
    <t>Providing and fixing aluminium handles, ISI marked, anodised (anodic coating not less than grade AC 10 as per IS : 1868) transparent or dyed to required colour or shade, with necessary screws etc. complete :
125 mm</t>
  </si>
  <si>
    <t>Providing and fixing aluminium hanging floor door stopper, ISI marked, anodised (anodic coating not less than grade AC 10 as per IS : 1868)transparent or dyed to required colour and shade, with necessary screws etc. complete.
Twin rubber stopper</t>
  </si>
  <si>
    <t>Providing and fixing magnetic catcher of approved quality in cupboard / ward robe shutters, including fixing with necessary screws etc. complete
Triple strip vertical type</t>
  </si>
  <si>
    <t>9.114.2</t>
  </si>
  <si>
    <t>Providing and fixing magnetic catcher of approved quality in cupboard / ward robe shutters, including fixing with necessary screws etc. complete.
Double strip (horizontal type)</t>
  </si>
  <si>
    <t>Providing &amp; Fixing decorative high pressure laminated sheet of plain / wood grain in gloss /  matt/ suede finish with high density protective
surface layer and reverse side of adhesive bonding quality conforming to IS : 2046 Type S, including cost of adhesive of approved quality. 1.0 mm thick</t>
  </si>
  <si>
    <t>9.131.1</t>
  </si>
  <si>
    <t xml:space="preserve"> Providing and fixing factory made shutters of Pre-laminated particle board flat pressed three layer or graded wood particle board with one side decorative finish and other side balancing lamination conforming to IS: 12823 Grade l Type ll, of approved design, and edges sealed with water resistant paint and lipped with aluminium 'U' type edge beading allround the shutter, including fixing with angle cleat, grip strip, cadmium plated steel screws, including fixing of aluminium hinges 100x63x4 mm etc. complete as per architectural drawing and direction of Engineer-in-Charge (Cost of 'U' beading and hinges will be paid for separately).
25 mm thick</t>
  </si>
  <si>
    <t>Providing and fixing aluminum U beading of required size to Pre-laminated/flush door shutter, including fixing etc. complete as per direction of Engineer-in-charge.</t>
  </si>
  <si>
    <t>Providing and fixing factory made uPVC glazed/wire mesh windows/doors comprising of lead free uPVC multi-chambered frame, sash and mullion/coupler (where ever required) extruded profiles having minimum wall thickness of 1.70 mm for Series R1 and R2 profiles and 2.10 mm for Series R3 and R4 profiles conforming to EN: 12608 in any shape, colour and design duly reinforced with galvanized mild steel section made of required shape &amp; size as per CPWD Specification, uPVC extruded glazing beads, interlocks and Inline sash adaptor (whereever required) of appropriate dimension, EPDM gasket, hardware, SS 304 grade fasteners of minimum 8 mm dia with countersunk head, comprising of matching polyamide PA6 grade sleeve for fixing frame to finished wall as per IS 1367 : Part 1 to 14, plastic packers, plastic caps and necessary stainless steel screws etc. Profile of frame, sash &amp; mullion (if required) shall be mitred cut and fusion welded/mechanically jointed duly sealed at all corners, including drilling of holes for fixing hardware and drainage of water etc. After fixing frame the gap between frame and adjacent finished wall shall be filled with weather proof silicon sealant over backer rod of approved size and quality, all complete as per approved drawing conforming to CPWD specification &amp; direction of Engineer-in-Charge. Section of steel reinforcement and cross sections of uPVC profiles to be as per design approved by Engineer-in-Charge.
Wire mesh / Glazing of plain/ toughened/ laminated/ double glass unit with / without high performance coatings as per design requirements and conforming to IS: 3548 &amp; IS: 16231 shall be paid separately.</t>
  </si>
  <si>
    <t>9.147.A4.1</t>
  </si>
  <si>
    <t>Three track three panels sliding window with two glazed &amp; one wire mesh panels with Aluminium channel for roller track, wool pile, nylon rollers with SS 304 body.Using R2 series with frame (70mm &amp; above) x (40mm &amp; above) &amp; both glazed and fly screen sash (25mm &amp; above) x (50mm &amp; above) with zinc alloy (zamak) powder coated touch locks with hook. (Height upto 1.2 metre).</t>
  </si>
  <si>
    <t>9.147.A4.2</t>
  </si>
  <si>
    <t>Three track three panels sliding window with two glazed &amp; one wire mesh panels with Aluminium channel for roller track, wool pile, nylon rollers with SS 304 body.Using R3 series with frame (98mm &amp; above) x (40mm &amp; above) &amp; both glazed and fly screen sash (30mm &amp; above) x (55mm &amp; above) with zinc alloy (zamak) powder coated handle on every glazed panel along with multi-point locking system. (Height upto 1.8m)</t>
  </si>
  <si>
    <t>9.147.C2.1</t>
  </si>
  <si>
    <t>Fixed window / ventilator with mullion / transom.Using R1 series with frame (33mm &amp; above ) x (35mm &amp; above) &amp; mullion (33mm &amp; above) x(50mm &amp; above). (Height upto 0.90 metre)</t>
  </si>
  <si>
    <t>9.147.B3.1</t>
  </si>
  <si>
    <t>Three track three panels sliding door with two glazed &amp; one wire mesh panels with Aluminium channel for roller track, wool pile, zinc alloy (zamak) powder coated handle on two panels along with multi-point locking system, adjustable nylon rollers with SS 304 body. Using R3 series with frame (98mm &amp; above) x (40mm &amp; above) &amp; both glazed and fly screen sash (30mm &amp; above) x (74mm &amp; above). (Height upto 2.5 metre)</t>
  </si>
  <si>
    <t>9.148.2</t>
  </si>
  <si>
    <t>Providing and fixing stainless steel (SS-304 grade) friction hinges to the side/ top hung uPVC windows, of approved quality, with necessary stainless steel screws etc. as per direction of Engineer-in-charge. 250x19x1.9 mm</t>
  </si>
  <si>
    <t>Providing and fixing cupboard shutter with 19mm thick one side decorative and other side balancing lamination factory pressed BWP grade marine ply as per IS 710 of approved brand including 2mm thick PVC edge banding tape with hot glue by edge bending machine etc. with auto closing spring loaded hinges (hydraulic type) etc. complete as per direction of Engineerin-charge.(Payment of providing and fixing auto closing hinges shall be paid separately)</t>
  </si>
  <si>
    <t>Providing and fixing 19mm thick both side balancing lamination factory
pressed BWP grade marine ply as per IS 710 of approved brand
boxes,shelves,racks,almirah,cupboard and drawer etc. including
necessary nails,screws etc. complete as per direction of Engineer-in_x0002_charge.</t>
  </si>
  <si>
    <t>Providing and fixing stainless steel soft closing spring hinges at 0 degree
hinges (hydraulic type) of approved make/brand to cupboard shutters
with full threaded steel screws including making necessary recess in
board and finished etc. complete as per direction of Engineer-in-charge.</t>
  </si>
  <si>
    <t>Providing and fixing stainless steel soft closing heavy type telescopic
drawer channels of approved make 500 mm long with screws etc.
complete as per directions of Engineer- in-charge.</t>
  </si>
  <si>
    <t>Providing and fixing M.S. fan clamp type I or II of 16 mm dia M.S. bar bent to shape with hooked ends in R.C.C. slabs, beams during laying including painting the exposed portion of loop, all as per standard design complete.</t>
  </si>
  <si>
    <t>STEEL WORK, Providing and fixing circular/ Hexagonal cast iron or M.S. sheet box for ceiling fan clamp, of internal dia 140 mm, 73 mm height, top lid of 1.5 mm thick M.S. sheet with its top surface hacked for proper bonding, top lid shall be screwed into the cast iron/ M.S. sheet box by means of 3.3 mm dia round headed screws, one lock at the corners. Clamp shall be made of 12 mm dia M.S. bar bent to shape as per standard drawing.</t>
  </si>
  <si>
    <t>10.25.2</t>
  </si>
  <si>
    <t>Steel work welded in built up sections/ framed work, including cutting, hoisting, fixing in position and applying a priming coat of approved steel primer using structural steel etc. as required including Painting with synthetic enamel paint.In gratings, frames, guard bar, ladder, railings, brackets, gatesand similar works</t>
  </si>
  <si>
    <t>Steel work welded in built up sections/ framed work, including cutting, hoisting, fixing in position and applying a priming coat of approved steel primer using structural steel etc. as required. In gratings, frames, guard bar, ladder, railings, brackets, gates and similar works</t>
  </si>
  <si>
    <t>10.26.1</t>
  </si>
  <si>
    <t>Providing and fixing hand rail of approved size by welding etc. to steel ladder railing, balcony railing, staircase railing and similar works, including applying priming coat of approved steel primer  including Painting with synthetic enamel paint.
M.S. tube</t>
  </si>
  <si>
    <t xml:space="preserve"> Providing and fixing stainless steel ( Grade 304) railing made of Hollow tubes, channels, plates etc., including welding, grinding, buffing, polishing and making curvature (wherever required) and fitting the same with necessary stainless steel nuts and bolts complete, i/c fixing the railing with necessary accessories &amp; stainless steel dash fasteners , stainless steel bolts etc., of required size, on the top of the floor or the side of waist slab with suitable arrangement as per approval of Engineer-incharge, (for payment purpose only weight of stainless steel members shall be considered excluding fixing accessories such as nuts, bolts, fasteners etc.).</t>
  </si>
  <si>
    <t>Dry brick on edge flooring in required pattern with bricks of class designation 7.5 on a bed of 12 mm mud mortar, including filling joints with local sand, with common burnt clay non modular bricks.</t>
  </si>
  <si>
    <t>11.23.5</t>
  </si>
  <si>
    <t>Marble stone flooring with 18 mm thick marble stone, as per sample of marble approved by Engineer-in-charge, over 20 mm (average) thick base of cement mortar 1:4 (1 cement : 4 coarse sand) laid and jointed with grey cement slurry, including rubbing and polishing complete with :
Udaipur green marble</t>
  </si>
  <si>
    <t>11.24</t>
  </si>
  <si>
    <t xml:space="preserve">
Extra for pre finished nosing to treads of steps of marble stone.</t>
  </si>
  <si>
    <t>11.25</t>
  </si>
  <si>
    <t>Extra for marble stone flooring in treads of steps and risers using single length upto 2.0m.</t>
  </si>
  <si>
    <t xml:space="preserve">Providing and laying vitrified floor tiles in different sizes (thickness to be specified by the manufacturer) with water absorption less than 0.08% and conforming to IS : 15622, of approved make, in all colours and shades, laid on 20mm thick cement mortar 1:4 (1 cement : 4 coarse sand), including grouting the joints with white cement and matching pigments etc., complete.
Size of tile 600 x 600 </t>
  </si>
  <si>
    <t xml:space="preserve">11.41A.2.2 </t>
  </si>
  <si>
    <t xml:space="preserve">
Providing and laying Vitrified tiles in floor in different sizes (thickness to
be specified by the manufacturer) with water absorption less than 0.08%
and conforming to IS:15622, of approved brand &amp; manufacturer, in all
colours and shade, laid on 20 mm thick cement mortar 1:4 (1 cement:
4 coarse sand) jointing with grey cement slurry @3.3 kg/sqm including
grouting the joints with white cement and matching pigments etc. The
tiles must be cut with the zero chipping diamond cutter only . Laying of
tiles will be done with the notch trowel, plier, wedge, clips of required
thickness,leveling system and rubber mallet for placing the tiles gently
and easily. Glazed vitrified floor tiles polished finish of Size of Tile 600 x 1200 mm
</t>
  </si>
  <si>
    <t>11.41A.3.1</t>
  </si>
  <si>
    <t>Providing and laying Vitrified tiles in floor in different sizes (thickness to be specified by the manufacturer) with water absorption less than 0.08% and conforming to IS:15622, of approved brand &amp; manufacturer, in all colours and shade, laid on 20 mm thick cement mortar 1:4 (1 cement: 4 coarse sand) jointing with grey cement slurry @3.3 kg/sqm including grouting the joints with white cement and matching pigments etc. The tiles must be cut with the zero chipping diamond cutter only. Laying of tiles will be done with the notch trowel, plier, wedge, clips of required thickness, leveling system and rubber mallet for placing the tiles gently and easily Glazed Vitrified tiles Matt/Antiskid finish of size
 Size of Tile 600 x 600 mm</t>
  </si>
  <si>
    <t>Providing and laying Vitrified tiles in different sizes (thickness to be
specified by manufacturer), with water absorption less than 0.08 % and conforming to I.S. 15622, of approved make, in all colours &amp; shade, in skirting, riser of steps, over 12 mm thick bed of cement mortar 1:3 (1 cement: 3 coarse sand), jointing with grey cement slurry @ 3.3 kg/ sqm including grouting the joint with white cement &amp; matching pigments etc. complete.Size of Tile 600x600 mm</t>
  </si>
  <si>
    <t>Providing and laying Polished Granite stone flooring in required design and patterns, in linear as well as curvilinear portions of the building all complete as per the architectural drawings with 18 mm thick stone slab
over 20 mm (average) thick base of cement mortar 1:4 (1 cement : 4 coarse sand) laid and jointed with cement slurry and pointing with white cement slurry admixed with pigment of matching shade including
rubbing, curing and polishing etc. all complete as specified and as directed by the Engineer-in-Charge. Polished Granite stone slab colour of Black, Cherry/Ruby Red or equivalent</t>
  </si>
  <si>
    <t>12.21.1</t>
  </si>
  <si>
    <t>Providing gola 75x75 mm in cement concrete 1:2:4 (1 cement : 2 coarse sand : 4 stone aggregate 10 mm and down gauge), including finishing with cement mortar 1:3 (1 cement : 3 fine sand) as per standard design In 75x75 mm deep chase</t>
  </si>
  <si>
    <t>Making khurras 45x45 cm with average minimum thickness of 5 cm cement concrete 1:2:4 (1 cement : 2 coarse sand : 4 graded stone aggregate of 20 mm nominal size) over P.V.C. sheet 1 m x1 m x 400 micron, finished with 12 mm cement plaster 1:3 (1 cement : 3 coarse sand) and a coat of neat cement, rounding the edges and making and finishing the outlet complete.</t>
  </si>
  <si>
    <t>Providing and fixing on wall face Unplasticised Rigid PVC rain water pipes conforming to IS : 13592 Type A including jointing with seal ring conforming to  IS : 5382 leaving 10 mm gap for thermal expansion. 
(i) Single socketed pipes
 110 mm diameter</t>
  </si>
  <si>
    <t xml:space="preserve">Providing and fixing on wall face Unplasticised - PVC moulded fittings/ accessories for Unplasticised Rigid PVC rain water pipes conforming to IS : 13592  Type A including jointing with seal ring conforming to IS : 5382 leaving 10 mm gap for thermal expansion.
</t>
  </si>
  <si>
    <t>12.42.1.2</t>
  </si>
  <si>
    <t>Coupler  110 mm</t>
  </si>
  <si>
    <t xml:space="preserve">12.42.3.2 </t>
  </si>
  <si>
    <t xml:space="preserve"> Single tee with door 110x110x110 mm</t>
  </si>
  <si>
    <t>c</t>
  </si>
  <si>
    <t>12.42.4.2</t>
  </si>
  <si>
    <t>Single tee without door 110x110x110 mm</t>
  </si>
  <si>
    <t>d</t>
  </si>
  <si>
    <t xml:space="preserve">12.42.5.2 </t>
  </si>
  <si>
    <t>Bend  87.5° 110 mm bend</t>
  </si>
  <si>
    <t>e</t>
  </si>
  <si>
    <t xml:space="preserve"> Shoe (Plain) 110 mm Shoe</t>
  </si>
  <si>
    <t>Providing and fixing Unplasticised -PVC pipe clips of approved design to Unplasticised - PVC rain water pipes by means of 50x50x50mm hard wood plugs, screwed with M.S. screws of required length including cutting brick work and fixing in cement mortar 1:4 (1 cement : 4 coarse sand) and making good the wall etc. complete. 110 mm</t>
  </si>
  <si>
    <t>Providing and fixing to the inlet mouth of rain water pipe cast iron grating 15 cm diameter and weighing not less than 440 grams.</t>
  </si>
  <si>
    <t>Providing and fixing precoated galvanised iron profile sheets (size, shape and pitch of
corrugation as approved by Engineer-in-Charge) of total coated thickness 0.50mm (base metal of minimum 0.45mm thickness with total coating thickness of 0.05mm) with zinc coating 120 grams per sqm as per IS: 277, in 240 mpa steel grade, 5-7 microns epoxy primer on both side of the sheet and polyester top coat 15-18 microns. Sheet should have protective guard film of 25 microns minimum to avoid scratches during transportation and should be supplied in single length upto 12 metre or as desired by Engineer-in-charge. The sheet shall be fixed using self drilling /self tapping screws of size (5.5x 55 mm) with EPDM seal, complete upto any pitch in horizontal/ vertical or curved surfaces, excluding the cost of purlins, rafters and trusses and including cutting to size and shape wherever required.</t>
  </si>
  <si>
    <t>Providing and fixing Heat Resistant Terrace Tiles (300 mm x 300 mm x 20 mm) with SRI (solar refractive index) &gt; 78, solar reflection &gt; 0.70 and initial emittance &gt; 0.75 on waterproof and sloped surface of terrace, laid on 20 mm thick cement sand mortar in the ratio of 1:4 (1 cement : 4 coarse sand) and grouting the joints with mix of white cement &amp; marble powder in ratio of 1:1, including rubbing and polishing of the surface upto 3 cuts complete, including providing skirting upto 150 mm height along the parapet walls in the same manner.</t>
  </si>
  <si>
    <t>12 mm cement plaster of mix :
1:6 (1 cement: 6 Fine sand)</t>
  </si>
  <si>
    <t>13.2.2</t>
  </si>
  <si>
    <t>15 mm cement plaster on rough side of single or half brick wall of mix:1:6 (1 cement: 6 fine sand)</t>
  </si>
  <si>
    <t>13.7.1</t>
  </si>
  <si>
    <t xml:space="preserve">Providing plastering 12mm thick in cement mortar 1:3 (1 cement : 3 coarse sand) finished with a floating coat of neat cement.
</t>
  </si>
  <si>
    <t xml:space="preserve">18 mm cement plaster in two coats under layer 12 mm thick cement
plaster 1:5 (1 cement : 5 coarse sand) finished with a top layer 6 mm
thick cement plaster 1:6 (1 cement : 6 fine sand). </t>
  </si>
  <si>
    <t xml:space="preserve"> 6 mm cement plaster of mix : 1:3 (1 cement : 3 fine sand)</t>
  </si>
  <si>
    <t>13.24.2</t>
  </si>
  <si>
    <t>Extra for plastering done on moulding, cornices or architraves including neat finish to line and level :
In two coats</t>
  </si>
  <si>
    <t>Providing and applying plaster of paris putty of 2 mm thickness over plastered surface to prepare the surface even and smooth complete.</t>
  </si>
  <si>
    <t>13.46.1</t>
  </si>
  <si>
    <t>Finishing walls with Acrylic Smooth exterior paint of required shade :
New work (Two or more coat applied @ 1.67 ltr/10 sqm over and including priming coat of exterior primer applied @ 2.20 kg/ 10 sqm)</t>
  </si>
  <si>
    <t xml:space="preserve">13.47.1 </t>
  </si>
  <si>
    <t>Finishing walls with Premium Acrylic Smooth exterior paint with Silicone additives of required shade:
New work (Two or more coats applied @ 1.43 ltr/10 sqm over and including priming coat of exterior primer applied @0.9ltr/10 sqm)</t>
  </si>
  <si>
    <t>Painting with synthetic enamel paint of approved brand and manufacture to give an even shade :Two or more coats on new work</t>
  </si>
  <si>
    <t>13.73.2</t>
  </si>
  <si>
    <r>
      <t xml:space="preserve">Forming groove of uniform size in the top layer of washed stone grit plaster as per approved pattern using wooden battens, nailed to the under layer, including removal of wooden battens, repair to the edges of panels and finishing the groove complete as per specifications and direction of the Engineer-in-charge.
</t>
    </r>
    <r>
      <rPr>
        <sz val="12"/>
        <rFont val="Times New Roman"/>
        <family val="1"/>
      </rPr>
      <t xml:space="preserve"> 20 mm wide and 15 mm deep groove</t>
    </r>
  </si>
  <si>
    <t>Providing and applying white cement based putty of average thickness
1 mm, of approved brand and manufacturer, over the plastered wall
surface to prepare the surface even and smooth complete.(For external wall)</t>
  </si>
  <si>
    <t>13.82.2</t>
  </si>
  <si>
    <t>Wall painting with premium acrylic emulsion paint of interior grade,
having VOC (Volatile Organic Compound ) content less than 50
grams/ litre of approved brand and manufacture, including applying additional coats wherever required to achieve even shade and colour.Two coats</t>
  </si>
  <si>
    <t>13.85.1</t>
  </si>
  <si>
    <t>Applying priming coats with primer of approved brand and manufacture, having low VOC (Volatile Organic Compound ) content.
With ready mixed pink or grey primer on wood work (hard and soft wood) having VOC content less than 50 grams/ litre</t>
  </si>
  <si>
    <t>Providing and laying 60mm thick factory made cement concrete interlocking paver block of M -30 grade made by block making machine with strong vibratory compaction, of approved size, design &amp; shape, laid in required colour and pattern over and including 50mm thick compacted bed of coarse sand, filling the joints with line sand etc. all complete as per the direction of Engineer-in-charge.</t>
  </si>
  <si>
    <t>Providing and laying at or near ground level factory made kerb stone of M-25 grade cement concrete in position to the required line, level and curvature, jointed with cement mortar 1:3 (1 cement: 3 coarse sand), including making joints with or without grooves (thickness of joints except at sharp curve shall not to more than 5mm), including making drainage opening wherever required complete etc. as per direction of Engineer-in-charge (length of finished kerb edging shall be measured for payment). (Precast C.C. kerb stone shall be approved by Engineer-in-charge).</t>
  </si>
  <si>
    <t>17.3.1</t>
  </si>
  <si>
    <t>Providing and fixing white vitreous china pedestal type water closet (European type) with seat and lid, 10 litre low level white vitreous china flushing cistern &amp; C.P. flush bend with fittings &amp; C.I. brackets, 40 mm flush bend, overflow arrangement with specials of standard make and mosquito proof coupling of approved municipal design complete, including painting of fittings and brackets, cutting and making good the walls and floors wherever required :
17.3.1 W.C. pan with ISI marked white solid plastic seat and lid</t>
  </si>
  <si>
    <t>Providing and fixing wash basin with C.I. brackets, 15 mm C.P. brass pillar taps, 32 mm C.P. brass waste of standard pattern, including painting of fittings and brackets, cutting and making good the walls wherever require : White Vitreous China Wash basin size 630x450 mm with a single 15 mm C.P. brass pillar tap</t>
  </si>
  <si>
    <t>17.7.3</t>
  </si>
  <si>
    <t>Providing and fixing wash basin with C.I. brackets, 15 mm C.P. brass pillar taps, 32 mm C.P. brass waste of standard pattern, including painting of fittings and brackets, cutting and making good the walls wherever require :
White Vitreous China Wash basin size 550x400 mm with a pair of 15 mm C.P. brass pillar taps</t>
  </si>
  <si>
    <t>17.10.1.1</t>
  </si>
  <si>
    <t>Providing and fixing Stainless Steel A ISI 304 (18/8) kitchen sink as per IS:13983 with C.I. brackets and stainless steel plug 40 mm, including painting of fittings and brackets, cutting and making good the walls wherever required :
Kitchen sink with drain board 510x1040 mm bowl depth 250 mm</t>
  </si>
  <si>
    <t>Providing and fixing G.I. inlet connection for flush pipe connecting with W.C. pan.</t>
  </si>
  <si>
    <t>17.28.1.1</t>
  </si>
  <si>
    <t>Providing and fixing P.V.C. waste pipe for sink or wash basin including P.V.C. waste fittings complete.
Semi regid pipe
32mm dia</t>
  </si>
  <si>
    <t>17.28.2.1</t>
  </si>
  <si>
    <t>Providing and fixing PVC waste pipe for sink or wash basin including PVC waste fittings complete Flexible pipe
32 mm dia</t>
  </si>
  <si>
    <t xml:space="preserve"> Providing and fixing 600x450 mm beveled edge mirror of superior
glass (of approved quality) complete with 6 mm thick hard board ground fixed to wooden cleats with C.P. brass screws and washers complete.</t>
  </si>
  <si>
    <t>Providing and fixing 600x120x5 mm glass shelf with edges round off, supported on anodised aluminium angle frame with C.P. brass brackets and guard rail complete fixed with 40 mm long screws, rawl plugs etc., complete.</t>
  </si>
  <si>
    <t>17.34.1</t>
  </si>
  <si>
    <t xml:space="preserve">Providing and fixing CP brass toilet paper holder with C.P. brass </t>
  </si>
  <si>
    <t>17.70.1</t>
  </si>
  <si>
    <t>Providing and fixing PTMT Bottle Trap for Wash basin and sink.
Bottle trap 31 mm single piece moulded with height of 270 mm, effective length of tail pipe 260 mm from the centre of the waste coupling 77 mm breadth with 25 mm minimum water seal, weighinh not less than 260 gms.</t>
  </si>
  <si>
    <t>17.81</t>
  </si>
  <si>
    <t>Providing and fixing floor mounted, white vitreous china single piece,
double traps syphonic water closet of approved brand/make, shape,
size and pattern including integrated white vitreous china cistern of
capacity 10 litres with dual flushing system, including all fittings and
fixtures with seat cover, cistern fittings, nuts, bolts and gasket etc
including making connection with the existing P/S trap, complete in
all respect as per directions of Engineer-in-Charge.</t>
  </si>
  <si>
    <t>Providing and fixing Chlorinated Polyvinyl Chloride (CPVC) pipes,having thermal stability for hot &amp; cold water supply, including allCPVC plain &amp; brass threaded fittings, i/c fixing the pipe with clampsat 1.00 m spacing. This includes jointing of pipes &amp; fittings like bends ,tees, unions etc. with onestep CPVC solvent cement and the cost of cutting chases and makinggood the same of Engineer in Charge.including testing of joints complete as per directionConcealed work, including cutting chases and making good thewalls etc.</t>
  </si>
  <si>
    <t>18.8.1</t>
  </si>
  <si>
    <t>15 mm nominal dia Pipes</t>
  </si>
  <si>
    <t>20 mm nominal dia Pipes</t>
  </si>
  <si>
    <t>Providing and fixing Chlorinated Polyvinyl Chloride (CPVC) pipes,having thermal stability for hot &amp; cold water supply including allCPVC plain &amp; brass threaded fittings This includes jointing of pipes&amp; fittings  bends ,tees, unions etc.with one step CPVC solvent cement, trenching, refilling &amp;testing of joints complete as per direction of Engineer in ChargeExternal work,
40 mm dia nominal bore</t>
  </si>
  <si>
    <t xml:space="preserve">Providing and fixing unplasticised PVC connection pipe with brass unions of 45 cm length:15 mm nominal bore </t>
  </si>
  <si>
    <t xml:space="preserve">Providing and fixing gun metal gate valve with C.I. wheel of approved quality (screwed end) :
</t>
  </si>
  <si>
    <t xml:space="preserve"> 25 mm nominal bore</t>
  </si>
  <si>
    <t>18.17.1A</t>
  </si>
  <si>
    <t>20 mm nominal bore</t>
  </si>
  <si>
    <t>Providing and fixing gun metal gate valve with CI wheel of approved quality (screwed end)</t>
  </si>
  <si>
    <t>32 mm nominal bore</t>
  </si>
  <si>
    <t>40 mm nominal bore</t>
  </si>
  <si>
    <t>18.18.3</t>
  </si>
  <si>
    <t>Providing and fixing ball valve (brass) of approved quality, High or low pressure, with plastic floats complete :25 mm nominal bore</t>
  </si>
  <si>
    <t>Providing and fixing C.P. brass shower rose with 15 or 20 mm inlet : 100 mm diameter</t>
  </si>
  <si>
    <t>Providing and placing on terrace (at all floor levels) polyethylene water
storage tank, IS : 12701 marked, with cover and suitable locking
arrangement and making necessary holes for inlet, outlet and overflow
pipes but without fittings and the base support for tank.</t>
  </si>
  <si>
    <t>Providing and fixing C.P. brass long body bib cock of approved quality conforming to IS standards and weighing not less than 690 gms.
 15 mm nominal bore</t>
  </si>
  <si>
    <t>Providing and fixing C.P. brass angle valve for basin mixer and geyser points of approved quality conforming to IS:8931.
18.53.1 15mm nominal bore</t>
  </si>
  <si>
    <t xml:space="preserve">Providing and fixing Chlorinated Polyvinyl Chloride (CPVC) pipes, having thermal stability for hot &amp; cold water supply, including all CPVC plain &amp; brass threaded fittings, including fixing the pipe with clamps at 1.00 m spacing. This includes jointing of pipes &amp; fittings with one step CPVC solvent cement and testing of joints complete as per direction of Engineer in Charge.Internal work - Exposed on wall
</t>
  </si>
  <si>
    <t>18.7.1</t>
  </si>
  <si>
    <t>18.7.2</t>
  </si>
  <si>
    <t>18.7.3</t>
  </si>
  <si>
    <t>25 mm nominal dia Pipes</t>
  </si>
  <si>
    <t>18.7.4</t>
  </si>
  <si>
    <t>32 mm nominal dia Pipes</t>
  </si>
  <si>
    <t>18.7.5</t>
  </si>
  <si>
    <t>40 mm nominal dia Pipes</t>
  </si>
  <si>
    <t xml:space="preserve">Providing and fixing Chlorinated Polyvinyl Chloride (CPVC) pipes,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t>
  </si>
  <si>
    <t>Providing and fixing uplasticised PVC connection pipe with brass
unions :45 cm length 15 mm nominal bore</t>
  </si>
  <si>
    <t>18.22.2</t>
  </si>
  <si>
    <t>Providing and fixing C.P. brass shower rose with 15 or 20 mm inlet :150 mm diameter</t>
  </si>
  <si>
    <t>18.32.1</t>
  </si>
  <si>
    <t>Constructing masonry chamber 30 x 30 x 50 cm inside with 7.5 class designation brick work in cm 1 : 5 ( 1 cement : 5 fine sand ) for stop cock  with CI surface box 100  x 100x 75 mm (inside) with hinged cover fixed in cement concrete slab 1:2 :4 ( 1cement : 2 coarse sand:4 graded stone aggregate 20 mm nominal size) necessary excavation foundation concrete 1:5:10(1 cement:5 fine sand:10 graded stone aggregate 40 mm nominal size) and inside plastering with cement 1:3(1 cement:3 coarse sand) 12 mm thick finished with a floating coat of neat cement complete as per standard design:
With common burnt clay F.P.S.(non modular) bricks of class designation 7.5</t>
  </si>
  <si>
    <t>18.53A</t>
  </si>
  <si>
    <t xml:space="preserve">Providing and fixing C.P. Brass extension nipple (size 15mmx50mm)
of approved make and quality as per direction of Engineer-in-charge. </t>
  </si>
  <si>
    <t>18.75.1</t>
  </si>
  <si>
    <t>Providing and fixing PTMT extension Nipples for water tank pipe,fittings of approved quality and color. 15 mm nominal bore,weighing not less than 32 gms.</t>
  </si>
  <si>
    <t>19.3.2</t>
  </si>
  <si>
    <t>Providing and laying cement concrete 1:5:10 (1 cement : 5 coarse sand : 10 graded stone aggregate 40 mm nominal size) up to haunches of S.W. pipes including bed concrete as per standard design :150 mm diameter S.W. pipe</t>
  </si>
  <si>
    <t>Providing and fixing square-mouth S.W. gully trap class SP-1 complete with C.I. grating brick masonry chamber with water tight C.I. cover with frame of 300 x300 mm size (inside) the weight of cover to be not less than 4.50 kg and frame to be not less than 2.70 kg as per standard design: 100x100 mm size P type
With common burnt clay F.P.S. (non modular) bricks of class designation 7.5</t>
  </si>
  <si>
    <t>19.4.3.1</t>
  </si>
  <si>
    <t>Providing and fixing square-mouth S.W. gully trap class SP-1 complete with C.I. grating brick masonry chamber with water tight C.I. cover with frame of 300 x300 mm size (inside) the weight of cover to be not less than 4.50 kg and frame to be not less than 2.70 kg as per standard design :
180 x 150 mm size P type with FPS bricks
With common burnt clay F.P.S. (non modular) bricks of class designation 7.5</t>
  </si>
  <si>
    <t>19.6.4</t>
  </si>
  <si>
    <t>Providing and laying non-pressure NP2 class (light duty) R.C.C. pipes with collars jointed with stiff mixture of cement mortar in the proportion of 1:2 (1 cement : 2 fine sand) including testing of joints etc. complete : 300 mm dia. R.C.C. pipe</t>
  </si>
  <si>
    <t>Constructing brick masonry manhole in cement mortar 1:4 ( 1 cement : 4 coarse sand ) R.C.C. top slab with 1:2:4 mix (1 cement : 2 coarse sand : 4 graded stone aggregate 20 mm nominal size), foundation concrete 1:4:8 mix (1 cement : 4 coarse sand : 8 graded stone aggregate 40mm nominal size) inside plastering 12mm thick with cement mortar 1:3 (1 cement : 3 coarse sand) finished with floating coat of neat cement and making channels in cement concrete 1:2:4 (1 cement : 2 coarse sand : 4 graded stone aggregate 20mm nominal size) finished with a floating coat of neat cement complete as per standard design :
Inside size 90x80 cm and 45 cm deep including C.I. cover with frame (light duty) 455x610 mm internal dimensions total weight of cover and frame to be not less than 38 kg (weight of cover 23 kg and weight of frame 15 kg) :
With F.P.S. bricks with class designation 75</t>
  </si>
  <si>
    <t>Extra for depth for manholes :Size 90x80 cm
With common burnt clay F.P.S. (non modular) bricks of class designation 7.5</t>
  </si>
  <si>
    <t>19.18.1</t>
  </si>
  <si>
    <t>Supplying and fixing C.I. cover without frame for manholes :
455x610 mm rectangular C.I. cover (light duty) the weight
of the cover to be not less than 23 kg</t>
  </si>
  <si>
    <t>19.18.2</t>
  </si>
  <si>
    <t>Supplying and fixing C.I. cover without frame for manholes :
500 mm diameter C.I. cover (medium duty) the weight of the cover to be not less than 58 kg</t>
  </si>
  <si>
    <t>19.21.2</t>
  </si>
  <si>
    <t>Making connection of drain or sewer line with existing manhole including breaking into and making good the walls, floors with cement concrete 1:2:4 mix (1 cement : 2 coarse sand : 4 graded stone aggregate 20 mm nominal size) cement plastered on both sides with cement mortar 1:3 (1 cement : 3 coarse sand), finished with a floating coat of neat cement and making necessary channels for the drain etc. complete :
For pipes 250 to 300 mm diameter</t>
  </si>
  <si>
    <t>19.32.1</t>
  </si>
  <si>
    <t>Making soak pit 2.5 m diameter 3.0 metre deep with 45 x 45 cm dry brick honey comb shaft with bricks of class designation 75 and S.W. drain pipe 100 mm diameter, 1.8 m long complete as per standard design.
With common burnt clay F.P.S. (non modular) bricks of class designation 7.5</t>
  </si>
  <si>
    <t>21.1.1.1</t>
  </si>
  <si>
    <t xml:space="preserve">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For fixed portion:
Anodised aluminium (anodised transparent or dyed to required shade according to IS: 1868, Minimum anodic coating of grade AC 15) </t>
  </si>
  <si>
    <t>21.1.2.1</t>
  </si>
  <si>
    <t>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For shutters of doors, windows &amp; ventilators including providing and fixing hinges/ pivots and making provision for fixing of fittings wherever required including the cost of EPDM rubber / neoprene gasket required.
Anodised aluminium (anodised transparent or dyed to required shade according to IS: 1868, Minimum anodic coating of grade AC 15)</t>
  </si>
  <si>
    <t>21.3.2</t>
  </si>
  <si>
    <t>Providing and fixing glazing in aluminium door, window, ventilator shutters and partitions etc. with EPDM rubber / neoprene gasket etc. complete as per the architectural drawings and the directions of engineer-in-charge . (Cost of aluminium snap beading shall be paid in basic item):one side facial area only be measured for payment). 
With float glass panes of 5 mm thickness (weight not
less than 12.50 kg/sqm)</t>
  </si>
  <si>
    <t>Filling the gap in between aluminium frame &amp; adjacent RCC/ Brick/ Stone work by providing weather silicon sealant over backer rod of approved quality as per architectural drawings and direction of Engineer-in-charge complete.
Upto 5mm depth and 5 mm width</t>
  </si>
  <si>
    <t>Providing and applying fibre reinforced elastomeric liquid water proofing
membrane with resilient acrylic polymers having Sun Reflectivity Index
(SRI) of 105 on top of concrete roof in three coats @10.76 litre/ 10 sqm.
One coat of self-priming of elastomeric waterproofing liquid (dilution
with water in the ratio of 3:1) and two coats of undiluted elastomeric
waterproofing liquid (dry film thickness of complete application/system
not less than 500 microns). The operation shall be carried out after
scrapping and properly cleaning the surface to remove loose particles
with wire brushes, complete in all respect as per the direction of Engineer-
in-Charge..</t>
  </si>
  <si>
    <t>Providing and laying water proofing treatment in sunken portion of WCs, bathroom etc., by applying cement slurry mixed with water proofing cement compound consisting of applying :
(a) First layer of slurry of cement @ 0.488 kg/sqm mixed withwater proofing cement compound @ 0.253 kg/ sqm. This layer will be allowed to air cure for 4 hours.
(b) Second layer of slurry of cement @ 0.242 kg/sqm mixed with water proofing cement compound @ 0.126 kg/sqm. This layer will be allowed to air cure for 4 hours followed with water curing for 48 hours.
The rate includes preparation of surface, treatment and sealing of all joints, corners, junctions of pipes  and masonry with polymer mixed slurry.</t>
  </si>
  <si>
    <t>22.14.1</t>
  </si>
  <si>
    <t>Grading roof for water proofing treatment with Cement concrete 1:2:4  (1 cement : 2 coarse sand : 4 graded stone aggregate 20mm nominal size)</t>
  </si>
  <si>
    <t>22.23.2</t>
  </si>
  <si>
    <t>Providing and applying integral crystalline slurry of hydrophilic in nature for waterproofing treatment to the RCC structures like retaining walls of the basement, water tanks, roof slabs, podiums, reservior, sewage &amp; water treatment plant, tunnels / subway and bridge deck etc., prepared by mixing in the ratio of 5 : 2 (5 parts integral crystalline slurry : 2 parts water) for vertical surfaces and 3 : 1 (3 parts integral crystalline slurry : 1 part water) for horizontal surfaces and applying the same from negative (internal) side with the help of synthetic fiber brush. The material shall meet the requirements as specified in ACI- 212-3R-2010 i.e by reducing permeability of concrete by more than 90% compared with control concrete as per DIN 1048 and resistant to 16 bar hydrostatic pressure on negative side. The crystalline slurry shall be capable of self-healing of cracks up to a width of 0.50mm.
The work shall be carried out all complete as per specification and the direction of the engineer-in-charge. The product performance shall carry guarantee for 10 years against any leakage.
 For horizontal surface one coat @1.10 kg per sqm.</t>
  </si>
  <si>
    <t>26.86.3</t>
  </si>
  <si>
    <t xml:space="preserve">Providing and fixing factory made single extruded WPC (Wood Polymer Composite) solid door/window/clerestory windows &amp; desertory other Frames/Chowkhat comprising of virgin PVC polymer of K value 58-60 (Suspension Grade), calcium carbonate and natural fibers (wood powder/ rice husk/wheat husk) and non toxic additives (maximum toxicity index of 12 for 100 gms) fabricated with miter joints after applying PVC solvent cement and screwed with full body threaded star headed SS screws having minimum frame density of 750 kg/ cum, screw withdrawal strength of 2200 N (Face) &amp; 1100 N (Edge), minimum compressive strength of 58 N/mm2, modulus of elasticity 900 N/mm2 and resistance to spread of flame of Class A category with property of being termite/borer proof, water/moisture proof and fire retardant and fixed in position with M.S hold fast/lugs/SS dash fasteners of required dia and length complete as per direction of Engineer-In- Charge. (M.S hold fast/lugs or SS dash fasteners shall be paid for separately).
Note: For WPC solid door/window frames, minus 5mm tolerance in dimensions i.e depth and width of profile shall be acceptable. Variation in profile dimensions on plus side shall be acceptable but no extra payment on this account shall be made.
</t>
  </si>
  <si>
    <t>Frame size 50 x 100 mm</t>
  </si>
  <si>
    <t>26.86.4</t>
  </si>
  <si>
    <t>Frame size 50 x 125 mm</t>
  </si>
  <si>
    <t>Providing and fixing composite wall mixer with two inlets ( for cold and hot water ) one tap outlet and common shower out let with cp brass arm of required length for connection. Wall flanges lever controlled operation complete.( Jaquar,Hindware,parryware or Equivalent.)</t>
  </si>
  <si>
    <t>Providing and fixing CP brass over head arm of length minimum 30cm for fixing shower through 15mm GI pipe with wall flange.</t>
  </si>
  <si>
    <t>Providing and fixing CP flange washers for CP bib cocks</t>
  </si>
  <si>
    <t>Providing and fixing PVC shock absorbers for rear side of doors</t>
  </si>
  <si>
    <t>Providing and fixing stainless steel gratings with or with out hole for waste pipe for floor/nahni traps 100mm dia.</t>
  </si>
  <si>
    <t>Providing and placing with lime concrete Brick bat coba or cinder filling to the sunk floors in toilets well compacted carefully by hand beating to required slopes including consolidation, curing, mix shall be one part lime mortar 2 1bar 2 parts brick bat coba and finishing the same with the cement mortar 1 : 4, 1 cement : 4 coarse sand by adding water proof compound as per manufactures specifications : For toilet sunken portions.</t>
  </si>
  <si>
    <t>Supplying, laying,jointing ,testing and commisioning approved make upvc pipes SWR grade B conforming to IS 13592.The quoted rates shall include necessary fittings like Tees, bends, offsets etc. including MS angle with GI clamps complete:  160mm dia</t>
  </si>
  <si>
    <t>Supplying, laying,jointing ,testing and commisioning approved make upvc pipes SWR grade B conforming to IS 13592.The quoted rates shall include necessary fittings like Tees, bends, offsets etc. including MS angle with GI clamps complete:  110mm dia</t>
  </si>
  <si>
    <t>Supplying, laying,jointing ,testing and commisioning approved make upvc pipes SWR grade B conforming to IS 13592.The quoted rates shall include necessary fittings like Tees, bends, offsets etc. including MS angle with GI clamps complete:  75mm dia</t>
  </si>
  <si>
    <t>Supplying, laying,jointing ,testing and commisioning approved make upvc pipes SWR grade B conforming to IS 13592.The quoted rates shall include necessary fittings like Tees, bends, offsets etc. including MS angle with GI clamps complete:  40mm dia</t>
  </si>
  <si>
    <t>Supplying,installing,testing and commissioning approved make 15 mm CP health faucet with CP flexible tube 1.0 m long,CP crutch,nozzle and 2- way Bib Cock with wall flange etc. complete.( Jaquar,Hindware,parryware or Equivalent.)</t>
  </si>
  <si>
    <t>Providing and fixing of Galvanised wire mesh of average width of aperture 1.4 mm and nominal dia of wire 0.63 mm</t>
  </si>
  <si>
    <t>NS-14</t>
  </si>
  <si>
    <t>Supplying and fixing of approved make CP towel rail 600mm long including CP screws etc. complete. Jaquar make or equiavlent</t>
  </si>
  <si>
    <t>NS-15</t>
  </si>
  <si>
    <t>Supplying and fixing of approved make CP towel ring including CP screws with Fischer plugs etc. complete. (Jaquar,Hindware,parryware or Equivalent)</t>
  </si>
  <si>
    <t>NS-16</t>
  </si>
  <si>
    <t>Providing and fixing PVC floor trap including cost of cutting and making good the walls and floors :100mm inlet and 75mm outlet.</t>
  </si>
  <si>
    <t>NS-17</t>
  </si>
  <si>
    <t>Providing and fixing minimum 1.5 mm thick acrylic sheet of approved quality to toilet doors with screws and washers without damaging the edge of shutter.</t>
  </si>
  <si>
    <t>NS-18</t>
  </si>
  <si>
    <t>NS-19</t>
  </si>
  <si>
    <t>Supplying and fixing of approved make CP towel rail 600mm long including CP screws etc. complete. Jaquar make</t>
  </si>
  <si>
    <t>NS-20</t>
  </si>
  <si>
    <t>Supplying and fixing of approved make CP towel ring including CP screws with Fischer plugs etc. complete. Jaquar mode no. 1121 or equivalent</t>
  </si>
  <si>
    <t>NS-21</t>
  </si>
  <si>
    <t xml:space="preserve">Providing and Fixing anti skid ceramic floor tiles 300 mm X 300 mm (thickness to be specified by the manufacturer) of 1st quality confirming to IS 15622 of approved make in all colours laid on 20 mm thick bed of Cement mortar 1:4  (1 Cement:4 Coarse Sand) including pointing the joints with white cement mixed and matching pigments etc complete. </t>
  </si>
  <si>
    <t>NS-22</t>
  </si>
  <si>
    <t>Showcases in living rooms of quarters : Providing and fixing 500 mm deep box type wooden showcases with part open shelves, made with 19 mm thick commercial block boards in verticals and horizontals, backing with 6 mm ply board, front bottom portion with sliding shutters made with 19 mm thick commercial sliding shutters over heavy duty brass or stainless steel wheels in suitable aluminium channels of not less than 1.5 mm thick and 20 mm wide for easy movement of shutters, part top portion with 5 mm thick floated glass sliding shutters with brass or stainless steel wheels sliding in suitable aluminium channels, all external surfaces finished with 1 mm thick lamination and internal surfaces painted with synthetic enamel paint two or more coats over a coat of approved primer, all cut edges of boards fixed with 20 mm wide and 4 mm thick teak wood beadings, including cost of lamination, brass handles of suitable shape and size, all fixtures etc complete as per drawing and directions of Engineer-in-charge Facial area of showcase shall be measured for payment .</t>
  </si>
  <si>
    <t>NS-23</t>
  </si>
  <si>
    <t>Providing and fixing 20 mm thick commercial boards non decorative type core of block board construction with frame of first class hard wood and well matched commercial three ply veneering with vertical grains or cross bands and face vineers on both faces, fixed over 25 mm x 12 mm second class teak wood supports in to masonry, all cut edges of commercial boards finished with 20 mm x 4 mm teak wood beading, including painting with synthetic enamel paint on all surfaces over a coat of approved primer for shelves in cup boards or shoe racks complete in all respects as directed by Engineer-in-charge Area of each board or shelf shall be measured for payment.</t>
  </si>
  <si>
    <t>NS-24</t>
  </si>
  <si>
    <t>Providing and fixing 1 mm thick matt finish lamination of approved shade and quality over commercial board shutters with Fevicol / rubberised  adhesive complete in all respects as directed by Engineer-in-charge ( For wardrobes shutters in quarters ).</t>
  </si>
  <si>
    <t>NS-25</t>
  </si>
  <si>
    <t xml:space="preserve">Supplying &amp; Fixing of SS AISI-316 Soap Dish (150 mm Length) fixed to the wall with PVC rubber plug with CP brass screws (Make: Kich/Jaquar/Roca/ Arch/ D-Line or Equivalent). </t>
  </si>
  <si>
    <t>per bag of 50kg cement used</t>
  </si>
  <si>
    <t>Mtr</t>
  </si>
  <si>
    <t>set</t>
  </si>
  <si>
    <t>Kg.</t>
  </si>
  <si>
    <t>mtr</t>
  </si>
  <si>
    <t>Sqm.</t>
  </si>
  <si>
    <t>Sq m</t>
  </si>
  <si>
    <t>A.II CIVIL WORKS (NON-SCHEDULE ITEMS)</t>
  </si>
  <si>
    <t>Supplying and fixing of following sizes of medium class PVC conduit along with accessories in surface/recess including cutting the wall and making good the same in case of recessed conduit as required. 20 mm dia (for TV Cable/Telephone Cable).</t>
  </si>
  <si>
    <t>Supplying and fixing of following sizes of medium class PVC conduit along with accessories in surface/recess including cutting the wall and making good the same in case of recessed conduit as required.25 mm dia (for Electrical wiring).</t>
  </si>
  <si>
    <t>1.18.2</t>
  </si>
  <si>
    <t>Supplying and drawing 2 pair 0.5 mm dia FRLS PVC insulated annealed copper conductor, unarmored telephone cable in the existing surface/ recessed steel/ PVC conduit as required.</t>
  </si>
  <si>
    <t>Supplying and drawing co-axial TV cable RG-6 grade, 0.7 mm solid copper conductor PE insulated, shielded with fine tinned copper braid and protected with PVC sheath in the existing surface/ recessed steel/ PVC conduit as required.</t>
  </si>
  <si>
    <t>Wiring for circuit/ submain wiring alongwith earth wire with the following sizes of FRLS PVC insulated copper conductor, single core cable in surface/ recessed medium class PVC conduit as required. 2 X 2.5 sq. mm + 1 X 2.5 sq. mm earth wire</t>
  </si>
  <si>
    <t>Wiring for circuit/ submain wiring alongwith earth wire with the following sizes of FRLS PVC insulated copper conductor, single core cable in surface/ recessed medium class PVC conduit as required.2 X 4 sq. mm + 1 X 4 sq. mm earth wire</t>
  </si>
  <si>
    <t>1.14.6</t>
  </si>
  <si>
    <t>Wiring for circuit/ submain wiring alongwith earth wire with the following sizes of FRLS PVC insulated copper conductor, single core cable in surface/ recessed medium class PVC conduit as required. 2 X 16 sq. mm + 1 X 6 sq. mm earth wire</t>
  </si>
  <si>
    <t>Wiring for light point/ fan point/ exhaust fan point/ call bell point with 1.5 sq.mm FRLS PVC insulated copper conductor single core cable in surface / recessed medium class PVC conduit. - Group B</t>
  </si>
  <si>
    <t>Wiring for light point/ fan point/ exhaust fan point/ call bell point with 1.5 sq.mm FRLS PVC insulated copper conductor single core cable in surface / recessed medium class PVC conduit. - Group C</t>
  </si>
  <si>
    <t>Wiring for twin control light point point with 1.5 sq.mm FRLS PVC insulated copper conductor single core cable in surface / recessed medium class PVC conduit. 2 way modular switch , modular plate, suitable GI box and earthing the point with 1.5 sq mm FRLS PVC insulated copper conductor single core cable etc as required.</t>
  </si>
  <si>
    <t>1.27.1</t>
  </si>
  <si>
    <t>Supplying and fixing following size/ modules, GI box along with modular base &amp; cover plate for modular switches in recess etc as required. 1 or 2 Module (75mmX75mm) for TV/Telephone outlet sockets.</t>
  </si>
  <si>
    <t>1.27.2</t>
  </si>
  <si>
    <t>Supplying and fixing following size/ modules, GI box along with modular base &amp; cover plate for modular switches in recess etc as required. 3 Module (100mmX75mm)</t>
  </si>
  <si>
    <t xml:space="preserve">Supplying and fixing following size/ modules, GI box alongwith modular base &amp; cover plate for modular switches in recess etc as required. 4 module (125mmX75mm)        </t>
  </si>
  <si>
    <t xml:space="preserve">Supplying and fixing following size/ modules, GI box alongwith modular base &amp; cover plate for modular switches in recess etc as required. 6 module (200mmX75mm)                           </t>
  </si>
  <si>
    <t xml:space="preserve">Supplying and fixing following size/ modules, GI box alongwith modular base &amp; cover plate for modular switches in recess etc as required. 8 module (125mmX125mm)                           </t>
  </si>
  <si>
    <t>1.27.6</t>
  </si>
  <si>
    <t xml:space="preserve">Supplying and fixing following size/ modules, GI box alongwith modular base &amp; cover plate for modular switches in recess etc as required. 12 module (200mmX150mm)                           </t>
  </si>
  <si>
    <t>Supplying and fixing following modular switch/ socket on the existing modular plate &amp; switch box including connections but excluding modular plate etc. as required. 5/6 amps switch (for light and 5/6A power points socket)</t>
  </si>
  <si>
    <t>1.24.3</t>
  </si>
  <si>
    <t>Supplying and fixing following modular switch/ socket on the existing modular plate &amp; switch box including connections but excluding modular plate etc. as required.15/16 amp switch</t>
  </si>
  <si>
    <t>Supplying and fixing following modular switch/ socket on the existing modular plate &amp; switch box including connections but excluding modular plate etc. as required. 3 pin 5/6 amp socket outlet</t>
  </si>
  <si>
    <t>1.24.5</t>
  </si>
  <si>
    <t xml:space="preserve"> Supplying and fixing following modular switch/ socket on the existing modular plate &amp; switch box including connections but excluding modular plate etc. as required. 6 pin 15/16 amp socket outlet</t>
  </si>
  <si>
    <t>Supplying and fixing following modular switch/ socket on the existing modular plate &amp; switch box including connections but excluding modular plate etc. as required. TV antenna socket outlet</t>
  </si>
  <si>
    <t>1.24.6</t>
  </si>
  <si>
    <t>Supplying and fixing following modular switch/ socket on the existing modular plate &amp; switch box including connections but excluding modular plate etc. as required. Telephone socket outlet</t>
  </si>
  <si>
    <t>Supplying and fixing following modular switch/ socket on the existing modular plate &amp; switch box including connections but excluding modular plate etc. as required. Bell push</t>
  </si>
  <si>
    <t>Supplying and fixing cell bell /buzzer suitable for single phase,230V, complete as required</t>
  </si>
  <si>
    <t>Installation, testing and commissioning of  wall bucket/ceiling fitting of all size and shape containing upto 2 GSL/CFL/LED lamp per fitting complete with all accessories including connections etc as required.</t>
  </si>
  <si>
    <t>Installation of exhaust fan in the existing opening, including making good the damage, connection, testing, commissioning etc. as required.</t>
  </si>
  <si>
    <t>5.2</t>
  </si>
  <si>
    <t>Earthing with G.I. earth pipe 4.5 metre long, 40 mm dia including accessories, and providing masonry enclosure with cover plate having locking arrangement and watering pipe etc. with charcoal/ coke and salt as required.</t>
  </si>
  <si>
    <t>Supplying and laying 6 SWG G.I. wire at 0.50 metre below ground level for conductor earth electrode, including connection/ termination with GI thimble etc. as required.</t>
  </si>
  <si>
    <t>Providing and fixing 25 mm X 5 mm GI strips on surface or in recess for connection etc as required. (From main electrical earthing bus bar to MCB boxes, room DBs etc)</t>
  </si>
  <si>
    <t>Providing and fixing suitable size GI box with modular plate and cover in front on surface or In recess including providing and fixing 25 A modular socket outlet and 25 A modular SP MCB, "C" curve including connection, painting etc as required.</t>
  </si>
  <si>
    <t>Supplyng and fixing 3 pin 5 A ceiling rose on the existing junction box/wooden block including connection etc as required.</t>
  </si>
  <si>
    <t>Supplyng and fixing modular blanking plate on the existing modular plate and switch box excluding modular plate as required.</t>
  </si>
  <si>
    <t>Supplying and fixing 5A to 32A rating 240/415V 10kA 'C' Curve, MCB suitable for inductive load of following poles in existing MCB DB complete with connections, testing, commissioning etc., as required - Single Pole</t>
  </si>
  <si>
    <t>2.10.3</t>
  </si>
  <si>
    <t>Supplying and fixing 5A to 32A rating 240/415V 10kA 'C' Curve, MCB suitable for inductive load of following poles in existing MCB DB complete with connections, testing, commissioning etc., as required - Double Pole</t>
  </si>
  <si>
    <t>Supply, Installation, Testing and Commissioning of 1200 mm sweep,
BEE 5 star rated, ceiling fan with Brush Less Direct Current (BLDC)
Motor, class of insulation: B, 3 nos. blades, 30 cm long down rod, 2
nos. canopies, shackle kit, safety rope, copper winding, Power Factor
not less than 0.9, Service Value (CM/M/W) minimum 6.00, Air delivery
minimum 210 Cum/Min , 350 RPM (tolerance as per IS : 374-2019),
THD less than 10%, remote or electronic regulator unit for speed
control and all remaining accessories including safety pin, nut bolts,
washers, temperature rise=75 degree C (max.), insulation resistance
more than 2 mega ohm, suitable for 230 V, 50 Hz, single phase AC
Supply, earthing etc. complete as required.</t>
  </si>
  <si>
    <t>Nos.</t>
  </si>
  <si>
    <t>ELECTRICAL WORKS (NON-SCHEDULE)</t>
  </si>
  <si>
    <t>Main Distribution Board for B Type Quarter for Each Block:
Supply, installation and commissioning pre-wired, factory fabricated, distribution board of steel sheet (thickness not less than 1.6mm) for 415V AC system, IP-
52 protected duly powder coated paint, with tinned copper bus bars of suitable size, incoming, out going and internal cable/wires termination including Glanding, Energy meters, connecting with earth pit with 2 runs of copper wire/strip (excl supply copper wire/Strip) supply, installation and terminaof MCCB, MCBs of Type-C, 10kA Short circuit rating), in complete shape along with any other required accessories, with following configuration:
i. 200A FPMCCB - 1 No
ii. Busbars for 3-Phases, Neutral and Earthing
iii. 63A, FP MCBs - 4 No.
iv. 32A, FP MCBs - 3 No.
v. 16A-SP MCBs - 4 No.
vi. Direct Connected (with out CT) 3-Phase, 4-Wire -4No.
Static Energy meters (LCD display) of class 1.0 or better
accuracy, with kWh, kVAh,kVARh, MD with Min current
rating starting from 0A and Max. current rating should not be
less than 60A
v. Red, Yellow, Blue LED indicating lamps for each
phase of incomer
vi)Mounting Arrangement: Suitable stand shall be provided for Wall mounting with stang extended upto ground level.</t>
  </si>
  <si>
    <t>Distribution Board in Individual Flats : 
Supply, installation and commissioning pre-wired, factory fabricated,
distribution board of steel sheet for 415V AC system, with double door arrangement, IP-52 protected duly powder coated paint with tinned copper bus bars of suitable size, RCCB/ MCBs of Type-C, 10kA Short circuit
rating) , with following configuration:
i. 63A Four Pole(3Phase and Neutral) RCCB, 30mA - 1 No
ii. Busbars for 3-Phases, Neutral and Earthing
iii, 32A SPMCBs - 6 No.
iv. 16A, SPMCBs - 8 No.
v. 6A, SPMCB - 5 No.
vi. Red, Yellow, Blue LED indicating lamps for each
phase (connected at the output of RCCB)
4 way (4 + 12), Double door, horizontal TPN DB</t>
  </si>
  <si>
    <t>Supply,laying &amp; Erection, Termination, commissioning 1.1KV GRADE 3.5CX95 SQMM ARMOURED (XLPE) wire armoured cable POWER CABLE (including accessories)</t>
  </si>
  <si>
    <t>Supply,laying  &amp; Erection, Termination, commissioning including accessories 1.1KV GRADE 4CX16 SQMM (PVC) POWER COPPER CABLE (including accessories)</t>
  </si>
  <si>
    <t>Supplying and fixing of 20A DP modular switch with modular plate, GI box along with modular base &amp; cover plate including connections as required (for Geyser, to be taken direcly from flat DB).</t>
  </si>
  <si>
    <t>Supply &amp; Installation of Wall mounted exhaust fan (12" dia.) of decorative plastic/metal body and blade with louvers on the outside of approved make.</t>
  </si>
  <si>
    <t>Supply &amp; Installation of Wall mounted exhaust fan (9"/10" dia.) of decorative plastic body and blade with louvers on the outside of approved make.</t>
  </si>
  <si>
    <t>Supply of Surface mounted circular LED downlight luminaire type SC-I 18W</t>
  </si>
  <si>
    <t>Surface mounted linear LED tube with Box type SL-1 similar to Crompton Light Linea 20W LED Tube Light (cool day light) or equivalent.</t>
  </si>
  <si>
    <t>Supply of LED Wall Lamp for Mirror LED bulb  7.5 W</t>
  </si>
  <si>
    <t xml:space="preserve">Supply of Surface mounted 2X2 LED Luminaire Type SSQ-1  36W </t>
  </si>
  <si>
    <t>Supply of Surface Mounted Bulkhead LED Light Fitting Type BL 10W LED</t>
  </si>
  <si>
    <t xml:space="preserve">Supply of Wall Lamp with 17 W LED Bulb </t>
  </si>
  <si>
    <t>Oudoor, Floor mounted Telephone phone Junction Box of minimum 4 130 pair, with terminals with IP-55 protection, with gland plate suitable for at least 10Nos. of cable entry</t>
  </si>
  <si>
    <t>Telephone phone Junction Box (of minimum 8 pair), with terminals, concealed type (including supply and laying of 75mmPVC pipe of for incoming cable up to 10m length)</t>
  </si>
  <si>
    <t>Telephone Instruments with caller Id of reputed make</t>
  </si>
  <si>
    <t>50 pair armoured Telephone cable: Supply, Laying direct in ground as per IS1255 including excavation, sand cushioning, Bricks, protective covering, back filling</t>
  </si>
  <si>
    <t>10pair armoured Telephone cable: Supply, Laying direct in ground as per IS1255 including excavation, sand cushioning, Bricks, protective
covering, back filling</t>
  </si>
  <si>
    <t>TOTAL PRICE AGAINST ELECTRICAL WORKS</t>
  </si>
  <si>
    <t>TOTAL CONTRACT PRICE AGAINST SHAHJAHANPUR S/s (PART A)</t>
  </si>
  <si>
    <t>DESIGN MIX CONCRETE
Providing and laying in position ready mixed or site batched design mix cement concrete  for reinforced cement concrete work, using coarse aggregate and fine aggregates derived from natural sources, Potrland Puzzzolana/ Ordinary Portland/ Portland slag, admixutues in recommneded proportions as per IS: 9103 to accelerate/ retard setting of concrete   to improve workability without impairing strength and including pumping of concrete to site of laying, curing, carriage for all leads but excluding cost of centering, shuttering, finishing &amp; reinforcement as per direction of Engineer-in-charge.
Note: Extra cement up to 10% of the minimum specified cement content
in design mix shall be payable separately. In case the cement content
in design mix is more than 110% of the specified minimum cement
content, the contractor shall have discretion to either re-design the mix
or bear the cost of extra cement. 
All works upto plinth level, Concrete of M25 grade with minimum cement
content of 330 kg /cum</t>
  </si>
  <si>
    <t>DESIGN MIX CONCRETE
Providing and laying in position ready mixed or site batched design mix cement concrete  for reinforced cement concrete work, using coarse aggregate and fine aggregates derived from natural sources, Potrland Puzzzolana/ Ordinary Portland/ Portland slag, admixutues in recommneded proportions as per IS: 9103 to accelerate/ retard setting of concrete   to improve workability without impairing strength and including pumping of concrete to site of laying, curing, carriage for all leads but excluding cost of centering, shuttering, finishing &amp; reinforcement as per direction of Engineer-in-charge.Note: Extra cement up to 10% of the minimum specified cement content
in design mix shall be payable separately. In case the cement content
in design mix is more than 110% of the specified minimum cement
content, the contractor shall have discretion to either re-design the mix
or bear the cost of extra cement Concrete of M25 grade                                     All works above plinth level upto floor V level,Concrete of M25 grade with minimum cement
content of 330 kg /cum</t>
  </si>
  <si>
    <t>Providing and fixing panelling or panelling and glazing in panelled or
panelled and glazed shutters for doors, windows and clerestory windows
(Area of opening for panel inserts excluding portion inside grooves or
rebates to be measured). Panelling for panelled or panelled and glazed
shutters 25 mm to 40 mm thick :Float glass panes 5.0 mm thick glass panes (weight not less
than 12.50 kg/sqm).</t>
  </si>
  <si>
    <t>Three track three panels sliding door with two glazed &amp; one wire mesh panels with Aluminium channel for roller track, wool pile, zinc alloy (zamak) powder coated handle on two panels along with multi-point locking system, adjustable nylon rollers with SS 304 body.
Using R3 series with frame (98mm &amp; above) x (40mm &amp; above) &amp; both glazed and fly screen sash (30mm &amp; above) x (74mm &amp; above). (Height upto 2.5 metre)</t>
  </si>
  <si>
    <t>Providing and fixing stainless steel (SS-304 grade) friction hinges to the side/ top hung uPVC windows, of approved quality, with necessary stainless steel screws etc. as per direction of Engineer-in-charge.
250x19x1.9 mm</t>
  </si>
  <si>
    <t>Steel work welded in built up sections/ framed work, including cutting, hoisting, fixing in position and applying a priming coat of approved steel primer using structural steel etc. as required including Painting with synthetic enamel paint.
In gratings, frames, guard bar, ladder, railings, brackets, gatesand similar works</t>
  </si>
  <si>
    <t>Steel work welded in built up sections/ framed work, including cutting, hoisting, fixing in position and applying a priming coat of approved steel primer using structural steel etc. as required.
In gratings, frames, guard bar, ladder, railings, brackets, gates and similar works</t>
  </si>
  <si>
    <t>Providing gola 75x75 mm in cement concrete 1:2:4 (1 cement : 2 coarse sand : 4 stone aggregate 10 mm and down gauge), including finishing with cement mortar 1:3 (1 cement : 3 fine sand) as per standard design 
In 75x75 mm deep chase</t>
  </si>
  <si>
    <t xml:space="preserve">
Finishing walls with Premium Acrylic Smooth exterior paint with Silicone additives of required shade:
New work (Two or more coats applied @ 1.43 ltr/10 sqm over and including priming coat of exterior primer applied @0.9ltr/10 sqm)</t>
  </si>
  <si>
    <r>
      <rPr>
        <b/>
        <u/>
        <sz val="12"/>
        <rFont val="Book Antiqua"/>
        <family val="1"/>
      </rPr>
      <t xml:space="preserve">PART B </t>
    </r>
    <r>
      <rPr>
        <b/>
        <sz val="12"/>
        <rFont val="Book Antiqua"/>
        <family val="1"/>
      </rPr>
      <t>-  Extension of residential quarters 2 nos C type &amp; 2 nos B2 type quarters over the existing C type &amp; B2 type at  765/400 KV Sohawal Substation</t>
    </r>
  </si>
  <si>
    <t>B.II Civil Works (Non-Schedule BoQ Items)</t>
  </si>
  <si>
    <t>NS-26</t>
  </si>
  <si>
    <t xml:space="preserve">	Supplying, Drilling/Cleaning hole and injecting Hilti make ETA approved HIT-HY200-R-V3 chemical. Application to be designed separately for Rebars as Simply Supported, Moment or Splice Connection as per EC2 TR023/ HIT Rebar Method/ TR 069 or relevant tested and accepted rebar guidelines. The chemical should have ETA approval for 100/120 years’ service life &amp; seismic rebar as a minimum qualifying criteria. Drilling hole with precision to ensure dust-free clean holes and proper bonding of chemical to the required depth, filling resin and hardener using serrated nozzle to eliminate mixing error with standard HDE A22 battery dispenser along with piston plug. The installation and the setting instructions should be strictly followed as per the manufacturer’s recommendations. The adequate diameter and embedment of rebars to be decided as per PROFIS Software &amp; the report to be submitted to the project manager/ design engineer for approval.
</t>
  </si>
  <si>
    <t>12mm (Depth as per design) (Assumed 25D)</t>
  </si>
  <si>
    <t>16mm (Depth as per design)</t>
  </si>
  <si>
    <t>20mm (Depth as per design)</t>
  </si>
  <si>
    <t>25mm (Depth as per design)</t>
  </si>
  <si>
    <t>ELECETRICAL WORKS (NON-SCHEDULE)</t>
  </si>
  <si>
    <r>
      <rPr>
        <b/>
        <sz val="12"/>
        <color theme="1"/>
        <rFont val="Times New Roman"/>
        <family val="1"/>
      </rPr>
      <t xml:space="preserve">Main Distribution Board for B Type Quarter for Each Block:
</t>
    </r>
    <r>
      <rPr>
        <sz val="12"/>
        <color theme="1"/>
        <rFont val="Times New Roman"/>
        <family val="1"/>
      </rPr>
      <t xml:space="preserve">
Supply, installation and commissioning pre-wired, factory fabricated, distribution board of steel sheet (thickness not less than 1.6mm) for 415V AC system, IP-
52 protected duly powder coated paint, with tinned copper bus bars of suitable size, incoming, out going and internal cable/wires termination including Glanding, Energy meters, connecting with earth pit with 2 runs of copper wire/strip (excl supply copper wire/Strip) supply, installation and terminaof MCCB, MCBs of Type-C, 10kA Short circuit rating), in complete shape along with any other required accessories, with following configuration:
i. 200A FPMCCB - 1 No
ii. Busbars for 3-Phases, Neutral and Earthing
iii. 63A, FP MCBs - 4 No.
iv. 32A, FP MCBs - 3 No.
v. 16A-SP MCBs - 4 No.
vi. Direct Connected (with out CT) 3-Phase, 4-Wire -4No.
Static Energy meters (LCD display) of class 1.0 or better
accuracy, with kWh, kVAh,kVARh, MD with Min current
rating starting from 0A and Max. current rating should not be
less than 60A
v. Red, Yellow, Blue LED indicating lamps for each
phase of incomer
vi)Mounting Arrangement: Suitable stand shall be provided for Wall mounting with stang extended upto ground level.</t>
    </r>
  </si>
  <si>
    <r>
      <rPr>
        <b/>
        <sz val="12"/>
        <color theme="1"/>
        <rFont val="Times New Roman"/>
        <family val="1"/>
      </rPr>
      <t xml:space="preserve">Distribution Board in Individual Flats : 
</t>
    </r>
    <r>
      <rPr>
        <sz val="12"/>
        <color theme="1"/>
        <rFont val="Times New Roman"/>
        <family val="1"/>
      </rPr>
      <t>Supply, installation and commissioning pre-wired, factory fabricated,
distribution board of steel sheet for 415V AC system, with double door arrangement, IP-52 protected duly powder coated paint with tinned copper bus bars of suitable size, RCCB/ MCBs of Type-C, 10kA Short circuit
rating) , with following configuration:
i. 63A Four Pole(3Phase and Neutral) RCCB, 30mA - 1 No
ii. Busbars for 3-Phases, Neutral and Earthing
iii, 32A SPMCBs - 6 No.
iv. 16A, SPMCBs - 8 No.
v. 6A, SPMCB - 5 No.
vi. Red, Yellow, Blue LED indicating lamps for each
phase (connected at the output of RCCB)
4 way (4 + 12), Double door, horizontal TPN DB</t>
    </r>
  </si>
  <si>
    <t>Total Contract Price (Part A + Part B)</t>
  </si>
  <si>
    <t xml:space="preserve"> Total Contract Price pertaining to Sohawal Sub-station ( Part B )</t>
  </si>
  <si>
    <t>Extension of residential quarters 2 nos C type &amp; 2 nos B2 type quarters over the existing C type &amp; B2 type at 400/220 KV Shahjahanpur &amp; 765/400 KV Sohawal Substation</t>
  </si>
  <si>
    <t>Sch-1 (Civil Works) :</t>
  </si>
  <si>
    <t>Sch-2 (Summary of Taxes and Duties applicable on the BoQ Items) :</t>
  </si>
  <si>
    <t>Regional Procurement Cell</t>
  </si>
  <si>
    <t>NR-III, RHQ</t>
  </si>
  <si>
    <t>Plot No 2A/INS 02, Awadh Vihar Yojna,</t>
  </si>
  <si>
    <t>Amar Shaheed Path, Lucknow- 226 002</t>
  </si>
  <si>
    <t>TOTAL PRICE FOR CIVIL WORKS (SCHEDULE ITEMS)</t>
  </si>
  <si>
    <t>TOTAL PRICE AGAINST CIVIL WORKS (NON-SCHEDULE ITEMS)</t>
  </si>
  <si>
    <t>Part A.II ELECTRICAL WORKS (SHAHJAHANPUR S/s)</t>
  </si>
  <si>
    <t>TOTAL PRICE AGAINST CIVIL WORKS (SCHEDULE + NON-SCHEDULE) at SHAHJAHANPUR S/s</t>
  </si>
  <si>
    <t>TOTAL PRICE AGAINST CIVIL WORKS (SCHEDULE ITEMS) AT SOHAWAL S/s</t>
  </si>
  <si>
    <t>TOTAL FOR CIVIL ITEMS (SCHEDULE + NON-SCHEDULE) AT SOHAWAL S/s</t>
  </si>
  <si>
    <t>Total Price against Electrical Items under Sohawal Sub-station</t>
  </si>
  <si>
    <t>We declare that as specified in Clause 11.5, Section –II:ITB, Vol.-I of the Bidding Documents, prices quoted by us in the Price Schedules shall be in line with the bid documents &amp; Contract Agreement.</t>
  </si>
  <si>
    <t>Providing and fixing Stainless Steel A ISI 304 (18/8) kitchen sink as per IS:13983 with C.I. brackets and stainless steel plug 40 mm, including painting of fittings and brackets, cutting and making good the walls wherever required :
Kitchen sink with drain board
510x1040 mm bowl depth 250 mm</t>
  </si>
  <si>
    <t>Providing and fixing PVC waste pipe for sink or wash basin including PVC waste fittings complete
Flexible pipe
32 mm dia</t>
  </si>
  <si>
    <t>Providing and fixing C.P. brass shower rose with 15 or 20 mm inlet :
100 mm diameter</t>
  </si>
  <si>
    <r>
      <t>Providing and fixing aluminium work for doors, windows, ventilators and partitions with extruded built up standard tubular sections/ appropriate Z sections and other sections of approved make conforming to IS: 733 and IS: 1285, fixing with dash fasteners of required dia and size, including necessary filling up the gaps at junctions, i.e. at top, bottom and sides with required EPDM rubber/ neoprene gasket etc. Aluminium sections shall be smooth, rust free, straight, mitred and jointed mechanically wherever required including cleat angle, Aluminium snap beading for glazing / paneling, C.P. brass / stainless steel screws, all complete as per architectural drawings and the directions of Engineer-in-charge. (Glazing, paneling and dash fasteners to be paid for separately) :
For shutters of doors, windows &amp; ventilators</t>
    </r>
    <r>
      <rPr>
        <b/>
        <sz val="12"/>
        <color theme="1"/>
        <rFont val="Times New Roman"/>
        <family val="1"/>
      </rPr>
      <t xml:space="preserve"> including providing and fixing hinges/ pivots and making provision for fixing of fittings</t>
    </r>
    <r>
      <rPr>
        <sz val="12"/>
        <color theme="1"/>
        <rFont val="Times New Roman"/>
        <family val="1"/>
      </rPr>
      <t xml:space="preserve"> wherever required including the cost of EPDM rubber / neoprene gasket required.
Anodised aluminium (anodised transparent or dyed to required shade according to IS: 1868, Minimum anodic coating of grade AC 15)</t>
    </r>
  </si>
  <si>
    <t xml:space="preserve">Providing and fixing factory made single extruded WPC (Wood Polymer Composite) solid plain flush door shutter of required size comprising of virgin polymer of K value 58-60 (Suspension Grade), calcium carbonate and natural fibers (wood powder/ rice husk/wheat husk) and non toxic additives (maximum toxicity index of 12 for 100 gms) having minimum density of 650 kg/cum and screw withdrawal strength of 1800 N (Face) &amp;
900 N (Edge), minimum compressive strength 50 N/mm2, modulus of elasticity 850 N/mm2 and resistance to spread of flame of Class A category with property of being termite/borer proof, water/moisture proof and fire retardant and fixing with stainless steel butt hinges of required size with necessary full body threaded star headed counter sunk S.S screws, all as per direction of Engineer-In- Charge. (Note: stainless steel butt hinges and necessary S.S screws shall be paid separately)
</t>
  </si>
  <si>
    <t>26.87.1</t>
  </si>
  <si>
    <t>30 mm thick</t>
  </si>
  <si>
    <t>26.87.2</t>
  </si>
  <si>
    <t xml:space="preserve"> 35 mm thick</t>
  </si>
  <si>
    <t>NR3/NT/W-CIVIL/DOM/K00/25/09879 (Rfx No.5002004724)</t>
  </si>
  <si>
    <t>Extra for pre finished nosing to treads of steps of marble stone.</t>
  </si>
  <si>
    <t>GST calculated as per Rate of GST confirmed by Bidder</t>
  </si>
  <si>
    <t xml:space="preserve">    DGM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</si>
</sst>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
  </numFmts>
  <fonts count="100">
    <font>
      <sz val="11"/>
      <name val="Book Antiqua"/>
      <family val="1"/>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sz val="12"/>
      <color indexed="16"/>
      <name val="Book Antiqua"/>
      <family val="1"/>
    </font>
    <font>
      <sz val="18"/>
      <color indexed="10"/>
      <name val="Book Antiqua"/>
      <family val="1"/>
    </font>
    <font>
      <b/>
      <sz val="14"/>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9"/>
      <name val="Book Antiqua"/>
      <family val="1"/>
    </font>
    <font>
      <sz val="12"/>
      <color indexed="56"/>
      <name val="Book Antiqua"/>
      <family val="1"/>
    </font>
    <font>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10"/>
      <name val="Book Antiqua"/>
      <family val="1"/>
    </font>
    <font>
      <b/>
      <sz val="12"/>
      <name val="Times New Roman"/>
      <family val="1"/>
    </font>
    <font>
      <sz val="11"/>
      <color indexed="8"/>
      <name val="Calibri"/>
      <family val="2"/>
    </font>
    <font>
      <sz val="14"/>
      <name val="AngsanaUPC"/>
      <family val="1"/>
      <charset val="222"/>
    </font>
    <font>
      <b/>
      <sz val="15"/>
      <color rgb="FFFF0000"/>
      <name val="Book Antiqua"/>
      <family val="1"/>
    </font>
    <font>
      <b/>
      <sz val="15"/>
      <color rgb="FFFF0000"/>
      <name val="Times New Roman"/>
      <family val="1"/>
    </font>
    <font>
      <sz val="18"/>
      <name val="Book Antiqua"/>
      <family val="1"/>
    </font>
    <font>
      <b/>
      <sz val="18"/>
      <name val="Book Antiqua"/>
      <family val="1"/>
    </font>
    <font>
      <b/>
      <sz val="15"/>
      <name val="Book Antiqua"/>
      <family val="1"/>
    </font>
    <font>
      <b/>
      <sz val="14"/>
      <color rgb="FFFF0000"/>
      <name val="Book Antiqua"/>
      <family val="1"/>
    </font>
    <font>
      <b/>
      <sz val="16"/>
      <color indexed="8"/>
      <name val="Palatino Linotype"/>
      <family val="1"/>
    </font>
    <font>
      <b/>
      <sz val="16"/>
      <name val="Palatino Linotype"/>
      <family val="1"/>
    </font>
    <font>
      <sz val="15"/>
      <name val="Book Antiqua"/>
      <family val="1"/>
    </font>
    <font>
      <sz val="15"/>
      <color indexed="9"/>
      <name val="Book Antiqua"/>
      <family val="1"/>
    </font>
    <font>
      <b/>
      <sz val="15"/>
      <color indexed="9"/>
      <name val="Book Antiqua"/>
      <family val="1"/>
    </font>
    <font>
      <sz val="18"/>
      <color indexed="9"/>
      <name val="Book Antiqua"/>
      <family val="1"/>
    </font>
    <font>
      <sz val="18"/>
      <color rgb="FFFF0000"/>
      <name val="Book Antiqua"/>
      <family val="1"/>
    </font>
    <font>
      <sz val="12"/>
      <color indexed="8"/>
      <name val="Book Antiqua"/>
      <family val="1"/>
    </font>
    <font>
      <b/>
      <sz val="12"/>
      <color theme="1"/>
      <name val="Book Antiqua"/>
      <family val="1"/>
    </font>
    <font>
      <b/>
      <sz val="16"/>
      <color rgb="FF000000"/>
      <name val="Book Antiqua"/>
      <family val="1"/>
    </font>
    <font>
      <sz val="14"/>
      <name val="Book Antiqua"/>
      <family val="1"/>
    </font>
    <font>
      <sz val="10"/>
      <color rgb="FF000000"/>
      <name val="Arial"/>
      <family val="2"/>
    </font>
    <font>
      <sz val="12"/>
      <color theme="1"/>
      <name val="Book Antiqua"/>
      <family val="1"/>
    </font>
    <font>
      <sz val="11"/>
      <name val="Calibri"/>
      <family val="2"/>
      <scheme val="minor"/>
    </font>
    <font>
      <sz val="12"/>
      <color theme="1"/>
      <name val="Calibri"/>
      <family val="2"/>
      <scheme val="minor"/>
    </font>
    <font>
      <sz val="12"/>
      <color theme="1"/>
      <name val="Times New Roman"/>
      <family val="1"/>
    </font>
    <font>
      <sz val="11"/>
      <color theme="1"/>
      <name val="Times New Roman"/>
      <family val="1"/>
    </font>
    <font>
      <sz val="12"/>
      <name val="Calibri"/>
      <family val="2"/>
      <scheme val="minor"/>
    </font>
    <font>
      <b/>
      <sz val="14"/>
      <color theme="1"/>
      <name val="Calibri"/>
      <family val="2"/>
      <scheme val="minor"/>
    </font>
    <font>
      <sz val="11"/>
      <color theme="1"/>
      <name val="Book Antiqua"/>
      <family val="1"/>
    </font>
    <font>
      <sz val="11"/>
      <color rgb="FF000000"/>
      <name val="Calibri"/>
      <family val="2"/>
    </font>
    <font>
      <b/>
      <sz val="16"/>
      <color theme="1"/>
      <name val="Calibri"/>
      <family val="2"/>
      <scheme val="minor"/>
    </font>
    <font>
      <b/>
      <u/>
      <sz val="12"/>
      <color rgb="FF000000"/>
      <name val="Book Antiqua"/>
      <family val="1"/>
    </font>
    <font>
      <b/>
      <sz val="16"/>
      <name val="Book Antiqua"/>
      <family val="1"/>
    </font>
    <font>
      <sz val="12"/>
      <color rgb="FF000000"/>
      <name val="Book Antiqua"/>
      <family val="1"/>
    </font>
    <font>
      <b/>
      <sz val="12"/>
      <color theme="1"/>
      <name val="Times New Roman"/>
      <family val="1"/>
    </font>
    <font>
      <sz val="11"/>
      <color rgb="FFFF0000"/>
      <name val="Book Antiqua"/>
      <family val="1"/>
    </font>
    <font>
      <sz val="12"/>
      <color rgb="FFFF0000"/>
      <name val="Book Antiqua"/>
      <family val="1"/>
    </font>
    <font>
      <sz val="11"/>
      <color rgb="FFFF0000"/>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50"/>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1" tint="0.499984740745262"/>
        <bgColor indexed="64"/>
      </patternFill>
    </fill>
    <fill>
      <patternFill patternType="solid">
        <fgColor rgb="FFFFFFFF"/>
        <bgColor rgb="FFFFFFFF"/>
      </patternFill>
    </fill>
    <fill>
      <patternFill patternType="solid">
        <fgColor theme="4" tint="0.79998168889431442"/>
        <bgColor indexed="64"/>
      </patternFill>
    </fill>
  </fills>
  <borders count="4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2">
    <xf numFmtId="0" fontId="0" fillId="0" borderId="0"/>
    <xf numFmtId="9" fontId="8" fillId="0" borderId="0"/>
    <xf numFmtId="9" fontId="56" fillId="0" borderId="0"/>
    <xf numFmtId="9" fontId="8" fillId="0" borderId="0"/>
    <xf numFmtId="9" fontId="64" fillId="0" borderId="0"/>
    <xf numFmtId="9" fontId="8" fillId="0" borderId="0"/>
    <xf numFmtId="172" fontId="3" fillId="0" borderId="0" applyFont="0" applyFill="0" applyBorder="0" applyAlignment="0" applyProtection="0"/>
    <xf numFmtId="175" fontId="3" fillId="0" borderId="0" applyFont="0" applyFill="0" applyBorder="0" applyAlignment="0" applyProtection="0"/>
    <xf numFmtId="174" fontId="3" fillId="0" borderId="0" applyFont="0" applyFill="0" applyBorder="0" applyAlignment="0" applyProtection="0"/>
    <xf numFmtId="176" fontId="3" fillId="0" borderId="0" applyFont="0" applyFill="0" applyBorder="0" applyAlignment="0" applyProtection="0"/>
    <xf numFmtId="0" fontId="9" fillId="0" borderId="0"/>
    <xf numFmtId="164" fontId="3" fillId="0" borderId="0" applyFont="0" applyFill="0" applyBorder="0" applyAlignment="0" applyProtection="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73" fontId="3" fillId="0" borderId="0"/>
    <xf numFmtId="173" fontId="33" fillId="0" borderId="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10" fillId="0" borderId="1">
      <alignment horizontal="right"/>
    </xf>
    <xf numFmtId="170" fontId="57" fillId="0" borderId="1">
      <alignment horizontal="right"/>
    </xf>
    <xf numFmtId="170" fontId="10" fillId="0" borderId="1">
      <alignment horizontal="right"/>
    </xf>
    <xf numFmtId="0" fontId="5" fillId="0" borderId="2" applyNumberFormat="0" applyAlignment="0" applyProtection="0">
      <alignment horizontal="left" vertical="center"/>
    </xf>
    <xf numFmtId="0" fontId="5" fillId="0" borderId="3">
      <alignment horizontal="left" vertical="center"/>
    </xf>
    <xf numFmtId="0" fontId="11"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37" fontId="12" fillId="0" borderId="0"/>
    <xf numFmtId="37" fontId="59" fillId="0" borderId="0"/>
    <xf numFmtId="37" fontId="12" fillId="0" borderId="0"/>
    <xf numFmtId="166" fontId="3" fillId="0" borderId="0"/>
    <xf numFmtId="166"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63" fillId="0" borderId="0"/>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 fillId="0" borderId="0" applyNumberFormat="0" applyFont="0" applyFill="0" applyBorder="0" applyAlignment="0" applyProtection="0">
      <alignment vertical="top"/>
    </xf>
    <xf numFmtId="0" fontId="17" fillId="0" borderId="0"/>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7"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 fillId="0" borderId="0" applyNumberFormat="0" applyFont="0" applyFill="0" applyBorder="0" applyAlignment="0" applyProtection="0">
      <alignment vertical="top"/>
    </xf>
    <xf numFmtId="0" fontId="33" fillId="0" borderId="0" applyNumberFormat="0" applyFont="0" applyFill="0" applyBorder="0" applyAlignment="0" applyProtection="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1" fillId="0" borderId="0"/>
    <xf numFmtId="0" fontId="17" fillId="0" borderId="0"/>
    <xf numFmtId="0" fontId="31" fillId="0" borderId="0"/>
    <xf numFmtId="0" fontId="3" fillId="0" borderId="0"/>
    <xf numFmtId="0" fontId="33" fillId="0" borderId="0" applyNumberFormat="0" applyFont="0" applyFill="0" applyBorder="0" applyAlignment="0" applyProtection="0">
      <alignment vertical="top"/>
    </xf>
    <xf numFmtId="0" fontId="17" fillId="0" borderId="0" applyNumberFormat="0" applyFill="0" applyBorder="0" applyProtection="0">
      <alignment vertical="top"/>
    </xf>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0" fontId="17" fillId="0" borderId="0"/>
    <xf numFmtId="0" fontId="17" fillId="0" borderId="0"/>
    <xf numFmtId="0" fontId="3" fillId="0" borderId="0"/>
    <xf numFmtId="0" fontId="3" fillId="0" borderId="0"/>
    <xf numFmtId="0" fontId="33" fillId="0" borderId="0"/>
    <xf numFmtId="0" fontId="3" fillId="0" borderId="0" applyNumberFormat="0" applyFont="0" applyFill="0" applyBorder="0" applyAlignment="0" applyProtection="0">
      <alignment vertical="top"/>
    </xf>
    <xf numFmtId="0" fontId="3" fillId="0" borderId="0" applyNumberFormat="0" applyFont="0" applyFill="0" applyBorder="0" applyAlignment="0" applyProtection="0">
      <alignment vertical="top"/>
    </xf>
    <xf numFmtId="0" fontId="3" fillId="0" borderId="0"/>
    <xf numFmtId="9" fontId="33" fillId="0" borderId="0" applyFill="0" applyBorder="0" applyAlignment="0" applyProtection="0"/>
    <xf numFmtId="9" fontId="33" fillId="0" borderId="0" applyFill="0" applyBorder="0" applyAlignment="0" applyProtection="0"/>
    <xf numFmtId="0" fontId="13" fillId="0" borderId="0" applyFont="0"/>
    <xf numFmtId="0" fontId="1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5" fillId="0" borderId="0"/>
    <xf numFmtId="0" fontId="82" fillId="0" borderId="0"/>
    <xf numFmtId="0" fontId="2" fillId="0" borderId="0"/>
    <xf numFmtId="43" fontId="2" fillId="0" borderId="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 fillId="0" borderId="0"/>
    <xf numFmtId="0" fontId="3" fillId="0" borderId="0"/>
    <xf numFmtId="9" fontId="1" fillId="0" borderId="0" applyFont="0" applyFill="0" applyBorder="0" applyAlignment="0" applyProtection="0"/>
  </cellStyleXfs>
  <cellXfs count="1373">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198"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198" applyNumberFormat="1" applyFont="1" applyFill="1" applyBorder="1" applyAlignment="1" applyProtection="1">
      <alignment vertical="center" wrapText="1"/>
    </xf>
    <xf numFmtId="0" fontId="19" fillId="0" borderId="0" xfId="201" applyFont="1" applyAlignment="1" applyProtection="1">
      <alignment vertical="center"/>
      <protection hidden="1"/>
    </xf>
    <xf numFmtId="0" fontId="6" fillId="0" borderId="0" xfId="201" applyFont="1" applyAlignment="1" applyProtection="1">
      <alignment vertical="center"/>
      <protection hidden="1"/>
    </xf>
    <xf numFmtId="0" fontId="6" fillId="0" borderId="6" xfId="201" applyFont="1" applyBorder="1" applyAlignment="1" applyProtection="1">
      <alignment vertical="center"/>
      <protection hidden="1"/>
    </xf>
    <xf numFmtId="0" fontId="6" fillId="0" borderId="7" xfId="201" applyFont="1" applyBorder="1" applyAlignment="1" applyProtection="1">
      <alignment vertical="center"/>
      <protection hidden="1"/>
    </xf>
    <xf numFmtId="0" fontId="6" fillId="0" borderId="8" xfId="201" applyFont="1" applyBorder="1" applyAlignment="1" applyProtection="1">
      <alignment vertical="center"/>
      <protection hidden="1"/>
    </xf>
    <xf numFmtId="0" fontId="6" fillId="0" borderId="5" xfId="201" applyFont="1" applyBorder="1" applyAlignment="1" applyProtection="1">
      <alignment vertical="center"/>
      <protection hidden="1"/>
    </xf>
    <xf numFmtId="0" fontId="6" fillId="0" borderId="9" xfId="201" applyFont="1" applyBorder="1" applyAlignment="1" applyProtection="1">
      <alignment vertical="center"/>
      <protection hidden="1"/>
    </xf>
    <xf numFmtId="0" fontId="23" fillId="0" borderId="7" xfId="201" applyFont="1" applyBorder="1" applyAlignment="1" applyProtection="1">
      <alignment vertical="center"/>
      <protection hidden="1"/>
    </xf>
    <xf numFmtId="0" fontId="3" fillId="0" borderId="0" xfId="201" applyAlignment="1" applyProtection="1">
      <alignment vertical="center"/>
      <protection hidden="1"/>
    </xf>
    <xf numFmtId="0" fontId="18" fillId="0" borderId="7" xfId="201" applyFont="1" applyBorder="1" applyAlignment="1" applyProtection="1">
      <alignment vertical="center"/>
      <protection hidden="1"/>
    </xf>
    <xf numFmtId="0" fontId="25" fillId="0" borderId="0" xfId="201" applyFont="1" applyAlignment="1" applyProtection="1">
      <alignment vertical="center"/>
      <protection hidden="1"/>
    </xf>
    <xf numFmtId="0" fontId="18" fillId="0" borderId="9" xfId="201" applyFont="1" applyBorder="1" applyAlignment="1" applyProtection="1">
      <alignment vertical="center"/>
      <protection hidden="1"/>
    </xf>
    <xf numFmtId="0" fontId="6" fillId="0" borderId="10" xfId="201" applyFont="1" applyBorder="1" applyAlignment="1" applyProtection="1">
      <alignment vertical="center"/>
      <protection hidden="1"/>
    </xf>
    <xf numFmtId="0" fontId="18" fillId="0" borderId="0" xfId="201" applyFont="1" applyAlignment="1" applyProtection="1">
      <alignment vertical="center"/>
      <protection hidden="1"/>
    </xf>
    <xf numFmtId="0" fontId="16" fillId="0" borderId="0" xfId="202" applyFont="1" applyAlignment="1" applyProtection="1">
      <alignment vertical="center"/>
      <protection hidden="1"/>
    </xf>
    <xf numFmtId="0" fontId="17" fillId="0" borderId="0" xfId="202" applyAlignment="1" applyProtection="1">
      <alignment vertical="center"/>
      <protection hidden="1"/>
    </xf>
    <xf numFmtId="0" fontId="17" fillId="0" borderId="0" xfId="202"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6" fillId="0" borderId="0" xfId="201" applyFont="1" applyAlignment="1" applyProtection="1">
      <alignment vertical="top"/>
      <protection hidden="1"/>
    </xf>
    <xf numFmtId="0" fontId="26" fillId="0" borderId="0" xfId="201" applyFont="1" applyAlignment="1" applyProtection="1">
      <alignment horizontal="center" vertical="center"/>
      <protection hidden="1"/>
    </xf>
    <xf numFmtId="0" fontId="16" fillId="0" borderId="0" xfId="201" applyFont="1" applyAlignment="1" applyProtection="1">
      <alignment vertical="center"/>
      <protection hidden="1"/>
    </xf>
    <xf numFmtId="0" fontId="17" fillId="0" borderId="0" xfId="201" applyFont="1" applyAlignment="1" applyProtection="1">
      <alignment vertical="center"/>
      <protection hidden="1"/>
    </xf>
    <xf numFmtId="0" fontId="16" fillId="0" borderId="0" xfId="204" applyFont="1" applyAlignment="1" applyProtection="1">
      <alignment vertical="top"/>
      <protection hidden="1"/>
    </xf>
    <xf numFmtId="0" fontId="17" fillId="0" borderId="0" xfId="201" applyFont="1" applyAlignment="1" applyProtection="1">
      <alignment vertical="top"/>
      <protection hidden="1"/>
    </xf>
    <xf numFmtId="0" fontId="26" fillId="0" borderId="0" xfId="201" applyFont="1" applyAlignment="1" applyProtection="1">
      <alignment vertical="center"/>
      <protection hidden="1"/>
    </xf>
    <xf numFmtId="177" fontId="16" fillId="0" borderId="11" xfId="201" applyNumberFormat="1" applyFont="1" applyBorder="1" applyAlignment="1" applyProtection="1">
      <alignment horizontal="center" vertical="center"/>
      <protection hidden="1"/>
    </xf>
    <xf numFmtId="0" fontId="17" fillId="0" borderId="12" xfId="201" applyFont="1" applyBorder="1" applyAlignment="1" applyProtection="1">
      <alignment horizontal="center" vertical="center"/>
      <protection hidden="1"/>
    </xf>
    <xf numFmtId="0" fontId="17" fillId="0" borderId="13" xfId="201" applyFont="1" applyBorder="1" applyAlignment="1" applyProtection="1">
      <alignment vertical="center"/>
      <protection hidden="1"/>
    </xf>
    <xf numFmtId="0" fontId="16" fillId="0" borderId="0" xfId="201" applyFont="1" applyAlignment="1" applyProtection="1">
      <alignment vertical="center" wrapText="1"/>
      <protection hidden="1"/>
    </xf>
    <xf numFmtId="4" fontId="16" fillId="0" borderId="0" xfId="201" applyNumberFormat="1" applyFont="1" applyAlignment="1" applyProtection="1">
      <alignment vertical="center"/>
      <protection hidden="1"/>
    </xf>
    <xf numFmtId="0" fontId="17" fillId="0" borderId="0" xfId="201" applyFont="1" applyAlignment="1" applyProtection="1">
      <alignment horizontal="right" vertical="center"/>
      <protection hidden="1"/>
    </xf>
    <xf numFmtId="0" fontId="7" fillId="0" borderId="0" xfId="201" applyFont="1" applyAlignment="1" applyProtection="1">
      <alignment horizontal="center" vertical="top"/>
      <protection hidden="1"/>
    </xf>
    <xf numFmtId="0" fontId="16" fillId="0" borderId="5" xfId="201" applyFont="1" applyBorder="1" applyAlignment="1" applyProtection="1">
      <alignment vertical="top"/>
      <protection hidden="1"/>
    </xf>
    <xf numFmtId="0" fontId="16" fillId="0" borderId="11" xfId="201" applyFont="1" applyBorder="1" applyAlignment="1" applyProtection="1">
      <alignment horizontal="justify" vertical="top" wrapText="1"/>
      <protection hidden="1"/>
    </xf>
    <xf numFmtId="0" fontId="16" fillId="0" borderId="11" xfId="201" applyFont="1" applyBorder="1" applyAlignment="1" applyProtection="1">
      <alignment horizontal="right" vertical="center" wrapText="1" indent="5"/>
      <protection hidden="1"/>
    </xf>
    <xf numFmtId="0" fontId="17" fillId="0" borderId="13" xfId="201" applyFont="1" applyBorder="1" applyAlignment="1" applyProtection="1">
      <alignment horizontal="center" vertical="center"/>
      <protection hidden="1"/>
    </xf>
    <xf numFmtId="0" fontId="17" fillId="0" borderId="0" xfId="201" applyFont="1" applyAlignment="1" applyProtection="1">
      <alignment horizontal="left" vertical="center"/>
      <protection hidden="1"/>
    </xf>
    <xf numFmtId="0" fontId="6" fillId="0" borderId="0" xfId="201"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2"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1" applyFont="1" applyAlignment="1" applyProtection="1">
      <alignment horizontal="left" vertical="center" indent="1"/>
      <protection hidden="1"/>
    </xf>
    <xf numFmtId="0" fontId="17" fillId="0" borderId="0" xfId="204"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2" applyFont="1" applyAlignment="1" applyProtection="1">
      <alignment horizontal="left" vertical="center"/>
      <protection hidden="1"/>
    </xf>
    <xf numFmtId="0" fontId="16" fillId="0" borderId="4" xfId="198" applyNumberFormat="1" applyFont="1" applyFill="1" applyBorder="1" applyAlignment="1" applyProtection="1">
      <alignment horizontal="center" vertical="center"/>
    </xf>
    <xf numFmtId="0" fontId="16" fillId="0" borderId="4" xfId="198" applyNumberFormat="1" applyFont="1" applyFill="1" applyBorder="1" applyAlignment="1" applyProtection="1">
      <alignment horizontal="center" vertical="center" wrapText="1"/>
    </xf>
    <xf numFmtId="0" fontId="27" fillId="0" borderId="0" xfId="0" applyFont="1" applyAlignment="1">
      <alignment vertical="center" wrapText="1"/>
    </xf>
    <xf numFmtId="0" fontId="16" fillId="0" borderId="0" xfId="0" applyFont="1" applyAlignment="1">
      <alignment horizontal="left" vertical="top"/>
    </xf>
    <xf numFmtId="0" fontId="16" fillId="0" borderId="11" xfId="201" applyFont="1" applyBorder="1" applyAlignment="1" applyProtection="1">
      <alignment horizontal="center" vertical="center" wrapText="1"/>
      <protection hidden="1"/>
    </xf>
    <xf numFmtId="0" fontId="17" fillId="0" borderId="0" xfId="201" applyFont="1" applyAlignment="1" applyProtection="1">
      <alignment horizontal="center" vertical="center"/>
      <protection hidden="1"/>
    </xf>
    <xf numFmtId="0" fontId="16" fillId="0" borderId="0" xfId="201" applyFont="1" applyAlignment="1" applyProtection="1">
      <alignment horizontal="left" vertical="center" wrapText="1"/>
      <protection hidden="1"/>
    </xf>
    <xf numFmtId="0" fontId="16" fillId="0" borderId="0" xfId="201" applyFont="1" applyAlignment="1" applyProtection="1">
      <alignment horizontal="right" vertical="center" wrapText="1"/>
      <protection hidden="1"/>
    </xf>
    <xf numFmtId="0" fontId="30"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3" fillId="0" borderId="0" xfId="200" applyNumberFormat="1" applyFont="1" applyFill="1" applyBorder="1" applyAlignment="1" applyProtection="1">
      <alignment vertical="center"/>
      <protection hidden="1"/>
    </xf>
    <xf numFmtId="0" fontId="3" fillId="0" borderId="0" xfId="200"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198" applyNumberFormat="1" applyFill="1" applyBorder="1" applyAlignment="1" applyProtection="1">
      <alignment vertical="center"/>
      <protection hidden="1"/>
    </xf>
    <xf numFmtId="0" fontId="17" fillId="0" borderId="0" xfId="198" applyNumberFormat="1" applyFill="1" applyBorder="1" applyAlignment="1" applyProtection="1">
      <alignment vertical="center" wrapText="1"/>
      <protection hidden="1"/>
    </xf>
    <xf numFmtId="0" fontId="6" fillId="0" borderId="0" xfId="200" applyFont="1" applyAlignment="1" applyProtection="1">
      <alignment vertical="center"/>
      <protection hidden="1"/>
    </xf>
    <xf numFmtId="0" fontId="6" fillId="0" borderId="0" xfId="200" applyFont="1" applyAlignment="1" applyProtection="1">
      <alignment vertical="center" wrapText="1"/>
      <protection hidden="1"/>
    </xf>
    <xf numFmtId="0" fontId="7" fillId="0" borderId="0" xfId="200" applyFont="1" applyAlignment="1" applyProtection="1">
      <alignment vertical="center"/>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0"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1" applyFont="1" applyAlignment="1" applyProtection="1">
      <alignment horizontal="left" vertical="center" indent="1"/>
      <protection hidden="1"/>
    </xf>
    <xf numFmtId="0" fontId="16" fillId="0" borderId="0" xfId="202"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2"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3" fillId="0" borderId="0" xfId="196" applyAlignment="1" applyProtection="1">
      <alignment vertical="center"/>
      <protection hidden="1"/>
    </xf>
    <xf numFmtId="0" fontId="3" fillId="0" borderId="0" xfId="196" applyProtection="1">
      <protection hidden="1"/>
    </xf>
    <xf numFmtId="1" fontId="17" fillId="0" borderId="0" xfId="205" applyNumberFormat="1" applyFont="1" applyAlignment="1" applyProtection="1">
      <alignmen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0" fontId="3" fillId="0" borderId="0" xfId="205" applyProtection="1">
      <protection hidden="1"/>
    </xf>
    <xf numFmtId="4" fontId="16" fillId="0" borderId="0" xfId="205" applyNumberFormat="1" applyFont="1" applyAlignment="1" applyProtection="1">
      <alignment horizontal="center" vertical="center" wrapText="1"/>
      <protection hidden="1"/>
    </xf>
    <xf numFmtId="0" fontId="18" fillId="0" borderId="0" xfId="205" applyFont="1" applyProtection="1">
      <protection hidden="1"/>
    </xf>
    <xf numFmtId="4" fontId="16" fillId="0" borderId="4"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vertical="center" wrapText="1"/>
      <protection hidden="1"/>
    </xf>
    <xf numFmtId="4" fontId="16" fillId="0" borderId="4" xfId="205"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0" fontId="18" fillId="0" borderId="0" xfId="205" applyFont="1" applyAlignment="1" applyProtection="1">
      <alignment vertical="center"/>
      <protection hidden="1"/>
    </xf>
    <xf numFmtId="1" fontId="17" fillId="0" borderId="4" xfId="205" applyNumberFormat="1" applyFont="1" applyBorder="1" applyAlignment="1" applyProtection="1">
      <alignment horizontal="center" vertical="center" wrapText="1"/>
      <protection hidden="1"/>
    </xf>
    <xf numFmtId="0" fontId="16" fillId="0" borderId="14" xfId="205" applyFont="1" applyBorder="1" applyAlignment="1" applyProtection="1">
      <alignment vertical="center" wrapText="1"/>
      <protection hidden="1"/>
    </xf>
    <xf numFmtId="0" fontId="16" fillId="0" borderId="15" xfId="205" applyFont="1" applyBorder="1" applyAlignment="1" applyProtection="1">
      <alignment vertical="center" wrapText="1"/>
      <protection hidden="1"/>
    </xf>
    <xf numFmtId="4" fontId="17" fillId="0" borderId="4" xfId="205" applyNumberFormat="1" applyFont="1" applyBorder="1" applyAlignment="1" applyProtection="1">
      <alignment vertical="center" wrapText="1"/>
      <protection hidden="1"/>
    </xf>
    <xf numFmtId="4" fontId="16" fillId="0" borderId="14" xfId="205" applyNumberFormat="1" applyFont="1" applyBorder="1" applyAlignment="1" applyProtection="1">
      <alignment vertical="center" wrapText="1"/>
      <protection hidden="1"/>
    </xf>
    <xf numFmtId="4" fontId="17" fillId="0" borderId="15" xfId="205" applyNumberFormat="1" applyFont="1" applyBorder="1" applyAlignment="1" applyProtection="1">
      <alignment vertical="center" wrapText="1"/>
      <protection hidden="1"/>
    </xf>
    <xf numFmtId="3" fontId="18" fillId="0" borderId="0" xfId="205" applyNumberFormat="1" applyFont="1" applyProtection="1">
      <protection hidden="1"/>
    </xf>
    <xf numFmtId="4" fontId="17" fillId="0" borderId="4" xfId="205" applyNumberFormat="1" applyFont="1" applyBorder="1" applyAlignment="1" applyProtection="1">
      <alignment horizontal="right" vertical="center" wrapText="1"/>
      <protection hidden="1"/>
    </xf>
    <xf numFmtId="4" fontId="16" fillId="0" borderId="4" xfId="205" applyNumberFormat="1" applyFont="1" applyBorder="1" applyAlignment="1" applyProtection="1">
      <alignment vertical="center" wrapText="1"/>
      <protection hidden="1"/>
    </xf>
    <xf numFmtId="4" fontId="16" fillId="0" borderId="15" xfId="205" applyNumberFormat="1" applyFont="1" applyBorder="1" applyAlignment="1" applyProtection="1">
      <alignment vertical="center" wrapText="1"/>
      <protection hidden="1"/>
    </xf>
    <xf numFmtId="0" fontId="16" fillId="2" borderId="14" xfId="205" applyFont="1" applyFill="1" applyBorder="1" applyAlignment="1" applyProtection="1">
      <alignment vertical="center" wrapText="1"/>
      <protection hidden="1"/>
    </xf>
    <xf numFmtId="0" fontId="17" fillId="0" borderId="15" xfId="205" applyFont="1" applyBorder="1" applyAlignment="1" applyProtection="1">
      <alignment vertical="center" wrapText="1"/>
      <protection hidden="1"/>
    </xf>
    <xf numFmtId="4" fontId="17" fillId="0" borderId="14" xfId="205" applyNumberFormat="1" applyFont="1" applyBorder="1" applyAlignment="1" applyProtection="1">
      <alignment vertical="center" wrapText="1"/>
      <protection hidden="1"/>
    </xf>
    <xf numFmtId="179" fontId="18" fillId="0" borderId="0" xfId="205" applyNumberFormat="1" applyFont="1" applyProtection="1">
      <protection hidden="1"/>
    </xf>
    <xf numFmtId="0" fontId="17" fillId="0" borderId="15" xfId="205" applyFont="1" applyBorder="1" applyAlignment="1" applyProtection="1">
      <alignment horizontal="center" vertical="center" wrapText="1"/>
      <protection hidden="1"/>
    </xf>
    <xf numFmtId="3" fontId="17" fillId="0" borderId="14" xfId="205" applyNumberFormat="1" applyFont="1" applyBorder="1" applyAlignment="1" applyProtection="1">
      <alignment horizontal="right" vertical="center" wrapText="1"/>
      <protection hidden="1"/>
    </xf>
    <xf numFmtId="3" fontId="16" fillId="0" borderId="14" xfId="205"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15" xfId="205" applyNumberFormat="1" applyFont="1" applyBorder="1" applyAlignment="1" applyProtection="1">
      <alignment horizontal="right" vertical="center" wrapText="1"/>
      <protection hidden="1"/>
    </xf>
    <xf numFmtId="1" fontId="16" fillId="0" borderId="6" xfId="205" applyNumberFormat="1" applyFont="1" applyBorder="1" applyAlignment="1" applyProtection="1">
      <alignment horizontal="center" vertical="center" wrapText="1"/>
      <protection hidden="1"/>
    </xf>
    <xf numFmtId="0" fontId="17" fillId="0" borderId="0" xfId="205" applyFont="1" applyAlignment="1" applyProtection="1">
      <alignment horizontal="justify" vertical="center" wrapText="1"/>
      <protection hidden="1"/>
    </xf>
    <xf numFmtId="1" fontId="17" fillId="0" borderId="6" xfId="205" applyNumberFormat="1" applyFont="1" applyBorder="1" applyAlignment="1" applyProtection="1">
      <alignment horizontal="left" vertical="center" wrapText="1" indent="3"/>
      <protection hidden="1"/>
    </xf>
    <xf numFmtId="3" fontId="17" fillId="0" borderId="7" xfId="205" applyNumberFormat="1" applyFont="1" applyBorder="1" applyAlignment="1" applyProtection="1">
      <alignment horizontal="right" vertical="center" wrapText="1"/>
      <protection hidden="1"/>
    </xf>
    <xf numFmtId="4" fontId="17" fillId="0" borderId="7" xfId="205" applyNumberFormat="1" applyFont="1" applyBorder="1" applyAlignment="1" applyProtection="1">
      <alignment horizontal="right" vertical="center" wrapText="1"/>
      <protection hidden="1"/>
    </xf>
    <xf numFmtId="4" fontId="17" fillId="0" borderId="0" xfId="205" applyNumberFormat="1" applyFont="1" applyAlignment="1" applyProtection="1">
      <alignment vertical="center" wrapText="1"/>
      <protection hidden="1"/>
    </xf>
    <xf numFmtId="1" fontId="16" fillId="0" borderId="6" xfId="205" applyNumberFormat="1" applyFont="1" applyBorder="1" applyAlignment="1" applyProtection="1">
      <alignment horizontal="center" vertical="top" wrapText="1"/>
      <protection hidden="1"/>
    </xf>
    <xf numFmtId="0" fontId="34" fillId="0" borderId="0" xfId="201" applyFont="1" applyAlignment="1" applyProtection="1">
      <alignment vertical="top"/>
      <protection hidden="1"/>
    </xf>
    <xf numFmtId="0" fontId="31" fillId="0" borderId="0" xfId="195" applyProtection="1">
      <protection hidden="1"/>
    </xf>
    <xf numFmtId="0" fontId="35" fillId="0" borderId="0" xfId="195" applyFont="1" applyAlignment="1" applyProtection="1">
      <alignment horizontal="center" vertical="center" wrapText="1"/>
      <protection hidden="1"/>
    </xf>
    <xf numFmtId="0" fontId="17" fillId="0" borderId="0" xfId="195" applyFont="1" applyAlignment="1" applyProtection="1">
      <alignment vertical="center"/>
      <protection hidden="1"/>
    </xf>
    <xf numFmtId="0" fontId="16" fillId="0" borderId="0" xfId="195" applyFont="1" applyAlignment="1" applyProtection="1">
      <alignment horizontal="center" vertical="center"/>
      <protection hidden="1"/>
    </xf>
    <xf numFmtId="0" fontId="17" fillId="0" borderId="0" xfId="195" applyFont="1" applyAlignment="1" applyProtection="1">
      <alignment horizontal="justify" vertical="center"/>
      <protection hidden="1"/>
    </xf>
    <xf numFmtId="0" fontId="31" fillId="0" borderId="0" xfId="195" applyAlignment="1" applyProtection="1">
      <alignment vertical="center"/>
      <protection hidden="1"/>
    </xf>
    <xf numFmtId="0" fontId="17" fillId="0" borderId="0" xfId="195" applyFont="1" applyAlignment="1" applyProtection="1">
      <alignment horizontal="center" vertical="center"/>
      <protection hidden="1"/>
    </xf>
    <xf numFmtId="0" fontId="17" fillId="0" borderId="0" xfId="195" applyFont="1" applyProtection="1">
      <protection hidden="1"/>
    </xf>
    <xf numFmtId="0" fontId="17" fillId="0" borderId="0" xfId="195" applyFont="1" applyAlignment="1" applyProtection="1">
      <alignment vertical="center" wrapText="1"/>
      <protection hidden="1"/>
    </xf>
    <xf numFmtId="0" fontId="17" fillId="0" borderId="16" xfId="195" applyFont="1" applyBorder="1" applyAlignment="1" applyProtection="1">
      <alignment vertical="center"/>
      <protection hidden="1"/>
    </xf>
    <xf numFmtId="0" fontId="17" fillId="0" borderId="17" xfId="195" applyFont="1" applyBorder="1" applyAlignment="1" applyProtection="1">
      <alignment vertical="center"/>
      <protection hidden="1"/>
    </xf>
    <xf numFmtId="0" fontId="17" fillId="0" borderId="18" xfId="195" applyFont="1" applyBorder="1" applyAlignment="1" applyProtection="1">
      <alignment vertical="center"/>
      <protection hidden="1"/>
    </xf>
    <xf numFmtId="0" fontId="17" fillId="0" borderId="19" xfId="195" applyFont="1" applyBorder="1" applyAlignment="1" applyProtection="1">
      <alignment vertical="center"/>
      <protection hidden="1"/>
    </xf>
    <xf numFmtId="0" fontId="17" fillId="0" borderId="20" xfId="195" applyFont="1" applyBorder="1" applyAlignment="1" applyProtection="1">
      <alignment vertical="center"/>
      <protection hidden="1"/>
    </xf>
    <xf numFmtId="0" fontId="17" fillId="0" borderId="21" xfId="195" applyFont="1" applyBorder="1" applyAlignment="1" applyProtection="1">
      <alignment vertical="center"/>
      <protection hidden="1"/>
    </xf>
    <xf numFmtId="0" fontId="17" fillId="0" borderId="8" xfId="195" applyFont="1" applyBorder="1" applyAlignment="1" applyProtection="1">
      <alignment vertical="center"/>
      <protection hidden="1"/>
    </xf>
    <xf numFmtId="0" fontId="17" fillId="0" borderId="9" xfId="195" applyFont="1" applyBorder="1" applyAlignment="1" applyProtection="1">
      <alignment vertical="center"/>
      <protection hidden="1"/>
    </xf>
    <xf numFmtId="0" fontId="17" fillId="0" borderId="14" xfId="195" applyFont="1" applyBorder="1" applyAlignment="1" applyProtection="1">
      <alignment horizontal="left" vertical="center"/>
      <protection hidden="1"/>
    </xf>
    <xf numFmtId="0" fontId="17" fillId="0" borderId="15" xfId="195" applyFont="1" applyBorder="1" applyAlignment="1" applyProtection="1">
      <alignment horizontal="left" vertical="center"/>
      <protection hidden="1"/>
    </xf>
    <xf numFmtId="0" fontId="17" fillId="0" borderId="0" xfId="195" applyFont="1" applyAlignment="1" applyProtection="1">
      <alignment horizontal="left" vertical="center"/>
      <protection hidden="1"/>
    </xf>
    <xf numFmtId="0" fontId="16" fillId="0" borderId="0" xfId="198" applyNumberFormat="1" applyFont="1" applyFill="1" applyBorder="1" applyAlignment="1" applyProtection="1">
      <alignment horizontal="left" vertical="center"/>
    </xf>
    <xf numFmtId="0" fontId="16" fillId="0" borderId="0" xfId="202" applyFont="1" applyAlignment="1" applyProtection="1">
      <alignment vertical="top"/>
      <protection hidden="1"/>
    </xf>
    <xf numFmtId="0" fontId="36" fillId="0" borderId="0" xfId="195" applyFont="1" applyAlignment="1" applyProtection="1">
      <alignment vertical="center"/>
      <protection hidden="1"/>
    </xf>
    <xf numFmtId="0" fontId="36" fillId="0" borderId="0" xfId="195" applyFont="1" applyProtection="1">
      <protection hidden="1"/>
    </xf>
    <xf numFmtId="0" fontId="30" fillId="0" borderId="0" xfId="0" applyFont="1" applyProtection="1">
      <protection hidden="1"/>
    </xf>
    <xf numFmtId="0" fontId="30" fillId="0" borderId="0" xfId="0" applyFont="1" applyAlignment="1">
      <alignment vertical="center"/>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6" fillId="0" borderId="0" xfId="0" applyFont="1" applyAlignment="1">
      <alignment vertical="center"/>
    </xf>
    <xf numFmtId="0" fontId="30" fillId="0" borderId="0" xfId="202" applyFont="1" applyAlignment="1" applyProtection="1">
      <alignment vertical="center"/>
      <protection hidden="1"/>
    </xf>
    <xf numFmtId="0" fontId="30" fillId="0" borderId="0" xfId="0" applyFont="1" applyAlignment="1" applyProtection="1">
      <alignment vertical="center"/>
      <protection hidden="1"/>
    </xf>
    <xf numFmtId="0" fontId="26" fillId="0" borderId="0" xfId="198" applyNumberFormat="1" applyFont="1" applyFill="1" applyBorder="1" applyAlignment="1" applyProtection="1">
      <alignment horizontal="center" vertical="center" wrapText="1"/>
      <protection hidden="1"/>
    </xf>
    <xf numFmtId="0" fontId="26" fillId="0" borderId="0" xfId="0" applyFont="1" applyAlignment="1">
      <alignment horizontal="center" vertical="center"/>
    </xf>
    <xf numFmtId="0" fontId="26" fillId="0" borderId="0" xfId="0" applyFont="1" applyAlignment="1" applyProtection="1">
      <alignment horizontal="center" vertical="center"/>
      <protection hidden="1"/>
    </xf>
    <xf numFmtId="0" fontId="30" fillId="0" borderId="0" xfId="198"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2" applyFont="1" applyAlignment="1" applyProtection="1">
      <alignment horizontal="left" vertical="center" indent="1"/>
      <protection hidden="1"/>
    </xf>
    <xf numFmtId="0" fontId="30" fillId="0" borderId="0" xfId="202" applyFont="1" applyAlignment="1" applyProtection="1">
      <alignment horizontal="left" vertical="center"/>
      <protection hidden="1"/>
    </xf>
    <xf numFmtId="0" fontId="26" fillId="0" borderId="0" xfId="202" applyFont="1" applyAlignment="1" applyProtection="1">
      <alignmen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6" fillId="0" borderId="0" xfId="0" applyFont="1" applyAlignment="1" applyProtection="1">
      <alignment horizontal="right" vertical="center"/>
      <protection hidden="1"/>
    </xf>
    <xf numFmtId="0" fontId="26" fillId="0" borderId="0" xfId="198" applyNumberFormat="1" applyFont="1" applyFill="1" applyBorder="1" applyAlignment="1" applyProtection="1">
      <alignment vertical="center" wrapText="1"/>
      <protection hidden="1"/>
    </xf>
    <xf numFmtId="0" fontId="30" fillId="0" borderId="0" xfId="207" applyFont="1" applyFill="1" applyBorder="1" applyAlignment="1" applyProtection="1">
      <alignment vertical="center" wrapText="1"/>
      <protection hidden="1"/>
    </xf>
    <xf numFmtId="0" fontId="30" fillId="0" borderId="0" xfId="207" applyNumberFormat="1" applyFont="1" applyFill="1" applyBorder="1" applyAlignment="1" applyProtection="1">
      <alignment horizontal="center" vertical="center" wrapText="1"/>
      <protection hidden="1"/>
    </xf>
    <xf numFmtId="3"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center" vertical="center" wrapText="1"/>
      <protection hidden="1"/>
    </xf>
    <xf numFmtId="165" fontId="26" fillId="0" borderId="0" xfId="207" applyNumberFormat="1" applyFont="1" applyFill="1" applyBorder="1" applyAlignment="1" applyProtection="1">
      <alignment horizontal="center" vertical="center" wrapText="1"/>
      <protection hidden="1"/>
    </xf>
    <xf numFmtId="165" fontId="30" fillId="0" borderId="0" xfId="207" applyNumberFormat="1"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vertical="center" wrapText="1"/>
      <protection hidden="1"/>
    </xf>
    <xf numFmtId="0" fontId="30" fillId="0" borderId="0" xfId="207" applyFont="1" applyFill="1" applyBorder="1" applyAlignment="1" applyProtection="1">
      <alignment horizontal="left" vertical="center" wrapText="1"/>
      <protection hidden="1"/>
    </xf>
    <xf numFmtId="0" fontId="26" fillId="0" borderId="0" xfId="207"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198"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6" fillId="0" borderId="0" xfId="0" applyFont="1" applyAlignment="1" applyProtection="1">
      <alignment horizontal="center" vertical="center" wrapText="1"/>
      <protection hidden="1"/>
    </xf>
    <xf numFmtId="0" fontId="30" fillId="0" borderId="0" xfId="201" applyFont="1" applyAlignment="1" applyProtection="1">
      <alignment vertical="center"/>
      <protection hidden="1"/>
    </xf>
    <xf numFmtId="0" fontId="30" fillId="0" borderId="0" xfId="201" applyFont="1" applyAlignment="1" applyProtection="1">
      <alignment horizontal="right" vertical="center"/>
      <protection hidden="1"/>
    </xf>
    <xf numFmtId="0" fontId="30" fillId="0" borderId="0" xfId="201"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2" applyNumberFormat="1" applyFont="1" applyAlignment="1" applyProtection="1">
      <alignment vertical="center"/>
      <protection hidden="1"/>
    </xf>
    <xf numFmtId="2" fontId="30" fillId="0" borderId="0" xfId="0" applyNumberFormat="1" applyFont="1" applyProtection="1">
      <protection hidden="1"/>
    </xf>
    <xf numFmtId="0" fontId="26" fillId="0" borderId="0" xfId="0" applyFont="1" applyAlignment="1" applyProtection="1">
      <alignment horizontal="left" vertical="center" wrapText="1"/>
      <protection hidden="1"/>
    </xf>
    <xf numFmtId="0" fontId="26" fillId="0" borderId="0" xfId="207" applyFont="1" applyFill="1" applyBorder="1" applyAlignment="1" applyProtection="1">
      <alignment vertical="center"/>
      <protection hidden="1"/>
    </xf>
    <xf numFmtId="0" fontId="30" fillId="0" borderId="0" xfId="207"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07"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07"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07" quotePrefix="1" applyNumberFormat="1" applyFont="1" applyFill="1" applyBorder="1" applyAlignment="1" applyProtection="1">
      <alignment horizontal="left" vertical="center" wrapText="1"/>
      <protection hidden="1"/>
    </xf>
    <xf numFmtId="171" fontId="30" fillId="0" borderId="0" xfId="207" applyNumberFormat="1" applyFont="1" applyFill="1" applyBorder="1" applyAlignment="1" applyProtection="1">
      <alignment horizontal="left" vertical="center" wrapText="1"/>
      <protection hidden="1"/>
    </xf>
    <xf numFmtId="165" fontId="30" fillId="0" borderId="0" xfId="207" applyNumberFormat="1" applyFont="1" applyFill="1" applyBorder="1" applyAlignment="1" applyProtection="1">
      <alignment horizontal="left" vertical="center" wrapText="1"/>
      <protection hidden="1"/>
    </xf>
    <xf numFmtId="0" fontId="30" fillId="0" borderId="0" xfId="207" applyFont="1" applyFill="1" applyBorder="1" applyAlignment="1" applyProtection="1">
      <alignment horizontal="right" vertical="center" wrapText="1"/>
      <protection hidden="1"/>
    </xf>
    <xf numFmtId="0" fontId="26" fillId="0" borderId="0" xfId="207" applyFont="1" applyFill="1" applyBorder="1" applyAlignment="1" applyProtection="1">
      <alignment horizontal="center" vertical="center" wrapText="1"/>
      <protection hidden="1"/>
    </xf>
    <xf numFmtId="0" fontId="30" fillId="0" borderId="0" xfId="207" applyNumberFormat="1" applyFont="1" applyFill="1" applyBorder="1" applyAlignment="1" applyProtection="1">
      <alignment horizontal="center" vertical="center"/>
      <protection hidden="1"/>
    </xf>
    <xf numFmtId="0" fontId="30" fillId="0" borderId="0" xfId="207"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4" fontId="16" fillId="0" borderId="11" xfId="201"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7" fillId="0" borderId="0" xfId="0" applyFont="1" applyAlignment="1" applyProtection="1">
      <alignment vertical="center"/>
      <protection hidden="1"/>
    </xf>
    <xf numFmtId="2" fontId="27" fillId="0" borderId="0" xfId="0" applyNumberFormat="1" applyFont="1" applyAlignment="1" applyProtection="1">
      <alignment vertical="center"/>
      <protection hidden="1"/>
    </xf>
    <xf numFmtId="0" fontId="27" fillId="0" borderId="0" xfId="202"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3" fillId="0" borderId="6" xfId="205" applyBorder="1" applyProtection="1">
      <protection hidden="1"/>
    </xf>
    <xf numFmtId="0" fontId="3" fillId="0" borderId="7" xfId="205" applyBorder="1" applyProtection="1">
      <protection hidden="1"/>
    </xf>
    <xf numFmtId="0" fontId="18" fillId="0" borderId="6" xfId="205" applyFont="1" applyBorder="1" applyProtection="1">
      <protection hidden="1"/>
    </xf>
    <xf numFmtId="0" fontId="18" fillId="0" borderId="7" xfId="205" applyFont="1" applyBorder="1" applyProtection="1">
      <protection hidden="1"/>
    </xf>
    <xf numFmtId="1" fontId="17" fillId="0" borderId="8" xfId="205" applyNumberFormat="1" applyFont="1" applyBorder="1" applyAlignment="1" applyProtection="1">
      <alignment horizontal="left" vertical="center" wrapText="1" indent="3"/>
      <protection hidden="1"/>
    </xf>
    <xf numFmtId="0" fontId="17" fillId="0" borderId="5" xfId="205" applyFont="1" applyBorder="1" applyAlignment="1" applyProtection="1">
      <alignment horizontal="justify" vertical="center" wrapText="1"/>
      <protection hidden="1"/>
    </xf>
    <xf numFmtId="4" fontId="17" fillId="0" borderId="9" xfId="205"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39" fillId="0" borderId="0" xfId="201" applyFont="1" applyAlignment="1" applyProtection="1">
      <alignment vertical="top"/>
      <protection hidden="1"/>
    </xf>
    <xf numFmtId="0" fontId="30" fillId="0" borderId="0" xfId="0" applyFont="1" applyAlignment="1" applyProtection="1">
      <alignment horizontal="right" vertical="center"/>
      <protection hidden="1"/>
    </xf>
    <xf numFmtId="0" fontId="40" fillId="0" borderId="0" xfId="205" applyFont="1" applyProtection="1">
      <protection hidden="1"/>
    </xf>
    <xf numFmtId="0" fontId="30" fillId="0" borderId="0" xfId="200" applyNumberFormat="1" applyFont="1" applyFill="1" applyBorder="1" applyAlignment="1" applyProtection="1">
      <alignment vertical="center" wrapText="1"/>
      <protection hidden="1"/>
    </xf>
    <xf numFmtId="0" fontId="40" fillId="3" borderId="0" xfId="205" applyFont="1" applyFill="1" applyProtection="1">
      <protection hidden="1"/>
    </xf>
    <xf numFmtId="4" fontId="17" fillId="4" borderId="7" xfId="205" applyNumberFormat="1" applyFont="1" applyFill="1" applyBorder="1" applyAlignment="1" applyProtection="1">
      <alignment horizontal="right" vertical="center" wrapText="1"/>
      <protection hidden="1"/>
    </xf>
    <xf numFmtId="0" fontId="20" fillId="0" borderId="18" xfId="201" applyFont="1" applyBorder="1" applyAlignment="1" applyProtection="1">
      <alignment horizontal="center" vertical="center"/>
      <protection hidden="1"/>
    </xf>
    <xf numFmtId="0" fontId="0" fillId="0" borderId="0" xfId="0" applyAlignment="1">
      <alignment vertical="top"/>
    </xf>
    <xf numFmtId="0" fontId="5" fillId="0" borderId="4" xfId="201" applyFont="1" applyBorder="1" applyAlignment="1" applyProtection="1">
      <alignment vertical="center"/>
      <protection hidden="1"/>
    </xf>
    <xf numFmtId="0" fontId="43"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6" fillId="0" borderId="0" xfId="0" applyFont="1" applyAlignment="1" applyProtection="1">
      <alignment vertical="top"/>
      <protection hidden="1"/>
    </xf>
    <xf numFmtId="0" fontId="6"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6"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7" fillId="0" borderId="0" xfId="0" quotePrefix="1" applyNumberFormat="1" applyFont="1" applyAlignment="1" applyProtection="1">
      <alignment horizontal="left" vertical="top" wrapText="1" indent="1"/>
      <protection hidden="1"/>
    </xf>
    <xf numFmtId="0" fontId="6" fillId="0" borderId="0" xfId="0" applyFont="1" applyAlignment="1" applyProtection="1">
      <alignment horizontal="justify" vertical="top"/>
      <protection hidden="1"/>
    </xf>
    <xf numFmtId="165" fontId="7"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6" fillId="0" borderId="0" xfId="0" applyFont="1" applyAlignment="1" applyProtection="1">
      <alignment horizontal="right" vertical="top" wrapText="1"/>
      <protection hidden="1"/>
    </xf>
    <xf numFmtId="0" fontId="6"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6" fillId="0" borderId="0" xfId="0" applyFont="1" applyAlignment="1" applyProtection="1">
      <alignment horizontal="justify"/>
      <protection hidden="1"/>
    </xf>
    <xf numFmtId="0" fontId="6"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198" applyNumberFormat="1" applyFont="1" applyFill="1" applyBorder="1" applyAlignment="1" applyProtection="1">
      <alignment horizontal="center" vertical="center" wrapText="1"/>
      <protection hidden="1"/>
    </xf>
    <xf numFmtId="0" fontId="17" fillId="0" borderId="0" xfId="202" applyAlignment="1" applyProtection="1">
      <alignment horizontal="left" vertical="center"/>
      <protection hidden="1"/>
    </xf>
    <xf numFmtId="2" fontId="17" fillId="0" borderId="0" xfId="198"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2" applyNumberFormat="1" applyAlignment="1" applyProtection="1">
      <alignment horizontal="right" vertical="center"/>
      <protection hidden="1"/>
    </xf>
    <xf numFmtId="2" fontId="17" fillId="0" borderId="0" xfId="202"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2"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2" applyAlignment="1" applyProtection="1">
      <alignment horizontal="left" vertical="center" wrapText="1"/>
      <protection hidden="1"/>
    </xf>
    <xf numFmtId="0" fontId="17" fillId="0" borderId="0" xfId="202"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4" fillId="0" borderId="0" xfId="0" applyFont="1"/>
    <xf numFmtId="0" fontId="44" fillId="0" borderId="0" xfId="0" applyFont="1" applyAlignment="1">
      <alignment vertical="center"/>
    </xf>
    <xf numFmtId="0" fontId="44" fillId="0" borderId="0" xfId="0" applyFont="1" applyAlignment="1">
      <alignment horizontal="center" vertical="center"/>
    </xf>
    <xf numFmtId="0" fontId="44" fillId="0" borderId="0" xfId="202" applyFont="1" applyAlignment="1" applyProtection="1">
      <alignment vertical="center"/>
      <protection hidden="1"/>
    </xf>
    <xf numFmtId="0" fontId="45" fillId="0" borderId="0" xfId="209" applyFont="1" applyAlignment="1" applyProtection="1">
      <alignment horizontal="center"/>
      <protection hidden="1"/>
    </xf>
    <xf numFmtId="0" fontId="45" fillId="0" borderId="0" xfId="209" applyFont="1" applyProtection="1">
      <protection hidden="1"/>
    </xf>
    <xf numFmtId="0" fontId="45" fillId="0" borderId="0" xfId="196" applyFont="1" applyAlignment="1" applyProtection="1">
      <alignment horizontal="left" vertical="center"/>
      <protection hidden="1"/>
    </xf>
    <xf numFmtId="0" fontId="45" fillId="0" borderId="0" xfId="196" applyFont="1" applyProtection="1">
      <protection hidden="1"/>
    </xf>
    <xf numFmtId="0" fontId="45" fillId="0" borderId="0" xfId="196" applyFont="1" applyAlignment="1" applyProtection="1">
      <alignment vertical="center"/>
      <protection hidden="1"/>
    </xf>
    <xf numFmtId="0" fontId="45" fillId="0" borderId="0" xfId="196" applyFont="1" applyAlignment="1" applyProtection="1">
      <alignment horizontal="center" vertical="center"/>
      <protection hidden="1"/>
    </xf>
    <xf numFmtId="0" fontId="45" fillId="0" borderId="0" xfId="196" applyFont="1" applyAlignment="1" applyProtection="1">
      <alignment horizontal="left"/>
      <protection hidden="1"/>
    </xf>
    <xf numFmtId="0" fontId="45" fillId="0" borderId="0" xfId="196" applyFont="1" applyAlignment="1" applyProtection="1">
      <alignment horizontal="center"/>
      <protection hidden="1"/>
    </xf>
    <xf numFmtId="1" fontId="17" fillId="4" borderId="11" xfId="195" applyNumberFormat="1" applyFont="1" applyFill="1" applyBorder="1" applyAlignment="1" applyProtection="1">
      <alignment horizontal="center" vertical="center"/>
      <protection locked="0"/>
    </xf>
    <xf numFmtId="0" fontId="27" fillId="0" borderId="0" xfId="195" applyFont="1" applyAlignment="1" applyProtection="1">
      <alignment horizontal="center" vertical="center"/>
      <protection hidden="1"/>
    </xf>
    <xf numFmtId="0" fontId="46" fillId="0" borderId="0" xfId="195" applyFont="1" applyAlignment="1" applyProtection="1">
      <alignment vertical="center"/>
      <protection hidden="1"/>
    </xf>
    <xf numFmtId="0" fontId="31" fillId="0" borderId="0" xfId="195"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4" fillId="0" borderId="0" xfId="198" applyNumberFormat="1" applyFont="1" applyFill="1" applyBorder="1" applyAlignment="1" applyProtection="1">
      <alignment vertical="center"/>
    </xf>
    <xf numFmtId="0" fontId="44" fillId="0" borderId="0" xfId="198" applyNumberFormat="1" applyFont="1" applyFill="1" applyBorder="1" applyAlignment="1" applyProtection="1">
      <alignment vertical="center" wrapText="1"/>
    </xf>
    <xf numFmtId="165" fontId="16" fillId="0" borderId="0" xfId="208"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199" applyNumberFormat="1" applyFont="1" applyFill="1" applyBorder="1" applyAlignment="1" applyProtection="1">
      <alignment horizontal="right" vertical="center"/>
      <protection hidden="1"/>
    </xf>
    <xf numFmtId="0" fontId="44" fillId="0" borderId="0" xfId="202" applyFont="1" applyAlignment="1" applyProtection="1">
      <alignment horizontal="left" vertical="center"/>
      <protection hidden="1"/>
    </xf>
    <xf numFmtId="2" fontId="30" fillId="0" borderId="0" xfId="198" applyNumberFormat="1" applyFont="1" applyFill="1" applyBorder="1" applyAlignment="1" applyProtection="1">
      <alignment horizontal="right" vertical="center"/>
      <protection hidden="1"/>
    </xf>
    <xf numFmtId="2" fontId="26" fillId="0" borderId="0" xfId="198"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4" fillId="0" borderId="0" xfId="0" applyFont="1" applyProtection="1">
      <protection hidden="1"/>
    </xf>
    <xf numFmtId="0" fontId="27" fillId="0" borderId="0" xfId="202" applyFont="1" applyAlignment="1" applyProtection="1">
      <alignment horizontal="center" vertical="center" wrapText="1"/>
      <protection hidden="1"/>
    </xf>
    <xf numFmtId="0" fontId="16" fillId="0" borderId="0" xfId="0" applyFont="1" applyAlignment="1">
      <alignment horizontal="left" vertical="center" wrapText="1"/>
    </xf>
    <xf numFmtId="0" fontId="44" fillId="0" borderId="0" xfId="198" applyNumberFormat="1" applyFont="1" applyFill="1" applyBorder="1" applyAlignment="1" applyProtection="1">
      <alignment horizontal="center" vertical="center"/>
    </xf>
    <xf numFmtId="0" fontId="27" fillId="0" borderId="0" xfId="0" applyFont="1" applyAlignment="1">
      <alignment vertical="center"/>
    </xf>
    <xf numFmtId="2" fontId="17" fillId="0" borderId="4" xfId="198" applyNumberFormat="1" applyFill="1" applyBorder="1" applyAlignment="1" applyProtection="1">
      <alignment horizontal="right" vertical="top"/>
    </xf>
    <xf numFmtId="0" fontId="16" fillId="0" borderId="0" xfId="207"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07" applyFont="1" applyFill="1" applyBorder="1" applyAlignment="1">
      <alignment vertical="center" wrapText="1"/>
    </xf>
    <xf numFmtId="0" fontId="16" fillId="6" borderId="3" xfId="207" applyFont="1" applyFill="1" applyBorder="1" applyAlignment="1">
      <alignment vertical="center" wrapText="1"/>
    </xf>
    <xf numFmtId="0" fontId="16" fillId="6" borderId="15" xfId="207"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198" applyNumberFormat="1" applyFill="1" applyBorder="1" applyAlignment="1" applyProtection="1">
      <alignment horizontal="right" vertical="top"/>
      <protection hidden="1"/>
    </xf>
    <xf numFmtId="0" fontId="16" fillId="0" borderId="0" xfId="207"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16" fillId="7" borderId="4" xfId="207" applyFont="1" applyFill="1" applyBorder="1" applyAlignment="1">
      <alignment vertical="center" wrapText="1"/>
    </xf>
    <xf numFmtId="0" fontId="16" fillId="0" borderId="5" xfId="193" applyFont="1" applyBorder="1" applyAlignment="1">
      <alignment vertical="center"/>
    </xf>
    <xf numFmtId="0" fontId="17" fillId="0" borderId="5" xfId="193" applyFont="1" applyBorder="1" applyAlignment="1">
      <alignment vertical="center"/>
    </xf>
    <xf numFmtId="0" fontId="16" fillId="0" borderId="5" xfId="193" applyFont="1" applyBorder="1" applyAlignment="1">
      <alignment horizontal="right" vertical="center"/>
    </xf>
    <xf numFmtId="0" fontId="17" fillId="0" borderId="0" xfId="193" applyFont="1" applyAlignment="1">
      <alignment vertical="center"/>
    </xf>
    <xf numFmtId="0" fontId="17" fillId="0" borderId="0" xfId="193" applyFont="1"/>
    <xf numFmtId="0" fontId="30" fillId="0" borderId="0" xfId="193" applyFont="1"/>
    <xf numFmtId="0" fontId="30" fillId="0" borderId="0" xfId="193" applyFont="1" applyAlignment="1">
      <alignment horizontal="center" vertical="center"/>
    </xf>
    <xf numFmtId="0" fontId="44" fillId="0" borderId="0" xfId="193" applyFont="1"/>
    <xf numFmtId="0" fontId="44" fillId="0" borderId="0" xfId="193" applyFont="1" applyAlignment="1">
      <alignment vertical="center"/>
    </xf>
    <xf numFmtId="0" fontId="16" fillId="0" borderId="0" xfId="193" applyFont="1" applyAlignment="1">
      <alignment horizontal="center" vertical="center"/>
    </xf>
    <xf numFmtId="0" fontId="44" fillId="0" borderId="0" xfId="193" applyFont="1" applyAlignment="1">
      <alignment horizontal="left" vertical="center"/>
    </xf>
    <xf numFmtId="0" fontId="30" fillId="0" borderId="0" xfId="193" applyFont="1" applyAlignment="1">
      <alignment horizontal="center"/>
    </xf>
    <xf numFmtId="0" fontId="16" fillId="0" borderId="0" xfId="194" applyFont="1" applyAlignment="1">
      <alignment horizontal="left" vertical="center"/>
    </xf>
    <xf numFmtId="0" fontId="17" fillId="0" borderId="0" xfId="193" applyFont="1" applyAlignment="1">
      <alignment horizontal="justify" vertical="center"/>
    </xf>
    <xf numFmtId="4" fontId="16" fillId="0" borderId="0" xfId="193" applyNumberFormat="1" applyFont="1" applyAlignment="1">
      <alignment vertical="center"/>
    </xf>
    <xf numFmtId="0" fontId="16" fillId="0" borderId="0" xfId="193" applyFont="1" applyAlignment="1">
      <alignment horizontal="justify" vertical="center"/>
    </xf>
    <xf numFmtId="0" fontId="30" fillId="0" borderId="0" xfId="193" applyFont="1" applyAlignment="1">
      <alignment vertical="center"/>
    </xf>
    <xf numFmtId="178" fontId="16" fillId="0" borderId="0" xfId="193" applyNumberFormat="1" applyFont="1" applyAlignment="1">
      <alignment vertical="center"/>
    </xf>
    <xf numFmtId="0" fontId="16" fillId="0" borderId="0" xfId="193" applyFont="1" applyAlignment="1">
      <alignment horizontal="right" vertical="center"/>
    </xf>
    <xf numFmtId="0" fontId="17" fillId="0" borderId="0" xfId="193" applyFont="1" applyAlignment="1">
      <alignment horizontal="left" vertical="center"/>
    </xf>
    <xf numFmtId="0" fontId="16" fillId="0" borderId="0" xfId="193" applyFont="1" applyAlignment="1">
      <alignment horizontal="left" vertical="center" indent="2"/>
    </xf>
    <xf numFmtId="0" fontId="16" fillId="0" borderId="0" xfId="193" applyFont="1" applyAlignment="1">
      <alignment horizontal="left" vertical="center" indent="1"/>
    </xf>
    <xf numFmtId="0" fontId="17" fillId="0" borderId="0" xfId="193" applyFont="1" applyAlignment="1">
      <alignment horizontal="left" vertical="center" indent="1"/>
    </xf>
    <xf numFmtId="0" fontId="17" fillId="0" borderId="0" xfId="201" applyFont="1" applyAlignment="1" applyProtection="1">
      <alignment horizontal="left" vertical="top"/>
      <protection hidden="1"/>
    </xf>
    <xf numFmtId="0" fontId="16" fillId="0" borderId="0" xfId="198" applyNumberFormat="1" applyFont="1" applyFill="1" applyBorder="1" applyAlignment="1" applyProtection="1">
      <alignment horizontal="justify" vertical="center"/>
      <protection hidden="1"/>
    </xf>
    <xf numFmtId="0" fontId="27" fillId="0" borderId="0" xfId="202" applyFont="1" applyAlignment="1" applyProtection="1">
      <alignment horizontal="justify" vertical="center" wrapText="1"/>
      <protection hidden="1"/>
    </xf>
    <xf numFmtId="165" fontId="5"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48" fillId="0" borderId="0" xfId="0" applyFont="1" applyAlignment="1">
      <alignment vertical="top"/>
    </xf>
    <xf numFmtId="0" fontId="49" fillId="0" borderId="0" xfId="0" applyFont="1" applyAlignment="1">
      <alignment vertical="top"/>
    </xf>
    <xf numFmtId="165" fontId="5"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2" fillId="4" borderId="4" xfId="0" applyFont="1" applyFill="1" applyBorder="1" applyAlignment="1" applyProtection="1">
      <alignment vertical="center"/>
      <protection locked="0"/>
    </xf>
    <xf numFmtId="0" fontId="51" fillId="0" borderId="0" xfId="198" applyNumberFormat="1" applyFont="1" applyFill="1" applyBorder="1" applyProtection="1">
      <alignment vertical="top"/>
    </xf>
    <xf numFmtId="0" fontId="19" fillId="0" borderId="0" xfId="198" applyNumberFormat="1" applyFont="1" applyFill="1" applyBorder="1" applyProtection="1">
      <alignment vertical="top"/>
    </xf>
    <xf numFmtId="0" fontId="51" fillId="0" borderId="6" xfId="198" applyNumberFormat="1" applyFont="1" applyFill="1" applyBorder="1" applyProtection="1">
      <alignment vertical="top"/>
    </xf>
    <xf numFmtId="0" fontId="19" fillId="0" borderId="6" xfId="198" applyNumberFormat="1" applyFont="1" applyFill="1" applyBorder="1" applyProtection="1">
      <alignment vertical="top"/>
    </xf>
    <xf numFmtId="0" fontId="5" fillId="0" borderId="10" xfId="0" applyFont="1" applyBorder="1" applyAlignment="1">
      <alignment horizontal="left" vertical="top"/>
    </xf>
    <xf numFmtId="0" fontId="5" fillId="0" borderId="0" xfId="0" applyFont="1" applyAlignment="1">
      <alignment horizontal="left" vertical="top"/>
    </xf>
    <xf numFmtId="0" fontId="19" fillId="0" borderId="4" xfId="198" applyNumberFormat="1" applyFont="1" applyFill="1" applyBorder="1" applyAlignment="1" applyProtection="1">
      <alignment vertical="top" wrapText="1"/>
    </xf>
    <xf numFmtId="0" fontId="48" fillId="0" borderId="4" xfId="198"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198" applyNumberFormat="1" applyFill="1" applyBorder="1" applyProtection="1">
      <alignment vertical="top"/>
    </xf>
    <xf numFmtId="0" fontId="17" fillId="0" borderId="0" xfId="198" applyNumberFormat="1" applyFill="1" applyBorder="1" applyAlignment="1" applyProtection="1">
      <alignment vertical="top" wrapText="1"/>
    </xf>
    <xf numFmtId="0" fontId="17" fillId="0" borderId="0" xfId="198"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2" applyNumberFormat="1" applyFont="1" applyAlignment="1" applyProtection="1">
      <alignment vertical="center"/>
      <protection hidden="1"/>
    </xf>
    <xf numFmtId="0" fontId="0" fillId="0" borderId="0" xfId="201" applyFont="1" applyAlignment="1" applyProtection="1">
      <alignment vertical="center"/>
      <protection hidden="1"/>
    </xf>
    <xf numFmtId="0" fontId="16" fillId="0" borderId="0" xfId="198"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6" fillId="0" borderId="4" xfId="0" applyFont="1" applyBorder="1" applyAlignment="1">
      <alignment vertical="top"/>
    </xf>
    <xf numFmtId="2" fontId="0" fillId="0" borderId="4" xfId="198" applyNumberFormat="1" applyFont="1" applyFill="1" applyBorder="1" applyAlignment="1" applyProtection="1">
      <alignment horizontal="right" vertical="top"/>
    </xf>
    <xf numFmtId="0" fontId="6" fillId="0" borderId="4" xfId="0" applyFont="1" applyBorder="1" applyAlignment="1" applyProtection="1">
      <alignment vertical="top"/>
      <protection locked="0"/>
    </xf>
    <xf numFmtId="0" fontId="7" fillId="0" borderId="4" xfId="202" applyFont="1" applyBorder="1" applyAlignment="1">
      <alignment vertical="center"/>
    </xf>
    <xf numFmtId="179" fontId="7" fillId="0" borderId="4" xfId="0" applyNumberFormat="1" applyFont="1" applyBorder="1" applyAlignment="1">
      <alignment vertical="center" wrapText="1"/>
    </xf>
    <xf numFmtId="0" fontId="7" fillId="0" borderId="4" xfId="0" applyFont="1" applyBorder="1" applyAlignment="1">
      <alignment horizontal="center" vertical="top" wrapText="1"/>
    </xf>
    <xf numFmtId="0" fontId="6" fillId="0" borderId="4" xfId="0" applyFont="1" applyBorder="1" applyAlignment="1">
      <alignment horizontal="right" vertical="top" wrapText="1"/>
    </xf>
    <xf numFmtId="0" fontId="6" fillId="0" borderId="4" xfId="0" applyFont="1" applyBorder="1" applyAlignment="1">
      <alignment horizontal="center" vertical="top"/>
    </xf>
    <xf numFmtId="3" fontId="6" fillId="0" borderId="4" xfId="11" applyNumberFormat="1" applyFont="1" applyFill="1" applyBorder="1" applyAlignment="1" applyProtection="1">
      <alignment horizontal="center" vertical="top"/>
    </xf>
    <xf numFmtId="0" fontId="6" fillId="6" borderId="4" xfId="0" applyFont="1" applyFill="1" applyBorder="1" applyAlignment="1">
      <alignment horizontal="center" vertical="top" wrapText="1"/>
    </xf>
    <xf numFmtId="0" fontId="6" fillId="6" borderId="4" xfId="202"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0" fillId="0" borderId="4" xfId="0" applyNumberFormat="1" applyFont="1" applyBorder="1" applyAlignment="1">
      <alignment horizontal="center" vertical="top" wrapText="1"/>
    </xf>
    <xf numFmtId="178" fontId="0" fillId="4" borderId="11" xfId="195" applyNumberFormat="1" applyFont="1" applyFill="1" applyBorder="1" applyAlignment="1" applyProtection="1">
      <alignment horizontal="center" vertical="center"/>
      <protection locked="0"/>
    </xf>
    <xf numFmtId="0" fontId="16" fillId="0" borderId="0" xfId="202" applyFont="1" applyAlignment="1" applyProtection="1">
      <alignment vertical="center" wrapText="1"/>
      <protection hidden="1"/>
    </xf>
    <xf numFmtId="0" fontId="54" fillId="0" borderId="0" xfId="201" applyFont="1" applyAlignment="1" applyProtection="1">
      <alignment vertical="top"/>
      <protection hidden="1"/>
    </xf>
    <xf numFmtId="0" fontId="55" fillId="0" borderId="0" xfId="0" applyFont="1" applyAlignment="1">
      <alignment vertical="top"/>
    </xf>
    <xf numFmtId="1" fontId="17" fillId="0" borderId="0" xfId="206" applyNumberFormat="1" applyFont="1" applyAlignment="1" applyProtection="1">
      <alignmen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0" fontId="33" fillId="0" borderId="0" xfId="206" applyProtection="1">
      <protection hidden="1"/>
    </xf>
    <xf numFmtId="4" fontId="16" fillId="0" borderId="0" xfId="206" applyNumberFormat="1" applyFont="1" applyAlignment="1" applyProtection="1">
      <alignment horizontal="center" vertical="center" wrapText="1"/>
      <protection hidden="1"/>
    </xf>
    <xf numFmtId="0" fontId="18" fillId="0" borderId="0" xfId="206" applyFont="1" applyProtection="1">
      <protection hidden="1"/>
    </xf>
    <xf numFmtId="1" fontId="16" fillId="0" borderId="4" xfId="206" applyNumberFormat="1" applyFont="1" applyBorder="1" applyAlignment="1" applyProtection="1">
      <alignment vertical="center" wrapText="1"/>
      <protection hidden="1"/>
    </xf>
    <xf numFmtId="4" fontId="16" fillId="0" borderId="4" xfId="206"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0" fontId="18" fillId="0" borderId="0" xfId="206" applyFont="1" applyAlignment="1" applyProtection="1">
      <alignment vertical="center"/>
      <protection hidden="1"/>
    </xf>
    <xf numFmtId="1" fontId="17" fillId="0" borderId="4" xfId="206" applyNumberFormat="1" applyFont="1" applyBorder="1" applyAlignment="1" applyProtection="1">
      <alignment horizontal="center" vertical="center" wrapText="1"/>
      <protection hidden="1"/>
    </xf>
    <xf numFmtId="0" fontId="16" fillId="0" borderId="14" xfId="206" applyFont="1" applyBorder="1" applyAlignment="1" applyProtection="1">
      <alignment vertical="center" wrapText="1"/>
      <protection hidden="1"/>
    </xf>
    <xf numFmtId="0" fontId="16" fillId="0" borderId="15" xfId="206" applyFont="1" applyBorder="1" applyAlignment="1" applyProtection="1">
      <alignment vertical="center" wrapText="1"/>
      <protection hidden="1"/>
    </xf>
    <xf numFmtId="4" fontId="17" fillId="0" borderId="4" xfId="206" applyNumberFormat="1" applyFont="1" applyBorder="1" applyAlignment="1" applyProtection="1">
      <alignment vertical="center" wrapText="1"/>
      <protection hidden="1"/>
    </xf>
    <xf numFmtId="4" fontId="16" fillId="0" borderId="14" xfId="206" applyNumberFormat="1" applyFont="1" applyBorder="1" applyAlignment="1" applyProtection="1">
      <alignment vertical="center" wrapText="1"/>
      <protection hidden="1"/>
    </xf>
    <xf numFmtId="4" fontId="17" fillId="0" borderId="15" xfId="206" applyNumberFormat="1" applyFont="1" applyBorder="1" applyAlignment="1" applyProtection="1">
      <alignment vertical="center" wrapText="1"/>
      <protection hidden="1"/>
    </xf>
    <xf numFmtId="3" fontId="18" fillId="0" borderId="0" xfId="206" applyNumberFormat="1" applyFont="1" applyProtection="1">
      <protection hidden="1"/>
    </xf>
    <xf numFmtId="4" fontId="17" fillId="0" borderId="4" xfId="206" applyNumberFormat="1" applyFont="1" applyBorder="1" applyAlignment="1" applyProtection="1">
      <alignment horizontal="right" vertical="center" wrapText="1"/>
      <protection hidden="1"/>
    </xf>
    <xf numFmtId="4" fontId="16" fillId="0" borderId="4" xfId="206" applyNumberFormat="1" applyFont="1" applyBorder="1" applyAlignment="1" applyProtection="1">
      <alignment vertical="center" wrapText="1"/>
      <protection hidden="1"/>
    </xf>
    <xf numFmtId="4" fontId="16" fillId="0" borderId="15" xfId="206" applyNumberFormat="1" applyFont="1" applyBorder="1" applyAlignment="1" applyProtection="1">
      <alignment vertical="center" wrapText="1"/>
      <protection hidden="1"/>
    </xf>
    <xf numFmtId="0" fontId="16" fillId="2" borderId="14" xfId="206" applyFont="1" applyFill="1" applyBorder="1" applyAlignment="1" applyProtection="1">
      <alignment vertical="center" wrapText="1"/>
      <protection hidden="1"/>
    </xf>
    <xf numFmtId="0" fontId="17" fillId="0" borderId="15" xfId="206" applyFont="1" applyBorder="1" applyAlignment="1" applyProtection="1">
      <alignment vertical="center" wrapText="1"/>
      <protection hidden="1"/>
    </xf>
    <xf numFmtId="4" fontId="17" fillId="0" borderId="14" xfId="206" applyNumberFormat="1" applyFont="1" applyBorder="1" applyAlignment="1" applyProtection="1">
      <alignment vertical="center" wrapText="1"/>
      <protection hidden="1"/>
    </xf>
    <xf numFmtId="2" fontId="18" fillId="0" borderId="0" xfId="206" applyNumberFormat="1" applyFont="1" applyProtection="1">
      <protection hidden="1"/>
    </xf>
    <xf numFmtId="179" fontId="18" fillId="0" borderId="0" xfId="206" applyNumberFormat="1" applyFont="1" applyProtection="1">
      <protection hidden="1"/>
    </xf>
    <xf numFmtId="0" fontId="17" fillId="0" borderId="15" xfId="206" applyFont="1" applyBorder="1" applyAlignment="1" applyProtection="1">
      <alignment horizontal="center" vertical="center" wrapText="1"/>
      <protection hidden="1"/>
    </xf>
    <xf numFmtId="3" fontId="17" fillId="0" borderId="4" xfId="206" applyNumberFormat="1" applyFont="1" applyBorder="1" applyAlignment="1" applyProtection="1">
      <alignment horizontal="right" vertical="center" wrapText="1"/>
      <protection hidden="1"/>
    </xf>
    <xf numFmtId="3" fontId="17" fillId="0" borderId="14" xfId="206" applyNumberFormat="1" applyFont="1" applyBorder="1" applyAlignment="1" applyProtection="1">
      <alignment horizontal="right" vertical="center" wrapText="1"/>
      <protection hidden="1"/>
    </xf>
    <xf numFmtId="3" fontId="16" fillId="0" borderId="14" xfId="206"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06" applyNumberFormat="1" applyFont="1" applyBorder="1" applyAlignment="1" applyProtection="1">
      <alignment horizontal="center" vertical="center" wrapText="1"/>
      <protection hidden="1"/>
    </xf>
    <xf numFmtId="4" fontId="16" fillId="0" borderId="15" xfId="206" applyNumberFormat="1" applyFont="1" applyBorder="1" applyAlignment="1" applyProtection="1">
      <alignment horizontal="right" vertical="center" wrapText="1"/>
      <protection hidden="1"/>
    </xf>
    <xf numFmtId="1" fontId="17" fillId="0" borderId="27" xfId="206" applyNumberFormat="1" applyFont="1" applyBorder="1" applyAlignment="1" applyProtection="1">
      <alignment horizontal="center" vertical="center" wrapText="1"/>
      <protection hidden="1"/>
    </xf>
    <xf numFmtId="0" fontId="16" fillId="0" borderId="10" xfId="206" applyFont="1" applyBorder="1" applyAlignment="1" applyProtection="1">
      <alignment vertical="center" wrapText="1"/>
      <protection hidden="1"/>
    </xf>
    <xf numFmtId="4" fontId="17" fillId="0" borderId="10" xfId="206" applyNumberFormat="1" applyFont="1" applyBorder="1" applyAlignment="1" applyProtection="1">
      <alignment vertical="center" wrapText="1"/>
      <protection hidden="1"/>
    </xf>
    <xf numFmtId="4" fontId="16" fillId="0" borderId="10" xfId="206" applyNumberFormat="1" applyFont="1" applyBorder="1" applyAlignment="1" applyProtection="1">
      <alignment vertical="center" wrapText="1"/>
      <protection hidden="1"/>
    </xf>
    <xf numFmtId="4" fontId="17" fillId="0" borderId="28" xfId="206" applyNumberFormat="1" applyFont="1" applyBorder="1" applyAlignment="1" applyProtection="1">
      <alignment vertical="center" wrapText="1"/>
      <protection hidden="1"/>
    </xf>
    <xf numFmtId="1" fontId="16" fillId="0" borderId="6" xfId="206" applyNumberFormat="1" applyFont="1" applyBorder="1" applyAlignment="1" applyProtection="1">
      <alignment horizontal="center" vertical="center" wrapText="1"/>
      <protection hidden="1"/>
    </xf>
    <xf numFmtId="0" fontId="17" fillId="0" borderId="0" xfId="206" applyFont="1" applyAlignment="1" applyProtection="1">
      <alignment horizontal="justify" vertical="center" wrapText="1"/>
      <protection hidden="1"/>
    </xf>
    <xf numFmtId="2" fontId="0" fillId="0" borderId="6" xfId="206" applyNumberFormat="1" applyFont="1" applyBorder="1" applyAlignment="1" applyProtection="1">
      <alignment horizontal="left" vertical="center" wrapText="1" indent="3"/>
      <protection hidden="1"/>
    </xf>
    <xf numFmtId="0" fontId="0" fillId="0" borderId="0" xfId="206" applyFont="1" applyAlignment="1" applyProtection="1">
      <alignment vertical="center" wrapText="1"/>
      <protection hidden="1"/>
    </xf>
    <xf numFmtId="2" fontId="17" fillId="0" borderId="0" xfId="206" applyNumberFormat="1" applyFont="1" applyAlignment="1" applyProtection="1">
      <alignment horizontal="left" vertical="center" wrapText="1"/>
      <protection hidden="1"/>
    </xf>
    <xf numFmtId="0" fontId="0" fillId="0" borderId="0" xfId="206" applyFont="1" applyAlignment="1" applyProtection="1">
      <alignment horizontal="justify" vertical="center" wrapText="1"/>
      <protection hidden="1"/>
    </xf>
    <xf numFmtId="3" fontId="17" fillId="0" borderId="7" xfId="206" applyNumberFormat="1" applyFont="1" applyBorder="1" applyAlignment="1" applyProtection="1">
      <alignment horizontal="right" vertical="center" wrapText="1"/>
      <protection hidden="1"/>
    </xf>
    <xf numFmtId="10" fontId="17" fillId="0" borderId="0" xfId="206" applyNumberFormat="1" applyFont="1" applyAlignment="1" applyProtection="1">
      <alignment horizontal="left" vertical="center" wrapText="1"/>
      <protection hidden="1"/>
    </xf>
    <xf numFmtId="4" fontId="17" fillId="0" borderId="7" xfId="206" applyNumberFormat="1" applyFont="1" applyBorder="1" applyAlignment="1" applyProtection="1">
      <alignment horizontal="right" vertical="center" wrapText="1"/>
      <protection hidden="1"/>
    </xf>
    <xf numFmtId="1" fontId="16" fillId="0" borderId="6" xfId="206" applyNumberFormat="1" applyFont="1" applyBorder="1" applyAlignment="1" applyProtection="1">
      <alignment horizontal="center" vertical="top" wrapText="1"/>
      <protection hidden="1"/>
    </xf>
    <xf numFmtId="1" fontId="17" fillId="0" borderId="6" xfId="206" applyNumberFormat="1" applyFont="1" applyBorder="1" applyAlignment="1" applyProtection="1">
      <alignment horizontal="left" vertical="center" wrapText="1" indent="3"/>
      <protection hidden="1"/>
    </xf>
    <xf numFmtId="0" fontId="17" fillId="0" borderId="0" xfId="206" applyFont="1" applyAlignment="1" applyProtection="1">
      <alignment vertical="center" wrapText="1"/>
      <protection hidden="1"/>
    </xf>
    <xf numFmtId="10" fontId="16" fillId="7" borderId="0" xfId="206" applyNumberFormat="1" applyFont="1" applyFill="1" applyAlignment="1" applyProtection="1">
      <alignment vertical="center" wrapText="1"/>
      <protection locked="0" hidden="1"/>
    </xf>
    <xf numFmtId="1" fontId="0" fillId="0" borderId="6" xfId="206" applyNumberFormat="1" applyFont="1" applyBorder="1" applyAlignment="1" applyProtection="1">
      <alignment horizontal="left" vertical="center" wrapText="1" indent="3"/>
      <protection hidden="1"/>
    </xf>
    <xf numFmtId="2" fontId="16" fillId="0" borderId="0" xfId="206" applyNumberFormat="1" applyFont="1" applyAlignment="1" applyProtection="1">
      <alignment vertical="center" wrapText="1"/>
      <protection hidden="1"/>
    </xf>
    <xf numFmtId="4" fontId="17" fillId="7" borderId="7" xfId="206" applyNumberFormat="1" applyFont="1" applyFill="1" applyBorder="1" applyAlignment="1" applyProtection="1">
      <alignment horizontal="right" vertical="center" wrapText="1"/>
      <protection locked="0" hidden="1"/>
    </xf>
    <xf numFmtId="3" fontId="17" fillId="7" borderId="7" xfId="206" applyNumberFormat="1" applyFont="1" applyFill="1" applyBorder="1" applyAlignment="1" applyProtection="1">
      <alignment horizontal="right" vertical="center" wrapText="1"/>
      <protection locked="0" hidden="1"/>
    </xf>
    <xf numFmtId="4" fontId="17" fillId="0" borderId="7" xfId="206" applyNumberFormat="1" applyFont="1" applyBorder="1" applyAlignment="1" applyProtection="1">
      <alignment horizontal="justify" vertical="center" wrapText="1"/>
      <protection hidden="1"/>
    </xf>
    <xf numFmtId="1" fontId="0" fillId="0" borderId="0" xfId="206" applyNumberFormat="1" applyFont="1" applyAlignment="1" applyProtection="1">
      <alignment vertical="center" wrapText="1"/>
      <protection hidden="1"/>
    </xf>
    <xf numFmtId="4" fontId="17" fillId="0" borderId="0" xfId="206" applyNumberFormat="1" applyFont="1" applyAlignment="1" applyProtection="1">
      <alignment vertical="center" wrapText="1"/>
      <protection hidden="1"/>
    </xf>
    <xf numFmtId="1" fontId="53" fillId="0" borderId="8" xfId="206" applyNumberFormat="1" applyFont="1" applyBorder="1" applyAlignment="1" applyProtection="1">
      <alignment vertical="center" wrapText="1"/>
      <protection hidden="1"/>
    </xf>
    <xf numFmtId="1" fontId="17" fillId="0" borderId="5" xfId="206" applyNumberFormat="1" applyFont="1" applyBorder="1" applyAlignment="1" applyProtection="1">
      <alignment vertical="center" wrapText="1"/>
      <protection hidden="1"/>
    </xf>
    <xf numFmtId="1" fontId="17" fillId="0" borderId="9" xfId="206" applyNumberFormat="1" applyFont="1" applyBorder="1" applyAlignment="1" applyProtection="1">
      <alignment vertical="center" wrapText="1"/>
      <protection hidden="1"/>
    </xf>
    <xf numFmtId="4" fontId="17" fillId="0" borderId="8" xfId="206" applyNumberFormat="1" applyFont="1" applyBorder="1" applyAlignment="1" applyProtection="1">
      <alignment vertical="center" wrapText="1"/>
      <protection hidden="1"/>
    </xf>
    <xf numFmtId="4" fontId="17" fillId="0" borderId="9" xfId="206" applyNumberFormat="1" applyFont="1" applyBorder="1" applyAlignment="1" applyProtection="1">
      <alignment vertical="center" wrapText="1"/>
      <protection hidden="1"/>
    </xf>
    <xf numFmtId="4" fontId="16" fillId="0" borderId="11" xfId="206" applyNumberFormat="1" applyFont="1" applyBorder="1" applyAlignment="1" applyProtection="1">
      <alignment horizontal="center" vertical="center" wrapText="1"/>
      <protection hidden="1"/>
    </xf>
    <xf numFmtId="4" fontId="17" fillId="0" borderId="13" xfId="206" applyNumberFormat="1" applyFont="1" applyBorder="1" applyAlignment="1" applyProtection="1">
      <alignment vertical="center" wrapText="1"/>
      <protection hidden="1"/>
    </xf>
    <xf numFmtId="0" fontId="17" fillId="0" borderId="0" xfId="202" applyAlignment="1" applyProtection="1">
      <alignment vertical="top" wrapText="1"/>
      <protection hidden="1"/>
    </xf>
    <xf numFmtId="0" fontId="7" fillId="0" borderId="5" xfId="0" applyFont="1" applyBorder="1" applyAlignment="1">
      <alignment horizontal="left" vertical="center"/>
    </xf>
    <xf numFmtId="0" fontId="7" fillId="0" borderId="5" xfId="0" applyFont="1" applyBorder="1" applyAlignment="1">
      <alignment vertical="center"/>
    </xf>
    <xf numFmtId="0" fontId="7" fillId="0" borderId="5" xfId="0" applyFont="1" applyBorder="1" applyAlignment="1">
      <alignment horizontal="right" vertical="center"/>
    </xf>
    <xf numFmtId="0" fontId="34" fillId="0" borderId="0" xfId="0" applyFont="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34" fillId="0" borderId="0" xfId="0" applyFont="1" applyAlignment="1">
      <alignment horizontal="left" vertical="center"/>
    </xf>
    <xf numFmtId="0" fontId="6" fillId="0" borderId="0" xfId="0" applyFont="1" applyAlignment="1">
      <alignment horizontal="center" vertical="center"/>
    </xf>
    <xf numFmtId="0" fontId="7" fillId="0" borderId="0" xfId="202" applyFont="1" applyAlignment="1" applyProtection="1">
      <alignment vertical="center"/>
      <protection hidden="1"/>
    </xf>
    <xf numFmtId="0" fontId="6" fillId="0" borderId="0" xfId="202" applyFont="1" applyAlignment="1" applyProtection="1">
      <alignment vertical="center"/>
      <protection hidden="1"/>
    </xf>
    <xf numFmtId="0" fontId="34" fillId="0" borderId="0" xfId="0" applyFont="1" applyAlignment="1" applyProtection="1">
      <alignment vertical="center"/>
      <protection hidden="1"/>
    </xf>
    <xf numFmtId="0" fontId="34" fillId="0" borderId="0" xfId="0" applyFont="1" applyAlignment="1">
      <alignment horizontal="center" vertical="center"/>
    </xf>
    <xf numFmtId="0" fontId="34" fillId="0" borderId="0" xfId="0" applyFont="1" applyAlignment="1">
      <alignment vertical="center"/>
    </xf>
    <xf numFmtId="0" fontId="7" fillId="0" borderId="0" xfId="0" applyFont="1" applyAlignment="1">
      <alignment horizontal="justify" vertical="center"/>
    </xf>
    <xf numFmtId="178" fontId="7" fillId="0" borderId="0" xfId="0" applyNumberFormat="1" applyFont="1" applyAlignment="1" applyProtection="1">
      <alignment horizontal="justify" vertical="center"/>
      <protection hidden="1"/>
    </xf>
    <xf numFmtId="0" fontId="7" fillId="0" borderId="0" xfId="0" applyFont="1" applyAlignment="1">
      <alignment horizontal="right" vertical="center"/>
    </xf>
    <xf numFmtId="0" fontId="6" fillId="0" borderId="0" xfId="198" applyNumberFormat="1" applyFont="1" applyFill="1" applyBorder="1" applyProtection="1">
      <alignment vertical="top"/>
    </xf>
    <xf numFmtId="0" fontId="7" fillId="0" borderId="5" xfId="0" applyFont="1" applyBorder="1" applyAlignment="1">
      <alignment horizontal="justify" vertical="center"/>
    </xf>
    <xf numFmtId="0" fontId="7" fillId="0" borderId="5" xfId="0" applyFont="1" applyBorder="1" applyAlignment="1">
      <alignment horizontal="center" vertical="center"/>
    </xf>
    <xf numFmtId="0" fontId="6" fillId="0" borderId="0" xfId="0" applyFont="1" applyAlignment="1">
      <alignment horizontal="justify" vertical="center"/>
    </xf>
    <xf numFmtId="0" fontId="7" fillId="0" borderId="0" xfId="0" applyFont="1" applyAlignment="1">
      <alignment vertical="center" wrapText="1"/>
    </xf>
    <xf numFmtId="0" fontId="61" fillId="0" borderId="0" xfId="0" applyFont="1" applyAlignment="1">
      <alignment vertical="center"/>
    </xf>
    <xf numFmtId="0" fontId="39" fillId="0" borderId="0" xfId="0" applyFont="1" applyAlignment="1">
      <alignment vertical="center"/>
    </xf>
    <xf numFmtId="0" fontId="6" fillId="0" borderId="0" xfId="198" applyNumberFormat="1" applyFont="1" applyFill="1" applyBorder="1" applyAlignment="1" applyProtection="1">
      <alignment horizontal="center" vertical="center"/>
    </xf>
    <xf numFmtId="0" fontId="6" fillId="0" borderId="0" xfId="198" applyNumberFormat="1" applyFont="1" applyFill="1" applyBorder="1" applyAlignment="1" applyProtection="1">
      <alignment vertical="center"/>
    </xf>
    <xf numFmtId="0" fontId="6" fillId="0" borderId="0" xfId="202" applyFont="1" applyAlignment="1" applyProtection="1">
      <alignment horizontal="center" vertical="center"/>
      <protection hidden="1"/>
    </xf>
    <xf numFmtId="0" fontId="6" fillId="0" borderId="0" xfId="0" applyFont="1" applyAlignment="1" applyProtection="1">
      <alignment horizontal="left" vertical="center"/>
      <protection hidden="1"/>
    </xf>
    <xf numFmtId="0" fontId="34" fillId="0" borderId="0" xfId="202" applyFont="1" applyAlignment="1" applyProtection="1">
      <alignment vertical="center"/>
      <protection hidden="1"/>
    </xf>
    <xf numFmtId="0" fontId="6" fillId="0" borderId="0" xfId="202" applyFont="1" applyAlignment="1" applyProtection="1">
      <alignment horizontal="left" vertical="center"/>
      <protection hidden="1"/>
    </xf>
    <xf numFmtId="0" fontId="7" fillId="0" borderId="0" xfId="202" applyFont="1" applyAlignment="1" applyProtection="1">
      <alignment horizontal="center" vertical="center"/>
      <protection hidden="1"/>
    </xf>
    <xf numFmtId="14" fontId="6" fillId="0" borderId="0" xfId="0" applyNumberFormat="1" applyFont="1" applyAlignment="1">
      <alignment horizontal="center" vertical="center"/>
    </xf>
    <xf numFmtId="0" fontId="6" fillId="0" borderId="0" xfId="198" applyNumberFormat="1" applyFont="1" applyFill="1" applyBorder="1" applyAlignment="1" applyProtection="1">
      <alignment horizontal="center" vertical="center"/>
      <protection hidden="1"/>
    </xf>
    <xf numFmtId="0" fontId="6" fillId="0" borderId="0" xfId="198" applyNumberFormat="1" applyFont="1" applyFill="1" applyBorder="1" applyAlignment="1" applyProtection="1">
      <alignment vertical="center"/>
      <protection hidden="1"/>
    </xf>
    <xf numFmtId="0" fontId="7" fillId="0" borderId="0" xfId="0" applyFont="1" applyAlignment="1">
      <alignment vertical="center"/>
    </xf>
    <xf numFmtId="0" fontId="34" fillId="0" borderId="0" xfId="0" applyFont="1" applyAlignment="1">
      <alignment horizontal="justify" vertical="center"/>
    </xf>
    <xf numFmtId="0" fontId="18" fillId="0" borderId="4" xfId="201" quotePrefix="1" applyFont="1" applyBorder="1" applyAlignment="1" applyProtection="1">
      <alignment horizontal="left" vertical="center"/>
      <protection hidden="1"/>
    </xf>
    <xf numFmtId="0" fontId="17" fillId="0" borderId="8" xfId="195" applyFont="1" applyBorder="1" applyAlignment="1" applyProtection="1">
      <alignment vertical="center" wrapText="1"/>
      <protection hidden="1"/>
    </xf>
    <xf numFmtId="0" fontId="17" fillId="0" borderId="29" xfId="195" applyFont="1" applyBorder="1" applyAlignment="1" applyProtection="1">
      <alignment vertical="center" wrapText="1"/>
      <protection hidden="1"/>
    </xf>
    <xf numFmtId="0" fontId="17" fillId="0" borderId="5" xfId="195" applyFont="1" applyBorder="1" applyAlignment="1" applyProtection="1">
      <alignment vertical="center" wrapText="1"/>
      <protection hidden="1"/>
    </xf>
    <xf numFmtId="0" fontId="17" fillId="0" borderId="30" xfId="195" applyFont="1" applyBorder="1" applyAlignment="1" applyProtection="1">
      <alignment vertical="center" wrapText="1"/>
      <protection hidden="1"/>
    </xf>
    <xf numFmtId="0" fontId="48" fillId="0" borderId="23" xfId="197" applyNumberFormat="1" applyFont="1" applyFill="1" applyBorder="1" applyAlignment="1" applyProtection="1">
      <alignment horizontal="center" vertical="top" wrapText="1"/>
    </xf>
    <xf numFmtId="0" fontId="62" fillId="0"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horizontal="center" vertical="top" wrapText="1"/>
    </xf>
    <xf numFmtId="0" fontId="62" fillId="2" borderId="4" xfId="197" applyNumberFormat="1" applyFont="1" applyFill="1" applyBorder="1" applyAlignment="1" applyProtection="1">
      <alignment vertical="top" wrapText="1"/>
    </xf>
    <xf numFmtId="0" fontId="48" fillId="2" borderId="4" xfId="197" applyNumberFormat="1" applyFont="1" applyFill="1" applyBorder="1" applyAlignment="1" applyProtection="1">
      <alignment vertical="top" wrapText="1"/>
    </xf>
    <xf numFmtId="0" fontId="6" fillId="0" borderId="0" xfId="198" applyNumberFormat="1" applyFont="1" applyFill="1" applyBorder="1" applyAlignment="1" applyProtection="1">
      <alignment horizontal="justify" vertical="center" wrapText="1"/>
    </xf>
    <xf numFmtId="0" fontId="6" fillId="0" borderId="0" xfId="202" applyFont="1" applyAlignment="1" applyProtection="1">
      <alignment horizontal="justify" vertical="center"/>
      <protection hidden="1"/>
    </xf>
    <xf numFmtId="0" fontId="7" fillId="0" borderId="0" xfId="202" applyFont="1" applyAlignment="1" applyProtection="1">
      <alignment horizontal="justify" vertical="center"/>
      <protection hidden="1"/>
    </xf>
    <xf numFmtId="0" fontId="6" fillId="0" borderId="0" xfId="198" applyNumberFormat="1" applyFont="1" applyFill="1" applyBorder="1" applyAlignment="1" applyProtection="1">
      <alignment horizontal="justify" vertical="center"/>
      <protection hidden="1"/>
    </xf>
    <xf numFmtId="0" fontId="6" fillId="0" borderId="0" xfId="198" applyNumberFormat="1" applyFont="1" applyFill="1" applyBorder="1" applyAlignment="1" applyProtection="1">
      <alignment horizontal="justify" vertical="center" wrapText="1"/>
      <protection hidden="1"/>
    </xf>
    <xf numFmtId="0" fontId="7" fillId="0" borderId="5" xfId="0" applyFont="1" applyBorder="1" applyAlignment="1">
      <alignment horizontal="left" vertical="top"/>
    </xf>
    <xf numFmtId="0" fontId="6" fillId="0" borderId="5" xfId="0" applyFont="1" applyBorder="1" applyAlignment="1">
      <alignment vertical="top"/>
    </xf>
    <xf numFmtId="0" fontId="7" fillId="0" borderId="5" xfId="0" applyFont="1" applyBorder="1" applyAlignment="1">
      <alignment horizontal="center" vertical="top"/>
    </xf>
    <xf numFmtId="1" fontId="7" fillId="0" borderId="5" xfId="0" applyNumberFormat="1" applyFont="1" applyBorder="1" applyAlignment="1">
      <alignment horizontal="center" vertical="top"/>
    </xf>
    <xf numFmtId="0" fontId="7" fillId="0" borderId="5" xfId="0" applyFont="1" applyBorder="1" applyAlignment="1">
      <alignment vertical="top"/>
    </xf>
    <xf numFmtId="0" fontId="7" fillId="0" borderId="5" xfId="0" applyFont="1" applyBorder="1" applyAlignment="1">
      <alignment horizontal="right" vertical="top"/>
    </xf>
    <xf numFmtId="0" fontId="39" fillId="0" borderId="0" xfId="0" applyFont="1" applyAlignment="1">
      <alignment horizontal="left" vertical="top"/>
    </xf>
    <xf numFmtId="0" fontId="34" fillId="0" borderId="0" xfId="0" applyFont="1" applyAlignment="1">
      <alignment horizontal="center" vertical="top"/>
    </xf>
    <xf numFmtId="0" fontId="34" fillId="0" borderId="0" xfId="0" applyFont="1" applyAlignment="1">
      <alignment vertical="top"/>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horizontal="center" vertical="top"/>
    </xf>
    <xf numFmtId="1" fontId="6" fillId="0" borderId="0" xfId="0" applyNumberFormat="1" applyFont="1" applyAlignment="1">
      <alignment horizontal="center" vertical="top"/>
    </xf>
    <xf numFmtId="0" fontId="7" fillId="0" borderId="0" xfId="202" applyFont="1" applyAlignment="1" applyProtection="1">
      <alignment vertical="top"/>
      <protection hidden="1"/>
    </xf>
    <xf numFmtId="0" fontId="6" fillId="0" borderId="0" xfId="202" applyFont="1" applyAlignment="1" applyProtection="1">
      <alignment vertical="top"/>
      <protection hidden="1"/>
    </xf>
    <xf numFmtId="0" fontId="7" fillId="0" borderId="0" xfId="202" applyFont="1" applyAlignment="1" applyProtection="1">
      <alignment horizontal="center" vertical="top"/>
      <protection hidden="1"/>
    </xf>
    <xf numFmtId="1" fontId="7" fillId="0" borderId="0" xfId="202" applyNumberFormat="1" applyFont="1" applyAlignment="1" applyProtection="1">
      <alignment horizontal="center" vertical="top"/>
      <protection hidden="1"/>
    </xf>
    <xf numFmtId="0" fontId="6" fillId="0" borderId="0" xfId="0" applyFont="1" applyAlignment="1" applyProtection="1">
      <alignment horizontal="left" vertical="top"/>
      <protection hidden="1"/>
    </xf>
    <xf numFmtId="0" fontId="6" fillId="0" borderId="0" xfId="202" applyFont="1" applyAlignment="1" applyProtection="1">
      <alignment horizontal="left" vertical="top"/>
      <protection hidden="1"/>
    </xf>
    <xf numFmtId="0" fontId="6" fillId="0" borderId="0" xfId="202" applyFont="1" applyAlignment="1" applyProtection="1">
      <alignment horizontal="center" vertical="top"/>
      <protection hidden="1"/>
    </xf>
    <xf numFmtId="1" fontId="6" fillId="0" borderId="0" xfId="202" applyNumberFormat="1" applyFont="1" applyAlignment="1" applyProtection="1">
      <alignment horizontal="center" vertical="top"/>
      <protection hidden="1"/>
    </xf>
    <xf numFmtId="0" fontId="39" fillId="0" borderId="0" xfId="0" applyFont="1" applyAlignment="1">
      <alignment horizontal="left" vertical="top" wrapText="1"/>
    </xf>
    <xf numFmtId="0" fontId="34" fillId="0" borderId="0" xfId="0" applyFont="1" applyAlignment="1">
      <alignment horizontal="center" vertical="top" wrapText="1"/>
    </xf>
    <xf numFmtId="0" fontId="7" fillId="0" borderId="4" xfId="0" applyFont="1" applyBorder="1" applyAlignment="1">
      <alignment horizontal="center" vertical="top"/>
    </xf>
    <xf numFmtId="1" fontId="7" fillId="0" borderId="4" xfId="0" applyNumberFormat="1" applyFont="1" applyBorder="1" applyAlignment="1">
      <alignment horizontal="center" vertical="top"/>
    </xf>
    <xf numFmtId="0" fontId="7" fillId="0" borderId="0" xfId="0" applyFont="1" applyAlignment="1">
      <alignment horizontal="center" vertical="top"/>
    </xf>
    <xf numFmtId="0" fontId="7" fillId="0" borderId="0" xfId="0" applyFont="1" applyAlignment="1">
      <alignment horizontal="left" vertical="top"/>
    </xf>
    <xf numFmtId="0" fontId="7" fillId="0" borderId="0" xfId="0" applyFont="1" applyAlignment="1">
      <alignment horizontal="justify" vertical="top"/>
    </xf>
    <xf numFmtId="178" fontId="7" fillId="0" borderId="0" xfId="0" applyNumberFormat="1" applyFont="1" applyAlignment="1">
      <alignment vertical="top"/>
    </xf>
    <xf numFmtId="14" fontId="6" fillId="0" borderId="0" xfId="0" applyNumberFormat="1" applyFont="1" applyAlignment="1">
      <alignment horizontal="center" vertical="top"/>
    </xf>
    <xf numFmtId="1" fontId="7" fillId="0" borderId="0" xfId="0" applyNumberFormat="1" applyFont="1" applyAlignment="1">
      <alignment horizontal="center" vertical="top"/>
    </xf>
    <xf numFmtId="0" fontId="7" fillId="0" borderId="0" xfId="0" applyFont="1" applyAlignment="1">
      <alignment vertical="top"/>
    </xf>
    <xf numFmtId="0" fontId="34" fillId="0" borderId="0" xfId="0" applyFont="1" applyAlignment="1" applyProtection="1">
      <alignment horizontal="center" vertical="top"/>
      <protection hidden="1"/>
    </xf>
    <xf numFmtId="0" fontId="34" fillId="0" borderId="0" xfId="0" applyFont="1" applyAlignment="1" applyProtection="1">
      <alignment vertical="top"/>
      <protection hidden="1"/>
    </xf>
    <xf numFmtId="0" fontId="39" fillId="0" borderId="0" xfId="0" applyFont="1" applyAlignment="1" applyProtection="1">
      <alignment horizontal="right" vertical="top"/>
      <protection hidden="1"/>
    </xf>
    <xf numFmtId="1" fontId="34" fillId="0" borderId="0" xfId="0" applyNumberFormat="1" applyFont="1" applyAlignment="1" applyProtection="1">
      <alignment horizontal="center" vertical="top"/>
      <protection hidden="1"/>
    </xf>
    <xf numFmtId="0" fontId="39" fillId="0" borderId="0" xfId="0" applyFont="1" applyAlignment="1" applyProtection="1">
      <alignment horizontal="left" vertical="top"/>
      <protection hidden="1"/>
    </xf>
    <xf numFmtId="0" fontId="39" fillId="0" borderId="0" xfId="0" applyFont="1" applyAlignment="1" applyProtection="1">
      <alignment horizontal="center" vertical="top"/>
      <protection hidden="1"/>
    </xf>
    <xf numFmtId="1" fontId="39" fillId="0" borderId="0" xfId="0" applyNumberFormat="1" applyFont="1" applyAlignment="1" applyProtection="1">
      <alignment horizontal="center" vertical="top"/>
      <protection hidden="1"/>
    </xf>
    <xf numFmtId="0" fontId="39" fillId="0" borderId="0" xfId="0" applyFont="1" applyAlignment="1" applyProtection="1">
      <alignment vertical="top"/>
      <protection hidden="1"/>
    </xf>
    <xf numFmtId="0" fontId="34" fillId="0" borderId="0" xfId="0" applyFont="1" applyAlignment="1" applyProtection="1">
      <alignment horizontal="left" vertical="top"/>
      <protection hidden="1"/>
    </xf>
    <xf numFmtId="0" fontId="39" fillId="0" borderId="0" xfId="0" applyFont="1" applyAlignment="1" applyProtection="1">
      <alignment horizontal="center" vertical="top" wrapText="1"/>
      <protection hidden="1"/>
    </xf>
    <xf numFmtId="0" fontId="39" fillId="0" borderId="0" xfId="202" applyFont="1" applyAlignment="1" applyProtection="1">
      <alignment vertical="top"/>
      <protection hidden="1"/>
    </xf>
    <xf numFmtId="0" fontId="34" fillId="0" borderId="0" xfId="202" applyFont="1" applyAlignment="1" applyProtection="1">
      <alignment vertical="top"/>
      <protection hidden="1"/>
    </xf>
    <xf numFmtId="0" fontId="39" fillId="0" borderId="0" xfId="202" applyFont="1" applyAlignment="1" applyProtection="1">
      <alignment horizontal="center" vertical="top"/>
      <protection hidden="1"/>
    </xf>
    <xf numFmtId="1" fontId="39" fillId="0" borderId="0" xfId="202" applyNumberFormat="1" applyFont="1" applyAlignment="1" applyProtection="1">
      <alignment horizontal="center" vertical="top"/>
      <protection hidden="1"/>
    </xf>
    <xf numFmtId="0" fontId="34" fillId="0" borderId="0" xfId="202" applyFont="1" applyAlignment="1" applyProtection="1">
      <alignment horizontal="left" vertical="top"/>
      <protection hidden="1"/>
    </xf>
    <xf numFmtId="0" fontId="34" fillId="0" borderId="0" xfId="202" applyFont="1" applyAlignment="1" applyProtection="1">
      <alignment horizontal="center" vertical="top"/>
      <protection hidden="1"/>
    </xf>
    <xf numFmtId="1" fontId="34" fillId="0" borderId="0" xfId="202" applyNumberFormat="1" applyFont="1" applyAlignment="1" applyProtection="1">
      <alignment horizontal="center" vertical="top"/>
      <protection hidden="1"/>
    </xf>
    <xf numFmtId="0" fontId="39" fillId="0" borderId="0" xfId="0" applyFont="1" applyAlignment="1" applyProtection="1">
      <alignment vertical="top" wrapText="1"/>
      <protection hidden="1"/>
    </xf>
    <xf numFmtId="165" fontId="39" fillId="0" borderId="0" xfId="207" applyNumberFormat="1" applyFont="1" applyFill="1" applyBorder="1" applyAlignment="1" applyProtection="1">
      <alignment horizontal="center" vertical="top" wrapText="1"/>
      <protection hidden="1"/>
    </xf>
    <xf numFmtId="0" fontId="39" fillId="0" borderId="0" xfId="207" applyFont="1" applyFill="1" applyBorder="1" applyAlignment="1" applyProtection="1">
      <alignment vertical="top"/>
      <protection hidden="1"/>
    </xf>
    <xf numFmtId="0" fontId="34" fillId="0" borderId="0" xfId="207" applyNumberFormat="1" applyFont="1" applyFill="1" applyBorder="1" applyAlignment="1" applyProtection="1">
      <alignment horizontal="center" vertical="top" wrapText="1"/>
      <protection hidden="1"/>
    </xf>
    <xf numFmtId="1" fontId="34" fillId="0" borderId="0" xfId="207" applyNumberFormat="1" applyFont="1" applyFill="1" applyBorder="1" applyAlignment="1" applyProtection="1">
      <alignment horizontal="center" vertical="top" wrapText="1"/>
      <protection hidden="1"/>
    </xf>
    <xf numFmtId="2"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horizontal="right" vertical="top"/>
      <protection hidden="1"/>
    </xf>
    <xf numFmtId="165" fontId="34" fillId="0" borderId="0" xfId="207" applyNumberFormat="1" applyFont="1" applyFill="1" applyBorder="1" applyAlignment="1" applyProtection="1">
      <alignment horizontal="center" vertical="top" wrapText="1"/>
      <protection hidden="1"/>
    </xf>
    <xf numFmtId="0" fontId="34" fillId="0" borderId="0" xfId="207" applyFont="1" applyFill="1" applyBorder="1" applyAlignment="1" applyProtection="1">
      <alignment vertical="top" wrapText="1"/>
      <protection hidden="1"/>
    </xf>
    <xf numFmtId="168"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wrapText="1"/>
      <protection hidden="1"/>
    </xf>
    <xf numFmtId="0" fontId="34" fillId="0" borderId="0" xfId="207" applyNumberFormat="1" applyFont="1" applyFill="1" applyBorder="1" applyAlignment="1" applyProtection="1">
      <alignment vertical="top"/>
      <protection hidden="1"/>
    </xf>
    <xf numFmtId="167" fontId="34" fillId="0" borderId="0" xfId="0" applyNumberFormat="1" applyFont="1" applyAlignment="1" applyProtection="1">
      <alignment horizontal="right" vertical="top" wrapText="1"/>
      <protection hidden="1"/>
    </xf>
    <xf numFmtId="2" fontId="34" fillId="0" borderId="0" xfId="0" applyNumberFormat="1" applyFont="1" applyAlignment="1" applyProtection="1">
      <alignment vertical="top"/>
      <protection hidden="1"/>
    </xf>
    <xf numFmtId="0" fontId="34" fillId="0" borderId="0" xfId="207" applyFont="1" applyFill="1" applyBorder="1" applyAlignment="1" applyProtection="1">
      <alignment horizontal="center" vertical="top" wrapText="1"/>
      <protection hidden="1"/>
    </xf>
    <xf numFmtId="2" fontId="34" fillId="0" borderId="0" xfId="11" applyNumberFormat="1" applyFont="1" applyFill="1" applyBorder="1" applyAlignment="1" applyProtection="1">
      <alignment horizontal="right" vertical="top" wrapText="1"/>
      <protection hidden="1"/>
    </xf>
    <xf numFmtId="171" fontId="34" fillId="0" borderId="0" xfId="207" quotePrefix="1" applyNumberFormat="1" applyFont="1" applyFill="1" applyBorder="1" applyAlignment="1" applyProtection="1">
      <alignment vertical="top" wrapText="1"/>
      <protection hidden="1"/>
    </xf>
    <xf numFmtId="171"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vertical="top" wrapText="1"/>
      <protection hidden="1"/>
    </xf>
    <xf numFmtId="165" fontId="34" fillId="0" borderId="0" xfId="207" applyNumberFormat="1" applyFont="1" applyFill="1" applyBorder="1" applyAlignment="1" applyProtection="1">
      <alignment vertical="top" wrapText="1"/>
      <protection hidden="1"/>
    </xf>
    <xf numFmtId="0" fontId="34" fillId="0" borderId="0" xfId="207" applyNumberFormat="1" applyFont="1" applyFill="1" applyBorder="1" applyAlignment="1" applyProtection="1">
      <alignment vertical="top" wrapText="1"/>
      <protection hidden="1"/>
    </xf>
    <xf numFmtId="3" fontId="34" fillId="0" borderId="0" xfId="207" applyNumberFormat="1" applyFont="1" applyFill="1" applyBorder="1" applyAlignment="1" applyProtection="1">
      <alignment vertical="top" wrapText="1"/>
      <protection hidden="1"/>
    </xf>
    <xf numFmtId="0" fontId="39" fillId="0" borderId="0" xfId="207" applyFont="1" applyFill="1" applyBorder="1" applyAlignment="1" applyProtection="1">
      <alignment horizontal="center" vertical="top" wrapText="1"/>
      <protection hidden="1"/>
    </xf>
    <xf numFmtId="0" fontId="34" fillId="0" borderId="0" xfId="207" applyNumberFormat="1" applyFont="1" applyFill="1" applyBorder="1" applyAlignment="1" applyProtection="1">
      <alignment horizontal="center" vertical="top"/>
      <protection hidden="1"/>
    </xf>
    <xf numFmtId="1" fontId="34" fillId="0" borderId="0" xfId="207" applyNumberFormat="1" applyFont="1" applyFill="1" applyBorder="1" applyAlignment="1" applyProtection="1">
      <alignment horizontal="center" vertical="top"/>
      <protection hidden="1"/>
    </xf>
    <xf numFmtId="0" fontId="7" fillId="0" borderId="0" xfId="0" applyFont="1" applyAlignment="1">
      <alignment horizontal="center" vertical="top" wrapText="1"/>
    </xf>
    <xf numFmtId="0" fontId="7" fillId="0" borderId="4" xfId="198" applyNumberFormat="1" applyFont="1" applyFill="1" applyBorder="1" applyAlignment="1" applyProtection="1">
      <alignment horizontal="justify" vertical="center" wrapText="1"/>
    </xf>
    <xf numFmtId="0" fontId="7" fillId="0" borderId="4" xfId="198" applyNumberFormat="1" applyFont="1" applyFill="1" applyBorder="1" applyAlignment="1" applyProtection="1">
      <alignment horizontal="center" vertical="center"/>
    </xf>
    <xf numFmtId="0" fontId="7" fillId="0" borderId="4" xfId="198" applyNumberFormat="1" applyFont="1" applyFill="1" applyBorder="1" applyAlignment="1" applyProtection="1">
      <alignment horizontal="center" vertical="center" wrapText="1"/>
    </xf>
    <xf numFmtId="0" fontId="48" fillId="0" borderId="0" xfId="0" applyFont="1" applyAlignment="1">
      <alignment horizontal="left" vertical="top" wrapText="1"/>
    </xf>
    <xf numFmtId="1" fontId="7" fillId="0" borderId="0" xfId="0" applyNumberFormat="1" applyFont="1" applyAlignment="1">
      <alignment horizontal="center" vertical="top" wrapText="1"/>
    </xf>
    <xf numFmtId="1" fontId="34" fillId="0" borderId="0" xfId="0" applyNumberFormat="1" applyFont="1" applyAlignment="1">
      <alignment horizontal="center" vertical="top"/>
    </xf>
    <xf numFmtId="1" fontId="39" fillId="0" borderId="0" xfId="0" applyNumberFormat="1" applyFont="1" applyAlignment="1" applyProtection="1">
      <alignment horizontal="center" vertical="top" wrapText="1"/>
      <protection hidden="1"/>
    </xf>
    <xf numFmtId="1" fontId="39" fillId="0" borderId="0" xfId="207" applyNumberFormat="1" applyFont="1" applyFill="1" applyBorder="1" applyAlignment="1" applyProtection="1">
      <alignment horizontal="center" vertical="top" wrapText="1"/>
      <protection hidden="1"/>
    </xf>
    <xf numFmtId="0" fontId="7" fillId="0" borderId="4" xfId="207" applyFont="1" applyFill="1" applyBorder="1" applyAlignment="1" applyProtection="1">
      <alignment vertical="top" wrapText="1"/>
    </xf>
    <xf numFmtId="0" fontId="48" fillId="0" borderId="0" xfId="0" applyFont="1" applyAlignment="1">
      <alignment vertical="top" wrapText="1"/>
    </xf>
    <xf numFmtId="164" fontId="6" fillId="0" borderId="0" xfId="11" applyFont="1" applyFill="1" applyBorder="1" applyAlignment="1" applyProtection="1">
      <alignment horizontal="right" vertical="top"/>
    </xf>
    <xf numFmtId="0" fontId="0" fillId="0" borderId="0" xfId="193" quotePrefix="1" applyFont="1" applyAlignment="1">
      <alignment horizontal="justify"/>
    </xf>
    <xf numFmtId="0" fontId="0" fillId="0" borderId="0" xfId="193" applyFont="1" applyAlignment="1">
      <alignment vertical="top"/>
    </xf>
    <xf numFmtId="0" fontId="16" fillId="0" borderId="10" xfId="0" applyFont="1" applyBorder="1" applyAlignment="1" applyProtection="1">
      <alignment vertical="center" wrapText="1"/>
      <protection hidden="1"/>
    </xf>
    <xf numFmtId="0" fontId="7" fillId="0" borderId="0" xfId="0" applyFont="1" applyAlignment="1">
      <alignment horizontal="right" vertical="top"/>
    </xf>
    <xf numFmtId="0" fontId="7" fillId="0" borderId="32" xfId="0" applyFont="1" applyBorder="1" applyAlignment="1">
      <alignment horizontal="center" vertical="center" wrapText="1"/>
    </xf>
    <xf numFmtId="0" fontId="6" fillId="0" borderId="0" xfId="207" applyNumberFormat="1" applyFont="1" applyFill="1" applyBorder="1" applyAlignment="1" applyProtection="1">
      <alignment horizontal="center" vertical="top"/>
    </xf>
    <xf numFmtId="1" fontId="6" fillId="0" borderId="0" xfId="207" applyNumberFormat="1" applyFont="1" applyFill="1" applyBorder="1" applyAlignment="1" applyProtection="1">
      <alignment horizontal="center" vertical="top"/>
    </xf>
    <xf numFmtId="0" fontId="7" fillId="0" borderId="0" xfId="207" applyNumberFormat="1" applyFont="1" applyFill="1" applyBorder="1" applyAlignment="1" applyProtection="1">
      <alignment horizontal="left" vertical="top" wrapText="1"/>
    </xf>
    <xf numFmtId="2" fontId="6" fillId="0" borderId="0" xfId="0" applyNumberFormat="1" applyFont="1" applyAlignment="1">
      <alignment horizontal="right" vertical="top"/>
    </xf>
    <xf numFmtId="0" fontId="65" fillId="0" borderId="0" xfId="0" applyFont="1" applyAlignment="1">
      <alignment wrapText="1"/>
    </xf>
    <xf numFmtId="0" fontId="65" fillId="0" borderId="0" xfId="0" applyFont="1"/>
    <xf numFmtId="0" fontId="65" fillId="0" borderId="0" xfId="0" applyFont="1" applyAlignment="1">
      <alignment horizontal="left"/>
    </xf>
    <xf numFmtId="0" fontId="6" fillId="0" borderId="0" xfId="0" applyFont="1" applyAlignment="1">
      <alignment vertical="top" wrapText="1"/>
    </xf>
    <xf numFmtId="0" fontId="6" fillId="6" borderId="23" xfId="0" applyFont="1" applyFill="1" applyBorder="1" applyAlignment="1">
      <alignment horizontal="center" vertical="top" wrapText="1"/>
    </xf>
    <xf numFmtId="0" fontId="6" fillId="6" borderId="3" xfId="0" applyFont="1" applyFill="1" applyBorder="1" applyAlignment="1">
      <alignment horizontal="center" vertical="top" wrapText="1"/>
    </xf>
    <xf numFmtId="1" fontId="6" fillId="6" borderId="3" xfId="0" applyNumberFormat="1" applyFont="1" applyFill="1" applyBorder="1" applyAlignment="1">
      <alignment horizontal="center" vertical="top" wrapText="1"/>
    </xf>
    <xf numFmtId="0" fontId="6" fillId="0" borderId="23" xfId="207" applyNumberFormat="1" applyFont="1" applyFill="1" applyBorder="1" applyAlignment="1" applyProtection="1">
      <alignment horizontal="center" vertical="top"/>
    </xf>
    <xf numFmtId="0" fontId="6" fillId="0" borderId="3" xfId="207" applyNumberFormat="1" applyFont="1" applyFill="1" applyBorder="1" applyAlignment="1" applyProtection="1">
      <alignment horizontal="center" vertical="top"/>
    </xf>
    <xf numFmtId="1" fontId="6" fillId="0" borderId="3" xfId="207" applyNumberFormat="1" applyFont="1" applyFill="1" applyBorder="1" applyAlignment="1" applyProtection="1">
      <alignment horizontal="center" vertical="top"/>
    </xf>
    <xf numFmtId="0" fontId="6" fillId="7" borderId="4" xfId="207" applyNumberFormat="1" applyFont="1" applyFill="1" applyBorder="1" applyAlignment="1" applyProtection="1">
      <alignment horizontal="center" vertical="top"/>
    </xf>
    <xf numFmtId="1" fontId="6" fillId="7" borderId="4" xfId="207" applyNumberFormat="1" applyFont="1" applyFill="1" applyBorder="1" applyAlignment="1" applyProtection="1">
      <alignment horizontal="center" vertical="top"/>
    </xf>
    <xf numFmtId="0" fontId="65" fillId="0" borderId="0" xfId="0" applyFont="1" applyAlignment="1">
      <alignment horizontal="left" vertical="top" wrapText="1"/>
    </xf>
    <xf numFmtId="0" fontId="65" fillId="0" borderId="0" xfId="0" applyFont="1" applyAlignment="1">
      <alignment horizontal="center" vertical="top" wrapText="1"/>
    </xf>
    <xf numFmtId="0" fontId="65" fillId="0" borderId="0" xfId="0" applyFont="1" applyAlignment="1">
      <alignment vertical="top"/>
    </xf>
    <xf numFmtId="0" fontId="68" fillId="6" borderId="14" xfId="207" applyFont="1" applyFill="1" applyBorder="1" applyAlignment="1" applyProtection="1">
      <alignment horizontal="center" vertical="center" wrapText="1"/>
    </xf>
    <xf numFmtId="0" fontId="68" fillId="6" borderId="3" xfId="207" applyFont="1" applyFill="1" applyBorder="1" applyAlignment="1" applyProtection="1">
      <alignment horizontal="center" vertical="center" wrapText="1"/>
    </xf>
    <xf numFmtId="1" fontId="68" fillId="6" borderId="15" xfId="207" applyNumberFormat="1" applyFont="1" applyFill="1" applyBorder="1" applyAlignment="1" applyProtection="1">
      <alignment horizontal="center" vertical="center" wrapText="1"/>
    </xf>
    <xf numFmtId="2" fontId="67" fillId="6" borderId="4" xfId="0" applyNumberFormat="1" applyFont="1" applyFill="1" applyBorder="1" applyAlignment="1">
      <alignment horizontal="center" vertical="center"/>
    </xf>
    <xf numFmtId="2" fontId="67" fillId="0" borderId="4" xfId="0" applyNumberFormat="1" applyFont="1" applyBorder="1" applyAlignment="1">
      <alignment horizontal="center" vertical="center"/>
    </xf>
    <xf numFmtId="164" fontId="67" fillId="0" borderId="4" xfId="11" applyFont="1" applyFill="1" applyBorder="1" applyAlignment="1" applyProtection="1">
      <alignment horizontal="center" vertical="center"/>
    </xf>
    <xf numFmtId="2" fontId="67" fillId="7" borderId="4" xfId="0" applyNumberFormat="1" applyFont="1" applyFill="1" applyBorder="1" applyAlignment="1">
      <alignment horizontal="center" vertical="center"/>
    </xf>
    <xf numFmtId="164" fontId="68" fillId="7" borderId="4" xfId="11" applyFont="1" applyFill="1" applyBorder="1" applyAlignment="1" applyProtection="1">
      <alignment horizontal="center" vertical="center"/>
    </xf>
    <xf numFmtId="0" fontId="37" fillId="14" borderId="4" xfId="0" applyFont="1" applyFill="1" applyBorder="1" applyAlignment="1">
      <alignment horizontal="center" vertical="center"/>
    </xf>
    <xf numFmtId="0" fontId="34" fillId="14" borderId="0" xfId="0" applyFont="1" applyFill="1" applyAlignment="1">
      <alignment vertical="top"/>
    </xf>
    <xf numFmtId="0" fontId="6" fillId="14" borderId="0" xfId="0" applyFont="1" applyFill="1" applyAlignment="1">
      <alignment vertical="top"/>
    </xf>
    <xf numFmtId="2" fontId="6" fillId="14" borderId="0" xfId="0" applyNumberFormat="1" applyFont="1" applyFill="1" applyAlignment="1">
      <alignment vertical="top"/>
    </xf>
    <xf numFmtId="0" fontId="67" fillId="0" borderId="0" xfId="0" applyFont="1" applyAlignment="1">
      <alignment vertical="top"/>
    </xf>
    <xf numFmtId="0" fontId="73" fillId="0" borderId="0" xfId="0" applyFont="1" applyAlignment="1">
      <alignment horizontal="center" vertical="top"/>
    </xf>
    <xf numFmtId="0" fontId="69" fillId="10" borderId="0" xfId="0" applyFont="1" applyFill="1" applyAlignment="1">
      <alignment horizontal="center" vertical="top" wrapText="1"/>
    </xf>
    <xf numFmtId="0" fontId="69" fillId="0" borderId="0" xfId="0" applyFont="1" applyAlignment="1">
      <alignment horizontal="center" vertical="top" wrapText="1"/>
    </xf>
    <xf numFmtId="0" fontId="73" fillId="0" borderId="0" xfId="202" applyFont="1" applyAlignment="1" applyProtection="1">
      <alignment horizontal="center" vertical="top"/>
      <protection hidden="1"/>
    </xf>
    <xf numFmtId="0" fontId="73" fillId="0" borderId="0" xfId="0" applyFont="1" applyAlignment="1" applyProtection="1">
      <alignment horizontal="center" vertical="top"/>
      <protection hidden="1"/>
    </xf>
    <xf numFmtId="0" fontId="69" fillId="0" borderId="4" xfId="0" applyFont="1" applyBorder="1" applyAlignment="1">
      <alignment horizontal="center" vertical="top"/>
    </xf>
    <xf numFmtId="0" fontId="73" fillId="0" borderId="31" xfId="0" applyFont="1" applyBorder="1" applyAlignment="1">
      <alignment horizontal="center" vertical="top"/>
    </xf>
    <xf numFmtId="164" fontId="73" fillId="7" borderId="4" xfId="0" applyNumberFormat="1" applyFont="1" applyFill="1" applyBorder="1" applyAlignment="1">
      <alignment horizontal="center" vertical="top"/>
    </xf>
    <xf numFmtId="164" fontId="69" fillId="0" borderId="9" xfId="11" applyFont="1" applyBorder="1" applyAlignment="1" applyProtection="1">
      <alignment horizontal="center" vertical="top"/>
    </xf>
    <xf numFmtId="0" fontId="73" fillId="0" borderId="0" xfId="0" applyFont="1" applyAlignment="1">
      <alignment horizontal="center" vertical="top" wrapText="1"/>
    </xf>
    <xf numFmtId="0" fontId="69" fillId="0" borderId="0" xfId="0" applyFont="1" applyAlignment="1">
      <alignment horizontal="center" vertical="top"/>
    </xf>
    <xf numFmtId="0" fontId="74" fillId="0" borderId="0" xfId="0" applyFont="1" applyAlignment="1">
      <alignment horizontal="center" vertical="top"/>
    </xf>
    <xf numFmtId="0" fontId="74" fillId="0" borderId="0" xfId="0" applyFont="1" applyAlignment="1" applyProtection="1">
      <alignment horizontal="center" vertical="top"/>
      <protection hidden="1"/>
    </xf>
    <xf numFmtId="0" fontId="75" fillId="0" borderId="0" xfId="0" applyFont="1" applyAlignment="1" applyProtection="1">
      <alignment horizontal="center" vertical="top"/>
      <protection hidden="1"/>
    </xf>
    <xf numFmtId="0" fontId="74" fillId="0" borderId="0" xfId="202" applyFont="1" applyAlignment="1" applyProtection="1">
      <alignment horizontal="center" vertical="top"/>
      <protection hidden="1"/>
    </xf>
    <xf numFmtId="0" fontId="75" fillId="0" borderId="0" xfId="0" applyFont="1" applyAlignment="1" applyProtection="1">
      <alignment horizontal="center" vertical="top" wrapText="1"/>
      <protection hidden="1"/>
    </xf>
    <xf numFmtId="0" fontId="74" fillId="0" borderId="0" xfId="0" applyFont="1" applyAlignment="1" applyProtection="1">
      <alignment horizontal="center" vertical="top" wrapText="1"/>
      <protection hidden="1"/>
    </xf>
    <xf numFmtId="168" fontId="74" fillId="0" borderId="0" xfId="11" applyNumberFormat="1" applyFont="1" applyFill="1" applyBorder="1" applyAlignment="1" applyProtection="1">
      <alignment horizontal="center" vertical="top"/>
      <protection hidden="1"/>
    </xf>
    <xf numFmtId="0" fontId="7" fillId="13" borderId="4" xfId="0" applyFont="1" applyFill="1" applyBorder="1" applyAlignment="1">
      <alignment horizontal="center" vertical="top"/>
    </xf>
    <xf numFmtId="0" fontId="7" fillId="13" borderId="4" xfId="0" applyFont="1" applyFill="1" applyBorder="1" applyAlignment="1">
      <alignment horizontal="center" vertical="center"/>
    </xf>
    <xf numFmtId="0" fontId="39" fillId="13" borderId="0" xfId="0" applyFont="1" applyFill="1" applyAlignment="1">
      <alignment horizontal="center" vertical="center"/>
    </xf>
    <xf numFmtId="0" fontId="6" fillId="13" borderId="0" xfId="0" applyFont="1" applyFill="1" applyAlignment="1">
      <alignment vertical="center"/>
    </xf>
    <xf numFmtId="0" fontId="34" fillId="13" borderId="0" xfId="0" applyFont="1" applyFill="1" applyAlignment="1">
      <alignment vertical="center"/>
    </xf>
    <xf numFmtId="0" fontId="76" fillId="0" borderId="0" xfId="0" applyFont="1" applyAlignment="1">
      <alignment vertical="center"/>
    </xf>
    <xf numFmtId="0" fontId="67" fillId="0" borderId="0" xfId="0" applyFont="1"/>
    <xf numFmtId="0" fontId="76" fillId="0" borderId="0" xfId="0" applyFont="1"/>
    <xf numFmtId="0" fontId="77" fillId="0" borderId="0" xfId="202" applyFont="1" applyAlignment="1" applyProtection="1">
      <alignment vertical="center"/>
      <protection hidden="1"/>
    </xf>
    <xf numFmtId="0" fontId="77" fillId="0" borderId="0" xfId="0" applyFont="1" applyAlignment="1">
      <alignment vertical="center"/>
    </xf>
    <xf numFmtId="39" fontId="68" fillId="6" borderId="4" xfId="11" applyNumberFormat="1" applyFont="1" applyFill="1" applyBorder="1" applyAlignment="1" applyProtection="1">
      <alignment horizontal="center" vertical="center"/>
    </xf>
    <xf numFmtId="0" fontId="70" fillId="0" borderId="0" xfId="0" applyFont="1" applyAlignment="1">
      <alignment vertical="top"/>
    </xf>
    <xf numFmtId="0" fontId="70" fillId="0" borderId="0" xfId="0" applyFont="1" applyAlignment="1">
      <alignment horizontal="right" vertical="top"/>
    </xf>
    <xf numFmtId="0" fontId="17" fillId="0" borderId="4" xfId="147" applyFont="1" applyBorder="1" applyAlignment="1">
      <alignment horizontal="center"/>
    </xf>
    <xf numFmtId="0" fontId="0" fillId="0" borderId="0" xfId="193" applyFont="1" applyAlignment="1">
      <alignment horizontal="justify"/>
    </xf>
    <xf numFmtId="0" fontId="17" fillId="0" borderId="4" xfId="201" applyFont="1" applyBorder="1" applyAlignment="1" applyProtection="1">
      <alignment horizontal="center" vertical="center"/>
      <protection hidden="1"/>
    </xf>
    <xf numFmtId="0" fontId="34" fillId="0" borderId="0" xfId="0" applyFont="1" applyAlignment="1">
      <alignment horizontal="left" vertical="top"/>
    </xf>
    <xf numFmtId="10" fontId="34" fillId="0" borderId="0" xfId="0" applyNumberFormat="1" applyFont="1" applyAlignment="1">
      <alignment horizontal="center" vertical="top"/>
    </xf>
    <xf numFmtId="0" fontId="78" fillId="0" borderId="0" xfId="0" applyFont="1" applyAlignment="1">
      <alignment vertical="top"/>
    </xf>
    <xf numFmtId="0" fontId="39" fillId="0" borderId="0" xfId="198" applyNumberFormat="1" applyFont="1" applyFill="1" applyBorder="1" applyAlignment="1" applyProtection="1">
      <alignment horizontal="center" vertical="top" wrapText="1"/>
      <protection hidden="1"/>
    </xf>
    <xf numFmtId="0" fontId="6" fillId="15" borderId="0" xfId="198" applyNumberFormat="1" applyFont="1" applyFill="1" applyBorder="1" applyProtection="1">
      <alignment vertical="top"/>
    </xf>
    <xf numFmtId="0" fontId="78" fillId="15" borderId="0" xfId="198" applyNumberFormat="1" applyFont="1" applyFill="1" applyBorder="1" applyProtection="1">
      <alignment vertical="top"/>
    </xf>
    <xf numFmtId="0" fontId="78" fillId="0" borderId="0" xfId="198" applyNumberFormat="1" applyFont="1" applyFill="1" applyBorder="1" applyProtection="1">
      <alignment vertical="top"/>
    </xf>
    <xf numFmtId="177" fontId="16" fillId="0" borderId="4" xfId="201" applyNumberFormat="1" applyFont="1" applyBorder="1" applyAlignment="1" applyProtection="1">
      <alignment horizontal="center" vertical="center"/>
      <protection hidden="1"/>
    </xf>
    <xf numFmtId="2" fontId="16" fillId="6" borderId="4" xfId="201" applyNumberFormat="1" applyFont="1" applyFill="1" applyBorder="1" applyAlignment="1" applyProtection="1">
      <alignment horizontal="center" vertical="center" wrapText="1"/>
      <protection hidden="1"/>
    </xf>
    <xf numFmtId="2" fontId="16" fillId="6" borderId="4" xfId="201" applyNumberFormat="1" applyFont="1" applyFill="1" applyBorder="1" applyAlignment="1" applyProtection="1">
      <alignment vertical="center" wrapText="1"/>
      <protection hidden="1"/>
    </xf>
    <xf numFmtId="2" fontId="16" fillId="0" borderId="4" xfId="201" applyNumberFormat="1" applyFont="1" applyBorder="1" applyAlignment="1" applyProtection="1">
      <alignment horizontal="center" vertical="center"/>
      <protection hidden="1"/>
    </xf>
    <xf numFmtId="0" fontId="0" fillId="0" borderId="16" xfId="195" applyFont="1" applyBorder="1" applyAlignment="1" applyProtection="1">
      <alignment vertical="center"/>
      <protection hidden="1"/>
    </xf>
    <xf numFmtId="0" fontId="0" fillId="0" borderId="18" xfId="195" applyFont="1" applyBorder="1" applyAlignment="1" applyProtection="1">
      <alignment vertical="center"/>
      <protection hidden="1"/>
    </xf>
    <xf numFmtId="1" fontId="72" fillId="14" borderId="4" xfId="198" applyNumberFormat="1" applyFont="1" applyFill="1" applyBorder="1" applyAlignment="1" applyProtection="1">
      <alignment horizontal="center"/>
      <protection locked="0"/>
    </xf>
    <xf numFmtId="9" fontId="72" fillId="0" borderId="4" xfId="0" applyNumberFormat="1" applyFont="1" applyBorder="1" applyAlignment="1">
      <alignment horizontal="center"/>
    </xf>
    <xf numFmtId="10" fontId="72" fillId="0" borderId="4" xfId="198" applyNumberFormat="1" applyFont="1" applyFill="1" applyBorder="1" applyAlignment="1" applyProtection="1">
      <alignment horizontal="center"/>
      <protection locked="0"/>
    </xf>
    <xf numFmtId="9" fontId="67" fillId="0" borderId="4" xfId="0" applyNumberFormat="1" applyFont="1" applyBorder="1" applyAlignment="1">
      <alignment horizontal="left" wrapText="1"/>
    </xf>
    <xf numFmtId="0" fontId="71" fillId="14" borderId="4" xfId="109" applyFont="1" applyFill="1" applyBorder="1" applyAlignment="1">
      <alignment horizontal="center" wrapText="1"/>
    </xf>
    <xf numFmtId="1" fontId="80" fillId="0" borderId="4" xfId="0" applyNumberFormat="1" applyFont="1" applyBorder="1" applyAlignment="1">
      <alignment horizontal="center" wrapText="1"/>
    </xf>
    <xf numFmtId="2" fontId="37" fillId="14" borderId="4" xfId="198" applyNumberFormat="1" applyFont="1" applyFill="1" applyBorder="1" applyAlignment="1" applyProtection="1">
      <alignment horizontal="center"/>
      <protection locked="0"/>
    </xf>
    <xf numFmtId="2" fontId="37" fillId="14" borderId="4" xfId="0" applyNumberFormat="1" applyFont="1" applyFill="1" applyBorder="1" applyAlignment="1">
      <alignment horizontal="center"/>
    </xf>
    <xf numFmtId="2" fontId="73" fillId="14" borderId="4" xfId="202" applyNumberFormat="1" applyFont="1" applyFill="1" applyBorder="1" applyAlignment="1" applyProtection="1">
      <alignment horizontal="center"/>
      <protection hidden="1"/>
    </xf>
    <xf numFmtId="0" fontId="0" fillId="0" borderId="4" xfId="0" applyBorder="1" applyAlignment="1">
      <alignment horizontal="left"/>
    </xf>
    <xf numFmtId="1" fontId="80" fillId="0" borderId="4" xfId="0" applyNumberFormat="1" applyFont="1" applyBorder="1" applyAlignment="1">
      <alignment horizontal="right" wrapText="1"/>
    </xf>
    <xf numFmtId="2" fontId="69" fillId="0" borderId="4" xfId="198" applyNumberFormat="1" applyFont="1" applyFill="1" applyBorder="1" applyAlignment="1" applyProtection="1">
      <alignment horizontal="center"/>
      <protection locked="0"/>
    </xf>
    <xf numFmtId="2" fontId="69" fillId="0" borderId="4" xfId="0" applyNumberFormat="1" applyFont="1" applyBorder="1" applyAlignment="1">
      <alignment horizontal="center"/>
    </xf>
    <xf numFmtId="164" fontId="73" fillId="6" borderId="4" xfId="11" applyFont="1" applyFill="1" applyBorder="1" applyAlignment="1" applyProtection="1">
      <alignment horizontal="center"/>
    </xf>
    <xf numFmtId="9" fontId="81" fillId="0" borderId="4" xfId="0" applyNumberFormat="1" applyFont="1" applyBorder="1" applyAlignment="1">
      <alignment horizontal="left" wrapText="1"/>
    </xf>
    <xf numFmtId="0" fontId="67" fillId="7" borderId="4" xfId="0" applyFont="1" applyFill="1" applyBorder="1" applyAlignment="1">
      <alignment horizontal="center" vertical="center" wrapText="1"/>
    </xf>
    <xf numFmtId="0" fontId="68" fillId="7" borderId="4" xfId="207" applyFont="1" applyFill="1" applyBorder="1" applyAlignment="1" applyProtection="1">
      <alignment horizontal="justify" vertical="center" wrapText="1"/>
    </xf>
    <xf numFmtId="0" fontId="68" fillId="7" borderId="4" xfId="207" applyFont="1" applyFill="1" applyBorder="1" applyAlignment="1" applyProtection="1">
      <alignment horizontal="center" vertical="center" wrapText="1"/>
    </xf>
    <xf numFmtId="0" fontId="68" fillId="7" borderId="4" xfId="207" applyFont="1" applyFill="1" applyBorder="1" applyAlignment="1" applyProtection="1">
      <alignment vertical="center" wrapText="1"/>
    </xf>
    <xf numFmtId="2" fontId="67" fillId="7" borderId="4" xfId="0" applyNumberFormat="1" applyFont="1" applyFill="1" applyBorder="1" applyAlignment="1">
      <alignment horizontal="right" vertical="center"/>
    </xf>
    <xf numFmtId="39" fontId="68" fillId="7" borderId="4" xfId="11" applyNumberFormat="1" applyFont="1" applyFill="1" applyBorder="1" applyAlignment="1" applyProtection="1">
      <alignment horizontal="center" vertical="center"/>
    </xf>
    <xf numFmtId="0" fontId="7" fillId="0" borderId="4" xfId="0" applyFont="1" applyBorder="1" applyAlignment="1">
      <alignment horizontal="center" wrapText="1"/>
    </xf>
    <xf numFmtId="0" fontId="7" fillId="0" borderId="32" xfId="0" applyFont="1" applyBorder="1" applyAlignment="1">
      <alignment horizontal="center" wrapText="1"/>
    </xf>
    <xf numFmtId="1" fontId="7" fillId="0" borderId="4" xfId="0" applyNumberFormat="1" applyFont="1" applyBorder="1" applyAlignment="1">
      <alignment horizontal="center" wrapText="1"/>
    </xf>
    <xf numFmtId="0" fontId="7" fillId="0" borderId="4" xfId="0" applyFont="1" applyBorder="1" applyAlignment="1">
      <alignment wrapText="1"/>
    </xf>
    <xf numFmtId="0" fontId="7" fillId="0" borderId="4" xfId="0" applyFont="1" applyBorder="1" applyAlignment="1">
      <alignment horizontal="center"/>
    </xf>
    <xf numFmtId="1" fontId="7" fillId="0" borderId="4" xfId="0" applyNumberFormat="1" applyFont="1" applyBorder="1" applyAlignment="1">
      <alignment horizontal="center"/>
    </xf>
    <xf numFmtId="0" fontId="69" fillId="0" borderId="4" xfId="0" applyFont="1" applyBorder="1" applyAlignment="1">
      <alignment horizontal="center" wrapText="1"/>
    </xf>
    <xf numFmtId="0" fontId="3" fillId="0" borderId="0" xfId="201" applyAlignment="1">
      <alignment vertical="center"/>
    </xf>
    <xf numFmtId="0" fontId="3" fillId="0" borderId="0" xfId="201" quotePrefix="1" applyAlignment="1">
      <alignment horizontal="left" vertical="center"/>
    </xf>
    <xf numFmtId="0" fontId="39" fillId="0" borderId="0" xfId="0" applyFont="1" applyAlignment="1">
      <alignment horizontal="center" vertical="top"/>
    </xf>
    <xf numFmtId="0" fontId="17" fillId="0" borderId="0" xfId="202" applyAlignment="1">
      <alignment horizontal="left" vertical="center"/>
    </xf>
    <xf numFmtId="165" fontId="7" fillId="0" borderId="5" xfId="0" applyNumberFormat="1" applyFont="1" applyBorder="1" applyAlignment="1">
      <alignment horizontal="left" vertical="center"/>
    </xf>
    <xf numFmtId="165" fontId="6" fillId="0" borderId="0" xfId="0" applyNumberFormat="1" applyFont="1" applyAlignment="1">
      <alignment horizontal="center" vertical="center"/>
    </xf>
    <xf numFmtId="165" fontId="6" fillId="0" borderId="0" xfId="198" applyNumberFormat="1" applyFont="1" applyFill="1" applyBorder="1" applyAlignment="1" applyProtection="1">
      <alignment horizontal="center" vertical="center"/>
    </xf>
    <xf numFmtId="165" fontId="7" fillId="0" borderId="0" xfId="202" applyNumberFormat="1" applyFont="1" applyAlignment="1" applyProtection="1">
      <alignment horizontal="left" vertical="center"/>
      <protection hidden="1"/>
    </xf>
    <xf numFmtId="165" fontId="6" fillId="0" borderId="0" xfId="202" applyNumberFormat="1" applyFont="1" applyAlignment="1" applyProtection="1">
      <alignment horizontal="center" vertical="center"/>
      <protection hidden="1"/>
    </xf>
    <xf numFmtId="165" fontId="6" fillId="0" borderId="0" xfId="202" applyNumberFormat="1" applyFont="1" applyAlignment="1" applyProtection="1">
      <alignment horizontal="left" vertical="center"/>
      <protection hidden="1"/>
    </xf>
    <xf numFmtId="165" fontId="7" fillId="0" borderId="4" xfId="198" applyNumberFormat="1" applyFont="1" applyFill="1" applyBorder="1" applyAlignment="1" applyProtection="1">
      <alignment horizontal="center" vertical="center" wrapText="1"/>
    </xf>
    <xf numFmtId="1" fontId="7" fillId="0" borderId="4" xfId="0" applyNumberFormat="1" applyFont="1" applyBorder="1" applyAlignment="1">
      <alignment horizontal="center" vertical="center"/>
    </xf>
    <xf numFmtId="0" fontId="7" fillId="15"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6" fillId="0" borderId="4" xfId="0" applyNumberFormat="1" applyFont="1" applyBorder="1" applyAlignment="1">
      <alignment horizontal="center" vertical="center"/>
    </xf>
    <xf numFmtId="165" fontId="6" fillId="0" borderId="4" xfId="198" applyNumberFormat="1" applyFont="1" applyFill="1" applyBorder="1" applyAlignment="1" applyProtection="1">
      <alignment horizontal="center" vertical="center"/>
    </xf>
    <xf numFmtId="165" fontId="7" fillId="0" borderId="5" xfId="0" applyNumberFormat="1" applyFont="1" applyBorder="1" applyAlignment="1">
      <alignment horizontal="center" vertical="center"/>
    </xf>
    <xf numFmtId="165" fontId="7" fillId="0" borderId="0" xfId="202" applyNumberFormat="1" applyFont="1" applyAlignment="1" applyProtection="1">
      <alignment horizontal="center" vertical="center"/>
      <protection hidden="1"/>
    </xf>
    <xf numFmtId="0" fontId="7" fillId="0" borderId="4" xfId="0" applyFont="1" applyBorder="1" applyAlignment="1">
      <alignment horizontal="center" vertical="center" wrapText="1"/>
    </xf>
    <xf numFmtId="1" fontId="6" fillId="0" borderId="4" xfId="198" applyNumberFormat="1" applyFont="1" applyFill="1" applyBorder="1" applyAlignment="1" applyProtection="1">
      <alignment horizontal="center" vertical="center"/>
      <protection locked="0"/>
    </xf>
    <xf numFmtId="1" fontId="6" fillId="0" borderId="4" xfId="0" applyNumberFormat="1" applyFont="1" applyBorder="1" applyAlignment="1">
      <alignment horizontal="center" vertical="center"/>
    </xf>
    <xf numFmtId="0" fontId="6" fillId="0" borderId="0" xfId="202" applyFont="1" applyAlignment="1">
      <alignment horizontal="left" vertical="center"/>
    </xf>
    <xf numFmtId="0" fontId="7" fillId="0" borderId="4" xfId="0" applyFont="1" applyBorder="1" applyAlignment="1">
      <alignment horizontal="center" vertical="center"/>
    </xf>
    <xf numFmtId="0" fontId="7" fillId="15" borderId="4" xfId="0" applyFont="1" applyFill="1" applyBorder="1" applyAlignment="1">
      <alignment horizontal="left" vertical="center" wrapText="1"/>
    </xf>
    <xf numFmtId="0" fontId="6" fillId="0" borderId="4" xfId="0" applyFont="1" applyBorder="1" applyAlignment="1">
      <alignment horizontal="justify" vertical="center" wrapText="1"/>
    </xf>
    <xf numFmtId="0" fontId="7" fillId="0" borderId="4" xfId="0" applyFont="1" applyBorder="1" applyAlignment="1">
      <alignment vertical="center"/>
    </xf>
    <xf numFmtId="0" fontId="6" fillId="0" borderId="4" xfId="198" applyNumberFormat="1" applyFont="1" applyFill="1" applyBorder="1" applyAlignment="1" applyProtection="1">
      <alignment vertical="center"/>
    </xf>
    <xf numFmtId="0" fontId="6" fillId="0" borderId="0" xfId="202" applyFont="1" applyAlignment="1">
      <alignment horizontal="center" vertical="center"/>
    </xf>
    <xf numFmtId="2" fontId="6" fillId="15" borderId="4" xfId="198" applyNumberFormat="1" applyFont="1" applyFill="1" applyBorder="1" applyAlignment="1" applyProtection="1">
      <alignment horizontal="right" vertical="center"/>
    </xf>
    <xf numFmtId="2" fontId="6" fillId="0" borderId="4" xfId="0" applyNumberFormat="1" applyFont="1" applyBorder="1" applyAlignment="1">
      <alignment horizontal="center" vertical="center"/>
    </xf>
    <xf numFmtId="0" fontId="83" fillId="16" borderId="4" xfId="0" applyFont="1" applyFill="1" applyBorder="1" applyAlignment="1">
      <alignment horizontal="center" vertical="center"/>
    </xf>
    <xf numFmtId="0" fontId="6" fillId="0" borderId="4" xfId="198" applyNumberFormat="1" applyFont="1" applyFill="1" applyBorder="1" applyAlignment="1" applyProtection="1">
      <alignment horizontal="center" vertical="center"/>
    </xf>
    <xf numFmtId="2" fontId="6" fillId="0" borderId="4" xfId="198" applyNumberFormat="1" applyFont="1" applyFill="1" applyBorder="1" applyAlignment="1" applyProtection="1">
      <alignment horizontal="center" vertical="center"/>
      <protection locked="0"/>
    </xf>
    <xf numFmtId="0" fontId="6" fillId="0" borderId="0" xfId="0" applyFont="1" applyAlignment="1" applyProtection="1">
      <alignment horizontal="center" vertical="center"/>
      <protection hidden="1"/>
    </xf>
    <xf numFmtId="2" fontId="6" fillId="15" borderId="4" xfId="198" applyNumberFormat="1" applyFont="1" applyFill="1" applyBorder="1" applyAlignment="1" applyProtection="1">
      <alignment horizontal="center" vertical="center"/>
    </xf>
    <xf numFmtId="9" fontId="6" fillId="0" borderId="0" xfId="198" applyNumberFormat="1" applyFont="1" applyFill="1" applyBorder="1" applyAlignment="1" applyProtection="1">
      <alignment horizontal="center" vertical="center"/>
    </xf>
    <xf numFmtId="0" fontId="6" fillId="0" borderId="0" xfId="0" applyFont="1" applyAlignment="1">
      <alignment horizontal="right" vertical="center" indent="1"/>
    </xf>
    <xf numFmtId="2" fontId="6" fillId="0" borderId="0" xfId="0" applyNumberFormat="1" applyFont="1" applyAlignment="1">
      <alignment horizontal="right" vertical="center" indent="1"/>
    </xf>
    <xf numFmtId="10" fontId="6" fillId="0" borderId="4" xfId="198" applyNumberFormat="1" applyFont="1" applyFill="1" applyBorder="1" applyAlignment="1" applyProtection="1">
      <alignment horizontal="center" vertical="center"/>
      <protection locked="0"/>
    </xf>
    <xf numFmtId="0" fontId="83" fillId="0" borderId="4" xfId="0" applyFont="1" applyBorder="1" applyAlignment="1">
      <alignment horizontal="center" vertical="center" wrapText="1"/>
    </xf>
    <xf numFmtId="0" fontId="7" fillId="0" borderId="4" xfId="0" applyFont="1" applyBorder="1" applyAlignment="1">
      <alignment horizontal="justify" vertical="center"/>
    </xf>
    <xf numFmtId="9" fontId="79" fillId="0" borderId="4" xfId="0" applyNumberFormat="1" applyFont="1" applyBorder="1" applyAlignment="1">
      <alignment horizontal="center" vertical="center" wrapText="1"/>
    </xf>
    <xf numFmtId="1" fontId="7" fillId="0" borderId="5" xfId="0" applyNumberFormat="1" applyFont="1" applyBorder="1" applyAlignment="1">
      <alignment horizontal="left" vertical="center"/>
    </xf>
    <xf numFmtId="1" fontId="6" fillId="0" borderId="0" xfId="0" applyNumberFormat="1" applyFont="1" applyAlignment="1">
      <alignment horizontal="center" vertical="center"/>
    </xf>
    <xf numFmtId="1" fontId="6" fillId="0" borderId="0" xfId="198" applyNumberFormat="1" applyFont="1" applyFill="1" applyBorder="1" applyAlignment="1" applyProtection="1">
      <alignment horizontal="center" vertical="center"/>
    </xf>
    <xf numFmtId="1" fontId="7" fillId="0" borderId="0" xfId="202" applyNumberFormat="1" applyFont="1" applyAlignment="1" applyProtection="1">
      <alignment horizontal="left" vertical="center"/>
      <protection hidden="1"/>
    </xf>
    <xf numFmtId="1" fontId="6" fillId="0" borderId="0" xfId="202" applyNumberFormat="1" applyFont="1" applyAlignment="1" applyProtection="1">
      <alignment horizontal="center" vertical="center"/>
      <protection hidden="1"/>
    </xf>
    <xf numFmtId="1" fontId="6" fillId="0" borderId="0" xfId="202" applyNumberFormat="1" applyFont="1" applyAlignment="1" applyProtection="1">
      <alignment horizontal="left" vertical="center"/>
      <protection hidden="1"/>
    </xf>
    <xf numFmtId="1" fontId="7" fillId="0" borderId="4" xfId="0" applyNumberFormat="1" applyFont="1" applyBorder="1" applyAlignment="1">
      <alignment horizontal="center" vertical="center" wrapText="1"/>
    </xf>
    <xf numFmtId="1" fontId="7" fillId="15" borderId="4" xfId="0" applyNumberFormat="1" applyFont="1" applyFill="1" applyBorder="1" applyAlignment="1">
      <alignment horizontal="center" vertical="center" wrapText="1"/>
    </xf>
    <xf numFmtId="1" fontId="6" fillId="0" borderId="4" xfId="198" applyNumberFormat="1" applyFont="1" applyFill="1" applyBorder="1" applyAlignment="1" applyProtection="1">
      <alignment horizontal="center" vertical="center"/>
    </xf>
    <xf numFmtId="0" fontId="6" fillId="0" borderId="0" xfId="202" applyFont="1" applyAlignment="1">
      <alignment horizontal="justify" vertical="center"/>
    </xf>
    <xf numFmtId="0" fontId="21" fillId="15" borderId="4" xfId="0" applyFont="1" applyFill="1" applyBorder="1" applyAlignment="1">
      <alignment horizontal="left" vertical="center" wrapText="1"/>
    </xf>
    <xf numFmtId="0" fontId="79" fillId="0" borderId="4" xfId="0" applyFont="1" applyBorder="1" applyAlignment="1">
      <alignment horizontal="right" vertical="center" wrapText="1"/>
    </xf>
    <xf numFmtId="0" fontId="7" fillId="0" borderId="4" xfId="0" applyFont="1" applyBorder="1" applyAlignment="1">
      <alignment horizontal="right" vertical="center"/>
    </xf>
    <xf numFmtId="0" fontId="7" fillId="0" borderId="4" xfId="198" applyNumberFormat="1" applyFont="1" applyFill="1" applyBorder="1" applyAlignment="1" applyProtection="1">
      <alignment horizontal="right" vertical="center" wrapText="1"/>
    </xf>
    <xf numFmtId="0" fontId="34" fillId="15" borderId="0" xfId="0" applyFont="1" applyFill="1" applyAlignment="1">
      <alignment vertical="top" wrapText="1"/>
    </xf>
    <xf numFmtId="2" fontId="84" fillId="0" borderId="0" xfId="240" applyNumberFormat="1" applyFont="1" applyAlignment="1">
      <alignment horizontal="left" vertical="center" wrapText="1"/>
    </xf>
    <xf numFmtId="0" fontId="7" fillId="0" borderId="36" xfId="0" applyFont="1" applyBorder="1" applyAlignment="1">
      <alignment horizontal="right" vertical="center" indent="1"/>
    </xf>
    <xf numFmtId="0" fontId="6" fillId="15" borderId="36" xfId="198" applyNumberFormat="1" applyFont="1" applyFill="1" applyBorder="1" applyAlignment="1" applyProtection="1">
      <alignment horizontal="right" vertical="center" indent="1"/>
    </xf>
    <xf numFmtId="2" fontId="6" fillId="0" borderId="36" xfId="198" applyNumberFormat="1" applyFont="1" applyFill="1" applyBorder="1" applyAlignment="1" applyProtection="1">
      <alignment horizontal="right" vertical="center" indent="1"/>
    </xf>
    <xf numFmtId="0" fontId="6" fillId="0" borderId="36" xfId="198" applyNumberFormat="1" applyFont="1" applyFill="1" applyBorder="1" applyAlignment="1" applyProtection="1">
      <alignment horizontal="right" vertical="center" indent="1"/>
    </xf>
    <xf numFmtId="2" fontId="7" fillId="0" borderId="36" xfId="198" applyNumberFormat="1" applyFont="1" applyFill="1" applyBorder="1" applyAlignment="1" applyProtection="1">
      <alignment horizontal="right" vertical="center" indent="1"/>
    </xf>
    <xf numFmtId="0" fontId="6" fillId="0" borderId="36" xfId="0" applyFont="1" applyBorder="1" applyAlignment="1">
      <alignment horizontal="right" vertical="center" indent="1"/>
    </xf>
    <xf numFmtId="0" fontId="7" fillId="0" borderId="14" xfId="0" applyFont="1" applyBorder="1" applyAlignment="1">
      <alignment horizontal="center" vertical="center"/>
    </xf>
    <xf numFmtId="2" fontId="6" fillId="15" borderId="14" xfId="198" applyNumberFormat="1" applyFont="1" applyFill="1" applyBorder="1" applyAlignment="1" applyProtection="1">
      <alignment horizontal="right" vertical="center"/>
    </xf>
    <xf numFmtId="2" fontId="6" fillId="0" borderId="14" xfId="198" applyNumberFormat="1" applyFont="1" applyFill="1" applyBorder="1" applyAlignment="1" applyProtection="1">
      <alignment horizontal="right" vertical="center"/>
    </xf>
    <xf numFmtId="2" fontId="7" fillId="0" borderId="14" xfId="198" applyNumberFormat="1" applyFont="1" applyFill="1" applyBorder="1" applyAlignment="1" applyProtection="1">
      <alignment horizontal="center" vertical="center"/>
    </xf>
    <xf numFmtId="2" fontId="7" fillId="0" borderId="14" xfId="0" applyNumberFormat="1" applyFont="1" applyBorder="1" applyAlignment="1">
      <alignment vertical="center"/>
    </xf>
    <xf numFmtId="0" fontId="7" fillId="0" borderId="11" xfId="198" applyNumberFormat="1" applyFont="1" applyFill="1" applyBorder="1" applyAlignment="1" applyProtection="1">
      <alignment horizontal="right" vertical="center" wrapText="1" indent="1"/>
    </xf>
    <xf numFmtId="0" fontId="5" fillId="0" borderId="0" xfId="0" applyFont="1" applyProtection="1">
      <protection hidden="1"/>
    </xf>
    <xf numFmtId="0" fontId="52" fillId="0" borderId="0" xfId="195" applyFont="1" applyAlignment="1" applyProtection="1">
      <alignment horizontal="center" vertical="center"/>
      <protection hidden="1"/>
    </xf>
    <xf numFmtId="0" fontId="17" fillId="6" borderId="4" xfId="0" applyFont="1" applyFill="1" applyBorder="1" applyAlignment="1" applyProtection="1">
      <alignment vertical="center"/>
      <protection locked="0"/>
    </xf>
    <xf numFmtId="0" fontId="17" fillId="0" borderId="4" xfId="207" applyNumberFormat="1" applyFont="1" applyFill="1" applyBorder="1" applyAlignment="1" applyProtection="1">
      <alignment horizontal="center" vertical="center"/>
    </xf>
    <xf numFmtId="0" fontId="17" fillId="7" borderId="4" xfId="207" applyNumberFormat="1" applyFont="1" applyFill="1" applyBorder="1" applyAlignment="1" applyProtection="1">
      <alignment horizontal="center" vertical="center"/>
    </xf>
    <xf numFmtId="0" fontId="17" fillId="0" borderId="0" xfId="198" applyNumberFormat="1" applyFill="1" applyBorder="1" applyAlignment="1" applyProtection="1">
      <alignment horizontal="center" vertical="center"/>
    </xf>
    <xf numFmtId="0" fontId="17" fillId="0" borderId="0" xfId="0" applyFont="1" applyAlignment="1">
      <alignment horizontal="center" vertical="center" wrapText="1"/>
    </xf>
    <xf numFmtId="0" fontId="17" fillId="0" borderId="0" xfId="198" applyNumberFormat="1" applyFill="1" applyBorder="1" applyAlignment="1" applyProtection="1">
      <alignment horizontal="center" vertical="center"/>
      <protection hidden="1"/>
    </xf>
    <xf numFmtId="178" fontId="17" fillId="0" borderId="0" xfId="193" applyNumberFormat="1" applyFont="1" applyAlignment="1">
      <alignment horizontal="left" vertical="center"/>
    </xf>
    <xf numFmtId="0" fontId="17" fillId="0" borderId="0" xfId="194" applyAlignment="1">
      <alignment horizontal="left" vertical="center"/>
    </xf>
    <xf numFmtId="0" fontId="17" fillId="0" borderId="0" xfId="203" applyAlignment="1">
      <alignment horizontal="left" vertical="center"/>
    </xf>
    <xf numFmtId="0" fontId="17" fillId="0" borderId="0" xfId="193" applyFont="1" applyAlignment="1">
      <alignment vertical="top"/>
    </xf>
    <xf numFmtId="165" fontId="17" fillId="0" borderId="0" xfId="193" applyNumberFormat="1" applyFont="1" applyAlignment="1">
      <alignment horizontal="center" vertical="top"/>
    </xf>
    <xf numFmtId="165" fontId="17" fillId="0" borderId="0" xfId="193" applyNumberFormat="1" applyFont="1" applyAlignment="1">
      <alignment horizontal="center" vertical="center"/>
    </xf>
    <xf numFmtId="0" fontId="17" fillId="0" borderId="0" xfId="193"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36" fillId="0" borderId="0" xfId="205" applyFont="1" applyProtection="1">
      <protection hidden="1"/>
    </xf>
    <xf numFmtId="0" fontId="36" fillId="0" borderId="0" xfId="205" applyFont="1" applyAlignment="1" applyProtection="1">
      <alignment vertical="center"/>
      <protection hidden="1"/>
    </xf>
    <xf numFmtId="0" fontId="36" fillId="0" borderId="0" xfId="205" applyFont="1" applyAlignment="1" applyProtection="1">
      <alignment wrapText="1"/>
      <protection hidden="1"/>
    </xf>
    <xf numFmtId="10" fontId="36" fillId="0" borderId="0" xfId="205" applyNumberFormat="1" applyFont="1" applyAlignment="1" applyProtection="1">
      <alignment vertical="center"/>
      <protection hidden="1"/>
    </xf>
    <xf numFmtId="0" fontId="3" fillId="0" borderId="0" xfId="196" applyAlignment="1" applyProtection="1">
      <alignment horizontal="left" vertical="center"/>
      <protection hidden="1"/>
    </xf>
    <xf numFmtId="0" fontId="85" fillId="0" borderId="4" xfId="0" applyFont="1" applyBorder="1" applyAlignment="1">
      <alignment horizontal="center" vertical="center"/>
    </xf>
    <xf numFmtId="0" fontId="0" fillId="0" borderId="4" xfId="0" applyBorder="1" applyAlignment="1">
      <alignment vertical="center"/>
    </xf>
    <xf numFmtId="0" fontId="85" fillId="0" borderId="4" xfId="96" applyFont="1" applyBorder="1" applyAlignment="1">
      <alignment horizontal="center" vertical="center"/>
    </xf>
    <xf numFmtId="0" fontId="0" fillId="0" borderId="4" xfId="0" applyBorder="1" applyAlignment="1">
      <alignment horizontal="center" vertical="center"/>
    </xf>
    <xf numFmtId="2" fontId="0" fillId="0" borderId="4" xfId="0" applyNumberFormat="1" applyBorder="1" applyAlignment="1">
      <alignment horizontal="center" vertical="center"/>
    </xf>
    <xf numFmtId="0" fontId="0" fillId="0" borderId="4" xfId="0" applyBorder="1" applyAlignment="1">
      <alignment horizontal="center" vertical="center" wrapText="1"/>
    </xf>
    <xf numFmtId="0" fontId="86" fillId="0" borderId="4" xfId="0" applyFont="1" applyBorder="1" applyAlignment="1">
      <alignment horizontal="center" vertical="center"/>
    </xf>
    <xf numFmtId="0" fontId="87" fillId="0" borderId="4" xfId="0" applyFont="1" applyBorder="1" applyAlignment="1">
      <alignment horizontal="center" vertical="center"/>
    </xf>
    <xf numFmtId="0" fontId="88" fillId="0" borderId="4" xfId="96" applyFont="1" applyBorder="1" applyAlignment="1">
      <alignment horizontal="justify" vertical="center" wrapText="1"/>
    </xf>
    <xf numFmtId="0" fontId="88" fillId="0" borderId="4" xfId="0" applyFont="1" applyBorder="1" applyAlignment="1">
      <alignment vertical="top" wrapText="1"/>
    </xf>
    <xf numFmtId="0" fontId="88" fillId="0" borderId="4" xfId="0" applyFont="1" applyBorder="1" applyAlignment="1">
      <alignment horizontal="left" vertical="top" wrapText="1"/>
    </xf>
    <xf numFmtId="0" fontId="88" fillId="0" borderId="4" xfId="96" applyFont="1" applyBorder="1" applyAlignment="1">
      <alignment horizontal="justify" vertical="top" wrapText="1"/>
    </xf>
    <xf numFmtId="0" fontId="0" fillId="0" borderId="4" xfId="0" applyBorder="1" applyAlignment="1">
      <alignment vertical="center" wrapText="1"/>
    </xf>
    <xf numFmtId="0" fontId="0" fillId="0" borderId="4" xfId="0" applyBorder="1" applyAlignment="1">
      <alignment horizontal="left" vertical="top" wrapText="1"/>
    </xf>
    <xf numFmtId="0" fontId="0" fillId="0" borderId="4" xfId="0" applyBorder="1" applyAlignment="1">
      <alignment wrapText="1"/>
    </xf>
    <xf numFmtId="0" fontId="0" fillId="0" borderId="4" xfId="0" applyBorder="1" applyAlignment="1">
      <alignment vertical="top" wrapText="1"/>
    </xf>
    <xf numFmtId="0" fontId="85" fillId="16" borderId="4" xfId="0" applyFont="1" applyFill="1" applyBorder="1" applyAlignment="1">
      <alignment horizontal="center" vertical="center"/>
    </xf>
    <xf numFmtId="0" fontId="6" fillId="16" borderId="4" xfId="0" applyFont="1" applyFill="1" applyBorder="1" applyAlignment="1">
      <alignment horizontal="center" vertical="center"/>
    </xf>
    <xf numFmtId="1" fontId="6" fillId="16" borderId="4" xfId="198" applyNumberFormat="1" applyFont="1" applyFill="1" applyBorder="1" applyAlignment="1" applyProtection="1">
      <alignment horizontal="center" vertical="center"/>
      <protection locked="0"/>
    </xf>
    <xf numFmtId="9" fontId="79" fillId="16" borderId="4" xfId="0" applyNumberFormat="1" applyFont="1" applyFill="1" applyBorder="1" applyAlignment="1">
      <alignment horizontal="center" vertical="center" wrapText="1"/>
    </xf>
    <xf numFmtId="10" fontId="6" fillId="16" borderId="4" xfId="198" applyNumberFormat="1" applyFont="1" applyFill="1" applyBorder="1" applyAlignment="1" applyProtection="1">
      <alignment horizontal="center" vertical="center"/>
      <protection locked="0"/>
    </xf>
    <xf numFmtId="0" fontId="0" fillId="16" borderId="4" xfId="0" applyFill="1" applyBorder="1" applyAlignment="1">
      <alignment horizontal="left" vertical="top" wrapText="1"/>
    </xf>
    <xf numFmtId="2" fontId="6" fillId="16" borderId="4" xfId="0" applyNumberFormat="1" applyFont="1" applyFill="1" applyBorder="1" applyAlignment="1">
      <alignment horizontal="center" vertical="center"/>
    </xf>
    <xf numFmtId="2" fontId="6" fillId="16" borderId="4" xfId="198" applyNumberFormat="1" applyFont="1" applyFill="1" applyBorder="1" applyAlignment="1" applyProtection="1">
      <alignment horizontal="center" vertical="center"/>
      <protection locked="0"/>
    </xf>
    <xf numFmtId="2" fontId="6" fillId="16" borderId="14" xfId="198" applyNumberFormat="1" applyFont="1" applyFill="1" applyBorder="1" applyAlignment="1" applyProtection="1">
      <alignment horizontal="right" vertical="center"/>
    </xf>
    <xf numFmtId="2" fontId="6" fillId="16" borderId="36" xfId="198" applyNumberFormat="1" applyFont="1" applyFill="1" applyBorder="1" applyAlignment="1" applyProtection="1">
      <alignment horizontal="right" vertical="center" indent="1"/>
    </xf>
    <xf numFmtId="2" fontId="84" fillId="16" borderId="0" xfId="240" applyNumberFormat="1" applyFont="1" applyFill="1" applyAlignment="1">
      <alignment horizontal="left" vertical="center" wrapText="1"/>
    </xf>
    <xf numFmtId="0" fontId="6" fillId="16" borderId="0" xfId="198" applyNumberFormat="1" applyFont="1" applyFill="1" applyBorder="1" applyProtection="1">
      <alignment vertical="top"/>
    </xf>
    <xf numFmtId="0" fontId="78" fillId="16" borderId="0" xfId="198" applyNumberFormat="1" applyFont="1" applyFill="1" applyBorder="1" applyProtection="1">
      <alignment vertical="top"/>
    </xf>
    <xf numFmtId="0" fontId="90" fillId="0" borderId="4" xfId="0" applyFont="1" applyBorder="1" applyAlignment="1">
      <alignment vertical="top" wrapText="1"/>
    </xf>
    <xf numFmtId="0" fontId="90" fillId="0" borderId="4" xfId="0" applyFont="1" applyBorder="1" applyAlignment="1">
      <alignment vertical="center" wrapText="1"/>
    </xf>
    <xf numFmtId="0" fontId="90" fillId="0" borderId="4" xfId="0" applyFont="1" applyBorder="1" applyAlignment="1">
      <alignment vertical="center"/>
    </xf>
    <xf numFmtId="0" fontId="91" fillId="18" borderId="4" xfId="0" applyFont="1" applyFill="1" applyBorder="1" applyAlignment="1">
      <alignment horizontal="center" vertical="center" wrapText="1"/>
    </xf>
    <xf numFmtId="0" fontId="88" fillId="0" borderId="4" xfId="96" applyFont="1" applyBorder="1" applyAlignment="1">
      <alignment horizontal="justify" vertical="top"/>
    </xf>
    <xf numFmtId="0" fontId="48" fillId="0" borderId="15" xfId="0" applyFont="1" applyBorder="1" applyAlignment="1">
      <alignment horizontal="left" vertical="center" wrapText="1"/>
    </xf>
    <xf numFmtId="0" fontId="48" fillId="0" borderId="15" xfId="0" applyFont="1" applyBorder="1" applyAlignment="1">
      <alignment horizontal="left" vertical="top" wrapText="1"/>
    </xf>
    <xf numFmtId="0" fontId="0" fillId="0" borderId="4" xfId="96" applyFont="1" applyBorder="1" applyAlignment="1">
      <alignment horizontal="justify" vertical="top" wrapText="1"/>
    </xf>
    <xf numFmtId="0" fontId="93" fillId="15" borderId="4" xfId="0" applyFont="1" applyFill="1" applyBorder="1" applyAlignment="1">
      <alignment horizontal="left" vertical="center" wrapText="1"/>
    </xf>
    <xf numFmtId="0" fontId="94" fillId="17" borderId="4" xfId="0" applyFont="1" applyFill="1" applyBorder="1" applyAlignment="1">
      <alignment horizontal="justify" vertical="center" wrapText="1"/>
    </xf>
    <xf numFmtId="0" fontId="87" fillId="0" borderId="4" xfId="0" applyFont="1" applyBorder="1" applyAlignment="1">
      <alignment horizontal="center" vertical="center" wrapText="1"/>
    </xf>
    <xf numFmtId="0" fontId="6" fillId="0" borderId="0" xfId="202" applyFont="1" applyAlignment="1">
      <alignment horizontal="left" vertical="top"/>
    </xf>
    <xf numFmtId="0" fontId="85" fillId="0" borderId="4" xfId="0" applyFont="1" applyBorder="1" applyAlignment="1">
      <alignment horizontal="center" vertical="center" wrapText="1"/>
    </xf>
    <xf numFmtId="0" fontId="85" fillId="0" borderId="36" xfId="0" applyFont="1" applyBorder="1" applyAlignment="1">
      <alignment horizontal="center" vertical="center"/>
    </xf>
    <xf numFmtId="0" fontId="6" fillId="0" borderId="36" xfId="0" applyFont="1" applyBorder="1" applyAlignment="1">
      <alignment horizontal="center" vertical="center"/>
    </xf>
    <xf numFmtId="1" fontId="6" fillId="0" borderId="36" xfId="198" applyNumberFormat="1" applyFont="1" applyFill="1" applyBorder="1" applyAlignment="1" applyProtection="1">
      <alignment horizontal="center" vertical="center"/>
      <protection locked="0"/>
    </xf>
    <xf numFmtId="9" fontId="79" fillId="0" borderId="36" xfId="0" applyNumberFormat="1" applyFont="1" applyBorder="1" applyAlignment="1">
      <alignment horizontal="center" vertical="center" wrapText="1"/>
    </xf>
    <xf numFmtId="10" fontId="6" fillId="0" borderId="36" xfId="198" applyNumberFormat="1" applyFont="1" applyFill="1" applyBorder="1" applyAlignment="1" applyProtection="1">
      <alignment horizontal="center" vertical="center"/>
      <protection locked="0"/>
    </xf>
    <xf numFmtId="0" fontId="0" fillId="0" borderId="36" xfId="0" applyBorder="1" applyAlignment="1">
      <alignment vertical="center" wrapText="1"/>
    </xf>
    <xf numFmtId="2" fontId="6" fillId="0" borderId="15" xfId="0" applyNumberFormat="1" applyFont="1" applyBorder="1" applyAlignment="1">
      <alignment horizontal="center" vertical="center"/>
    </xf>
    <xf numFmtId="0" fontId="85" fillId="0" borderId="11" xfId="0" applyFont="1" applyBorder="1" applyAlignment="1">
      <alignment horizontal="center" vertical="center"/>
    </xf>
    <xf numFmtId="0" fontId="6" fillId="0" borderId="11" xfId="0" applyFont="1" applyBorder="1" applyAlignment="1">
      <alignment horizontal="center" vertical="center"/>
    </xf>
    <xf numFmtId="1" fontId="6" fillId="0" borderId="11" xfId="198" applyNumberFormat="1" applyFont="1" applyFill="1" applyBorder="1" applyAlignment="1" applyProtection="1">
      <alignment horizontal="center" vertical="center"/>
      <protection locked="0"/>
    </xf>
    <xf numFmtId="9" fontId="79" fillId="0" borderId="11" xfId="0" applyNumberFormat="1" applyFont="1" applyBorder="1" applyAlignment="1">
      <alignment horizontal="center" vertical="center" wrapText="1"/>
    </xf>
    <xf numFmtId="10" fontId="6" fillId="0" borderId="11" xfId="198" applyNumberFormat="1" applyFont="1" applyFill="1" applyBorder="1" applyAlignment="1" applyProtection="1">
      <alignment horizontal="center" vertical="center"/>
      <protection locked="0"/>
    </xf>
    <xf numFmtId="0" fontId="0" fillId="0" borderId="11" xfId="0" applyBorder="1" applyAlignment="1">
      <alignment vertical="center" wrapText="1"/>
    </xf>
    <xf numFmtId="0" fontId="85" fillId="0" borderId="13" xfId="0" applyFont="1" applyBorder="1" applyAlignment="1">
      <alignment horizontal="center" vertical="center"/>
    </xf>
    <xf numFmtId="0" fontId="6" fillId="0" borderId="13" xfId="0" applyFont="1" applyBorder="1" applyAlignment="1">
      <alignment horizontal="center" vertical="center"/>
    </xf>
    <xf numFmtId="1" fontId="6" fillId="0" borderId="13" xfId="198" applyNumberFormat="1" applyFont="1" applyFill="1" applyBorder="1" applyAlignment="1" applyProtection="1">
      <alignment horizontal="center" vertical="center"/>
      <protection locked="0"/>
    </xf>
    <xf numFmtId="9" fontId="79" fillId="0" borderId="13" xfId="0" applyNumberFormat="1" applyFont="1" applyBorder="1" applyAlignment="1">
      <alignment horizontal="center" vertical="center" wrapText="1"/>
    </xf>
    <xf numFmtId="10" fontId="6" fillId="0" borderId="13" xfId="198" applyNumberFormat="1" applyFont="1" applyFill="1" applyBorder="1" applyAlignment="1" applyProtection="1">
      <alignment horizontal="center" vertical="center"/>
      <protection locked="0"/>
    </xf>
    <xf numFmtId="10" fontId="6" fillId="0" borderId="15" xfId="198" applyNumberFormat="1" applyFont="1" applyFill="1" applyBorder="1" applyAlignment="1" applyProtection="1">
      <alignment horizontal="center" vertical="center"/>
      <protection locked="0"/>
    </xf>
    <xf numFmtId="0" fontId="7" fillId="0" borderId="0" xfId="198" applyNumberFormat="1" applyFont="1" applyFill="1" applyBorder="1" applyAlignment="1" applyProtection="1">
      <alignment vertical="top" wrapText="1"/>
    </xf>
    <xf numFmtId="165" fontId="7" fillId="0" borderId="40" xfId="202" applyNumberFormat="1" applyFont="1" applyBorder="1" applyAlignment="1" applyProtection="1">
      <alignment horizontal="center" vertical="center"/>
      <protection hidden="1"/>
    </xf>
    <xf numFmtId="0" fontId="7" fillId="0" borderId="40" xfId="198" applyNumberFormat="1" applyFont="1" applyFill="1" applyBorder="1" applyAlignment="1" applyProtection="1">
      <alignment vertical="top" wrapText="1"/>
    </xf>
    <xf numFmtId="165" fontId="6" fillId="0" borderId="40" xfId="202" applyNumberFormat="1" applyFont="1" applyBorder="1" applyAlignment="1" applyProtection="1">
      <alignment horizontal="center" vertical="center"/>
      <protection hidden="1"/>
    </xf>
    <xf numFmtId="0" fontId="6" fillId="0" borderId="42" xfId="0" applyFont="1" applyBorder="1" applyAlignment="1">
      <alignment horizontal="center" vertical="center"/>
    </xf>
    <xf numFmtId="2" fontId="6" fillId="0" borderId="4" xfId="198" applyNumberFormat="1" applyFont="1" applyFill="1" applyBorder="1" applyAlignment="1" applyProtection="1">
      <alignment horizontal="right" vertical="center" indent="1"/>
    </xf>
    <xf numFmtId="0" fontId="17" fillId="0" borderId="4" xfId="0" applyFont="1" applyBorder="1" applyAlignment="1">
      <alignment vertical="center" wrapText="1"/>
    </xf>
    <xf numFmtId="0" fontId="17" fillId="0" borderId="13" xfId="0" applyFont="1" applyBorder="1" applyAlignment="1">
      <alignment vertical="center" wrapText="1"/>
    </xf>
    <xf numFmtId="0" fontId="85" fillId="0" borderId="4" xfId="0" applyFont="1" applyBorder="1" applyAlignment="1">
      <alignment vertical="center" wrapText="1"/>
    </xf>
    <xf numFmtId="0" fontId="85" fillId="0" borderId="4" xfId="0" applyFont="1" applyBorder="1" applyAlignment="1">
      <alignment horizontal="left" vertical="center" wrapText="1"/>
    </xf>
    <xf numFmtId="0" fontId="85" fillId="0" borderId="4" xfId="0" applyFont="1" applyBorder="1" applyAlignment="1">
      <alignment vertical="top" wrapText="1"/>
    </xf>
    <xf numFmtId="0" fontId="85" fillId="0" borderId="4" xfId="0" applyFont="1" applyBorder="1" applyAlignment="1">
      <alignment horizontal="left" vertical="top" wrapText="1"/>
    </xf>
    <xf numFmtId="0" fontId="17" fillId="0" borderId="4" xfId="0" applyFont="1" applyBorder="1" applyAlignment="1">
      <alignment horizontal="left" vertical="top" wrapText="1"/>
    </xf>
    <xf numFmtId="2" fontId="83" fillId="0" borderId="4" xfId="0" applyNumberFormat="1" applyFont="1" applyBorder="1" applyAlignment="1">
      <alignment horizontal="center" vertical="center"/>
    </xf>
    <xf numFmtId="2" fontId="7" fillId="19" borderId="4" xfId="198" applyNumberFormat="1" applyFont="1" applyFill="1" applyBorder="1" applyAlignment="1" applyProtection="1">
      <alignment horizontal="right" vertical="center" indent="1"/>
    </xf>
    <xf numFmtId="0" fontId="86" fillId="0" borderId="4" xfId="0" applyFont="1" applyBorder="1" applyAlignment="1">
      <alignment horizontal="justify"/>
    </xf>
    <xf numFmtId="0" fontId="48" fillId="0" borderId="4" xfId="0" applyFont="1" applyBorder="1" applyAlignment="1">
      <alignment horizontal="justify" wrapText="1"/>
    </xf>
    <xf numFmtId="0" fontId="86" fillId="0" borderId="15" xfId="0" applyFont="1" applyBorder="1" applyAlignment="1">
      <alignment horizontal="justify" wrapText="1"/>
    </xf>
    <xf numFmtId="0" fontId="48" fillId="0" borderId="4" xfId="0" applyFont="1" applyBorder="1" applyAlignment="1">
      <alignment horizontal="justify"/>
    </xf>
    <xf numFmtId="0" fontId="48" fillId="16" borderId="4" xfId="0" applyFont="1" applyFill="1" applyBorder="1" applyAlignment="1">
      <alignment horizontal="justify" wrapText="1"/>
    </xf>
    <xf numFmtId="0" fontId="86" fillId="0" borderId="4" xfId="0" applyFont="1" applyBorder="1" applyAlignment="1">
      <alignment horizontal="justify" wrapText="1"/>
    </xf>
    <xf numFmtId="0" fontId="48" fillId="0" borderId="15" xfId="0" applyFont="1" applyBorder="1" applyAlignment="1">
      <alignment horizontal="justify" wrapText="1"/>
    </xf>
    <xf numFmtId="0" fontId="48" fillId="0" borderId="4" xfId="0" applyFont="1" applyBorder="1" applyAlignment="1">
      <alignment horizontal="center" vertical="center"/>
    </xf>
    <xf numFmtId="0" fontId="86" fillId="0" borderId="4" xfId="0" applyFont="1" applyBorder="1" applyAlignment="1">
      <alignment horizontal="center" vertical="center" wrapText="1"/>
    </xf>
    <xf numFmtId="0" fontId="86" fillId="16" borderId="4" xfId="0" applyFont="1" applyFill="1" applyBorder="1" applyAlignment="1">
      <alignment horizontal="center" vertical="center" wrapText="1"/>
    </xf>
    <xf numFmtId="0" fontId="48" fillId="16" borderId="4" xfId="0" applyFont="1" applyFill="1" applyBorder="1" applyAlignment="1">
      <alignment horizontal="center" vertical="center" wrapText="1"/>
    </xf>
    <xf numFmtId="0" fontId="86" fillId="16" borderId="14" xfId="0" applyFont="1" applyFill="1" applyBorder="1" applyAlignment="1">
      <alignment horizontal="center" vertical="center" wrapText="1"/>
    </xf>
    <xf numFmtId="0" fontId="86" fillId="0" borderId="15" xfId="0" applyFont="1" applyBorder="1" applyAlignment="1">
      <alignment horizontal="justify" vertical="top" wrapText="1"/>
    </xf>
    <xf numFmtId="0" fontId="95" fillId="0" borderId="4" xfId="0" applyFont="1" applyBorder="1"/>
    <xf numFmtId="0" fontId="86" fillId="16" borderId="4" xfId="96" applyFont="1" applyFill="1" applyBorder="1" applyAlignment="1">
      <alignment horizontal="justify" wrapText="1"/>
    </xf>
    <xf numFmtId="0" fontId="86" fillId="0" borderId="4" xfId="96" applyFont="1" applyBorder="1" applyAlignment="1">
      <alignment horizontal="justify" wrapText="1"/>
    </xf>
    <xf numFmtId="0" fontId="48" fillId="0" borderId="4" xfId="198" applyNumberFormat="1" applyFont="1" applyFill="1" applyBorder="1" applyAlignment="1" applyProtection="1">
      <alignment horizontal="justify" wrapText="1"/>
      <protection hidden="1"/>
    </xf>
    <xf numFmtId="0" fontId="48" fillId="0" borderId="4" xfId="96" applyFont="1" applyBorder="1" applyAlignment="1" applyProtection="1">
      <alignment horizontal="justify"/>
      <protection hidden="1"/>
    </xf>
    <xf numFmtId="0" fontId="48" fillId="0" borderId="4" xfId="198" applyNumberFormat="1" applyFont="1" applyFill="1" applyBorder="1" applyAlignment="1" applyProtection="1">
      <alignment horizontal="justify" wrapText="1"/>
    </xf>
    <xf numFmtId="0" fontId="48" fillId="0" borderId="4" xfId="96" applyFont="1" applyBorder="1" applyAlignment="1">
      <alignment horizontal="center" vertical="center"/>
    </xf>
    <xf numFmtId="2" fontId="48" fillId="0" borderId="4" xfId="198" applyNumberFormat="1" applyFont="1" applyFill="1" applyBorder="1" applyAlignment="1" applyProtection="1">
      <alignment horizontal="center" vertical="center"/>
    </xf>
    <xf numFmtId="0" fontId="48" fillId="0" borderId="4" xfId="198" applyNumberFormat="1" applyFont="1" applyFill="1" applyBorder="1" applyAlignment="1" applyProtection="1">
      <alignment horizontal="center" vertical="center"/>
      <protection hidden="1"/>
    </xf>
    <xf numFmtId="0" fontId="48" fillId="0" borderId="4" xfId="96" applyFont="1" applyBorder="1" applyAlignment="1" applyProtection="1">
      <alignment horizontal="center" vertical="center"/>
      <protection hidden="1"/>
    </xf>
    <xf numFmtId="0" fontId="48" fillId="0" borderId="4" xfId="198" applyNumberFormat="1" applyFont="1" applyFill="1" applyBorder="1" applyAlignment="1" applyProtection="1">
      <alignment horizontal="center" vertical="center"/>
    </xf>
    <xf numFmtId="0" fontId="21" fillId="0" borderId="40" xfId="0" applyFont="1" applyBorder="1" applyAlignment="1">
      <alignment horizontal="center"/>
    </xf>
    <xf numFmtId="0" fontId="21" fillId="0" borderId="0" xfId="0" applyFont="1" applyAlignment="1">
      <alignment horizontal="center"/>
    </xf>
    <xf numFmtId="0" fontId="21" fillId="0" borderId="41" xfId="0" applyFont="1" applyBorder="1" applyAlignment="1">
      <alignment horizontal="center"/>
    </xf>
    <xf numFmtId="0" fontId="6" fillId="0" borderId="40" xfId="0" applyFont="1" applyBorder="1"/>
    <xf numFmtId="0" fontId="6" fillId="0" borderId="41" xfId="0" applyFont="1" applyBorder="1"/>
    <xf numFmtId="0" fontId="7" fillId="0" borderId="23" xfId="0" applyFont="1" applyBorder="1" applyAlignment="1">
      <alignment horizontal="center" vertical="center" wrapText="1"/>
    </xf>
    <xf numFmtId="0" fontId="6" fillId="0" borderId="4" xfId="0" applyFont="1" applyBorder="1" applyAlignment="1">
      <alignment horizontal="left" vertical="center"/>
    </xf>
    <xf numFmtId="0" fontId="83" fillId="0" borderId="15" xfId="0" applyFont="1" applyBorder="1" applyAlignment="1">
      <alignment horizontal="justify" vertical="top" wrapText="1"/>
    </xf>
    <xf numFmtId="0" fontId="6" fillId="0" borderId="4" xfId="0" applyFont="1" applyBorder="1" applyAlignment="1">
      <alignment vertical="center"/>
    </xf>
    <xf numFmtId="2" fontId="6" fillId="0" borderId="4" xfId="0" applyNumberFormat="1" applyFont="1" applyBorder="1" applyAlignment="1">
      <alignment horizontal="left" vertical="center"/>
    </xf>
    <xf numFmtId="0" fontId="6" fillId="0" borderId="4" xfId="0" applyFont="1" applyBorder="1" applyAlignment="1">
      <alignment vertical="center" wrapText="1"/>
    </xf>
    <xf numFmtId="0" fontId="6" fillId="0" borderId="4" xfId="0" applyFont="1" applyBorder="1" applyAlignment="1">
      <alignment horizontal="justify" vertical="top" wrapText="1"/>
    </xf>
    <xf numFmtId="0" fontId="6" fillId="16" borderId="4" xfId="0" applyFont="1" applyFill="1" applyBorder="1" applyAlignment="1">
      <alignment horizontal="justify" vertical="top" wrapText="1"/>
    </xf>
    <xf numFmtId="0" fontId="83" fillId="0" borderId="4" xfId="0" applyFont="1" applyBorder="1" applyAlignment="1">
      <alignment horizontal="center" vertical="top"/>
    </xf>
    <xf numFmtId="0" fontId="83" fillId="0" borderId="4" xfId="0" applyFont="1" applyBorder="1" applyAlignment="1">
      <alignment horizontal="justify" vertical="top"/>
    </xf>
    <xf numFmtId="0" fontId="83" fillId="0" borderId="15" xfId="0" applyFont="1" applyBorder="1" applyAlignment="1">
      <alignment horizontal="justify" vertical="top"/>
    </xf>
    <xf numFmtId="0" fontId="6" fillId="0" borderId="4" xfId="0" applyFont="1" applyBorder="1" applyAlignment="1">
      <alignment horizontal="justify" vertical="top"/>
    </xf>
    <xf numFmtId="0" fontId="6" fillId="16" borderId="4" xfId="0" applyFont="1" applyFill="1" applyBorder="1" applyAlignment="1">
      <alignment horizontal="justify" vertical="top"/>
    </xf>
    <xf numFmtId="49" fontId="83" fillId="0" borderId="4" xfId="0" applyNumberFormat="1" applyFont="1" applyBorder="1" applyAlignment="1">
      <alignment horizontal="justify" vertical="top"/>
    </xf>
    <xf numFmtId="49" fontId="83" fillId="16" borderId="4" xfId="0" applyNumberFormat="1" applyFont="1" applyFill="1" applyBorder="1" applyAlignment="1">
      <alignment horizontal="justify" vertical="top"/>
    </xf>
    <xf numFmtId="49" fontId="6" fillId="0" borderId="4" xfId="0" applyNumberFormat="1" applyFont="1" applyBorder="1" applyAlignment="1">
      <alignment horizontal="justify" vertical="top"/>
    </xf>
    <xf numFmtId="2" fontId="83" fillId="0" borderId="4" xfId="0" applyNumberFormat="1" applyFont="1" applyBorder="1" applyAlignment="1">
      <alignment horizontal="justify" vertical="top"/>
    </xf>
    <xf numFmtId="0" fontId="6" fillId="0" borderId="15" xfId="0" applyFont="1" applyBorder="1" applyAlignment="1">
      <alignment horizontal="justify" vertical="top"/>
    </xf>
    <xf numFmtId="2" fontId="83" fillId="0" borderId="4" xfId="0" applyNumberFormat="1" applyFont="1" applyBorder="1" applyAlignment="1">
      <alignment horizontal="justify" vertical="top" wrapText="1"/>
    </xf>
    <xf numFmtId="49" fontId="83" fillId="0" borderId="4" xfId="0" applyNumberFormat="1" applyFont="1" applyBorder="1" applyAlignment="1">
      <alignment horizontal="justify" vertical="top" wrapText="1"/>
    </xf>
    <xf numFmtId="0" fontId="83" fillId="0" borderId="4" xfId="0" applyFont="1" applyBorder="1" applyAlignment="1">
      <alignment horizontal="justify" vertical="top" wrapText="1"/>
    </xf>
    <xf numFmtId="0" fontId="83" fillId="0" borderId="4" xfId="0" applyFont="1" applyBorder="1" applyAlignment="1">
      <alignment horizontal="center" vertical="center"/>
    </xf>
    <xf numFmtId="0" fontId="83" fillId="0" borderId="15" xfId="0" applyFont="1" applyBorder="1" applyAlignment="1">
      <alignment horizontal="justify" wrapText="1"/>
    </xf>
    <xf numFmtId="0" fontId="95" fillId="0" borderId="4" xfId="0" applyFont="1" applyBorder="1" applyAlignment="1">
      <alignment horizontal="justify" vertical="top"/>
    </xf>
    <xf numFmtId="21" fontId="83" fillId="0" borderId="4" xfId="0" applyNumberFormat="1" applyFont="1" applyBorder="1" applyAlignment="1">
      <alignment horizontal="justify" vertical="top"/>
    </xf>
    <xf numFmtId="0" fontId="95" fillId="0" borderId="4" xfId="0" applyFont="1" applyBorder="1" applyAlignment="1">
      <alignment horizontal="left" vertical="center"/>
    </xf>
    <xf numFmtId="0" fontId="6" fillId="0" borderId="4" xfId="0" applyFont="1" applyBorder="1" applyAlignment="1">
      <alignment horizontal="left" vertical="top" wrapText="1"/>
    </xf>
    <xf numFmtId="2" fontId="6" fillId="0" borderId="4" xfId="0" applyNumberFormat="1" applyFont="1" applyBorder="1" applyAlignment="1">
      <alignment vertical="center"/>
    </xf>
    <xf numFmtId="181" fontId="21" fillId="0" borderId="0" xfId="0" applyNumberFormat="1" applyFont="1" applyAlignment="1">
      <alignment horizontal="center"/>
    </xf>
    <xf numFmtId="181" fontId="6" fillId="0" borderId="0" xfId="0" applyNumberFormat="1" applyFont="1"/>
    <xf numFmtId="181" fontId="7" fillId="0" borderId="4" xfId="198" applyNumberFormat="1" applyFont="1" applyFill="1" applyBorder="1" applyAlignment="1" applyProtection="1">
      <alignment horizontal="center" vertical="center"/>
    </xf>
    <xf numFmtId="181" fontId="6" fillId="0" borderId="4" xfId="0" applyNumberFormat="1" applyFont="1" applyBorder="1" applyAlignment="1">
      <alignment horizontal="center" vertical="center"/>
    </xf>
    <xf numFmtId="181" fontId="6" fillId="0" borderId="4" xfId="11" applyNumberFormat="1" applyFont="1" applyFill="1" applyBorder="1" applyAlignment="1" applyProtection="1">
      <alignment horizontal="center" vertical="center"/>
    </xf>
    <xf numFmtId="181" fontId="48" fillId="0" borderId="4" xfId="0" applyNumberFormat="1" applyFont="1" applyBorder="1" applyAlignment="1">
      <alignment horizontal="center" vertical="center"/>
    </xf>
    <xf numFmtId="181" fontId="48" fillId="0" borderId="4" xfId="11" applyNumberFormat="1" applyFont="1" applyFill="1" applyBorder="1" applyAlignment="1" applyProtection="1">
      <alignment horizontal="center" vertical="center"/>
    </xf>
    <xf numFmtId="181" fontId="48" fillId="16" borderId="4" xfId="0" applyNumberFormat="1" applyFont="1" applyFill="1" applyBorder="1" applyAlignment="1">
      <alignment horizontal="center" vertical="center"/>
    </xf>
    <xf numFmtId="181" fontId="48" fillId="0" borderId="4" xfId="96" applyNumberFormat="1" applyFont="1" applyBorder="1" applyAlignment="1">
      <alignment horizontal="center" vertical="center"/>
    </xf>
    <xf numFmtId="181" fontId="48" fillId="0" borderId="4" xfId="199" applyNumberFormat="1" applyFont="1" applyFill="1" applyBorder="1" applyAlignment="1" applyProtection="1">
      <alignment horizontal="center" vertical="center"/>
      <protection hidden="1"/>
    </xf>
    <xf numFmtId="181" fontId="48" fillId="0" borderId="4" xfId="96" applyNumberFormat="1" applyFont="1" applyBorder="1" applyAlignment="1" applyProtection="1">
      <alignment horizontal="center" vertical="center"/>
      <protection hidden="1"/>
    </xf>
    <xf numFmtId="181" fontId="48" fillId="0" borderId="4" xfId="198" applyNumberFormat="1" applyFont="1" applyFill="1" applyBorder="1" applyAlignment="1" applyProtection="1">
      <alignment horizontal="center" vertical="center"/>
      <protection hidden="1"/>
    </xf>
    <xf numFmtId="181" fontId="48" fillId="0" borderId="4" xfId="198" applyNumberFormat="1" applyFont="1" applyFill="1" applyBorder="1" applyAlignment="1" applyProtection="1">
      <alignment horizontal="center" vertical="center"/>
    </xf>
    <xf numFmtId="4" fontId="21" fillId="0" borderId="0" xfId="0" applyNumberFormat="1" applyFont="1" applyAlignment="1">
      <alignment horizontal="center"/>
    </xf>
    <xf numFmtId="4" fontId="6" fillId="0" borderId="0" xfId="0" applyNumberFormat="1" applyFont="1"/>
    <xf numFmtId="4" fontId="7" fillId="0" borderId="4" xfId="198" applyNumberFormat="1" applyFont="1" applyFill="1" applyBorder="1" applyAlignment="1" applyProtection="1">
      <alignment horizontal="center" vertical="center" wrapText="1"/>
    </xf>
    <xf numFmtId="4" fontId="6" fillId="0" borderId="4" xfId="198" applyNumberFormat="1" applyFont="1" applyFill="1" applyBorder="1" applyAlignment="1" applyProtection="1">
      <alignment horizontal="center" vertical="center"/>
      <protection locked="0"/>
    </xf>
    <xf numFmtId="4" fontId="6" fillId="0" borderId="4" xfId="198" applyNumberFormat="1" applyFont="1" applyFill="1" applyBorder="1" applyAlignment="1" applyProtection="1">
      <alignment horizontal="center" vertical="center"/>
    </xf>
    <xf numFmtId="4" fontId="6" fillId="0" borderId="4" xfId="198" applyNumberFormat="1" applyFont="1" applyFill="1" applyBorder="1" applyAlignment="1" applyProtection="1">
      <alignment horizontal="right" vertical="center"/>
    </xf>
    <xf numFmtId="4" fontId="7" fillId="19" borderId="4" xfId="198" applyNumberFormat="1" applyFont="1" applyFill="1" applyBorder="1" applyAlignment="1" applyProtection="1">
      <alignment horizontal="right" vertical="center" indent="1"/>
    </xf>
    <xf numFmtId="0" fontId="83" fillId="0" borderId="15" xfId="0" applyFont="1" applyBorder="1" applyAlignment="1">
      <alignment horizontal="justify"/>
    </xf>
    <xf numFmtId="0" fontId="6" fillId="0" borderId="4" xfId="0" applyFont="1" applyBorder="1" applyAlignment="1">
      <alignment horizontal="left" vertical="top"/>
    </xf>
    <xf numFmtId="0" fontId="95" fillId="0" borderId="4" xfId="0" applyFont="1" applyBorder="1" applyAlignment="1">
      <alignment horizontal="center" vertical="center"/>
    </xf>
    <xf numFmtId="4" fontId="7" fillId="19" borderId="3" xfId="198" applyNumberFormat="1" applyFont="1" applyFill="1" applyBorder="1" applyAlignment="1" applyProtection="1">
      <alignment horizontal="center" vertical="center"/>
    </xf>
    <xf numFmtId="0" fontId="6" fillId="0" borderId="43" xfId="0" applyFont="1" applyBorder="1" applyAlignment="1">
      <alignment horizontal="center" vertical="center"/>
    </xf>
    <xf numFmtId="0" fontId="86" fillId="0" borderId="11" xfId="0" applyFont="1" applyBorder="1" applyAlignment="1">
      <alignment horizontal="justify"/>
    </xf>
    <xf numFmtId="0" fontId="86" fillId="0" borderId="11" xfId="96" applyFont="1" applyBorder="1" applyAlignment="1">
      <alignment horizontal="justify" wrapText="1"/>
    </xf>
    <xf numFmtId="0" fontId="48" fillId="0" borderId="11" xfId="96" applyFont="1" applyBorder="1" applyAlignment="1">
      <alignment horizontal="center" vertical="center"/>
    </xf>
    <xf numFmtId="181" fontId="48" fillId="0" borderId="11" xfId="96" applyNumberFormat="1" applyFont="1" applyBorder="1" applyAlignment="1">
      <alignment horizontal="center" vertical="center"/>
    </xf>
    <xf numFmtId="4" fontId="6" fillId="0" borderId="11" xfId="198" applyNumberFormat="1" applyFont="1" applyFill="1" applyBorder="1" applyAlignment="1" applyProtection="1">
      <alignment horizontal="center" vertical="center"/>
      <protection locked="0"/>
    </xf>
    <xf numFmtId="4" fontId="6" fillId="0" borderId="11" xfId="198" applyNumberFormat="1" applyFont="1" applyFill="1" applyBorder="1" applyAlignment="1" applyProtection="1">
      <alignment horizontal="right" vertical="center"/>
    </xf>
    <xf numFmtId="2" fontId="6" fillId="0" borderId="11" xfId="198" applyNumberFormat="1" applyFont="1" applyFill="1" applyBorder="1" applyAlignment="1" applyProtection="1">
      <alignment horizontal="right" vertical="center" indent="1"/>
    </xf>
    <xf numFmtId="4" fontId="7" fillId="19" borderId="44" xfId="198" applyNumberFormat="1" applyFont="1" applyFill="1" applyBorder="1" applyAlignment="1" applyProtection="1">
      <alignment horizontal="center" vertical="center"/>
    </xf>
    <xf numFmtId="4" fontId="7" fillId="19" borderId="44" xfId="0" applyNumberFormat="1" applyFont="1" applyFill="1" applyBorder="1" applyAlignment="1">
      <alignment horizontal="center" vertical="center"/>
    </xf>
    <xf numFmtId="0" fontId="86" fillId="2" borderId="4" xfId="0" applyFont="1" applyFill="1" applyBorder="1" applyAlignment="1">
      <alignment horizontal="justify" wrapText="1"/>
    </xf>
    <xf numFmtId="4" fontId="7" fillId="19" borderId="4" xfId="0" applyNumberFormat="1" applyFont="1" applyFill="1" applyBorder="1" applyAlignment="1">
      <alignment horizontal="center" vertical="center"/>
    </xf>
    <xf numFmtId="4" fontId="7" fillId="12" borderId="44" xfId="198" applyNumberFormat="1" applyFont="1" applyFill="1" applyBorder="1" applyAlignment="1" applyProtection="1">
      <alignment horizontal="center" vertical="center"/>
    </xf>
    <xf numFmtId="4" fontId="98" fillId="0" borderId="4" xfId="198" applyNumberFormat="1" applyFont="1" applyFill="1" applyBorder="1" applyAlignment="1" applyProtection="1">
      <alignment horizontal="center" vertical="center"/>
      <protection locked="0"/>
    </xf>
    <xf numFmtId="2" fontId="99" fillId="0" borderId="0" xfId="240" applyNumberFormat="1" applyFont="1" applyAlignment="1">
      <alignment horizontal="left" vertical="center" wrapText="1"/>
    </xf>
    <xf numFmtId="0" fontId="97" fillId="0" borderId="0" xfId="0" applyFont="1"/>
    <xf numFmtId="9" fontId="7" fillId="0" borderId="4" xfId="0" applyNumberFormat="1" applyFont="1" applyBorder="1" applyAlignment="1">
      <alignment horizontal="center" vertical="center" wrapText="1"/>
    </xf>
    <xf numFmtId="0" fontId="6" fillId="0" borderId="15" xfId="0" applyFont="1" applyBorder="1" applyAlignment="1">
      <alignment horizontal="justify" vertical="top" wrapText="1"/>
    </xf>
    <xf numFmtId="0" fontId="6" fillId="16" borderId="4" xfId="0" applyFont="1" applyFill="1" applyBorder="1" applyAlignment="1">
      <alignment vertical="center"/>
    </xf>
    <xf numFmtId="181" fontId="6" fillId="16" borderId="4" xfId="0" applyNumberFormat="1" applyFont="1" applyFill="1" applyBorder="1" applyAlignment="1">
      <alignment horizontal="center" vertical="center"/>
    </xf>
    <xf numFmtId="4" fontId="6" fillId="16" borderId="4" xfId="198" applyNumberFormat="1" applyFont="1" applyFill="1" applyBorder="1" applyAlignment="1" applyProtection="1">
      <alignment horizontal="center" vertical="center"/>
      <protection locked="0"/>
    </xf>
    <xf numFmtId="4" fontId="6" fillId="16" borderId="4" xfId="198" applyNumberFormat="1" applyFont="1" applyFill="1" applyBorder="1" applyAlignment="1" applyProtection="1">
      <alignment horizontal="right" vertical="center"/>
    </xf>
    <xf numFmtId="2" fontId="6" fillId="16" borderId="4" xfId="198" applyNumberFormat="1" applyFont="1" applyFill="1" applyBorder="1" applyAlignment="1" applyProtection="1">
      <alignment horizontal="right" vertical="center" indent="1"/>
    </xf>
    <xf numFmtId="0" fontId="21" fillId="0" borderId="0" xfId="0" applyFont="1" applyAlignment="1">
      <alignment horizontal="center" vertical="top"/>
    </xf>
    <xf numFmtId="165" fontId="7" fillId="0" borderId="0" xfId="202" applyNumberFormat="1" applyFont="1" applyAlignment="1" applyProtection="1">
      <alignment horizontal="left" vertical="top"/>
      <protection hidden="1"/>
    </xf>
    <xf numFmtId="2" fontId="6" fillId="0" borderId="4" xfId="0" applyNumberFormat="1" applyFont="1" applyBorder="1" applyAlignment="1">
      <alignment horizontal="left" vertical="top"/>
    </xf>
    <xf numFmtId="165" fontId="6" fillId="0" borderId="4" xfId="0" applyNumberFormat="1" applyFont="1" applyBorder="1" applyAlignment="1">
      <alignment horizontal="left" vertical="top"/>
    </xf>
    <xf numFmtId="49" fontId="6" fillId="0" borderId="4" xfId="0" applyNumberFormat="1" applyFont="1" applyBorder="1" applyAlignment="1">
      <alignment horizontal="left" vertical="top"/>
    </xf>
    <xf numFmtId="0" fontId="83" fillId="0" borderId="4" xfId="0" applyFont="1" applyBorder="1" applyAlignment="1">
      <alignment horizontal="left" vertical="top"/>
    </xf>
    <xf numFmtId="0" fontId="48" fillId="0" borderId="4" xfId="0" applyFont="1" applyBorder="1" applyAlignment="1">
      <alignment horizontal="justify" vertical="top" wrapText="1"/>
    </xf>
    <xf numFmtId="0" fontId="86" fillId="0" borderId="4" xfId="0" applyFont="1" applyBorder="1" applyAlignment="1">
      <alignment horizontal="justify" vertical="top"/>
    </xf>
    <xf numFmtId="2" fontId="86" fillId="0" borderId="4" xfId="0" applyNumberFormat="1" applyFont="1" applyBorder="1" applyAlignment="1">
      <alignment horizontal="justify" vertical="top"/>
    </xf>
    <xf numFmtId="0" fontId="48" fillId="0" borderId="4" xfId="0" applyFont="1" applyBorder="1" applyAlignment="1">
      <alignment horizontal="justify" vertical="top"/>
    </xf>
    <xf numFmtId="165" fontId="86" fillId="0" borderId="4" xfId="0" applyNumberFormat="1" applyFont="1" applyBorder="1" applyAlignment="1">
      <alignment horizontal="justify" vertical="top"/>
    </xf>
    <xf numFmtId="49" fontId="86" fillId="0" borderId="4" xfId="0" applyNumberFormat="1" applyFont="1" applyBorder="1" applyAlignment="1">
      <alignment horizontal="justify" vertical="top"/>
    </xf>
    <xf numFmtId="49" fontId="86" fillId="0" borderId="4" xfId="0" applyNumberFormat="1" applyFont="1" applyBorder="1" applyAlignment="1">
      <alignment horizontal="justify" vertical="top" wrapText="1"/>
    </xf>
    <xf numFmtId="49" fontId="86" fillId="16" borderId="4" xfId="0" applyNumberFormat="1" applyFont="1" applyFill="1" applyBorder="1" applyAlignment="1">
      <alignment horizontal="justify" vertical="top"/>
    </xf>
    <xf numFmtId="49" fontId="48" fillId="0" borderId="4" xfId="0" applyNumberFormat="1" applyFont="1" applyBorder="1" applyAlignment="1">
      <alignment horizontal="justify" vertical="top" wrapText="1"/>
    </xf>
    <xf numFmtId="0" fontId="86" fillId="0" borderId="4" xfId="0" applyFont="1" applyBorder="1" applyAlignment="1">
      <alignment horizontal="justify" vertical="top" wrapText="1"/>
    </xf>
    <xf numFmtId="2" fontId="86" fillId="0" borderId="4" xfId="0" applyNumberFormat="1" applyFont="1" applyBorder="1" applyAlignment="1">
      <alignment horizontal="justify" vertical="top" wrapText="1"/>
    </xf>
    <xf numFmtId="21" fontId="86" fillId="0" borderId="4" xfId="0" applyNumberFormat="1" applyFont="1" applyBorder="1" applyAlignment="1">
      <alignment horizontal="justify" vertical="top"/>
    </xf>
    <xf numFmtId="2" fontId="86" fillId="16" borderId="4" xfId="96" applyNumberFormat="1" applyFont="1" applyFill="1" applyBorder="1" applyAlignment="1">
      <alignment horizontal="justify" vertical="top" wrapText="1"/>
    </xf>
    <xf numFmtId="2" fontId="48" fillId="0" borderId="4" xfId="198" applyNumberFormat="1" applyFont="1" applyFill="1" applyBorder="1" applyAlignment="1" applyProtection="1">
      <alignment horizontal="justify" vertical="top"/>
    </xf>
    <xf numFmtId="2" fontId="86" fillId="0" borderId="4" xfId="96" applyNumberFormat="1" applyFont="1" applyBorder="1" applyAlignment="1">
      <alignment horizontal="justify" vertical="top" wrapText="1"/>
    </xf>
    <xf numFmtId="2" fontId="48" fillId="0" borderId="4" xfId="198" applyNumberFormat="1" applyFont="1" applyFill="1" applyBorder="1" applyAlignment="1" applyProtection="1">
      <alignment horizontal="justify" vertical="top"/>
      <protection hidden="1"/>
    </xf>
    <xf numFmtId="2" fontId="48" fillId="0" borderId="4" xfId="96" applyNumberFormat="1" applyFont="1" applyBorder="1" applyAlignment="1" applyProtection="1">
      <alignment horizontal="justify" vertical="top"/>
      <protection hidden="1"/>
    </xf>
    <xf numFmtId="0" fontId="48" fillId="0" borderId="4" xfId="198" applyNumberFormat="1" applyFont="1" applyFill="1" applyBorder="1" applyAlignment="1" applyProtection="1">
      <alignment horizontal="justify" vertical="top"/>
    </xf>
    <xf numFmtId="0" fontId="86" fillId="0" borderId="11" xfId="0" applyFont="1" applyBorder="1" applyAlignment="1">
      <alignment horizontal="justify" vertical="top" wrapText="1"/>
    </xf>
    <xf numFmtId="0" fontId="7" fillId="0" borderId="31" xfId="198" applyNumberFormat="1" applyFont="1" applyFill="1" applyBorder="1" applyAlignment="1" applyProtection="1">
      <alignment horizontal="left" vertical="center" wrapText="1" indent="1"/>
    </xf>
    <xf numFmtId="0" fontId="0" fillId="0" borderId="0" xfId="203" applyFont="1" applyAlignment="1">
      <alignment horizontal="left" vertical="center"/>
    </xf>
    <xf numFmtId="0" fontId="65" fillId="0" borderId="0" xfId="0" applyFont="1" applyAlignment="1" applyProtection="1">
      <alignment horizontal="justify" vertical="center"/>
      <protection hidden="1"/>
    </xf>
    <xf numFmtId="0" fontId="66" fillId="0" borderId="0" xfId="0" applyFont="1" applyAlignment="1" applyProtection="1">
      <alignment horizontal="left" vertical="center"/>
      <protection hidden="1"/>
    </xf>
    <xf numFmtId="0" fontId="66" fillId="0" borderId="0" xfId="0" quotePrefix="1" applyFont="1" applyAlignment="1" applyProtection="1">
      <alignment horizontal="left" vertical="center"/>
      <protection hidden="1"/>
    </xf>
    <xf numFmtId="0" fontId="7" fillId="0" borderId="14" xfId="201" applyFont="1" applyBorder="1" applyAlignment="1" applyProtection="1">
      <alignment horizontal="center" vertical="center"/>
      <protection hidden="1"/>
    </xf>
    <xf numFmtId="0" fontId="7" fillId="0" borderId="3" xfId="201" applyFont="1" applyBorder="1" applyAlignment="1" applyProtection="1">
      <alignment horizontal="center" vertical="center"/>
      <protection hidden="1"/>
    </xf>
    <xf numFmtId="0" fontId="7" fillId="0" borderId="15" xfId="201" applyFont="1" applyBorder="1" applyAlignment="1" applyProtection="1">
      <alignment horizontal="center" vertical="center"/>
      <protection hidden="1"/>
    </xf>
    <xf numFmtId="0" fontId="20" fillId="0" borderId="22" xfId="201" applyFont="1" applyBorder="1" applyAlignment="1" applyProtection="1">
      <alignment horizontal="justify" vertical="center"/>
      <protection hidden="1"/>
    </xf>
    <xf numFmtId="0" fontId="20" fillId="0" borderId="19" xfId="201" applyFont="1" applyBorder="1" applyAlignment="1" applyProtection="1">
      <alignment horizontal="justify" vertical="center"/>
      <protection hidden="1"/>
    </xf>
    <xf numFmtId="0" fontId="41" fillId="10" borderId="16" xfId="201" applyFont="1" applyFill="1" applyBorder="1" applyAlignment="1" applyProtection="1">
      <alignment horizontal="left" vertical="center" wrapText="1"/>
      <protection hidden="1"/>
    </xf>
    <xf numFmtId="0" fontId="41" fillId="10" borderId="33" xfId="201" applyFont="1" applyFill="1" applyBorder="1" applyAlignment="1" applyProtection="1">
      <alignment horizontal="left" vertical="center" wrapText="1"/>
      <protection hidden="1"/>
    </xf>
    <xf numFmtId="0" fontId="41" fillId="10" borderId="17" xfId="201" applyFont="1" applyFill="1" applyBorder="1" applyAlignment="1" applyProtection="1">
      <alignment horizontal="left" vertical="center" wrapText="1"/>
      <protection hidden="1"/>
    </xf>
    <xf numFmtId="0" fontId="21" fillId="0" borderId="18" xfId="201" applyFont="1" applyBorder="1" applyAlignment="1" applyProtection="1">
      <alignment horizontal="center" vertical="center"/>
      <protection hidden="1"/>
    </xf>
    <xf numFmtId="0" fontId="21" fillId="0" borderId="22" xfId="201" applyFont="1" applyBorder="1" applyAlignment="1" applyProtection="1">
      <alignment horizontal="center" vertical="center"/>
      <protection hidden="1"/>
    </xf>
    <xf numFmtId="0" fontId="21" fillId="0" borderId="19" xfId="201" applyFont="1" applyBorder="1" applyAlignment="1" applyProtection="1">
      <alignment horizontal="center" vertical="center"/>
      <protection hidden="1"/>
    </xf>
    <xf numFmtId="0" fontId="24" fillId="0" borderId="6" xfId="201" applyFont="1" applyBorder="1" applyAlignment="1" applyProtection="1">
      <alignment horizontal="right" vertical="center"/>
      <protection hidden="1"/>
    </xf>
    <xf numFmtId="0" fontId="24" fillId="0" borderId="0" xfId="201" applyFont="1" applyAlignment="1" applyProtection="1">
      <alignment horizontal="right" vertical="center"/>
      <protection hidden="1"/>
    </xf>
    <xf numFmtId="0" fontId="22" fillId="0" borderId="6" xfId="201" applyFont="1" applyBorder="1" applyAlignment="1" applyProtection="1">
      <alignment horizontal="right" vertical="center"/>
      <protection hidden="1"/>
    </xf>
    <xf numFmtId="0" fontId="22" fillId="0" borderId="0" xfId="201" applyFont="1" applyAlignment="1" applyProtection="1">
      <alignment horizontal="right" vertical="center"/>
      <protection hidden="1"/>
    </xf>
    <xf numFmtId="0" fontId="25" fillId="0" borderId="4" xfId="201" applyFont="1" applyBorder="1" applyAlignment="1" applyProtection="1">
      <alignment horizontal="center" vertical="center"/>
      <protection hidden="1"/>
    </xf>
    <xf numFmtId="0" fontId="18" fillId="0" borderId="4" xfId="201" applyFont="1" applyBorder="1" applyAlignment="1" applyProtection="1">
      <alignment horizontal="center" vertical="center"/>
      <protection hidden="1"/>
    </xf>
    <xf numFmtId="0" fontId="42" fillId="0" borderId="11" xfId="201" applyFont="1" applyBorder="1" applyAlignment="1" applyProtection="1">
      <alignment horizontal="center" vertical="center" textRotation="180"/>
      <protection hidden="1"/>
    </xf>
    <xf numFmtId="0" fontId="42" fillId="0" borderId="12" xfId="201" applyFont="1" applyBorder="1" applyAlignment="1" applyProtection="1">
      <alignment horizontal="center" vertical="center" textRotation="180"/>
      <protection hidden="1"/>
    </xf>
    <xf numFmtId="0" fontId="42" fillId="0" borderId="13" xfId="201" applyFont="1" applyBorder="1" applyAlignment="1" applyProtection="1">
      <alignment horizontal="center" vertical="center" textRotation="180"/>
      <protection hidden="1"/>
    </xf>
    <xf numFmtId="0" fontId="42" fillId="0" borderId="11" xfId="201" applyFont="1" applyBorder="1" applyAlignment="1" applyProtection="1">
      <alignment horizontal="center" vertical="center" textRotation="90"/>
      <protection hidden="1"/>
    </xf>
    <xf numFmtId="0" fontId="42" fillId="0" borderId="12" xfId="201" applyFont="1" applyBorder="1" applyAlignment="1" applyProtection="1">
      <alignment horizontal="center" vertical="center" textRotation="90"/>
      <protection hidden="1"/>
    </xf>
    <xf numFmtId="0" fontId="42" fillId="0" borderId="13" xfId="201" applyFont="1" applyBorder="1" applyAlignment="1" applyProtection="1">
      <alignment horizontal="center" vertical="center" textRotation="90"/>
      <protection hidden="1"/>
    </xf>
    <xf numFmtId="0" fontId="24" fillId="0" borderId="8" xfId="201" applyFont="1" applyBorder="1" applyAlignment="1" applyProtection="1">
      <alignment horizontal="right" vertical="center"/>
      <protection hidden="1"/>
    </xf>
    <xf numFmtId="0" fontId="24" fillId="0" borderId="5" xfId="201" applyFont="1" applyBorder="1" applyAlignment="1" applyProtection="1">
      <alignment horizontal="right" vertical="center"/>
      <protection hidden="1"/>
    </xf>
    <xf numFmtId="0" fontId="22" fillId="0" borderId="27" xfId="201" applyFont="1" applyBorder="1" applyAlignment="1" applyProtection="1">
      <alignment horizontal="right" vertical="center"/>
      <protection hidden="1"/>
    </xf>
    <xf numFmtId="0" fontId="22" fillId="0" borderId="10" xfId="201" applyFont="1" applyBorder="1" applyAlignment="1" applyProtection="1">
      <alignment horizontal="right" vertical="center"/>
      <protection hidden="1"/>
    </xf>
    <xf numFmtId="0" fontId="3" fillId="0" borderId="6" xfId="201" applyBorder="1" applyAlignment="1">
      <alignment vertical="center"/>
    </xf>
    <xf numFmtId="0" fontId="3" fillId="0" borderId="0" xfId="201" applyAlignment="1">
      <alignment vertical="center"/>
    </xf>
    <xf numFmtId="0" fontId="3" fillId="0" borderId="7" xfId="201" applyBorder="1" applyAlignment="1">
      <alignment vertical="center"/>
    </xf>
    <xf numFmtId="0" fontId="29"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7" fillId="0" borderId="34" xfId="0" applyFont="1" applyBorder="1" applyAlignment="1" applyProtection="1">
      <alignment horizontal="center" vertical="top"/>
      <protection hidden="1"/>
    </xf>
    <xf numFmtId="0" fontId="37" fillId="0" borderId="0" xfId="0" applyFont="1" applyAlignment="1" applyProtection="1">
      <alignment horizontal="center" vertical="top"/>
      <protection hidden="1"/>
    </xf>
    <xf numFmtId="0" fontId="0" fillId="4" borderId="4" xfId="195" applyFont="1" applyFill="1" applyBorder="1" applyAlignment="1" applyProtection="1">
      <alignment horizontal="left" vertical="center" wrapText="1"/>
      <protection locked="0"/>
    </xf>
    <xf numFmtId="0" fontId="17" fillId="4" borderId="4" xfId="195" applyFont="1" applyFill="1" applyBorder="1" applyAlignment="1" applyProtection="1">
      <alignment horizontal="left" vertical="center" wrapText="1"/>
      <protection locked="0"/>
    </xf>
    <xf numFmtId="0" fontId="0" fillId="4" borderId="4" xfId="195" applyFont="1" applyFill="1" applyBorder="1" applyAlignment="1" applyProtection="1">
      <alignment horizontal="left" vertical="center"/>
      <protection locked="0"/>
    </xf>
    <xf numFmtId="0" fontId="17" fillId="4" borderId="4" xfId="195" applyFont="1" applyFill="1" applyBorder="1" applyAlignment="1" applyProtection="1">
      <alignment horizontal="left" vertical="center"/>
      <protection locked="0"/>
    </xf>
    <xf numFmtId="0" fontId="0" fillId="4" borderId="16" xfId="195" applyFont="1" applyFill="1" applyBorder="1" applyAlignment="1" applyProtection="1">
      <alignment horizontal="left" vertical="center"/>
      <protection locked="0"/>
    </xf>
    <xf numFmtId="0" fontId="17" fillId="4" borderId="33" xfId="195" applyFont="1" applyFill="1" applyBorder="1" applyAlignment="1" applyProtection="1">
      <alignment horizontal="left" vertical="center"/>
      <protection locked="0"/>
    </xf>
    <xf numFmtId="0" fontId="17" fillId="4" borderId="17" xfId="195" applyFont="1" applyFill="1" applyBorder="1" applyAlignment="1" applyProtection="1">
      <alignment horizontal="left" vertical="center"/>
      <protection locked="0"/>
    </xf>
    <xf numFmtId="0" fontId="52" fillId="4" borderId="16" xfId="195" applyFont="1" applyFill="1" applyBorder="1" applyAlignment="1" applyProtection="1">
      <alignment horizontal="left" vertical="center"/>
      <protection locked="0"/>
    </xf>
    <xf numFmtId="0" fontId="52" fillId="4" borderId="33" xfId="195" applyFont="1" applyFill="1" applyBorder="1" applyAlignment="1" applyProtection="1">
      <alignment horizontal="left" vertical="center"/>
      <protection locked="0"/>
    </xf>
    <xf numFmtId="0" fontId="52" fillId="4" borderId="17" xfId="195" applyFont="1" applyFill="1" applyBorder="1" applyAlignment="1" applyProtection="1">
      <alignment horizontal="left" vertical="center"/>
      <protection locked="0"/>
    </xf>
    <xf numFmtId="0" fontId="0" fillId="4" borderId="14" xfId="195" applyFont="1" applyFill="1" applyBorder="1" applyAlignment="1" applyProtection="1">
      <alignment horizontal="left" vertical="center"/>
      <protection locked="0"/>
    </xf>
    <xf numFmtId="0" fontId="0" fillId="4" borderId="3" xfId="195" applyFont="1" applyFill="1" applyBorder="1" applyAlignment="1" applyProtection="1">
      <alignment horizontal="left" vertical="center"/>
      <protection locked="0"/>
    </xf>
    <xf numFmtId="0" fontId="0" fillId="4" borderId="15" xfId="195" applyFont="1" applyFill="1" applyBorder="1" applyAlignment="1" applyProtection="1">
      <alignment horizontal="left" vertical="center"/>
      <protection locked="0"/>
    </xf>
    <xf numFmtId="0" fontId="0" fillId="4" borderId="33" xfId="195" applyFont="1" applyFill="1" applyBorder="1" applyAlignment="1" applyProtection="1">
      <alignment horizontal="left" vertical="center"/>
      <protection locked="0"/>
    </xf>
    <xf numFmtId="0" fontId="0" fillId="4" borderId="17" xfId="195" applyFont="1" applyFill="1" applyBorder="1" applyAlignment="1" applyProtection="1">
      <alignment horizontal="left" vertical="center"/>
      <protection locked="0"/>
    </xf>
    <xf numFmtId="0" fontId="35" fillId="10" borderId="5" xfId="195" applyFont="1" applyFill="1" applyBorder="1" applyAlignment="1" applyProtection="1">
      <alignment horizontal="left" vertical="top" wrapText="1"/>
      <protection hidden="1"/>
    </xf>
    <xf numFmtId="0" fontId="16" fillId="0" borderId="0" xfId="195" applyFont="1" applyAlignment="1" applyProtection="1">
      <alignment horizontal="center" vertical="center"/>
      <protection hidden="1"/>
    </xf>
    <xf numFmtId="0" fontId="26" fillId="8" borderId="0" xfId="195" applyFont="1" applyFill="1" applyAlignment="1" applyProtection="1">
      <alignment horizontal="center" vertical="center"/>
      <protection hidden="1"/>
    </xf>
    <xf numFmtId="0" fontId="6" fillId="4" borderId="4" xfId="195" applyFont="1" applyFill="1" applyBorder="1" applyAlignment="1" applyProtection="1">
      <alignment horizontal="center" vertical="center"/>
      <protection locked="0"/>
    </xf>
    <xf numFmtId="0" fontId="17" fillId="4" borderId="14" xfId="195" applyFont="1" applyFill="1" applyBorder="1" applyAlignment="1" applyProtection="1">
      <alignment horizontal="center" vertical="center" wrapText="1"/>
      <protection locked="0"/>
    </xf>
    <xf numFmtId="0" fontId="17" fillId="4" borderId="3" xfId="195" applyFont="1" applyFill="1" applyBorder="1" applyAlignment="1" applyProtection="1">
      <alignment horizontal="center" vertical="center" wrapText="1"/>
      <protection locked="0"/>
    </xf>
    <xf numFmtId="0" fontId="17" fillId="4" borderId="15" xfId="195" applyFont="1" applyFill="1" applyBorder="1" applyAlignment="1" applyProtection="1">
      <alignment horizontal="center" vertical="center" wrapText="1"/>
      <protection locked="0"/>
    </xf>
    <xf numFmtId="0" fontId="39" fillId="0" borderId="0" xfId="207" applyNumberFormat="1" applyFont="1" applyFill="1" applyBorder="1" applyAlignment="1" applyProtection="1">
      <alignment horizontal="left" vertical="top" wrapText="1"/>
      <protection hidden="1"/>
    </xf>
    <xf numFmtId="0" fontId="34" fillId="0" borderId="0" xfId="202" applyFont="1" applyAlignment="1" applyProtection="1">
      <alignment horizontal="left" vertical="top"/>
      <protection hidden="1"/>
    </xf>
    <xf numFmtId="0" fontId="39" fillId="0" borderId="0" xfId="207" applyFont="1" applyFill="1" applyBorder="1" applyAlignment="1" applyProtection="1">
      <alignment horizontal="left" vertical="top" wrapText="1"/>
      <protection hidden="1"/>
    </xf>
    <xf numFmtId="0" fontId="34" fillId="0" borderId="0" xfId="0" applyFont="1" applyAlignment="1" applyProtection="1">
      <alignment horizontal="justify" vertical="top" wrapText="1"/>
      <protection hidden="1"/>
    </xf>
    <xf numFmtId="0" fontId="6" fillId="0" borderId="0" xfId="202" applyFont="1" applyAlignment="1" applyProtection="1">
      <alignment horizontal="left" vertical="top"/>
      <protection hidden="1"/>
    </xf>
    <xf numFmtId="0" fontId="39" fillId="0" borderId="0" xfId="0" applyFont="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7" applyNumberFormat="1" applyFont="1" applyFill="1" applyBorder="1" applyAlignment="1" applyProtection="1">
      <alignment horizontal="left" vertical="top"/>
      <protection hidden="1"/>
    </xf>
    <xf numFmtId="0" fontId="7" fillId="10" borderId="0" xfId="0" applyFont="1" applyFill="1" applyAlignment="1">
      <alignment horizontal="center" vertical="top" wrapText="1"/>
    </xf>
    <xf numFmtId="0" fontId="6" fillId="0" borderId="0" xfId="202" applyFont="1" applyAlignment="1" applyProtection="1">
      <alignment horizontal="left" vertical="top" wrapText="1"/>
      <protection hidden="1"/>
    </xf>
    <xf numFmtId="0" fontId="68" fillId="0" borderId="0" xfId="0" applyFont="1" applyAlignment="1">
      <alignment horizontal="left" vertical="top" wrapText="1"/>
    </xf>
    <xf numFmtId="0" fontId="68" fillId="0" borderId="14" xfId="207" applyNumberFormat="1" applyFont="1" applyFill="1" applyBorder="1" applyAlignment="1" applyProtection="1">
      <alignment horizontal="center" vertical="center"/>
    </xf>
    <xf numFmtId="0" fontId="68" fillId="0" borderId="3" xfId="207" applyNumberFormat="1" applyFont="1" applyFill="1" applyBorder="1" applyAlignment="1" applyProtection="1">
      <alignment horizontal="center" vertical="center"/>
    </xf>
    <xf numFmtId="0" fontId="68" fillId="0" borderId="15" xfId="207" applyNumberFormat="1" applyFont="1" applyFill="1" applyBorder="1" applyAlignment="1" applyProtection="1">
      <alignment horizontal="center" vertical="center"/>
    </xf>
    <xf numFmtId="0" fontId="39" fillId="0" borderId="0" xfId="0" applyFont="1" applyAlignment="1" applyProtection="1">
      <alignment horizontal="center" vertical="top" wrapText="1"/>
      <protection hidden="1"/>
    </xf>
    <xf numFmtId="0" fontId="68" fillId="7" borderId="4" xfId="207" applyNumberFormat="1" applyFont="1" applyFill="1" applyBorder="1" applyAlignment="1" applyProtection="1">
      <alignment horizontal="center" vertical="center" wrapText="1"/>
    </xf>
    <xf numFmtId="0" fontId="61" fillId="0" borderId="0" xfId="207" applyNumberFormat="1" applyFont="1" applyFill="1" applyBorder="1" applyAlignment="1" applyProtection="1">
      <alignment horizontal="center" vertical="top"/>
    </xf>
    <xf numFmtId="0" fontId="65" fillId="0" borderId="0" xfId="0" applyFont="1" applyAlignment="1">
      <alignment horizontal="justify" vertical="top" wrapText="1"/>
    </xf>
    <xf numFmtId="0" fontId="39" fillId="8" borderId="0" xfId="0" applyFont="1" applyFill="1" applyAlignment="1">
      <alignment horizontal="center" vertical="top"/>
    </xf>
    <xf numFmtId="0" fontId="7" fillId="0" borderId="0" xfId="0" applyFont="1" applyAlignment="1">
      <alignment horizontal="justify" vertical="top" wrapText="1"/>
    </xf>
    <xf numFmtId="1" fontId="6" fillId="0" borderId="0" xfId="0" applyNumberFormat="1" applyFont="1" applyAlignment="1">
      <alignment horizontal="right" vertical="top"/>
    </xf>
    <xf numFmtId="0" fontId="26" fillId="0" borderId="0" xfId="207" applyNumberFormat="1" applyFont="1" applyFill="1" applyBorder="1" applyAlignment="1" applyProtection="1">
      <alignment horizontal="left" vertical="center" wrapText="1"/>
      <protection hidden="1"/>
    </xf>
    <xf numFmtId="0" fontId="30" fillId="0" borderId="0" xfId="202" applyFont="1" applyAlignment="1" applyProtection="1">
      <alignment horizontal="left" vertical="center"/>
      <protection hidden="1"/>
    </xf>
    <xf numFmtId="0" fontId="17" fillId="0" borderId="0" xfId="0" applyFont="1" applyAlignment="1">
      <alignment horizontal="center" vertical="center"/>
    </xf>
    <xf numFmtId="0" fontId="30" fillId="0" borderId="0" xfId="0" applyFont="1" applyAlignment="1" applyProtection="1">
      <alignment horizontal="justify" vertical="center" wrapText="1"/>
      <protection hidden="1"/>
    </xf>
    <xf numFmtId="0" fontId="26" fillId="0" borderId="0" xfId="0" applyFont="1" applyAlignment="1">
      <alignment horizontal="center" vertical="center"/>
    </xf>
    <xf numFmtId="0" fontId="26" fillId="0" borderId="0" xfId="207" applyFont="1" applyFill="1" applyBorder="1" applyAlignment="1" applyProtection="1">
      <alignment horizontal="left" vertical="center" wrapText="1"/>
      <protection hidden="1"/>
    </xf>
    <xf numFmtId="0" fontId="26" fillId="0" borderId="0" xfId="207" applyNumberFormat="1" applyFont="1" applyFill="1" applyBorder="1" applyAlignment="1" applyProtection="1">
      <alignment horizontal="left" vertical="center"/>
      <protection hidden="1"/>
    </xf>
    <xf numFmtId="0" fontId="16" fillId="0" borderId="0" xfId="0" applyFont="1" applyAlignment="1">
      <alignment horizontal="center" vertical="center"/>
    </xf>
    <xf numFmtId="0" fontId="26" fillId="0" borderId="0" xfId="0" applyFont="1" applyAlignment="1" applyProtection="1">
      <alignment horizontal="center" vertical="center"/>
      <protection hidden="1"/>
    </xf>
    <xf numFmtId="0" fontId="26" fillId="0" borderId="0" xfId="0" applyFont="1" applyAlignment="1" applyProtection="1">
      <alignment horizontal="justify" vertical="center" wrapText="1"/>
      <protection hidden="1"/>
    </xf>
    <xf numFmtId="0" fontId="16" fillId="0" borderId="4" xfId="207" applyNumberFormat="1" applyFont="1" applyFill="1" applyBorder="1" applyAlignment="1" applyProtection="1">
      <alignment horizontal="left" vertical="center"/>
    </xf>
    <xf numFmtId="0" fontId="16" fillId="7" borderId="4" xfId="207" applyNumberFormat="1" applyFont="1" applyFill="1" applyBorder="1" applyAlignment="1" applyProtection="1">
      <alignment horizontal="left" vertical="center" wrapText="1"/>
    </xf>
    <xf numFmtId="0" fontId="27" fillId="0" borderId="10" xfId="207" applyNumberFormat="1" applyFont="1" applyFill="1" applyBorder="1" applyAlignment="1" applyProtection="1">
      <alignment horizontal="center" vertical="center"/>
    </xf>
    <xf numFmtId="0" fontId="27" fillId="0" borderId="0" xfId="0" applyFont="1" applyAlignment="1">
      <alignment horizontal="justify" vertical="center" wrapText="1"/>
    </xf>
    <xf numFmtId="0" fontId="17" fillId="0" borderId="0" xfId="0" applyFont="1" applyAlignment="1">
      <alignment horizontal="justify" vertical="top" wrapText="1"/>
    </xf>
    <xf numFmtId="0" fontId="26" fillId="0" borderId="0" xfId="0" applyFont="1" applyAlignment="1" applyProtection="1">
      <alignment horizontal="center" vertical="center" wrapText="1"/>
      <protection hidden="1"/>
    </xf>
    <xf numFmtId="0" fontId="16" fillId="0" borderId="0" xfId="0" applyFont="1" applyAlignment="1">
      <alignment horizontal="center" vertical="center" wrapText="1"/>
    </xf>
    <xf numFmtId="0" fontId="26"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2" applyAlignment="1" applyProtection="1">
      <alignment horizontal="left" vertical="center"/>
      <protection hidden="1"/>
    </xf>
    <xf numFmtId="0" fontId="17" fillId="0" borderId="0" xfId="0" applyFont="1" applyAlignment="1">
      <alignment horizontal="justify" vertical="center" wrapText="1"/>
    </xf>
    <xf numFmtId="0" fontId="34" fillId="0" borderId="0" xfId="0" applyFont="1" applyAlignment="1">
      <alignment horizontal="center" vertical="center"/>
    </xf>
    <xf numFmtId="0" fontId="39" fillId="8" borderId="0" xfId="0" applyFont="1" applyFill="1" applyAlignment="1">
      <alignment horizontal="center" vertical="center"/>
    </xf>
    <xf numFmtId="0" fontId="7" fillId="0" borderId="0" xfId="198" applyNumberFormat="1" applyFont="1" applyFill="1" applyBorder="1" applyAlignment="1" applyProtection="1">
      <alignment horizontal="justify" vertical="center" wrapText="1"/>
    </xf>
    <xf numFmtId="0" fontId="77" fillId="0" borderId="0" xfId="202" applyFont="1" applyAlignment="1" applyProtection="1">
      <alignment horizontal="left"/>
      <protection hidden="1"/>
    </xf>
    <xf numFmtId="0" fontId="7" fillId="0" borderId="0" xfId="0" applyFont="1" applyAlignment="1">
      <alignment horizontal="right" vertical="center"/>
    </xf>
    <xf numFmtId="0" fontId="37" fillId="10" borderId="0" xfId="0" applyFont="1" applyFill="1" applyAlignment="1">
      <alignment horizontal="left" vertical="top" wrapText="1"/>
    </xf>
    <xf numFmtId="0" fontId="30" fillId="0" borderId="0" xfId="0" applyFont="1" applyAlignment="1">
      <alignment horizontal="center" vertical="center"/>
    </xf>
    <xf numFmtId="0" fontId="16" fillId="0" borderId="0" xfId="198" applyNumberFormat="1" applyFont="1" applyFill="1" applyBorder="1" applyAlignment="1" applyProtection="1">
      <alignment horizontal="justify" vertical="center" wrapText="1"/>
    </xf>
    <xf numFmtId="0" fontId="17" fillId="0" borderId="0" xfId="202" applyAlignment="1">
      <alignment horizontal="left" vertical="center"/>
    </xf>
    <xf numFmtId="0" fontId="6" fillId="0" borderId="0" xfId="0" applyFont="1" applyAlignment="1">
      <alignment horizontal="right" vertical="top"/>
    </xf>
    <xf numFmtId="0" fontId="16" fillId="10" borderId="0" xfId="0" applyFont="1" applyFill="1" applyAlignment="1" applyProtection="1">
      <alignment horizontal="left" vertical="top" wrapText="1"/>
      <protection hidden="1"/>
    </xf>
    <xf numFmtId="0" fontId="26" fillId="8" borderId="0" xfId="0" applyFont="1" applyFill="1" applyAlignment="1" applyProtection="1">
      <alignment horizontal="center" vertical="center"/>
      <protection hidden="1"/>
    </xf>
    <xf numFmtId="0" fontId="6" fillId="0" borderId="0" xfId="202" applyFont="1" applyAlignment="1">
      <alignment horizontal="left" vertical="top"/>
    </xf>
    <xf numFmtId="0" fontId="7" fillId="10" borderId="0" xfId="0" applyFont="1" applyFill="1" applyAlignment="1">
      <alignment horizontal="left" vertical="top" wrapText="1"/>
    </xf>
    <xf numFmtId="0" fontId="7" fillId="0" borderId="0" xfId="198" applyNumberFormat="1" applyFont="1" applyFill="1" applyBorder="1" applyAlignment="1" applyProtection="1">
      <alignment horizontal="justify" vertical="top" wrapText="1"/>
    </xf>
    <xf numFmtId="0" fontId="92" fillId="17" borderId="4" xfId="0" applyFont="1" applyFill="1" applyBorder="1" applyAlignment="1">
      <alignment horizontal="left" vertical="top" wrapText="1"/>
    </xf>
    <xf numFmtId="165" fontId="6" fillId="0" borderId="0" xfId="202" applyNumberFormat="1" applyFont="1" applyAlignment="1" applyProtection="1">
      <alignment horizontal="left" vertical="top"/>
      <protection hidden="1"/>
    </xf>
    <xf numFmtId="0" fontId="39" fillId="0" borderId="0" xfId="0" applyFont="1" applyAlignment="1">
      <alignment horizontal="center" vertical="top"/>
    </xf>
    <xf numFmtId="165" fontId="7" fillId="0" borderId="5" xfId="202" applyNumberFormat="1" applyFont="1" applyBorder="1" applyAlignment="1" applyProtection="1">
      <alignment horizontal="right" vertical="top"/>
      <protection hidden="1"/>
    </xf>
    <xf numFmtId="0" fontId="89" fillId="17" borderId="4" xfId="0" applyFont="1" applyFill="1" applyBorder="1" applyAlignment="1">
      <alignment horizontal="left" vertical="top"/>
    </xf>
    <xf numFmtId="0" fontId="7" fillId="19" borderId="37" xfId="198" applyNumberFormat="1" applyFont="1" applyFill="1" applyBorder="1" applyAlignment="1" applyProtection="1">
      <alignment horizontal="center" vertical="center" wrapText="1"/>
    </xf>
    <xf numFmtId="0" fontId="7" fillId="19" borderId="38" xfId="198" applyNumberFormat="1" applyFont="1" applyFill="1" applyBorder="1" applyAlignment="1" applyProtection="1">
      <alignment horizontal="center" vertical="center" wrapText="1"/>
    </xf>
    <xf numFmtId="0" fontId="7" fillId="19" borderId="45" xfId="198" applyNumberFormat="1" applyFont="1" applyFill="1" applyBorder="1" applyAlignment="1" applyProtection="1">
      <alignment horizontal="center" vertical="center" wrapText="1"/>
    </xf>
    <xf numFmtId="4" fontId="7" fillId="19" borderId="46" xfId="198" applyNumberFormat="1" applyFont="1" applyFill="1" applyBorder="1" applyAlignment="1" applyProtection="1">
      <alignment horizontal="center" vertical="center"/>
    </xf>
    <xf numFmtId="4" fontId="7" fillId="19" borderId="32" xfId="198" applyNumberFormat="1" applyFont="1" applyFill="1" applyBorder="1" applyAlignment="1" applyProtection="1">
      <alignment horizontal="center" vertical="center"/>
    </xf>
    <xf numFmtId="0" fontId="7" fillId="12" borderId="42" xfId="0" applyFont="1" applyFill="1" applyBorder="1" applyAlignment="1">
      <alignment horizontal="left" vertical="center"/>
    </xf>
    <xf numFmtId="0" fontId="7" fillId="12" borderId="3" xfId="0" applyFont="1" applyFill="1" applyBorder="1" applyAlignment="1">
      <alignment horizontal="left" vertical="center"/>
    </xf>
    <xf numFmtId="0" fontId="7" fillId="12" borderId="15" xfId="0" applyFont="1" applyFill="1" applyBorder="1" applyAlignment="1">
      <alignment horizontal="left" vertical="center"/>
    </xf>
    <xf numFmtId="0" fontId="79" fillId="19" borderId="44" xfId="0" applyFont="1" applyFill="1" applyBorder="1" applyAlignment="1">
      <alignment horizontal="center" vertical="center" wrapText="1"/>
    </xf>
    <xf numFmtId="0" fontId="7" fillId="19" borderId="44" xfId="0" applyFont="1" applyFill="1" applyBorder="1" applyAlignment="1">
      <alignment horizontal="center" vertical="center"/>
    </xf>
    <xf numFmtId="0" fontId="7" fillId="12" borderId="47" xfId="0" applyFont="1" applyFill="1" applyBorder="1" applyAlignment="1">
      <alignment horizontal="center" vertical="center"/>
    </xf>
    <xf numFmtId="0" fontId="7" fillId="12" borderId="2" xfId="0" applyFont="1" applyFill="1" applyBorder="1" applyAlignment="1">
      <alignment horizontal="center" vertical="center"/>
    </xf>
    <xf numFmtId="0" fontId="7" fillId="12" borderId="48" xfId="0" applyFont="1" applyFill="1" applyBorder="1" applyAlignment="1">
      <alignment horizontal="center" vertical="center"/>
    </xf>
    <xf numFmtId="0" fontId="7" fillId="19" borderId="42" xfId="0" applyFont="1" applyFill="1" applyBorder="1" applyAlignment="1">
      <alignment horizontal="center" vertical="center"/>
    </xf>
    <xf numFmtId="0" fontId="7" fillId="19" borderId="3" xfId="0" applyFont="1" applyFill="1" applyBorder="1" applyAlignment="1">
      <alignment horizontal="center" vertical="center"/>
    </xf>
    <xf numFmtId="0" fontId="7" fillId="12" borderId="42" xfId="0" applyFont="1" applyFill="1" applyBorder="1" applyAlignment="1">
      <alignment horizontal="left" vertical="center" wrapText="1"/>
    </xf>
    <xf numFmtId="0" fontId="7" fillId="12" borderId="3" xfId="0" applyFont="1" applyFill="1" applyBorder="1" applyAlignment="1">
      <alignment horizontal="left" vertical="center" wrapText="1"/>
    </xf>
    <xf numFmtId="0" fontId="7" fillId="12" borderId="15" xfId="0" applyFont="1" applyFill="1" applyBorder="1" applyAlignment="1">
      <alignment horizontal="left" vertical="center" wrapText="1"/>
    </xf>
    <xf numFmtId="0" fontId="7" fillId="19" borderId="15" xfId="0" applyFont="1" applyFill="1" applyBorder="1" applyAlignment="1">
      <alignment horizontal="center" vertical="center"/>
    </xf>
    <xf numFmtId="0" fontId="7" fillId="19" borderId="42" xfId="0" applyFont="1" applyFill="1" applyBorder="1" applyAlignment="1">
      <alignment horizontal="left" vertical="center"/>
    </xf>
    <xf numFmtId="0" fontId="7" fillId="19" borderId="3" xfId="0" applyFont="1" applyFill="1" applyBorder="1" applyAlignment="1">
      <alignment horizontal="left" vertical="center"/>
    </xf>
    <xf numFmtId="0" fontId="21" fillId="0" borderId="37"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6" fillId="0" borderId="0" xfId="202" applyFont="1" applyAlignment="1" applyProtection="1">
      <alignment horizontal="left" vertical="center"/>
      <protection hidden="1"/>
    </xf>
    <xf numFmtId="0" fontId="6" fillId="0" borderId="41" xfId="202" applyFont="1" applyBorder="1" applyAlignment="1" applyProtection="1">
      <alignment horizontal="left" vertical="center"/>
      <protection hidden="1"/>
    </xf>
    <xf numFmtId="0" fontId="6" fillId="0" borderId="0" xfId="202" applyFont="1" applyAlignment="1">
      <alignment horizontal="center" vertical="top"/>
    </xf>
    <xf numFmtId="0" fontId="21" fillId="0" borderId="40" xfId="0" applyFont="1" applyBorder="1" applyAlignment="1">
      <alignment horizontal="center"/>
    </xf>
    <xf numFmtId="0" fontId="21" fillId="0" borderId="0" xfId="0" applyFont="1" applyAlignment="1">
      <alignment horizontal="center"/>
    </xf>
    <xf numFmtId="0" fontId="21" fillId="0" borderId="41" xfId="0" applyFont="1" applyBorder="1" applyAlignment="1">
      <alignment horizontal="center"/>
    </xf>
    <xf numFmtId="0" fontId="6" fillId="0" borderId="0" xfId="0" applyFont="1" applyAlignment="1" applyProtection="1">
      <alignment horizontal="left" vertical="center"/>
      <protection hidden="1"/>
    </xf>
    <xf numFmtId="0" fontId="6" fillId="0" borderId="41" xfId="0" applyFont="1" applyBorder="1" applyAlignment="1" applyProtection="1">
      <alignment horizontal="left" vertical="center"/>
      <protection hidden="1"/>
    </xf>
    <xf numFmtId="0" fontId="16" fillId="6" borderId="4" xfId="201" applyFont="1" applyFill="1" applyBorder="1" applyAlignment="1" applyProtection="1">
      <alignment horizontal="left" vertical="center" wrapText="1"/>
      <protection hidden="1"/>
    </xf>
    <xf numFmtId="0" fontId="0" fillId="0" borderId="4"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vertical="center" wrapText="1"/>
      <protection hidden="1"/>
    </xf>
    <xf numFmtId="2" fontId="16" fillId="0" borderId="15" xfId="201" applyNumberFormat="1" applyFont="1" applyBorder="1" applyAlignment="1" applyProtection="1">
      <alignment horizontal="center" vertical="center" wrapText="1"/>
      <protection hidden="1"/>
    </xf>
    <xf numFmtId="0" fontId="39" fillId="0" borderId="0" xfId="201" applyFont="1" applyAlignment="1" applyProtection="1">
      <alignment horizontal="center" vertical="top"/>
      <protection hidden="1"/>
    </xf>
    <xf numFmtId="0" fontId="0" fillId="0" borderId="4" xfId="201" applyFont="1" applyBorder="1" applyAlignment="1" applyProtection="1">
      <alignment horizontal="justify" vertical="center" wrapText="1"/>
      <protection hidden="1"/>
    </xf>
    <xf numFmtId="0" fontId="17" fillId="0" borderId="4" xfId="201" applyFont="1" applyBorder="1" applyAlignment="1" applyProtection="1">
      <alignment horizontal="justify" vertical="center" wrapText="1"/>
      <protection hidden="1"/>
    </xf>
    <xf numFmtId="0" fontId="16" fillId="0" borderId="14" xfId="201" applyFont="1" applyBorder="1" applyAlignment="1" applyProtection="1">
      <alignment horizontal="left" vertical="center" wrapText="1"/>
      <protection hidden="1"/>
    </xf>
    <xf numFmtId="0" fontId="16" fillId="0" borderId="15" xfId="201" applyFont="1" applyBorder="1" applyAlignment="1" applyProtection="1">
      <alignment horizontal="left" vertical="center" wrapText="1"/>
      <protection hidden="1"/>
    </xf>
    <xf numFmtId="2" fontId="16" fillId="0" borderId="14" xfId="201" applyNumberFormat="1" applyFont="1" applyBorder="1" applyAlignment="1" applyProtection="1">
      <alignment horizontal="center" wrapText="1"/>
      <protection hidden="1"/>
    </xf>
    <xf numFmtId="2" fontId="16" fillId="0" borderId="15" xfId="201" applyNumberFormat="1" applyFont="1" applyBorder="1" applyAlignment="1" applyProtection="1">
      <alignment horizontal="center" wrapText="1"/>
      <protection hidden="1"/>
    </xf>
    <xf numFmtId="0" fontId="16" fillId="10" borderId="0" xfId="201" applyFont="1" applyFill="1" applyAlignment="1" applyProtection="1">
      <alignment horizontal="center" vertical="top" wrapText="1"/>
      <protection hidden="1"/>
    </xf>
    <xf numFmtId="0" fontId="16" fillId="0" borderId="14" xfId="201" applyFont="1" applyBorder="1" applyAlignment="1" applyProtection="1">
      <alignment horizontal="center" vertical="center" wrapText="1"/>
      <protection hidden="1"/>
    </xf>
    <xf numFmtId="0" fontId="16" fillId="0" borderId="15" xfId="201" applyFont="1" applyBorder="1" applyAlignment="1" applyProtection="1">
      <alignment horizontal="center" vertical="center" wrapText="1"/>
      <protection hidden="1"/>
    </xf>
    <xf numFmtId="0" fontId="17" fillId="0" borderId="0" xfId="201" applyFont="1" applyAlignment="1" applyProtection="1">
      <alignment horizontal="left" vertical="top"/>
      <protection hidden="1"/>
    </xf>
    <xf numFmtId="0" fontId="26" fillId="8" borderId="0" xfId="201" applyFont="1" applyFill="1" applyAlignment="1" applyProtection="1">
      <alignment horizontal="center" vertical="center"/>
      <protection hidden="1"/>
    </xf>
    <xf numFmtId="0" fontId="16" fillId="0" borderId="14" xfId="201" applyFont="1" applyBorder="1" applyAlignment="1" applyProtection="1">
      <alignment horizontal="center" vertical="center"/>
      <protection hidden="1"/>
    </xf>
    <xf numFmtId="0" fontId="16" fillId="0" borderId="3" xfId="201" applyFont="1" applyBorder="1" applyAlignment="1" applyProtection="1">
      <alignment horizontal="center" vertical="center"/>
      <protection hidden="1"/>
    </xf>
    <xf numFmtId="2" fontId="16" fillId="6" borderId="14" xfId="201" applyNumberFormat="1" applyFont="1" applyFill="1" applyBorder="1" applyAlignment="1" applyProtection="1">
      <alignment horizontal="center" vertical="center" wrapText="1"/>
      <protection hidden="1"/>
    </xf>
    <xf numFmtId="2" fontId="16" fillId="6" borderId="15" xfId="201" applyNumberFormat="1" applyFont="1" applyFill="1" applyBorder="1" applyAlignment="1" applyProtection="1">
      <alignment horizontal="center" vertical="center" wrapText="1"/>
      <protection hidden="1"/>
    </xf>
    <xf numFmtId="0" fontId="17" fillId="0" borderId="4" xfId="201" applyFont="1" applyBorder="1" applyAlignment="1" applyProtection="1">
      <alignment horizontal="center" vertical="center"/>
      <protection hidden="1"/>
    </xf>
    <xf numFmtId="0" fontId="16" fillId="6" borderId="27" xfId="201" applyFont="1" applyFill="1" applyBorder="1" applyAlignment="1" applyProtection="1">
      <alignment horizontal="left" vertical="center" wrapText="1"/>
      <protection hidden="1"/>
    </xf>
    <xf numFmtId="0" fontId="16" fillId="6" borderId="28" xfId="201" applyFont="1" applyFill="1" applyBorder="1" applyAlignment="1" applyProtection="1">
      <alignment horizontal="left" vertical="center" wrapText="1"/>
      <protection hidden="1"/>
    </xf>
    <xf numFmtId="0" fontId="38" fillId="6" borderId="8" xfId="201" applyFont="1" applyFill="1" applyBorder="1" applyAlignment="1" applyProtection="1">
      <alignment horizontal="justify" vertical="center" wrapText="1"/>
      <protection hidden="1"/>
    </xf>
    <xf numFmtId="0" fontId="38" fillId="6" borderId="9" xfId="201" applyFont="1" applyFill="1" applyBorder="1" applyAlignment="1" applyProtection="1">
      <alignment horizontal="justify" vertical="center" wrapText="1"/>
      <protection hidden="1"/>
    </xf>
    <xf numFmtId="0" fontId="16" fillId="6" borderId="14" xfId="201" applyFont="1" applyFill="1" applyBorder="1" applyAlignment="1" applyProtection="1">
      <alignment horizontal="left" vertical="center" wrapText="1"/>
      <protection hidden="1"/>
    </xf>
    <xf numFmtId="0" fontId="16" fillId="6" borderId="15" xfId="201" applyFont="1" applyFill="1" applyBorder="1" applyAlignment="1" applyProtection="1">
      <alignment horizontal="left" vertical="center" wrapText="1"/>
      <protection hidden="1"/>
    </xf>
    <xf numFmtId="2" fontId="16" fillId="6" borderId="27" xfId="201" applyNumberFormat="1" applyFont="1" applyFill="1" applyBorder="1" applyAlignment="1" applyProtection="1">
      <alignment horizontal="center" vertical="center"/>
      <protection hidden="1"/>
    </xf>
    <xf numFmtId="2" fontId="16" fillId="6" borderId="28" xfId="201" applyNumberFormat="1" applyFont="1" applyFill="1" applyBorder="1" applyAlignment="1" applyProtection="1">
      <alignment horizontal="center" vertical="center"/>
      <protection hidden="1"/>
    </xf>
    <xf numFmtId="0" fontId="16" fillId="6" borderId="8" xfId="201" applyFont="1" applyFill="1" applyBorder="1" applyAlignment="1" applyProtection="1">
      <alignment horizontal="justify" vertical="center" wrapText="1"/>
      <protection hidden="1"/>
    </xf>
    <xf numFmtId="0" fontId="16" fillId="6" borderId="9" xfId="201" applyFont="1" applyFill="1" applyBorder="1" applyAlignment="1" applyProtection="1">
      <alignment horizontal="justify" vertical="center" wrapText="1"/>
      <protection hidden="1"/>
    </xf>
    <xf numFmtId="0" fontId="16" fillId="0" borderId="0" xfId="201" applyFont="1" applyAlignment="1" applyProtection="1">
      <alignment horizontal="center" vertical="center" wrapText="1"/>
      <protection hidden="1"/>
    </xf>
    <xf numFmtId="0" fontId="16" fillId="6" borderId="3" xfId="201" applyFont="1" applyFill="1" applyBorder="1" applyAlignment="1" applyProtection="1">
      <alignment horizontal="left" vertical="center" wrapText="1"/>
      <protection hidden="1"/>
    </xf>
    <xf numFmtId="4" fontId="16" fillId="0" borderId="11" xfId="201" applyNumberFormat="1" applyFont="1" applyBorder="1" applyAlignment="1" applyProtection="1">
      <alignment horizontal="center" wrapText="1"/>
      <protection hidden="1"/>
    </xf>
    <xf numFmtId="4" fontId="16" fillId="0" borderId="13" xfId="201" applyNumberFormat="1" applyFont="1" applyBorder="1" applyAlignment="1" applyProtection="1">
      <alignment horizontal="center" wrapText="1"/>
      <protection hidden="1"/>
    </xf>
    <xf numFmtId="0" fontId="16" fillId="6" borderId="24" xfId="201" applyFont="1" applyFill="1" applyBorder="1" applyAlignment="1" applyProtection="1">
      <alignment horizontal="left" vertical="center" wrapText="1"/>
      <protection hidden="1"/>
    </xf>
    <xf numFmtId="0" fontId="0" fillId="0" borderId="25" xfId="201" applyFont="1" applyBorder="1" applyAlignment="1" applyProtection="1">
      <alignment horizontal="justify" vertical="center" wrapText="1"/>
      <protection hidden="1"/>
    </xf>
    <xf numFmtId="0" fontId="17" fillId="0" borderId="26" xfId="201" applyFont="1" applyBorder="1" applyAlignment="1" applyProtection="1">
      <alignment horizontal="justify" vertical="center" wrapText="1"/>
      <protection hidden="1"/>
    </xf>
    <xf numFmtId="4" fontId="16" fillId="0" borderId="11" xfId="201" applyNumberFormat="1" applyFont="1" applyBorder="1" applyAlignment="1" applyProtection="1">
      <alignment horizontal="center"/>
      <protection hidden="1"/>
    </xf>
    <xf numFmtId="4" fontId="16" fillId="0" borderId="13" xfId="201" applyNumberFormat="1" applyFont="1" applyBorder="1" applyAlignment="1" applyProtection="1">
      <alignment horizontal="center"/>
      <protection hidden="1"/>
    </xf>
    <xf numFmtId="0" fontId="17" fillId="0" borderId="25" xfId="201" applyFont="1" applyBorder="1" applyAlignment="1" applyProtection="1">
      <alignment horizontal="justify" vertical="center" wrapText="1"/>
      <protection hidden="1"/>
    </xf>
    <xf numFmtId="0" fontId="16" fillId="0" borderId="4" xfId="201" applyFont="1" applyBorder="1" applyAlignment="1" applyProtection="1">
      <alignment horizontal="left" vertical="center" wrapText="1"/>
      <protection hidden="1"/>
    </xf>
    <xf numFmtId="0" fontId="16" fillId="0" borderId="0" xfId="198" applyNumberFormat="1" applyFont="1" applyFill="1" applyBorder="1" applyAlignment="1" applyProtection="1">
      <alignment horizontal="justify" vertical="center" wrapText="1"/>
      <protection hidden="1"/>
    </xf>
    <xf numFmtId="2" fontId="17" fillId="0" borderId="0" xfId="202" applyNumberFormat="1" applyAlignment="1" applyProtection="1">
      <alignment horizontal="right" vertical="center"/>
      <protection hidden="1"/>
    </xf>
    <xf numFmtId="168" fontId="16" fillId="0" borderId="0" xfId="0" applyNumberFormat="1" applyFont="1" applyAlignment="1" applyProtection="1">
      <alignment horizontal="center" vertical="center" wrapText="1"/>
      <protection hidden="1"/>
    </xf>
    <xf numFmtId="0" fontId="16" fillId="0" borderId="0" xfId="202" applyFont="1" applyAlignment="1" applyProtection="1">
      <alignment horizontal="center" vertical="center"/>
      <protection hidden="1"/>
    </xf>
    <xf numFmtId="168" fontId="26" fillId="0" borderId="0" xfId="0" applyNumberFormat="1" applyFont="1" applyAlignment="1" applyProtection="1">
      <alignment horizontal="center" vertical="center" wrapText="1"/>
      <protection hidden="1"/>
    </xf>
    <xf numFmtId="0" fontId="16" fillId="0" borderId="0" xfId="198" applyNumberFormat="1" applyFont="1" applyFill="1" applyBorder="1" applyAlignment="1" applyProtection="1">
      <alignment horizontal="justify" vertical="center"/>
      <protection hidden="1"/>
    </xf>
    <xf numFmtId="0" fontId="16" fillId="0" borderId="0" xfId="0" applyFont="1" applyAlignment="1" applyProtection="1">
      <alignment horizontal="left" vertical="center" wrapText="1"/>
      <protection hidden="1"/>
    </xf>
    <xf numFmtId="0" fontId="27" fillId="0" borderId="0" xfId="202" applyFont="1" applyAlignment="1" applyProtection="1">
      <alignment horizontal="center" vertical="center" wrapText="1"/>
      <protection hidden="1"/>
    </xf>
    <xf numFmtId="0" fontId="16" fillId="9" borderId="0" xfId="202" applyFont="1" applyFill="1" applyAlignment="1" applyProtection="1">
      <alignment horizontal="center" vertical="center" wrapText="1"/>
      <protection locked="0" hidden="1"/>
    </xf>
    <xf numFmtId="0" fontId="16" fillId="10" borderId="0" xfId="202" applyFont="1" applyFill="1" applyAlignment="1" applyProtection="1">
      <alignment horizontal="left" vertical="center" wrapText="1"/>
      <protection hidden="1"/>
    </xf>
    <xf numFmtId="0" fontId="16" fillId="0" borderId="0" xfId="202"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17" fillId="0" borderId="0" xfId="202" applyAlignment="1" applyProtection="1">
      <alignment horizontal="justify" vertical="top" wrapText="1"/>
      <protection hidden="1"/>
    </xf>
    <xf numFmtId="0" fontId="16" fillId="0" borderId="5" xfId="202" applyFont="1" applyBorder="1" applyAlignment="1" applyProtection="1">
      <alignment horizontal="left" vertical="center"/>
      <protection hidden="1"/>
    </xf>
    <xf numFmtId="0" fontId="16" fillId="0" borderId="0" xfId="202" applyFont="1" applyAlignment="1" applyProtection="1">
      <alignment horizontal="left" vertical="center"/>
      <protection hidden="1"/>
    </xf>
    <xf numFmtId="0" fontId="17" fillId="0" borderId="0" xfId="202" applyAlignment="1" applyProtection="1">
      <alignment horizontal="justify" vertical="center" wrapText="1"/>
      <protection hidden="1"/>
    </xf>
    <xf numFmtId="0" fontId="29" fillId="8" borderId="0" xfId="0" applyFont="1" applyFill="1" applyAlignment="1" applyProtection="1">
      <alignment horizontal="center" vertical="center" wrapText="1"/>
      <protection hidden="1"/>
    </xf>
    <xf numFmtId="0" fontId="29" fillId="8" borderId="7" xfId="0" applyFont="1" applyFill="1" applyBorder="1" applyAlignment="1" applyProtection="1">
      <alignment horizontal="center" vertical="center" wrapText="1"/>
      <protection hidden="1"/>
    </xf>
    <xf numFmtId="0" fontId="17" fillId="0" borderId="0" xfId="193" applyFont="1" applyAlignment="1">
      <alignment horizontal="center" vertical="top"/>
    </xf>
    <xf numFmtId="0" fontId="0" fillId="0" borderId="0" xfId="193" applyFont="1" applyAlignment="1">
      <alignment horizontal="center" vertical="top"/>
    </xf>
    <xf numFmtId="0" fontId="0" fillId="0" borderId="0" xfId="193" applyFont="1" applyAlignment="1">
      <alignment horizontal="justify" vertical="top"/>
    </xf>
    <xf numFmtId="0" fontId="17" fillId="0" borderId="0" xfId="193" applyFont="1" applyAlignment="1">
      <alignment horizontal="justify" vertical="top"/>
    </xf>
    <xf numFmtId="0" fontId="0" fillId="0" borderId="0" xfId="0" applyAlignment="1">
      <alignment horizontal="left" vertical="top" wrapText="1"/>
    </xf>
    <xf numFmtId="0" fontId="0" fillId="4" borderId="22" xfId="0" applyFill="1" applyBorder="1" applyAlignment="1" applyProtection="1">
      <alignment horizontal="left" vertical="center"/>
      <protection locked="0"/>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wrapText="1" indent="2"/>
    </xf>
    <xf numFmtId="0" fontId="17" fillId="0" borderId="35" xfId="0" applyFont="1" applyBorder="1" applyAlignment="1">
      <alignment horizontal="left" vertical="center" indent="2"/>
    </xf>
    <xf numFmtId="0" fontId="17" fillId="12" borderId="0" xfId="193" applyFont="1" applyFill="1" applyAlignment="1">
      <alignment horizontal="justify" vertical="top"/>
    </xf>
    <xf numFmtId="178" fontId="16" fillId="0" borderId="0" xfId="193" applyNumberFormat="1" applyFont="1" applyAlignment="1">
      <alignment horizontal="left" vertical="center" indent="1"/>
    </xf>
    <xf numFmtId="0" fontId="37" fillId="0" borderId="0" xfId="193" quotePrefix="1" applyFont="1" applyAlignment="1">
      <alignment horizontal="center" vertical="center"/>
    </xf>
    <xf numFmtId="0" fontId="17" fillId="0" borderId="35" xfId="0" applyFont="1" applyBorder="1" applyAlignment="1">
      <alignment horizontal="justify" vertical="center" wrapText="1"/>
    </xf>
    <xf numFmtId="0" fontId="17" fillId="0" borderId="22" xfId="0" applyFont="1" applyBorder="1" applyAlignment="1">
      <alignment horizontal="left" vertical="center" indent="2"/>
    </xf>
    <xf numFmtId="0" fontId="17" fillId="0" borderId="34" xfId="0" applyFont="1" applyBorder="1" applyAlignment="1">
      <alignment horizontal="left" vertical="center" indent="2"/>
    </xf>
    <xf numFmtId="0" fontId="17" fillId="0" borderId="0" xfId="0" applyFont="1" applyAlignment="1">
      <alignment horizontal="left" vertical="center" indent="2"/>
    </xf>
    <xf numFmtId="0" fontId="16" fillId="0" borderId="0" xfId="193" applyFont="1" applyAlignment="1">
      <alignment horizontal="justify" vertical="center"/>
    </xf>
    <xf numFmtId="0" fontId="16" fillId="0" borderId="0" xfId="193" applyFont="1" applyAlignment="1">
      <alignment horizontal="center" vertical="center"/>
    </xf>
    <xf numFmtId="0" fontId="17" fillId="4" borderId="0" xfId="193" applyFont="1" applyFill="1" applyAlignment="1" applyProtection="1">
      <alignment horizontal="left" vertical="center"/>
      <protection locked="0"/>
    </xf>
    <xf numFmtId="178" fontId="17" fillId="0" borderId="0" xfId="193" applyNumberFormat="1" applyFont="1" applyAlignment="1">
      <alignment horizontal="left" vertical="center"/>
    </xf>
    <xf numFmtId="0" fontId="16" fillId="11" borderId="0" xfId="193" applyFont="1" applyFill="1" applyAlignment="1">
      <alignment horizontal="justify" vertical="top"/>
    </xf>
    <xf numFmtId="0" fontId="17" fillId="0" borderId="0" xfId="193" applyFont="1" applyAlignment="1">
      <alignment horizontal="justify" vertical="center"/>
    </xf>
    <xf numFmtId="0" fontId="17" fillId="0" borderId="0" xfId="206" applyFont="1" applyAlignment="1" applyProtection="1">
      <alignment horizontal="justify" vertical="center" wrapText="1"/>
      <protection hidden="1"/>
    </xf>
    <xf numFmtId="1" fontId="23" fillId="0" borderId="27" xfId="206" applyNumberFormat="1" applyFont="1" applyBorder="1" applyAlignment="1" applyProtection="1">
      <alignment horizontal="justify" vertical="center" wrapText="1"/>
      <protection hidden="1"/>
    </xf>
    <xf numFmtId="1" fontId="23" fillId="0" borderId="10" xfId="206" applyNumberFormat="1" applyFont="1" applyBorder="1" applyAlignment="1" applyProtection="1">
      <alignment horizontal="justify" vertical="center" wrapText="1"/>
      <protection hidden="1"/>
    </xf>
    <xf numFmtId="1" fontId="23" fillId="0" borderId="28" xfId="206" applyNumberFormat="1" applyFont="1" applyBorder="1" applyAlignment="1" applyProtection="1">
      <alignment horizontal="justify" vertical="center" wrapText="1"/>
      <protection hidden="1"/>
    </xf>
    <xf numFmtId="4" fontId="16" fillId="0" borderId="27" xfId="206" applyNumberFormat="1" applyFont="1" applyBorder="1" applyAlignment="1" applyProtection="1">
      <alignment horizontal="center" vertical="center" wrapText="1"/>
      <protection hidden="1"/>
    </xf>
    <xf numFmtId="4" fontId="16" fillId="0" borderId="28" xfId="206" applyNumberFormat="1" applyFont="1" applyBorder="1" applyAlignment="1" applyProtection="1">
      <alignment horizontal="center" vertical="center" wrapText="1"/>
      <protection hidden="1"/>
    </xf>
    <xf numFmtId="0" fontId="17" fillId="0" borderId="0" xfId="206"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7" fillId="0" borderId="0" xfId="206" applyNumberFormat="1" applyFont="1" applyAlignment="1" applyProtection="1">
      <alignment horizontal="justify" vertical="top" wrapText="1"/>
      <protection hidden="1"/>
    </xf>
    <xf numFmtId="0" fontId="17" fillId="0" borderId="0" xfId="206" applyFont="1" applyAlignment="1" applyProtection="1">
      <alignment horizontal="justify" vertical="top" wrapText="1"/>
      <protection hidden="1"/>
    </xf>
    <xf numFmtId="0" fontId="17" fillId="0" borderId="7" xfId="206" applyFont="1" applyBorder="1" applyAlignment="1" applyProtection="1">
      <alignment horizontal="justify" vertical="top" wrapText="1"/>
      <protection hidden="1"/>
    </xf>
    <xf numFmtId="0" fontId="18" fillId="0" borderId="0" xfId="206" applyFont="1" applyAlignment="1" applyProtection="1">
      <alignment horizontal="left"/>
      <protection hidden="1"/>
    </xf>
    <xf numFmtId="0" fontId="18" fillId="0" borderId="7" xfId="206" applyFont="1" applyBorder="1" applyAlignment="1" applyProtection="1">
      <alignment horizontal="left"/>
      <protection hidden="1"/>
    </xf>
    <xf numFmtId="1" fontId="16" fillId="0" borderId="14" xfId="206" applyNumberFormat="1" applyFont="1" applyBorder="1" applyAlignment="1" applyProtection="1">
      <alignment horizontal="center" vertical="center" wrapText="1"/>
      <protection hidden="1"/>
    </xf>
    <xf numFmtId="1" fontId="16" fillId="0" borderId="15" xfId="206" applyNumberFormat="1" applyFont="1" applyBorder="1" applyAlignment="1" applyProtection="1">
      <alignment horizontal="center" vertical="center" wrapText="1"/>
      <protection hidden="1"/>
    </xf>
    <xf numFmtId="4" fontId="16" fillId="0" borderId="14" xfId="206" applyNumberFormat="1" applyFont="1" applyBorder="1" applyAlignment="1" applyProtection="1">
      <alignment horizontal="right" vertical="center" wrapText="1"/>
      <protection hidden="1"/>
    </xf>
    <xf numFmtId="4" fontId="17" fillId="0" borderId="15" xfId="206" applyNumberFormat="1" applyFont="1" applyBorder="1" applyAlignment="1" applyProtection="1">
      <alignment horizontal="right" vertical="center" wrapText="1"/>
      <protection hidden="1"/>
    </xf>
    <xf numFmtId="1" fontId="16" fillId="0" borderId="0" xfId="206" applyNumberFormat="1" applyFont="1" applyAlignment="1" applyProtection="1">
      <alignment horizontal="center" vertical="center" wrapText="1"/>
      <protection hidden="1"/>
    </xf>
    <xf numFmtId="0" fontId="16" fillId="0" borderId="0" xfId="206" applyFont="1" applyAlignment="1" applyProtection="1">
      <alignment horizontal="center" vertical="center" wrapText="1"/>
      <protection hidden="1"/>
    </xf>
    <xf numFmtId="4" fontId="16" fillId="0" borderId="0" xfId="206" applyNumberFormat="1" applyFont="1" applyAlignment="1" applyProtection="1">
      <alignment horizontal="right" vertical="center" wrapText="1"/>
      <protection hidden="1"/>
    </xf>
    <xf numFmtId="1" fontId="16" fillId="0" borderId="4" xfId="206" applyNumberFormat="1" applyFont="1" applyBorder="1" applyAlignment="1" applyProtection="1">
      <alignment horizontal="center" vertical="center" wrapText="1"/>
      <protection hidden="1"/>
    </xf>
    <xf numFmtId="4" fontId="16" fillId="0" borderId="4" xfId="206" applyNumberFormat="1" applyFont="1" applyBorder="1" applyAlignment="1" applyProtection="1">
      <alignment horizontal="center" vertical="center" wrapText="1"/>
      <protection hidden="1"/>
    </xf>
    <xf numFmtId="0" fontId="17" fillId="0" borderId="7" xfId="206" applyFont="1" applyBorder="1" applyAlignment="1" applyProtection="1">
      <alignment horizontal="justify" vertical="center" wrapText="1"/>
      <protection hidden="1"/>
    </xf>
    <xf numFmtId="0" fontId="17" fillId="0" borderId="10" xfId="205" applyFont="1" applyBorder="1" applyAlignment="1" applyProtection="1">
      <alignment horizontal="left" vertical="center" wrapText="1"/>
      <protection hidden="1"/>
    </xf>
    <xf numFmtId="0" fontId="17" fillId="0" borderId="28" xfId="205" applyFont="1" applyBorder="1" applyAlignment="1" applyProtection="1">
      <alignment horizontal="left" vertical="center" wrapText="1"/>
      <protection hidden="1"/>
    </xf>
    <xf numFmtId="1" fontId="17" fillId="0" borderId="0" xfId="205" applyNumberFormat="1" applyFont="1" applyAlignment="1" applyProtection="1">
      <alignment horizontal="justify" vertical="top" wrapText="1"/>
      <protection hidden="1"/>
    </xf>
    <xf numFmtId="0" fontId="17" fillId="0" borderId="0" xfId="205" applyFont="1" applyAlignment="1" applyProtection="1">
      <alignment horizontal="justify" vertical="top" wrapText="1"/>
      <protection hidden="1"/>
    </xf>
    <xf numFmtId="0" fontId="17" fillId="0" borderId="7" xfId="205" applyFont="1" applyBorder="1" applyAlignment="1" applyProtection="1">
      <alignment horizontal="justify" vertical="top" wrapText="1"/>
      <protection hidden="1"/>
    </xf>
    <xf numFmtId="0" fontId="17" fillId="0" borderId="0" xfId="205" applyFont="1" applyAlignment="1" applyProtection="1">
      <alignment horizontal="left" vertical="center" wrapText="1"/>
      <protection hidden="1"/>
    </xf>
    <xf numFmtId="1" fontId="16" fillId="0" borderId="0" xfId="205" applyNumberFormat="1" applyFont="1" applyAlignment="1" applyProtection="1">
      <alignment horizontal="center" vertical="center" wrapText="1"/>
      <protection hidden="1"/>
    </xf>
    <xf numFmtId="0" fontId="16" fillId="0" borderId="0" xfId="205" applyFont="1" applyAlignment="1" applyProtection="1">
      <alignment horizontal="center" vertical="center" wrapText="1"/>
      <protection hidden="1"/>
    </xf>
    <xf numFmtId="4" fontId="16" fillId="0" borderId="0" xfId="205" applyNumberFormat="1" applyFont="1" applyAlignment="1" applyProtection="1">
      <alignment horizontal="right" vertical="center" wrapText="1"/>
      <protection hidden="1"/>
    </xf>
    <xf numFmtId="4" fontId="16" fillId="0" borderId="4" xfId="205" applyNumberFormat="1" applyFont="1" applyBorder="1" applyAlignment="1" applyProtection="1">
      <alignment horizontal="center" vertical="center" wrapText="1"/>
      <protection hidden="1"/>
    </xf>
    <xf numFmtId="4" fontId="16" fillId="0" borderId="14" xfId="205" applyNumberFormat="1" applyFont="1" applyBorder="1" applyAlignment="1" applyProtection="1">
      <alignment horizontal="right" vertical="center" wrapText="1"/>
      <protection hidden="1"/>
    </xf>
    <xf numFmtId="4" fontId="17" fillId="0" borderId="15" xfId="205" applyNumberFormat="1" applyFont="1" applyBorder="1" applyAlignment="1" applyProtection="1">
      <alignment horizontal="right" vertical="center" wrapText="1"/>
      <protection hidden="1"/>
    </xf>
    <xf numFmtId="1" fontId="16" fillId="0" borderId="14" xfId="205" applyNumberFormat="1" applyFont="1" applyBorder="1" applyAlignment="1" applyProtection="1">
      <alignment horizontal="center" vertical="center" wrapText="1"/>
      <protection hidden="1"/>
    </xf>
    <xf numFmtId="1" fontId="16" fillId="0" borderId="15" xfId="205" applyNumberFormat="1" applyFont="1" applyBorder="1" applyAlignment="1" applyProtection="1">
      <alignment horizontal="center" vertical="center" wrapText="1"/>
      <protection hidden="1"/>
    </xf>
    <xf numFmtId="1" fontId="16" fillId="0" borderId="4" xfId="205" applyNumberFormat="1" applyFont="1" applyBorder="1" applyAlignment="1" applyProtection="1">
      <alignment horizontal="center" vertical="center" wrapText="1"/>
      <protection hidden="1"/>
    </xf>
    <xf numFmtId="1" fontId="23" fillId="0" borderId="4" xfId="205" applyNumberFormat="1" applyFont="1" applyBorder="1" applyAlignment="1" applyProtection="1">
      <alignment horizontal="justify" vertical="center" wrapText="1"/>
      <protection hidden="1"/>
    </xf>
    <xf numFmtId="4" fontId="16" fillId="0" borderId="14" xfId="205" applyNumberFormat="1" applyFont="1" applyBorder="1" applyAlignment="1" applyProtection="1">
      <alignment horizontal="center" vertical="center" wrapText="1"/>
      <protection hidden="1"/>
    </xf>
    <xf numFmtId="4" fontId="16" fillId="0" borderId="3" xfId="205" applyNumberFormat="1" applyFont="1" applyBorder="1" applyAlignment="1" applyProtection="1">
      <alignment horizontal="center" vertical="center" wrapText="1"/>
      <protection hidden="1"/>
    </xf>
    <xf numFmtId="2" fontId="19" fillId="0" borderId="0" xfId="196" applyNumberFormat="1" applyFont="1" applyAlignment="1" applyProtection="1">
      <alignment horizontal="left" vertical="center"/>
      <protection hidden="1"/>
    </xf>
  </cellXfs>
  <cellStyles count="24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 2" xfId="219" xr:uid="{00000000-0005-0000-0000-000026000000}"/>
    <cellStyle name="Comma 20" xfId="39" xr:uid="{00000000-0005-0000-0000-000027000000}"/>
    <cellStyle name="Comma 21" xfId="40" xr:uid="{00000000-0005-0000-0000-000028000000}"/>
    <cellStyle name="Comma 22" xfId="41" xr:uid="{00000000-0005-0000-0000-000029000000}"/>
    <cellStyle name="Comma 23" xfId="42" xr:uid="{00000000-0005-0000-0000-00002A000000}"/>
    <cellStyle name="Comma 24" xfId="43" xr:uid="{00000000-0005-0000-0000-00002B000000}"/>
    <cellStyle name="Comma 25" xfId="44" xr:uid="{00000000-0005-0000-0000-00002C000000}"/>
    <cellStyle name="Comma 26" xfId="45" xr:uid="{00000000-0005-0000-0000-00002D000000}"/>
    <cellStyle name="Comma 27" xfId="46" xr:uid="{00000000-0005-0000-0000-00002E000000}"/>
    <cellStyle name="Comma 28" xfId="47" xr:uid="{00000000-0005-0000-0000-00002F000000}"/>
    <cellStyle name="Comma 29" xfId="48" xr:uid="{00000000-0005-0000-0000-000030000000}"/>
    <cellStyle name="Comma 3" xfId="49" xr:uid="{00000000-0005-0000-0000-000031000000}"/>
    <cellStyle name="Comma 30" xfId="50" xr:uid="{00000000-0005-0000-0000-000032000000}"/>
    <cellStyle name="Comma 31" xfId="51" xr:uid="{00000000-0005-0000-0000-000033000000}"/>
    <cellStyle name="Comma 32" xfId="52" xr:uid="{00000000-0005-0000-0000-000034000000}"/>
    <cellStyle name="Comma 33" xfId="53" xr:uid="{00000000-0005-0000-0000-000035000000}"/>
    <cellStyle name="Comma 34" xfId="54" xr:uid="{00000000-0005-0000-0000-000036000000}"/>
    <cellStyle name="Comma 35" xfId="55" xr:uid="{00000000-0005-0000-0000-000037000000}"/>
    <cellStyle name="Comma 36" xfId="56" xr:uid="{00000000-0005-0000-0000-000038000000}"/>
    <cellStyle name="Comma 37" xfId="57" xr:uid="{00000000-0005-0000-0000-000039000000}"/>
    <cellStyle name="Comma 38" xfId="58" xr:uid="{00000000-0005-0000-0000-00003A000000}"/>
    <cellStyle name="Comma 39" xfId="59" xr:uid="{00000000-0005-0000-0000-00003B000000}"/>
    <cellStyle name="Comma 4" xfId="60" xr:uid="{00000000-0005-0000-0000-00003C000000}"/>
    <cellStyle name="Comma 40" xfId="61" xr:uid="{00000000-0005-0000-0000-00003D000000}"/>
    <cellStyle name="Comma 41" xfId="62" xr:uid="{00000000-0005-0000-0000-00003E000000}"/>
    <cellStyle name="Comma 42" xfId="63" xr:uid="{00000000-0005-0000-0000-00003F000000}"/>
    <cellStyle name="Comma 43" xfId="64" xr:uid="{00000000-0005-0000-0000-000040000000}"/>
    <cellStyle name="Comma 5" xfId="65" xr:uid="{00000000-0005-0000-0000-000041000000}"/>
    <cellStyle name="Comma 6" xfId="66" xr:uid="{00000000-0005-0000-0000-000042000000}"/>
    <cellStyle name="Comma 7" xfId="67" xr:uid="{00000000-0005-0000-0000-000043000000}"/>
    <cellStyle name="Comma 8" xfId="68" xr:uid="{00000000-0005-0000-0000-000044000000}"/>
    <cellStyle name="Comma 9" xfId="69" xr:uid="{00000000-0005-0000-0000-000045000000}"/>
    <cellStyle name="Formula" xfId="70" xr:uid="{00000000-0005-0000-0000-000046000000}"/>
    <cellStyle name="Formula 2" xfId="71" xr:uid="{00000000-0005-0000-0000-000047000000}"/>
    <cellStyle name="Formula 2 2" xfId="72" xr:uid="{00000000-0005-0000-0000-000048000000}"/>
    <cellStyle name="Header1" xfId="73" xr:uid="{00000000-0005-0000-0000-000049000000}"/>
    <cellStyle name="Header2" xfId="74" xr:uid="{00000000-0005-0000-0000-00004A000000}"/>
    <cellStyle name="Hypertextový odkaz" xfId="75" xr:uid="{00000000-0005-0000-0000-00004B000000}"/>
    <cellStyle name="Hypertextový odkaz 2" xfId="76" xr:uid="{00000000-0005-0000-0000-00004C000000}"/>
    <cellStyle name="Hypertextový odkaz 2 2" xfId="77" xr:uid="{00000000-0005-0000-0000-00004D000000}"/>
    <cellStyle name="no dec" xfId="78" xr:uid="{00000000-0005-0000-0000-00004E000000}"/>
    <cellStyle name="no dec 2" xfId="79" xr:uid="{00000000-0005-0000-0000-00004F000000}"/>
    <cellStyle name="no dec 2 2" xfId="80" xr:uid="{00000000-0005-0000-0000-000050000000}"/>
    <cellStyle name="Normal" xfId="0" builtinId="0"/>
    <cellStyle name="Normal - Style1" xfId="81" xr:uid="{00000000-0005-0000-0000-000052000000}"/>
    <cellStyle name="Normal - Style1 2" xfId="82" xr:uid="{00000000-0005-0000-0000-000053000000}"/>
    <cellStyle name="Normal 10" xfId="83" xr:uid="{00000000-0005-0000-0000-000054000000}"/>
    <cellStyle name="Normal 10 2" xfId="84" xr:uid="{00000000-0005-0000-0000-000055000000}"/>
    <cellStyle name="Normal 100" xfId="221" xr:uid="{00000000-0005-0000-0000-000056000000}"/>
    <cellStyle name="Normal 101" xfId="222" xr:uid="{00000000-0005-0000-0000-000057000000}"/>
    <cellStyle name="Normal 102" xfId="223" xr:uid="{00000000-0005-0000-0000-000058000000}"/>
    <cellStyle name="Normal 103" xfId="224" xr:uid="{00000000-0005-0000-0000-000059000000}"/>
    <cellStyle name="Normal 104" xfId="229" xr:uid="{00000000-0005-0000-0000-00005A000000}"/>
    <cellStyle name="Normal 105" xfId="227" xr:uid="{00000000-0005-0000-0000-00005B000000}"/>
    <cellStyle name="Normal 106" xfId="225" xr:uid="{00000000-0005-0000-0000-00005C000000}"/>
    <cellStyle name="Normal 107" xfId="228" xr:uid="{00000000-0005-0000-0000-00005D000000}"/>
    <cellStyle name="Normal 108" xfId="226" xr:uid="{00000000-0005-0000-0000-00005E000000}"/>
    <cellStyle name="Normal 109" xfId="230" xr:uid="{00000000-0005-0000-0000-00005F000000}"/>
    <cellStyle name="Normal 11" xfId="85" xr:uid="{00000000-0005-0000-0000-000060000000}"/>
    <cellStyle name="Normal 11 2" xfId="86" xr:uid="{00000000-0005-0000-0000-000061000000}"/>
    <cellStyle name="Normal 110" xfId="231" xr:uid="{00000000-0005-0000-0000-000062000000}"/>
    <cellStyle name="Normal 111" xfId="232" xr:uid="{00000000-0005-0000-0000-000063000000}"/>
    <cellStyle name="Normal 112" xfId="233" xr:uid="{00000000-0005-0000-0000-000064000000}"/>
    <cellStyle name="Normal 113" xfId="234" xr:uid="{00000000-0005-0000-0000-000065000000}"/>
    <cellStyle name="Normal 114" xfId="235" xr:uid="{00000000-0005-0000-0000-000066000000}"/>
    <cellStyle name="Normal 115" xfId="236" xr:uid="{00000000-0005-0000-0000-000067000000}"/>
    <cellStyle name="Normal 116" xfId="237" xr:uid="{00000000-0005-0000-0000-000068000000}"/>
    <cellStyle name="Normal 117" xfId="238" xr:uid="{00000000-0005-0000-0000-000069000000}"/>
    <cellStyle name="Normal 118" xfId="239" xr:uid="{49895932-677B-43D2-B5F5-F5C00E0ECADD}"/>
    <cellStyle name="Normal 12" xfId="87" xr:uid="{00000000-0005-0000-0000-00006A000000}"/>
    <cellStyle name="Normal 12 2" xfId="88" xr:uid="{00000000-0005-0000-0000-00006B000000}"/>
    <cellStyle name="Normal 13" xfId="89" xr:uid="{00000000-0005-0000-0000-00006C000000}"/>
    <cellStyle name="Normal 14" xfId="90" xr:uid="{00000000-0005-0000-0000-00006D000000}"/>
    <cellStyle name="Normal 15" xfId="91" xr:uid="{00000000-0005-0000-0000-00006E000000}"/>
    <cellStyle name="Normal 16" xfId="92" xr:uid="{00000000-0005-0000-0000-00006F000000}"/>
    <cellStyle name="Normal 17" xfId="93" xr:uid="{00000000-0005-0000-0000-000070000000}"/>
    <cellStyle name="Normal 18" xfId="94" xr:uid="{00000000-0005-0000-0000-000071000000}"/>
    <cellStyle name="Normal 19" xfId="95" xr:uid="{00000000-0005-0000-0000-000072000000}"/>
    <cellStyle name="Normal 2" xfId="96" xr:uid="{00000000-0005-0000-0000-000073000000}"/>
    <cellStyle name="Normal 2 2" xfId="97" xr:uid="{00000000-0005-0000-0000-000074000000}"/>
    <cellStyle name="Normal 2 3" xfId="98" xr:uid="{00000000-0005-0000-0000-000075000000}"/>
    <cellStyle name="Normal 2 4" xfId="218" xr:uid="{00000000-0005-0000-0000-000076000000}"/>
    <cellStyle name="Normal 2 5" xfId="240" xr:uid="{1F996C42-DCE4-4447-9114-08524E22BBA1}"/>
    <cellStyle name="Normal 20" xfId="99" xr:uid="{00000000-0005-0000-0000-000077000000}"/>
    <cellStyle name="Normal 21" xfId="100" xr:uid="{00000000-0005-0000-0000-000078000000}"/>
    <cellStyle name="Normal 22" xfId="101" xr:uid="{00000000-0005-0000-0000-000079000000}"/>
    <cellStyle name="Normal 23" xfId="102" xr:uid="{00000000-0005-0000-0000-00007A000000}"/>
    <cellStyle name="Normal 24" xfId="103" xr:uid="{00000000-0005-0000-0000-00007B000000}"/>
    <cellStyle name="Normal 25" xfId="104" xr:uid="{00000000-0005-0000-0000-00007C000000}"/>
    <cellStyle name="Normal 26" xfId="105" xr:uid="{00000000-0005-0000-0000-00007D000000}"/>
    <cellStyle name="Normal 27" xfId="106" xr:uid="{00000000-0005-0000-0000-00007E000000}"/>
    <cellStyle name="Normal 28" xfId="107" xr:uid="{00000000-0005-0000-0000-00007F000000}"/>
    <cellStyle name="Normal 29" xfId="108" xr:uid="{00000000-0005-0000-0000-000080000000}"/>
    <cellStyle name="Normal 3" xfId="109" xr:uid="{00000000-0005-0000-0000-000081000000}"/>
    <cellStyle name="Normal 3 2" xfId="110" xr:uid="{00000000-0005-0000-0000-000082000000}"/>
    <cellStyle name="Normal 3 3" xfId="111" xr:uid="{00000000-0005-0000-0000-000083000000}"/>
    <cellStyle name="Normal 30" xfId="112" xr:uid="{00000000-0005-0000-0000-000084000000}"/>
    <cellStyle name="Normal 31" xfId="113" xr:uid="{00000000-0005-0000-0000-000085000000}"/>
    <cellStyle name="Normal 32" xfId="114" xr:uid="{00000000-0005-0000-0000-000086000000}"/>
    <cellStyle name="Normal 33" xfId="115" xr:uid="{00000000-0005-0000-0000-000087000000}"/>
    <cellStyle name="Normal 34" xfId="116" xr:uid="{00000000-0005-0000-0000-000088000000}"/>
    <cellStyle name="Normal 35" xfId="117" xr:uid="{00000000-0005-0000-0000-000089000000}"/>
    <cellStyle name="Normal 36" xfId="118" xr:uid="{00000000-0005-0000-0000-00008A000000}"/>
    <cellStyle name="Normal 37" xfId="119" xr:uid="{00000000-0005-0000-0000-00008B000000}"/>
    <cellStyle name="Normal 38" xfId="120" xr:uid="{00000000-0005-0000-0000-00008C000000}"/>
    <cellStyle name="Normal 39" xfId="121" xr:uid="{00000000-0005-0000-0000-00008D000000}"/>
    <cellStyle name="Normal 4" xfId="122" xr:uid="{00000000-0005-0000-0000-00008E000000}"/>
    <cellStyle name="Normal 4 2" xfId="123" xr:uid="{00000000-0005-0000-0000-00008F000000}"/>
    <cellStyle name="Normal 4 3" xfId="124" xr:uid="{00000000-0005-0000-0000-000090000000}"/>
    <cellStyle name="Normal 40" xfId="125" xr:uid="{00000000-0005-0000-0000-000091000000}"/>
    <cellStyle name="Normal 41" xfId="126" xr:uid="{00000000-0005-0000-0000-000092000000}"/>
    <cellStyle name="Normal 42" xfId="127" xr:uid="{00000000-0005-0000-0000-000093000000}"/>
    <cellStyle name="Normal 43" xfId="128" xr:uid="{00000000-0005-0000-0000-000094000000}"/>
    <cellStyle name="Normal 44" xfId="129" xr:uid="{00000000-0005-0000-0000-000095000000}"/>
    <cellStyle name="Normal 45" xfId="130" xr:uid="{00000000-0005-0000-0000-000096000000}"/>
    <cellStyle name="Normal 46" xfId="131" xr:uid="{00000000-0005-0000-0000-000097000000}"/>
    <cellStyle name="Normal 47" xfId="132" xr:uid="{00000000-0005-0000-0000-000098000000}"/>
    <cellStyle name="Normal 48" xfId="133" xr:uid="{00000000-0005-0000-0000-000099000000}"/>
    <cellStyle name="Normal 49" xfId="134" xr:uid="{00000000-0005-0000-0000-00009A000000}"/>
    <cellStyle name="Normal 5" xfId="135" xr:uid="{00000000-0005-0000-0000-00009B000000}"/>
    <cellStyle name="Normal 5 2" xfId="136" xr:uid="{00000000-0005-0000-0000-00009C000000}"/>
    <cellStyle name="Normal 50" xfId="137" xr:uid="{00000000-0005-0000-0000-00009D000000}"/>
    <cellStyle name="Normal 51" xfId="138" xr:uid="{00000000-0005-0000-0000-00009E000000}"/>
    <cellStyle name="Normal 52" xfId="139" xr:uid="{00000000-0005-0000-0000-00009F000000}"/>
    <cellStyle name="Normal 53" xfId="140" xr:uid="{00000000-0005-0000-0000-0000A0000000}"/>
    <cellStyle name="Normal 54" xfId="141" xr:uid="{00000000-0005-0000-0000-0000A1000000}"/>
    <cellStyle name="Normal 55" xfId="142" xr:uid="{00000000-0005-0000-0000-0000A2000000}"/>
    <cellStyle name="Normal 56" xfId="143" xr:uid="{00000000-0005-0000-0000-0000A3000000}"/>
    <cellStyle name="Normal 57" xfId="144" xr:uid="{00000000-0005-0000-0000-0000A4000000}"/>
    <cellStyle name="Normal 58" xfId="145" xr:uid="{00000000-0005-0000-0000-0000A5000000}"/>
    <cellStyle name="Normal 59" xfId="146" xr:uid="{00000000-0005-0000-0000-0000A6000000}"/>
    <cellStyle name="Normal 6" xfId="147" xr:uid="{00000000-0005-0000-0000-0000A7000000}"/>
    <cellStyle name="Normal 6 2" xfId="148" xr:uid="{00000000-0005-0000-0000-0000A8000000}"/>
    <cellStyle name="Normal 60" xfId="149" xr:uid="{00000000-0005-0000-0000-0000A9000000}"/>
    <cellStyle name="Normal 61" xfId="150" xr:uid="{00000000-0005-0000-0000-0000AA000000}"/>
    <cellStyle name="Normal 62" xfId="151" xr:uid="{00000000-0005-0000-0000-0000AB000000}"/>
    <cellStyle name="Normal 63" xfId="152" xr:uid="{00000000-0005-0000-0000-0000AC000000}"/>
    <cellStyle name="Normal 64" xfId="153" xr:uid="{00000000-0005-0000-0000-0000AD000000}"/>
    <cellStyle name="Normal 65" xfId="154" xr:uid="{00000000-0005-0000-0000-0000AE000000}"/>
    <cellStyle name="Normal 66" xfId="155" xr:uid="{00000000-0005-0000-0000-0000AF000000}"/>
    <cellStyle name="Normal 67" xfId="156" xr:uid="{00000000-0005-0000-0000-0000B0000000}"/>
    <cellStyle name="Normal 68" xfId="157" xr:uid="{00000000-0005-0000-0000-0000B1000000}"/>
    <cellStyle name="Normal 69" xfId="158" xr:uid="{00000000-0005-0000-0000-0000B2000000}"/>
    <cellStyle name="Normal 7" xfId="159" xr:uid="{00000000-0005-0000-0000-0000B3000000}"/>
    <cellStyle name="Normal 7 2" xfId="160" xr:uid="{00000000-0005-0000-0000-0000B4000000}"/>
    <cellStyle name="Normal 70" xfId="161" xr:uid="{00000000-0005-0000-0000-0000B5000000}"/>
    <cellStyle name="Normal 71" xfId="162" xr:uid="{00000000-0005-0000-0000-0000B6000000}"/>
    <cellStyle name="Normal 72" xfId="163" xr:uid="{00000000-0005-0000-0000-0000B7000000}"/>
    <cellStyle name="Normal 73" xfId="164" xr:uid="{00000000-0005-0000-0000-0000B8000000}"/>
    <cellStyle name="Normal 74" xfId="165" xr:uid="{00000000-0005-0000-0000-0000B9000000}"/>
    <cellStyle name="Normal 75" xfId="166" xr:uid="{00000000-0005-0000-0000-0000BA000000}"/>
    <cellStyle name="Normal 76" xfId="167" xr:uid="{00000000-0005-0000-0000-0000BB000000}"/>
    <cellStyle name="Normal 77" xfId="168" xr:uid="{00000000-0005-0000-0000-0000BC000000}"/>
    <cellStyle name="Normal 78" xfId="169" xr:uid="{00000000-0005-0000-0000-0000BD000000}"/>
    <cellStyle name="Normal 79" xfId="170" xr:uid="{00000000-0005-0000-0000-0000BE000000}"/>
    <cellStyle name="Normal 8" xfId="171" xr:uid="{00000000-0005-0000-0000-0000BF000000}"/>
    <cellStyle name="Normal 8 2" xfId="172" xr:uid="{00000000-0005-0000-0000-0000C0000000}"/>
    <cellStyle name="Normal 80" xfId="173" xr:uid="{00000000-0005-0000-0000-0000C1000000}"/>
    <cellStyle name="Normal 81" xfId="174" xr:uid="{00000000-0005-0000-0000-0000C2000000}"/>
    <cellStyle name="Normal 82" xfId="175" xr:uid="{00000000-0005-0000-0000-0000C3000000}"/>
    <cellStyle name="Normal 83" xfId="176" xr:uid="{00000000-0005-0000-0000-0000C4000000}"/>
    <cellStyle name="Normal 84" xfId="177" xr:uid="{00000000-0005-0000-0000-0000C5000000}"/>
    <cellStyle name="Normal 85" xfId="178" xr:uid="{00000000-0005-0000-0000-0000C6000000}"/>
    <cellStyle name="Normal 86" xfId="179" xr:uid="{00000000-0005-0000-0000-0000C7000000}"/>
    <cellStyle name="Normal 87" xfId="180" xr:uid="{00000000-0005-0000-0000-0000C8000000}"/>
    <cellStyle name="Normal 88" xfId="181" xr:uid="{00000000-0005-0000-0000-0000C9000000}"/>
    <cellStyle name="Normal 89" xfId="182" xr:uid="{00000000-0005-0000-0000-0000CA000000}"/>
    <cellStyle name="Normal 9" xfId="183" xr:uid="{00000000-0005-0000-0000-0000CB000000}"/>
    <cellStyle name="Normal 9 2" xfId="184" xr:uid="{00000000-0005-0000-0000-0000CC000000}"/>
    <cellStyle name="Normal 90" xfId="185" xr:uid="{00000000-0005-0000-0000-0000CD000000}"/>
    <cellStyle name="Normal 91" xfId="186" xr:uid="{00000000-0005-0000-0000-0000CE000000}"/>
    <cellStyle name="Normal 92" xfId="187" xr:uid="{00000000-0005-0000-0000-0000CF000000}"/>
    <cellStyle name="Normal 93" xfId="188" xr:uid="{00000000-0005-0000-0000-0000D0000000}"/>
    <cellStyle name="Normal 94" xfId="189" xr:uid="{00000000-0005-0000-0000-0000D1000000}"/>
    <cellStyle name="Normal 95" xfId="190" xr:uid="{00000000-0005-0000-0000-0000D2000000}"/>
    <cellStyle name="Normal 96" xfId="191" xr:uid="{00000000-0005-0000-0000-0000D3000000}"/>
    <cellStyle name="Normal 97" xfId="192" xr:uid="{00000000-0005-0000-0000-0000D4000000}"/>
    <cellStyle name="Normal 98" xfId="217" xr:uid="{00000000-0005-0000-0000-0000D5000000}"/>
    <cellStyle name="Normal 99" xfId="220" xr:uid="{00000000-0005-0000-0000-0000D6000000}"/>
    <cellStyle name="Normal_Annexures TW 04" xfId="193" xr:uid="{00000000-0005-0000-0000-0000D7000000}"/>
    <cellStyle name="Normal_Attach 3(JV)" xfId="194" xr:uid="{00000000-0005-0000-0000-0000D8000000}"/>
    <cellStyle name="Normal_Attacments TW 04" xfId="195" xr:uid="{00000000-0005-0000-0000-0000D9000000}"/>
    <cellStyle name="Normal_Entertainment Form" xfId="196" xr:uid="{00000000-0005-0000-0000-0000DA000000}"/>
    <cellStyle name="Normal_final 765-6Z-DOM-1" xfId="197" xr:uid="{00000000-0005-0000-0000-0000DB000000}"/>
    <cellStyle name="Normal_pgcil-tivim-pricesched" xfId="198" xr:uid="{00000000-0005-0000-0000-0000DC000000}"/>
    <cellStyle name="Normal_pgcil-tivim-pricesched_Sch-3 " xfId="199" xr:uid="{00000000-0005-0000-0000-0000DD000000}"/>
    <cellStyle name="Normal_PRICE SCHEDULE-4 to 6-A4" xfId="200" xr:uid="{00000000-0005-0000-0000-0000DE000000}"/>
    <cellStyle name="Normal_Price_Schedules for Insulator Package Rev-01" xfId="201" xr:uid="{00000000-0005-0000-0000-0000DF000000}"/>
    <cellStyle name="Normal_PRICE-SCHE Bihar-Rev-2-corrections" xfId="202" xr:uid="{00000000-0005-0000-0000-0000E0000000}"/>
    <cellStyle name="Normal_PRICE-SCHE Bihar-Rev-2-corrections_Annexures TW 04" xfId="203" xr:uid="{00000000-0005-0000-0000-0000E1000000}"/>
    <cellStyle name="Normal_PRICE-SCHE Bihar-Rev-2-corrections_Price_Schedules for Insulator Package Rev-01" xfId="204" xr:uid="{00000000-0005-0000-0000-0000E2000000}"/>
    <cellStyle name="Normal_QUOTED CORRECTED" xfId="205" xr:uid="{00000000-0005-0000-0000-0000E3000000}"/>
    <cellStyle name="Normal_QUOTED CORRECTED 2" xfId="206" xr:uid="{00000000-0005-0000-0000-0000E4000000}"/>
    <cellStyle name="Normal_Sch-1" xfId="207" xr:uid="{00000000-0005-0000-0000-0000E5000000}"/>
    <cellStyle name="Normal_Sch-3 " xfId="208" xr:uid="{00000000-0005-0000-0000-0000E6000000}"/>
    <cellStyle name="Normal_Sheet1" xfId="209" xr:uid="{00000000-0005-0000-0000-0000E7000000}"/>
    <cellStyle name="Percent 2" xfId="210" xr:uid="{00000000-0005-0000-0000-0000E8000000}"/>
    <cellStyle name="Percent 2 2" xfId="211" xr:uid="{00000000-0005-0000-0000-0000E9000000}"/>
    <cellStyle name="Percent 3" xfId="241" xr:uid="{324EFE07-004D-4A5D-8EB2-B15905DCA6BA}"/>
    <cellStyle name="Popis" xfId="212" xr:uid="{00000000-0005-0000-0000-0000EA000000}"/>
    <cellStyle name="Sledovaný hypertextový odkaz" xfId="213" xr:uid="{00000000-0005-0000-0000-0000EB000000}"/>
    <cellStyle name="Sledovaný hypertextový odkaz 2" xfId="214" xr:uid="{00000000-0005-0000-0000-0000EC000000}"/>
    <cellStyle name="Sledovaný hypertextový odkaz 2 2" xfId="215" xr:uid="{00000000-0005-0000-0000-0000ED000000}"/>
    <cellStyle name="Standard_BS14" xfId="216" xr:uid="{00000000-0005-0000-0000-0000EE000000}"/>
  </cellStyles>
  <dxfs count="34">
    <dxf>
      <font>
        <condense val="0"/>
        <extend val="0"/>
        <color indexed="9"/>
      </font>
      <fill>
        <patternFill patternType="none">
          <bgColor indexed="65"/>
        </patternFill>
      </fill>
    </dxf>
    <dxf>
      <fill>
        <patternFill patternType="none">
          <bgColor indexed="65"/>
        </patternFill>
      </fill>
    </dxf>
    <dxf>
      <font>
        <condense val="0"/>
        <extend val="0"/>
        <color indexed="9"/>
      </font>
    </dxf>
    <dxf>
      <fill>
        <patternFill>
          <bgColor rgb="FFCCFFCC"/>
        </patternFill>
      </fill>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ont>
        <condense val="0"/>
        <extend val="0"/>
        <color indexed="9"/>
      </font>
      <fill>
        <patternFill patternType="none">
          <bgColor indexed="65"/>
        </patternFill>
      </fill>
    </dxf>
    <dxf>
      <font>
        <b val="0"/>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Sch-4'!A1"/></Relationships>
</file>

<file path=xl/drawings/_rels/drawing11.xml.rels><?xml version="1.0" encoding="UTF-8" standalone="yes"?>
<Relationships xmlns="http://schemas.openxmlformats.org/package/2006/relationships"><Relationship Id="rId1" Type="http://schemas.openxmlformats.org/officeDocument/2006/relationships/hyperlink" Target="#'Sch-6'!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7'!A1"/></Relationships>
</file>

<file path=xl/drawings/_rels/drawing14.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1" Type="http://schemas.openxmlformats.org/officeDocument/2006/relationships/hyperlink" Target="#'Sch-5'!A1"/></Relationships>
</file>

<file path=xl/drawings/_rels/drawing17.xml.rels><?xml version="1.0" encoding="UTF-8" standalone="yes"?>
<Relationships xmlns="http://schemas.openxmlformats.org/package/2006/relationships"><Relationship Id="rId1" Type="http://schemas.openxmlformats.org/officeDocument/2006/relationships/hyperlink" Target="#'Sch-5'!A1"/></Relationships>
</file>

<file path=xl/drawings/_rels/drawing18.xml.rels><?xml version="1.0" encoding="UTF-8" standalone="yes"?>
<Relationships xmlns="http://schemas.openxmlformats.org/package/2006/relationships"><Relationship Id="rId1" Type="http://schemas.openxmlformats.org/officeDocument/2006/relationships/hyperlink" Target="#'Sch-5'!A1"/></Relationships>
</file>

<file path=xl/drawings/_rels/drawing19.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Names of Bidd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5'!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018538" name="AutoShape 6">
          <a:extLst>
            <a:ext uri="{FF2B5EF4-FFF2-40B4-BE49-F238E27FC236}">
              <a16:creationId xmlns:a16="http://schemas.microsoft.com/office/drawing/2014/main" id="{00000000-0008-0000-0100-00006A513D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018539" name="AutoShape 7">
          <a:extLst>
            <a:ext uri="{FF2B5EF4-FFF2-40B4-BE49-F238E27FC236}">
              <a16:creationId xmlns:a16="http://schemas.microsoft.com/office/drawing/2014/main" id="{00000000-0008-0000-0100-00006B513D00}"/>
            </a:ext>
          </a:extLst>
        </xdr:cNvPr>
        <xdr:cNvSpPr>
          <a:spLocks noChangeArrowheads="1"/>
        </xdr:cNvSpPr>
      </xdr:nvSpPr>
      <xdr:spPr bwMode="auto">
        <a:xfrm>
          <a:off x="8362950"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018540" name="AutoShape 8">
          <a:extLst>
            <a:ext uri="{FF2B5EF4-FFF2-40B4-BE49-F238E27FC236}">
              <a16:creationId xmlns:a16="http://schemas.microsoft.com/office/drawing/2014/main" id="{00000000-0008-0000-0100-00006C513D00}"/>
            </a:ext>
          </a:extLst>
        </xdr:cNvPr>
        <xdr:cNvSpPr>
          <a:spLocks noChangeArrowheads="1"/>
        </xdr:cNvSpPr>
      </xdr:nvSpPr>
      <xdr:spPr bwMode="auto">
        <a:xfrm>
          <a:off x="104775" y="45053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018541" name="AutoShape 9">
          <a:extLst>
            <a:ext uri="{FF2B5EF4-FFF2-40B4-BE49-F238E27FC236}">
              <a16:creationId xmlns:a16="http://schemas.microsoft.com/office/drawing/2014/main" id="{00000000-0008-0000-0100-00006D513D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Sch-3</a:t>
          </a:r>
        </a:p>
      </xdr:txBody>
    </xdr:sp>
    <xdr:clientData/>
  </xdr:twoCellAnchor>
  <xdr:twoCellAnchor editAs="oneCell">
    <xdr:from>
      <xdr:col>1</xdr:col>
      <xdr:colOff>514350</xdr:colOff>
      <xdr:row>10</xdr:row>
      <xdr:rowOff>46606</xdr:rowOff>
    </xdr:from>
    <xdr:to>
      <xdr:col>4</xdr:col>
      <xdr:colOff>609600</xdr:colOff>
      <xdr:row>13</xdr:row>
      <xdr:rowOff>133231</xdr:rowOff>
    </xdr:to>
    <xdr:pic>
      <xdr:nvPicPr>
        <xdr:cNvPr id="3" name="Picture 2">
          <a:extLst>
            <a:ext uri="{FF2B5EF4-FFF2-40B4-BE49-F238E27FC236}">
              <a16:creationId xmlns:a16="http://schemas.microsoft.com/office/drawing/2014/main" id="{5463D93B-4594-436D-9619-EC7ACBBAA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1575" y="3294631"/>
          <a:ext cx="6829425" cy="89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257175</xdr:colOff>
      <xdr:row>0</xdr:row>
      <xdr:rowOff>19050</xdr:rowOff>
    </xdr:from>
    <xdr:to>
      <xdr:col>17</xdr:col>
      <xdr:colOff>676275</xdr:colOff>
      <xdr:row>3</xdr:row>
      <xdr:rowOff>0</xdr:rowOff>
    </xdr:to>
    <xdr:grpSp>
      <xdr:nvGrpSpPr>
        <xdr:cNvPr id="2" name="Group 1">
          <a:hlinkClick xmlns:r="http://schemas.openxmlformats.org/officeDocument/2006/relationships" r:id="rId1" tooltip="Click for Sch-4"/>
          <a:extLst>
            <a:ext uri="{FF2B5EF4-FFF2-40B4-BE49-F238E27FC236}">
              <a16:creationId xmlns:a16="http://schemas.microsoft.com/office/drawing/2014/main" id="{1ADC9351-40C1-4081-B0E9-8A46BA9FCD17}"/>
            </a:ext>
          </a:extLst>
        </xdr:cNvPr>
        <xdr:cNvGrpSpPr>
          <a:grpSpLocks/>
        </xdr:cNvGrpSpPr>
      </xdr:nvGrpSpPr>
      <xdr:grpSpPr bwMode="auto">
        <a:xfrm>
          <a:off x="17904402" y="19050"/>
          <a:ext cx="5025737" cy="604405"/>
          <a:chOff x="804" y="5"/>
          <a:chExt cx="116" cy="73"/>
        </a:xfrm>
      </xdr:grpSpPr>
      <xdr:sp macro="" textlink="">
        <xdr:nvSpPr>
          <xdr:cNvPr id="3" name="AutoShape 2">
            <a:extLst>
              <a:ext uri="{FF2B5EF4-FFF2-40B4-BE49-F238E27FC236}">
                <a16:creationId xmlns:a16="http://schemas.microsoft.com/office/drawing/2014/main" id="{37A21358-41B7-387F-4363-F5FD03B32DF7}"/>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C5A9CA4C-5CA7-32B1-1315-E453BE51944D}"/>
              </a:ext>
            </a:extLst>
          </xdr:cNvPr>
          <xdr:cNvSpPr txBox="1">
            <a:spLocks noChangeArrowheads="1"/>
          </xdr:cNvSpPr>
        </xdr:nvSpPr>
        <xdr:spPr bwMode="auto">
          <a:xfrm>
            <a:off x="818"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5479" name="Group 25">
          <a:hlinkClick xmlns:r="http://schemas.openxmlformats.org/officeDocument/2006/relationships" r:id="rId1" tooltip="Click for Sch-6"/>
          <a:extLst>
            <a:ext uri="{FF2B5EF4-FFF2-40B4-BE49-F238E27FC236}">
              <a16:creationId xmlns:a16="http://schemas.microsoft.com/office/drawing/2014/main" id="{00000000-0008-0000-0B00-0000876C3D00}"/>
            </a:ext>
          </a:extLst>
        </xdr:cNvPr>
        <xdr:cNvGrpSpPr>
          <a:grpSpLocks/>
        </xdr:cNvGrpSpPr>
      </xdr:nvGrpSpPr>
      <xdr:grpSpPr bwMode="auto">
        <a:xfrm>
          <a:off x="8534400" y="47625"/>
          <a:ext cx="1104900" cy="600075"/>
          <a:chOff x="804" y="5"/>
          <a:chExt cx="116" cy="73"/>
        </a:xfrm>
      </xdr:grpSpPr>
      <xdr:sp macro="" textlink="">
        <xdr:nvSpPr>
          <xdr:cNvPr id="4025480" name="AutoShape 26">
            <a:extLst>
              <a:ext uri="{FF2B5EF4-FFF2-40B4-BE49-F238E27FC236}">
                <a16:creationId xmlns:a16="http://schemas.microsoft.com/office/drawing/2014/main" id="{00000000-0008-0000-0B00-0000886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B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026503" name="Group 25">
          <a:hlinkClick xmlns:r="http://schemas.openxmlformats.org/officeDocument/2006/relationships" r:id="rId1" tooltip="Click for Sch-6"/>
          <a:extLst>
            <a:ext uri="{FF2B5EF4-FFF2-40B4-BE49-F238E27FC236}">
              <a16:creationId xmlns:a16="http://schemas.microsoft.com/office/drawing/2014/main" id="{00000000-0008-0000-0C00-000087703D00}"/>
            </a:ext>
          </a:extLst>
        </xdr:cNvPr>
        <xdr:cNvGrpSpPr>
          <a:grpSpLocks/>
        </xdr:cNvGrpSpPr>
      </xdr:nvGrpSpPr>
      <xdr:grpSpPr bwMode="auto">
        <a:xfrm>
          <a:off x="8534400" y="47625"/>
          <a:ext cx="1104900" cy="600075"/>
          <a:chOff x="804" y="5"/>
          <a:chExt cx="116" cy="73"/>
        </a:xfrm>
      </xdr:grpSpPr>
      <xdr:sp macro="" textlink="">
        <xdr:nvSpPr>
          <xdr:cNvPr id="4026504" name="AutoShape 26">
            <a:extLst>
              <a:ext uri="{FF2B5EF4-FFF2-40B4-BE49-F238E27FC236}">
                <a16:creationId xmlns:a16="http://schemas.microsoft.com/office/drawing/2014/main" id="{00000000-0008-0000-0C00-0000887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C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027527" name="Group 1">
          <a:hlinkClick xmlns:r="http://schemas.openxmlformats.org/officeDocument/2006/relationships" r:id="rId1" tooltip="Click for Sch-7"/>
          <a:extLst>
            <a:ext uri="{FF2B5EF4-FFF2-40B4-BE49-F238E27FC236}">
              <a16:creationId xmlns:a16="http://schemas.microsoft.com/office/drawing/2014/main" id="{00000000-0008-0000-0D00-000087743D00}"/>
            </a:ext>
          </a:extLst>
        </xdr:cNvPr>
        <xdr:cNvGrpSpPr>
          <a:grpSpLocks/>
        </xdr:cNvGrpSpPr>
      </xdr:nvGrpSpPr>
      <xdr:grpSpPr bwMode="auto">
        <a:xfrm>
          <a:off x="7686675" y="19050"/>
          <a:ext cx="1104900" cy="695325"/>
          <a:chOff x="804" y="5"/>
          <a:chExt cx="116" cy="73"/>
        </a:xfrm>
      </xdr:grpSpPr>
      <xdr:sp macro="" textlink="">
        <xdr:nvSpPr>
          <xdr:cNvPr id="4027528" name="AutoShape 2">
            <a:extLst>
              <a:ext uri="{FF2B5EF4-FFF2-40B4-BE49-F238E27FC236}">
                <a16:creationId xmlns:a16="http://schemas.microsoft.com/office/drawing/2014/main" id="{00000000-0008-0000-0D00-0000887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D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029575" name="Group 5">
          <a:hlinkClick xmlns:r="http://schemas.openxmlformats.org/officeDocument/2006/relationships" r:id="rId1" tooltip="Click For Bid Form 2nd Envelope"/>
          <a:extLst>
            <a:ext uri="{FF2B5EF4-FFF2-40B4-BE49-F238E27FC236}">
              <a16:creationId xmlns:a16="http://schemas.microsoft.com/office/drawing/2014/main" id="{00000000-0008-0000-0E00-0000877C3D00}"/>
            </a:ext>
          </a:extLst>
        </xdr:cNvPr>
        <xdr:cNvGrpSpPr>
          <a:grpSpLocks/>
        </xdr:cNvGrpSpPr>
      </xdr:nvGrpSpPr>
      <xdr:grpSpPr bwMode="auto">
        <a:xfrm>
          <a:off x="8267700" y="76200"/>
          <a:ext cx="1352550" cy="466725"/>
          <a:chOff x="762" y="2"/>
          <a:chExt cx="116" cy="73"/>
        </a:xfrm>
      </xdr:grpSpPr>
      <xdr:sp macro="" textlink="">
        <xdr:nvSpPr>
          <xdr:cNvPr id="4029576" name="AutoShape 2">
            <a:extLst>
              <a:ext uri="{FF2B5EF4-FFF2-40B4-BE49-F238E27FC236}">
                <a16:creationId xmlns:a16="http://schemas.microsoft.com/office/drawing/2014/main" id="{00000000-0008-0000-0E00-0000887C3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0E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4102814" name="Group 5">
          <a:hlinkClick xmlns:r="http://schemas.openxmlformats.org/officeDocument/2006/relationships" r:id="rId1" tooltip="Click For Bid Form 2nd Envelope"/>
          <a:extLst>
            <a:ext uri="{FF2B5EF4-FFF2-40B4-BE49-F238E27FC236}">
              <a16:creationId xmlns:a16="http://schemas.microsoft.com/office/drawing/2014/main" id="{00000000-0008-0000-0F00-00009E9A3E00}"/>
            </a:ext>
          </a:extLst>
        </xdr:cNvPr>
        <xdr:cNvGrpSpPr>
          <a:grpSpLocks/>
        </xdr:cNvGrpSpPr>
      </xdr:nvGrpSpPr>
      <xdr:grpSpPr bwMode="auto">
        <a:xfrm>
          <a:off x="8453438" y="76200"/>
          <a:ext cx="1385887" cy="652463"/>
          <a:chOff x="762" y="2"/>
          <a:chExt cx="116" cy="73"/>
        </a:xfrm>
      </xdr:grpSpPr>
      <xdr:sp macro="" textlink="">
        <xdr:nvSpPr>
          <xdr:cNvPr id="4104306" name="AutoShape 2">
            <a:extLst>
              <a:ext uri="{FF2B5EF4-FFF2-40B4-BE49-F238E27FC236}">
                <a16:creationId xmlns:a16="http://schemas.microsoft.com/office/drawing/2014/main" id="{00000000-0008-0000-0F00-000072A03E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4102815" name="Group 5719">
          <a:extLst>
            <a:ext uri="{FF2B5EF4-FFF2-40B4-BE49-F238E27FC236}">
              <a16:creationId xmlns:a16="http://schemas.microsoft.com/office/drawing/2014/main" id="{00000000-0008-0000-0F00-00009F9A3E00}"/>
            </a:ext>
          </a:extLst>
        </xdr:cNvPr>
        <xdr:cNvGrpSpPr>
          <a:grpSpLocks/>
        </xdr:cNvGrpSpPr>
      </xdr:nvGrpSpPr>
      <xdr:grpSpPr bwMode="auto">
        <a:xfrm>
          <a:off x="4117181" y="10096500"/>
          <a:ext cx="240507" cy="0"/>
          <a:chOff x="466" y="3952"/>
          <a:chExt cx="28" cy="16"/>
        </a:xfrm>
      </xdr:grpSpPr>
      <xdr:sp macro="" textlink="">
        <xdr:nvSpPr>
          <xdr:cNvPr id="4104304" name="Line 5720">
            <a:extLst>
              <a:ext uri="{FF2B5EF4-FFF2-40B4-BE49-F238E27FC236}">
                <a16:creationId xmlns:a16="http://schemas.microsoft.com/office/drawing/2014/main" id="{00000000-0008-0000-0F00-00007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5" name="Line 5721">
            <a:extLst>
              <a:ext uri="{FF2B5EF4-FFF2-40B4-BE49-F238E27FC236}">
                <a16:creationId xmlns:a16="http://schemas.microsoft.com/office/drawing/2014/main" id="{00000000-0008-0000-0F00-00007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6" name="Group 5722">
          <a:extLst>
            <a:ext uri="{FF2B5EF4-FFF2-40B4-BE49-F238E27FC236}">
              <a16:creationId xmlns:a16="http://schemas.microsoft.com/office/drawing/2014/main" id="{00000000-0008-0000-0F00-0000A09A3E00}"/>
            </a:ext>
          </a:extLst>
        </xdr:cNvPr>
        <xdr:cNvGrpSpPr>
          <a:grpSpLocks/>
        </xdr:cNvGrpSpPr>
      </xdr:nvGrpSpPr>
      <xdr:grpSpPr bwMode="auto">
        <a:xfrm>
          <a:off x="4700588" y="10096500"/>
          <a:ext cx="266700" cy="0"/>
          <a:chOff x="466" y="3952"/>
          <a:chExt cx="28" cy="16"/>
        </a:xfrm>
      </xdr:grpSpPr>
      <xdr:sp macro="" textlink="">
        <xdr:nvSpPr>
          <xdr:cNvPr id="4104302" name="Line 5723">
            <a:extLst>
              <a:ext uri="{FF2B5EF4-FFF2-40B4-BE49-F238E27FC236}">
                <a16:creationId xmlns:a16="http://schemas.microsoft.com/office/drawing/2014/main" id="{00000000-0008-0000-0F00-00006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3" name="Line 5724">
            <a:extLst>
              <a:ext uri="{FF2B5EF4-FFF2-40B4-BE49-F238E27FC236}">
                <a16:creationId xmlns:a16="http://schemas.microsoft.com/office/drawing/2014/main" id="{00000000-0008-0000-0F00-00006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7" name="Group 5725">
          <a:extLst>
            <a:ext uri="{FF2B5EF4-FFF2-40B4-BE49-F238E27FC236}">
              <a16:creationId xmlns:a16="http://schemas.microsoft.com/office/drawing/2014/main" id="{00000000-0008-0000-0F00-0000A19A3E00}"/>
            </a:ext>
          </a:extLst>
        </xdr:cNvPr>
        <xdr:cNvGrpSpPr>
          <a:grpSpLocks/>
        </xdr:cNvGrpSpPr>
      </xdr:nvGrpSpPr>
      <xdr:grpSpPr bwMode="auto">
        <a:xfrm>
          <a:off x="4117181" y="10096500"/>
          <a:ext cx="240507" cy="0"/>
          <a:chOff x="466" y="3952"/>
          <a:chExt cx="28" cy="16"/>
        </a:xfrm>
      </xdr:grpSpPr>
      <xdr:sp macro="" textlink="">
        <xdr:nvSpPr>
          <xdr:cNvPr id="4104300" name="Line 5726">
            <a:extLst>
              <a:ext uri="{FF2B5EF4-FFF2-40B4-BE49-F238E27FC236}">
                <a16:creationId xmlns:a16="http://schemas.microsoft.com/office/drawing/2014/main" id="{00000000-0008-0000-0F00-00006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301" name="Line 5727">
            <a:extLst>
              <a:ext uri="{FF2B5EF4-FFF2-40B4-BE49-F238E27FC236}">
                <a16:creationId xmlns:a16="http://schemas.microsoft.com/office/drawing/2014/main" id="{00000000-0008-0000-0F00-00006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18" name="Group 5728">
          <a:extLst>
            <a:ext uri="{FF2B5EF4-FFF2-40B4-BE49-F238E27FC236}">
              <a16:creationId xmlns:a16="http://schemas.microsoft.com/office/drawing/2014/main" id="{00000000-0008-0000-0F00-0000A29A3E00}"/>
            </a:ext>
          </a:extLst>
        </xdr:cNvPr>
        <xdr:cNvGrpSpPr>
          <a:grpSpLocks/>
        </xdr:cNvGrpSpPr>
      </xdr:nvGrpSpPr>
      <xdr:grpSpPr bwMode="auto">
        <a:xfrm>
          <a:off x="4700588" y="10096500"/>
          <a:ext cx="266700" cy="0"/>
          <a:chOff x="466" y="3952"/>
          <a:chExt cx="28" cy="16"/>
        </a:xfrm>
      </xdr:grpSpPr>
      <xdr:sp macro="" textlink="">
        <xdr:nvSpPr>
          <xdr:cNvPr id="4104298" name="Line 5729">
            <a:extLst>
              <a:ext uri="{FF2B5EF4-FFF2-40B4-BE49-F238E27FC236}">
                <a16:creationId xmlns:a16="http://schemas.microsoft.com/office/drawing/2014/main" id="{00000000-0008-0000-0F00-00006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9" name="Line 5730">
            <a:extLst>
              <a:ext uri="{FF2B5EF4-FFF2-40B4-BE49-F238E27FC236}">
                <a16:creationId xmlns:a16="http://schemas.microsoft.com/office/drawing/2014/main" id="{00000000-0008-0000-0F00-00006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19" name="Group 5731">
          <a:extLst>
            <a:ext uri="{FF2B5EF4-FFF2-40B4-BE49-F238E27FC236}">
              <a16:creationId xmlns:a16="http://schemas.microsoft.com/office/drawing/2014/main" id="{00000000-0008-0000-0F00-0000A39A3E00}"/>
            </a:ext>
          </a:extLst>
        </xdr:cNvPr>
        <xdr:cNvGrpSpPr>
          <a:grpSpLocks/>
        </xdr:cNvGrpSpPr>
      </xdr:nvGrpSpPr>
      <xdr:grpSpPr bwMode="auto">
        <a:xfrm>
          <a:off x="4117181" y="10096500"/>
          <a:ext cx="240507" cy="0"/>
          <a:chOff x="466" y="3952"/>
          <a:chExt cx="28" cy="16"/>
        </a:xfrm>
      </xdr:grpSpPr>
      <xdr:sp macro="" textlink="">
        <xdr:nvSpPr>
          <xdr:cNvPr id="4104296" name="Line 5732">
            <a:extLst>
              <a:ext uri="{FF2B5EF4-FFF2-40B4-BE49-F238E27FC236}">
                <a16:creationId xmlns:a16="http://schemas.microsoft.com/office/drawing/2014/main" id="{00000000-0008-0000-0F00-00006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7" name="Line 5733">
            <a:extLst>
              <a:ext uri="{FF2B5EF4-FFF2-40B4-BE49-F238E27FC236}">
                <a16:creationId xmlns:a16="http://schemas.microsoft.com/office/drawing/2014/main" id="{00000000-0008-0000-0F00-00006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20" name="Group 5734">
          <a:extLst>
            <a:ext uri="{FF2B5EF4-FFF2-40B4-BE49-F238E27FC236}">
              <a16:creationId xmlns:a16="http://schemas.microsoft.com/office/drawing/2014/main" id="{00000000-0008-0000-0F00-0000A49A3E00}"/>
            </a:ext>
          </a:extLst>
        </xdr:cNvPr>
        <xdr:cNvGrpSpPr>
          <a:grpSpLocks/>
        </xdr:cNvGrpSpPr>
      </xdr:nvGrpSpPr>
      <xdr:grpSpPr bwMode="auto">
        <a:xfrm>
          <a:off x="4700588" y="10096500"/>
          <a:ext cx="266700" cy="0"/>
          <a:chOff x="466" y="3952"/>
          <a:chExt cx="28" cy="16"/>
        </a:xfrm>
      </xdr:grpSpPr>
      <xdr:sp macro="" textlink="">
        <xdr:nvSpPr>
          <xdr:cNvPr id="4104294" name="Line 5735">
            <a:extLst>
              <a:ext uri="{FF2B5EF4-FFF2-40B4-BE49-F238E27FC236}">
                <a16:creationId xmlns:a16="http://schemas.microsoft.com/office/drawing/2014/main" id="{00000000-0008-0000-0F00-00006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5" name="Line 5736">
            <a:extLst>
              <a:ext uri="{FF2B5EF4-FFF2-40B4-BE49-F238E27FC236}">
                <a16:creationId xmlns:a16="http://schemas.microsoft.com/office/drawing/2014/main" id="{00000000-0008-0000-0F00-00006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1" name="Group 5737">
          <a:extLst>
            <a:ext uri="{FF2B5EF4-FFF2-40B4-BE49-F238E27FC236}">
              <a16:creationId xmlns:a16="http://schemas.microsoft.com/office/drawing/2014/main" id="{00000000-0008-0000-0F00-0000A59A3E00}"/>
            </a:ext>
          </a:extLst>
        </xdr:cNvPr>
        <xdr:cNvGrpSpPr>
          <a:grpSpLocks/>
        </xdr:cNvGrpSpPr>
      </xdr:nvGrpSpPr>
      <xdr:grpSpPr bwMode="auto">
        <a:xfrm>
          <a:off x="4117181" y="10096500"/>
          <a:ext cx="240507" cy="0"/>
          <a:chOff x="466" y="3952"/>
          <a:chExt cx="28" cy="16"/>
        </a:xfrm>
      </xdr:grpSpPr>
      <xdr:sp macro="" textlink="">
        <xdr:nvSpPr>
          <xdr:cNvPr id="4104292" name="Line 5738">
            <a:extLst>
              <a:ext uri="{FF2B5EF4-FFF2-40B4-BE49-F238E27FC236}">
                <a16:creationId xmlns:a16="http://schemas.microsoft.com/office/drawing/2014/main" id="{00000000-0008-0000-0F00-00006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3" name="Line 5739">
            <a:extLst>
              <a:ext uri="{FF2B5EF4-FFF2-40B4-BE49-F238E27FC236}">
                <a16:creationId xmlns:a16="http://schemas.microsoft.com/office/drawing/2014/main" id="{00000000-0008-0000-0F00-00006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2" name="Group 5740">
          <a:extLst>
            <a:ext uri="{FF2B5EF4-FFF2-40B4-BE49-F238E27FC236}">
              <a16:creationId xmlns:a16="http://schemas.microsoft.com/office/drawing/2014/main" id="{00000000-0008-0000-0F00-0000A69A3E00}"/>
            </a:ext>
          </a:extLst>
        </xdr:cNvPr>
        <xdr:cNvGrpSpPr>
          <a:grpSpLocks/>
        </xdr:cNvGrpSpPr>
      </xdr:nvGrpSpPr>
      <xdr:grpSpPr bwMode="auto">
        <a:xfrm>
          <a:off x="4117181" y="10096500"/>
          <a:ext cx="240507" cy="0"/>
          <a:chOff x="466" y="3952"/>
          <a:chExt cx="28" cy="16"/>
        </a:xfrm>
      </xdr:grpSpPr>
      <xdr:sp macro="" textlink="">
        <xdr:nvSpPr>
          <xdr:cNvPr id="4104290" name="Line 5741">
            <a:extLst>
              <a:ext uri="{FF2B5EF4-FFF2-40B4-BE49-F238E27FC236}">
                <a16:creationId xmlns:a16="http://schemas.microsoft.com/office/drawing/2014/main" id="{00000000-0008-0000-0F00-00006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91" name="Line 5742">
            <a:extLst>
              <a:ext uri="{FF2B5EF4-FFF2-40B4-BE49-F238E27FC236}">
                <a16:creationId xmlns:a16="http://schemas.microsoft.com/office/drawing/2014/main" id="{00000000-0008-0000-0F00-00006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3" name="Group 5743">
          <a:extLst>
            <a:ext uri="{FF2B5EF4-FFF2-40B4-BE49-F238E27FC236}">
              <a16:creationId xmlns:a16="http://schemas.microsoft.com/office/drawing/2014/main" id="{00000000-0008-0000-0F00-0000A79A3E00}"/>
            </a:ext>
          </a:extLst>
        </xdr:cNvPr>
        <xdr:cNvGrpSpPr>
          <a:grpSpLocks/>
        </xdr:cNvGrpSpPr>
      </xdr:nvGrpSpPr>
      <xdr:grpSpPr bwMode="auto">
        <a:xfrm>
          <a:off x="4117181" y="10096500"/>
          <a:ext cx="240507" cy="0"/>
          <a:chOff x="466" y="3952"/>
          <a:chExt cx="28" cy="16"/>
        </a:xfrm>
      </xdr:grpSpPr>
      <xdr:sp macro="" textlink="">
        <xdr:nvSpPr>
          <xdr:cNvPr id="4104288" name="Line 5744">
            <a:extLst>
              <a:ext uri="{FF2B5EF4-FFF2-40B4-BE49-F238E27FC236}">
                <a16:creationId xmlns:a16="http://schemas.microsoft.com/office/drawing/2014/main" id="{00000000-0008-0000-0F00-00006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9" name="Line 5745">
            <a:extLst>
              <a:ext uri="{FF2B5EF4-FFF2-40B4-BE49-F238E27FC236}">
                <a16:creationId xmlns:a16="http://schemas.microsoft.com/office/drawing/2014/main" id="{00000000-0008-0000-0F00-00006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24" name="Group 5746">
          <a:extLst>
            <a:ext uri="{FF2B5EF4-FFF2-40B4-BE49-F238E27FC236}">
              <a16:creationId xmlns:a16="http://schemas.microsoft.com/office/drawing/2014/main" id="{00000000-0008-0000-0F00-0000A89A3E00}"/>
            </a:ext>
          </a:extLst>
        </xdr:cNvPr>
        <xdr:cNvGrpSpPr>
          <a:grpSpLocks/>
        </xdr:cNvGrpSpPr>
      </xdr:nvGrpSpPr>
      <xdr:grpSpPr bwMode="auto">
        <a:xfrm>
          <a:off x="4117181" y="10096500"/>
          <a:ext cx="240507" cy="0"/>
          <a:chOff x="466" y="3952"/>
          <a:chExt cx="28" cy="16"/>
        </a:xfrm>
      </xdr:grpSpPr>
      <xdr:sp macro="" textlink="">
        <xdr:nvSpPr>
          <xdr:cNvPr id="4104286" name="Line 5747">
            <a:extLst>
              <a:ext uri="{FF2B5EF4-FFF2-40B4-BE49-F238E27FC236}">
                <a16:creationId xmlns:a16="http://schemas.microsoft.com/office/drawing/2014/main" id="{00000000-0008-0000-0F00-00005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7" name="Line 5748">
            <a:extLst>
              <a:ext uri="{FF2B5EF4-FFF2-40B4-BE49-F238E27FC236}">
                <a16:creationId xmlns:a16="http://schemas.microsoft.com/office/drawing/2014/main" id="{00000000-0008-0000-0F00-00005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5" name="Group 5749">
          <a:extLst>
            <a:ext uri="{FF2B5EF4-FFF2-40B4-BE49-F238E27FC236}">
              <a16:creationId xmlns:a16="http://schemas.microsoft.com/office/drawing/2014/main" id="{00000000-0008-0000-0F00-0000A99A3E00}"/>
            </a:ext>
          </a:extLst>
        </xdr:cNvPr>
        <xdr:cNvGrpSpPr>
          <a:grpSpLocks/>
        </xdr:cNvGrpSpPr>
      </xdr:nvGrpSpPr>
      <xdr:grpSpPr bwMode="auto">
        <a:xfrm>
          <a:off x="5143500" y="10096500"/>
          <a:ext cx="0" cy="0"/>
          <a:chOff x="466" y="3952"/>
          <a:chExt cx="28" cy="16"/>
        </a:xfrm>
      </xdr:grpSpPr>
      <xdr:sp macro="" textlink="">
        <xdr:nvSpPr>
          <xdr:cNvPr id="4104284" name="Line 5750">
            <a:extLst>
              <a:ext uri="{FF2B5EF4-FFF2-40B4-BE49-F238E27FC236}">
                <a16:creationId xmlns:a16="http://schemas.microsoft.com/office/drawing/2014/main" id="{00000000-0008-0000-0F00-00005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5" name="Line 5751">
            <a:extLst>
              <a:ext uri="{FF2B5EF4-FFF2-40B4-BE49-F238E27FC236}">
                <a16:creationId xmlns:a16="http://schemas.microsoft.com/office/drawing/2014/main" id="{00000000-0008-0000-0F00-00005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6" name="Group 5752">
          <a:extLst>
            <a:ext uri="{FF2B5EF4-FFF2-40B4-BE49-F238E27FC236}">
              <a16:creationId xmlns:a16="http://schemas.microsoft.com/office/drawing/2014/main" id="{00000000-0008-0000-0F00-0000AA9A3E00}"/>
            </a:ext>
          </a:extLst>
        </xdr:cNvPr>
        <xdr:cNvGrpSpPr>
          <a:grpSpLocks/>
        </xdr:cNvGrpSpPr>
      </xdr:nvGrpSpPr>
      <xdr:grpSpPr bwMode="auto">
        <a:xfrm>
          <a:off x="5143500" y="10096500"/>
          <a:ext cx="0" cy="0"/>
          <a:chOff x="466" y="3952"/>
          <a:chExt cx="28" cy="16"/>
        </a:xfrm>
      </xdr:grpSpPr>
      <xdr:sp macro="" textlink="">
        <xdr:nvSpPr>
          <xdr:cNvPr id="4104282" name="Line 5753">
            <a:extLst>
              <a:ext uri="{FF2B5EF4-FFF2-40B4-BE49-F238E27FC236}">
                <a16:creationId xmlns:a16="http://schemas.microsoft.com/office/drawing/2014/main" id="{00000000-0008-0000-0F00-00005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3" name="Line 5754">
            <a:extLst>
              <a:ext uri="{FF2B5EF4-FFF2-40B4-BE49-F238E27FC236}">
                <a16:creationId xmlns:a16="http://schemas.microsoft.com/office/drawing/2014/main" id="{00000000-0008-0000-0F00-00005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7" name="Group 5755">
          <a:extLst>
            <a:ext uri="{FF2B5EF4-FFF2-40B4-BE49-F238E27FC236}">
              <a16:creationId xmlns:a16="http://schemas.microsoft.com/office/drawing/2014/main" id="{00000000-0008-0000-0F00-0000AB9A3E00}"/>
            </a:ext>
          </a:extLst>
        </xdr:cNvPr>
        <xdr:cNvGrpSpPr>
          <a:grpSpLocks/>
        </xdr:cNvGrpSpPr>
      </xdr:nvGrpSpPr>
      <xdr:grpSpPr bwMode="auto">
        <a:xfrm>
          <a:off x="5143500" y="10096500"/>
          <a:ext cx="0" cy="0"/>
          <a:chOff x="466" y="3952"/>
          <a:chExt cx="28" cy="16"/>
        </a:xfrm>
      </xdr:grpSpPr>
      <xdr:sp macro="" textlink="">
        <xdr:nvSpPr>
          <xdr:cNvPr id="4104280" name="Line 5756">
            <a:extLst>
              <a:ext uri="{FF2B5EF4-FFF2-40B4-BE49-F238E27FC236}">
                <a16:creationId xmlns:a16="http://schemas.microsoft.com/office/drawing/2014/main" id="{00000000-0008-0000-0F00-00005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81" name="Line 5757">
            <a:extLst>
              <a:ext uri="{FF2B5EF4-FFF2-40B4-BE49-F238E27FC236}">
                <a16:creationId xmlns:a16="http://schemas.microsoft.com/office/drawing/2014/main" id="{00000000-0008-0000-0F00-00005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828" name="Group 5758">
          <a:extLst>
            <a:ext uri="{FF2B5EF4-FFF2-40B4-BE49-F238E27FC236}">
              <a16:creationId xmlns:a16="http://schemas.microsoft.com/office/drawing/2014/main" id="{00000000-0008-0000-0F00-0000AC9A3E00}"/>
            </a:ext>
          </a:extLst>
        </xdr:cNvPr>
        <xdr:cNvGrpSpPr>
          <a:grpSpLocks/>
        </xdr:cNvGrpSpPr>
      </xdr:nvGrpSpPr>
      <xdr:grpSpPr bwMode="auto">
        <a:xfrm>
          <a:off x="5143500" y="10096500"/>
          <a:ext cx="0" cy="0"/>
          <a:chOff x="466" y="3952"/>
          <a:chExt cx="28" cy="16"/>
        </a:xfrm>
      </xdr:grpSpPr>
      <xdr:sp macro="" textlink="">
        <xdr:nvSpPr>
          <xdr:cNvPr id="4104278" name="Line 5759">
            <a:extLst>
              <a:ext uri="{FF2B5EF4-FFF2-40B4-BE49-F238E27FC236}">
                <a16:creationId xmlns:a16="http://schemas.microsoft.com/office/drawing/2014/main" id="{00000000-0008-0000-0F00-00005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9" name="Line 5760">
            <a:extLst>
              <a:ext uri="{FF2B5EF4-FFF2-40B4-BE49-F238E27FC236}">
                <a16:creationId xmlns:a16="http://schemas.microsoft.com/office/drawing/2014/main" id="{00000000-0008-0000-0F00-00005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829" name="Group 5761">
          <a:extLst>
            <a:ext uri="{FF2B5EF4-FFF2-40B4-BE49-F238E27FC236}">
              <a16:creationId xmlns:a16="http://schemas.microsoft.com/office/drawing/2014/main" id="{00000000-0008-0000-0F00-0000AD9A3E00}"/>
            </a:ext>
          </a:extLst>
        </xdr:cNvPr>
        <xdr:cNvGrpSpPr>
          <a:grpSpLocks/>
        </xdr:cNvGrpSpPr>
      </xdr:nvGrpSpPr>
      <xdr:grpSpPr bwMode="auto">
        <a:xfrm>
          <a:off x="4050506" y="10096500"/>
          <a:ext cx="266700" cy="0"/>
          <a:chOff x="466" y="3952"/>
          <a:chExt cx="28" cy="16"/>
        </a:xfrm>
      </xdr:grpSpPr>
      <xdr:sp macro="" textlink="">
        <xdr:nvSpPr>
          <xdr:cNvPr id="4104276" name="Line 5762">
            <a:extLst>
              <a:ext uri="{FF2B5EF4-FFF2-40B4-BE49-F238E27FC236}">
                <a16:creationId xmlns:a16="http://schemas.microsoft.com/office/drawing/2014/main" id="{00000000-0008-0000-0F00-00005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7" name="Line 5763">
            <a:extLst>
              <a:ext uri="{FF2B5EF4-FFF2-40B4-BE49-F238E27FC236}">
                <a16:creationId xmlns:a16="http://schemas.microsoft.com/office/drawing/2014/main" id="{00000000-0008-0000-0F00-00005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830" name="Group 5764">
          <a:extLst>
            <a:ext uri="{FF2B5EF4-FFF2-40B4-BE49-F238E27FC236}">
              <a16:creationId xmlns:a16="http://schemas.microsoft.com/office/drawing/2014/main" id="{00000000-0008-0000-0F00-0000AE9A3E00}"/>
            </a:ext>
          </a:extLst>
        </xdr:cNvPr>
        <xdr:cNvGrpSpPr>
          <a:grpSpLocks/>
        </xdr:cNvGrpSpPr>
      </xdr:nvGrpSpPr>
      <xdr:grpSpPr bwMode="auto">
        <a:xfrm>
          <a:off x="4031456" y="10096500"/>
          <a:ext cx="266700" cy="0"/>
          <a:chOff x="466" y="3952"/>
          <a:chExt cx="28" cy="16"/>
        </a:xfrm>
      </xdr:grpSpPr>
      <xdr:sp macro="" textlink="">
        <xdr:nvSpPr>
          <xdr:cNvPr id="4104274" name="Line 5765">
            <a:extLst>
              <a:ext uri="{FF2B5EF4-FFF2-40B4-BE49-F238E27FC236}">
                <a16:creationId xmlns:a16="http://schemas.microsoft.com/office/drawing/2014/main" id="{00000000-0008-0000-0F00-00005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5" name="Line 5766">
            <a:extLst>
              <a:ext uri="{FF2B5EF4-FFF2-40B4-BE49-F238E27FC236}">
                <a16:creationId xmlns:a16="http://schemas.microsoft.com/office/drawing/2014/main" id="{00000000-0008-0000-0F00-00005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1" name="Group 5767">
          <a:extLst>
            <a:ext uri="{FF2B5EF4-FFF2-40B4-BE49-F238E27FC236}">
              <a16:creationId xmlns:a16="http://schemas.microsoft.com/office/drawing/2014/main" id="{00000000-0008-0000-0F00-0000AF9A3E00}"/>
            </a:ext>
          </a:extLst>
        </xdr:cNvPr>
        <xdr:cNvGrpSpPr>
          <a:grpSpLocks/>
        </xdr:cNvGrpSpPr>
      </xdr:nvGrpSpPr>
      <xdr:grpSpPr bwMode="auto">
        <a:xfrm>
          <a:off x="4060031" y="10096500"/>
          <a:ext cx="266700" cy="0"/>
          <a:chOff x="466" y="3952"/>
          <a:chExt cx="28" cy="16"/>
        </a:xfrm>
      </xdr:grpSpPr>
      <xdr:sp macro="" textlink="">
        <xdr:nvSpPr>
          <xdr:cNvPr id="4104272" name="Line 5768">
            <a:extLst>
              <a:ext uri="{FF2B5EF4-FFF2-40B4-BE49-F238E27FC236}">
                <a16:creationId xmlns:a16="http://schemas.microsoft.com/office/drawing/2014/main" id="{00000000-0008-0000-0F00-00005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3" name="Line 5769">
            <a:extLst>
              <a:ext uri="{FF2B5EF4-FFF2-40B4-BE49-F238E27FC236}">
                <a16:creationId xmlns:a16="http://schemas.microsoft.com/office/drawing/2014/main" id="{00000000-0008-0000-0F00-00005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832" name="Group 5770">
          <a:extLst>
            <a:ext uri="{FF2B5EF4-FFF2-40B4-BE49-F238E27FC236}">
              <a16:creationId xmlns:a16="http://schemas.microsoft.com/office/drawing/2014/main" id="{00000000-0008-0000-0F00-0000B09A3E00}"/>
            </a:ext>
          </a:extLst>
        </xdr:cNvPr>
        <xdr:cNvGrpSpPr>
          <a:grpSpLocks/>
        </xdr:cNvGrpSpPr>
      </xdr:nvGrpSpPr>
      <xdr:grpSpPr bwMode="auto">
        <a:xfrm>
          <a:off x="4633913" y="10096500"/>
          <a:ext cx="266700" cy="0"/>
          <a:chOff x="466" y="3952"/>
          <a:chExt cx="28" cy="16"/>
        </a:xfrm>
      </xdr:grpSpPr>
      <xdr:sp macro="" textlink="">
        <xdr:nvSpPr>
          <xdr:cNvPr id="4104270" name="Line 5771">
            <a:extLst>
              <a:ext uri="{FF2B5EF4-FFF2-40B4-BE49-F238E27FC236}">
                <a16:creationId xmlns:a16="http://schemas.microsoft.com/office/drawing/2014/main" id="{00000000-0008-0000-0F00-00004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71" name="Line 5772">
            <a:extLst>
              <a:ext uri="{FF2B5EF4-FFF2-40B4-BE49-F238E27FC236}">
                <a16:creationId xmlns:a16="http://schemas.microsoft.com/office/drawing/2014/main" id="{00000000-0008-0000-0F00-00004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833" name="Group 5773">
          <a:extLst>
            <a:ext uri="{FF2B5EF4-FFF2-40B4-BE49-F238E27FC236}">
              <a16:creationId xmlns:a16="http://schemas.microsoft.com/office/drawing/2014/main" id="{00000000-0008-0000-0F00-0000B19A3E00}"/>
            </a:ext>
          </a:extLst>
        </xdr:cNvPr>
        <xdr:cNvGrpSpPr>
          <a:grpSpLocks/>
        </xdr:cNvGrpSpPr>
      </xdr:nvGrpSpPr>
      <xdr:grpSpPr bwMode="auto">
        <a:xfrm>
          <a:off x="4662488" y="10096500"/>
          <a:ext cx="266700" cy="0"/>
          <a:chOff x="466" y="3952"/>
          <a:chExt cx="28" cy="16"/>
        </a:xfrm>
      </xdr:grpSpPr>
      <xdr:sp macro="" textlink="">
        <xdr:nvSpPr>
          <xdr:cNvPr id="4104268" name="Line 5774">
            <a:extLst>
              <a:ext uri="{FF2B5EF4-FFF2-40B4-BE49-F238E27FC236}">
                <a16:creationId xmlns:a16="http://schemas.microsoft.com/office/drawing/2014/main" id="{00000000-0008-0000-0F00-00004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9" name="Line 5775">
            <a:extLst>
              <a:ext uri="{FF2B5EF4-FFF2-40B4-BE49-F238E27FC236}">
                <a16:creationId xmlns:a16="http://schemas.microsoft.com/office/drawing/2014/main" id="{00000000-0008-0000-0F00-00004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834" name="Group 5776">
          <a:extLst>
            <a:ext uri="{FF2B5EF4-FFF2-40B4-BE49-F238E27FC236}">
              <a16:creationId xmlns:a16="http://schemas.microsoft.com/office/drawing/2014/main" id="{00000000-0008-0000-0F00-0000B29A3E00}"/>
            </a:ext>
          </a:extLst>
        </xdr:cNvPr>
        <xdr:cNvGrpSpPr>
          <a:grpSpLocks/>
        </xdr:cNvGrpSpPr>
      </xdr:nvGrpSpPr>
      <xdr:grpSpPr bwMode="auto">
        <a:xfrm>
          <a:off x="4652963" y="10096500"/>
          <a:ext cx="266700" cy="0"/>
          <a:chOff x="466" y="3952"/>
          <a:chExt cx="28" cy="16"/>
        </a:xfrm>
      </xdr:grpSpPr>
      <xdr:sp macro="" textlink="">
        <xdr:nvSpPr>
          <xdr:cNvPr id="4104266" name="Line 5777">
            <a:extLst>
              <a:ext uri="{FF2B5EF4-FFF2-40B4-BE49-F238E27FC236}">
                <a16:creationId xmlns:a16="http://schemas.microsoft.com/office/drawing/2014/main" id="{00000000-0008-0000-0F00-00004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7" name="Line 5778">
            <a:extLst>
              <a:ext uri="{FF2B5EF4-FFF2-40B4-BE49-F238E27FC236}">
                <a16:creationId xmlns:a16="http://schemas.microsoft.com/office/drawing/2014/main" id="{00000000-0008-0000-0F00-00004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835" name="Group 5779">
          <a:extLst>
            <a:ext uri="{FF2B5EF4-FFF2-40B4-BE49-F238E27FC236}">
              <a16:creationId xmlns:a16="http://schemas.microsoft.com/office/drawing/2014/main" id="{00000000-0008-0000-0F00-0000B39A3E00}"/>
            </a:ext>
          </a:extLst>
        </xdr:cNvPr>
        <xdr:cNvGrpSpPr>
          <a:grpSpLocks/>
        </xdr:cNvGrpSpPr>
      </xdr:nvGrpSpPr>
      <xdr:grpSpPr bwMode="auto">
        <a:xfrm>
          <a:off x="4040981" y="10096500"/>
          <a:ext cx="266700" cy="0"/>
          <a:chOff x="466" y="3952"/>
          <a:chExt cx="28" cy="16"/>
        </a:xfrm>
      </xdr:grpSpPr>
      <xdr:sp macro="" textlink="">
        <xdr:nvSpPr>
          <xdr:cNvPr id="4104264" name="Line 5780">
            <a:extLst>
              <a:ext uri="{FF2B5EF4-FFF2-40B4-BE49-F238E27FC236}">
                <a16:creationId xmlns:a16="http://schemas.microsoft.com/office/drawing/2014/main" id="{00000000-0008-0000-0F00-00004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5" name="Line 5781">
            <a:extLst>
              <a:ext uri="{FF2B5EF4-FFF2-40B4-BE49-F238E27FC236}">
                <a16:creationId xmlns:a16="http://schemas.microsoft.com/office/drawing/2014/main" id="{00000000-0008-0000-0F00-00004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836" name="Group 5782">
          <a:extLst>
            <a:ext uri="{FF2B5EF4-FFF2-40B4-BE49-F238E27FC236}">
              <a16:creationId xmlns:a16="http://schemas.microsoft.com/office/drawing/2014/main" id="{00000000-0008-0000-0F00-0000B49A3E00}"/>
            </a:ext>
          </a:extLst>
        </xdr:cNvPr>
        <xdr:cNvGrpSpPr>
          <a:grpSpLocks/>
        </xdr:cNvGrpSpPr>
      </xdr:nvGrpSpPr>
      <xdr:grpSpPr bwMode="auto">
        <a:xfrm>
          <a:off x="4088606" y="10096500"/>
          <a:ext cx="269082" cy="0"/>
          <a:chOff x="466" y="3952"/>
          <a:chExt cx="28" cy="16"/>
        </a:xfrm>
      </xdr:grpSpPr>
      <xdr:sp macro="" textlink="">
        <xdr:nvSpPr>
          <xdr:cNvPr id="4104262" name="Line 5783">
            <a:extLst>
              <a:ext uri="{FF2B5EF4-FFF2-40B4-BE49-F238E27FC236}">
                <a16:creationId xmlns:a16="http://schemas.microsoft.com/office/drawing/2014/main" id="{00000000-0008-0000-0F00-00004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3" name="Line 5784">
            <a:extLst>
              <a:ext uri="{FF2B5EF4-FFF2-40B4-BE49-F238E27FC236}">
                <a16:creationId xmlns:a16="http://schemas.microsoft.com/office/drawing/2014/main" id="{00000000-0008-0000-0F00-00004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837" name="Group 5785">
          <a:extLst>
            <a:ext uri="{FF2B5EF4-FFF2-40B4-BE49-F238E27FC236}">
              <a16:creationId xmlns:a16="http://schemas.microsoft.com/office/drawing/2014/main" id="{00000000-0008-0000-0F00-0000B59A3E00}"/>
            </a:ext>
          </a:extLst>
        </xdr:cNvPr>
        <xdr:cNvGrpSpPr>
          <a:grpSpLocks/>
        </xdr:cNvGrpSpPr>
      </xdr:nvGrpSpPr>
      <xdr:grpSpPr bwMode="auto">
        <a:xfrm>
          <a:off x="4069556" y="10096500"/>
          <a:ext cx="266700" cy="0"/>
          <a:chOff x="466" y="3952"/>
          <a:chExt cx="28" cy="16"/>
        </a:xfrm>
      </xdr:grpSpPr>
      <xdr:sp macro="" textlink="">
        <xdr:nvSpPr>
          <xdr:cNvPr id="4104260" name="Line 5786">
            <a:extLst>
              <a:ext uri="{FF2B5EF4-FFF2-40B4-BE49-F238E27FC236}">
                <a16:creationId xmlns:a16="http://schemas.microsoft.com/office/drawing/2014/main" id="{00000000-0008-0000-0F00-00004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61" name="Line 5787">
            <a:extLst>
              <a:ext uri="{FF2B5EF4-FFF2-40B4-BE49-F238E27FC236}">
                <a16:creationId xmlns:a16="http://schemas.microsoft.com/office/drawing/2014/main" id="{00000000-0008-0000-0F00-00004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838" name="Group 5788">
          <a:extLst>
            <a:ext uri="{FF2B5EF4-FFF2-40B4-BE49-F238E27FC236}">
              <a16:creationId xmlns:a16="http://schemas.microsoft.com/office/drawing/2014/main" id="{00000000-0008-0000-0F00-0000B69A3E00}"/>
            </a:ext>
          </a:extLst>
        </xdr:cNvPr>
        <xdr:cNvGrpSpPr>
          <a:grpSpLocks/>
        </xdr:cNvGrpSpPr>
      </xdr:nvGrpSpPr>
      <xdr:grpSpPr bwMode="auto">
        <a:xfrm>
          <a:off x="4060031" y="10096500"/>
          <a:ext cx="266700" cy="0"/>
          <a:chOff x="466" y="3952"/>
          <a:chExt cx="28" cy="16"/>
        </a:xfrm>
      </xdr:grpSpPr>
      <xdr:sp macro="" textlink="">
        <xdr:nvSpPr>
          <xdr:cNvPr id="4104258" name="Line 5789">
            <a:extLst>
              <a:ext uri="{FF2B5EF4-FFF2-40B4-BE49-F238E27FC236}">
                <a16:creationId xmlns:a16="http://schemas.microsoft.com/office/drawing/2014/main" id="{00000000-0008-0000-0F00-00004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9" name="Line 5790">
            <a:extLst>
              <a:ext uri="{FF2B5EF4-FFF2-40B4-BE49-F238E27FC236}">
                <a16:creationId xmlns:a16="http://schemas.microsoft.com/office/drawing/2014/main" id="{00000000-0008-0000-0F00-00004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39" name="Group 5791">
          <a:extLst>
            <a:ext uri="{FF2B5EF4-FFF2-40B4-BE49-F238E27FC236}">
              <a16:creationId xmlns:a16="http://schemas.microsoft.com/office/drawing/2014/main" id="{00000000-0008-0000-0F00-0000B79A3E00}"/>
            </a:ext>
          </a:extLst>
        </xdr:cNvPr>
        <xdr:cNvGrpSpPr>
          <a:grpSpLocks/>
        </xdr:cNvGrpSpPr>
      </xdr:nvGrpSpPr>
      <xdr:grpSpPr bwMode="auto">
        <a:xfrm>
          <a:off x="4117181" y="10096500"/>
          <a:ext cx="240507" cy="0"/>
          <a:chOff x="466" y="3952"/>
          <a:chExt cx="28" cy="16"/>
        </a:xfrm>
      </xdr:grpSpPr>
      <xdr:sp macro="" textlink="">
        <xdr:nvSpPr>
          <xdr:cNvPr id="4104256" name="Line 5792">
            <a:extLst>
              <a:ext uri="{FF2B5EF4-FFF2-40B4-BE49-F238E27FC236}">
                <a16:creationId xmlns:a16="http://schemas.microsoft.com/office/drawing/2014/main" id="{00000000-0008-0000-0F00-00004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7" name="Line 5793">
            <a:extLst>
              <a:ext uri="{FF2B5EF4-FFF2-40B4-BE49-F238E27FC236}">
                <a16:creationId xmlns:a16="http://schemas.microsoft.com/office/drawing/2014/main" id="{00000000-0008-0000-0F00-00004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0" name="Group 5794">
          <a:extLst>
            <a:ext uri="{FF2B5EF4-FFF2-40B4-BE49-F238E27FC236}">
              <a16:creationId xmlns:a16="http://schemas.microsoft.com/office/drawing/2014/main" id="{00000000-0008-0000-0F00-0000B89A3E00}"/>
            </a:ext>
          </a:extLst>
        </xdr:cNvPr>
        <xdr:cNvGrpSpPr>
          <a:grpSpLocks/>
        </xdr:cNvGrpSpPr>
      </xdr:nvGrpSpPr>
      <xdr:grpSpPr bwMode="auto">
        <a:xfrm>
          <a:off x="4117181" y="10096500"/>
          <a:ext cx="240507" cy="0"/>
          <a:chOff x="466" y="3952"/>
          <a:chExt cx="28" cy="16"/>
        </a:xfrm>
      </xdr:grpSpPr>
      <xdr:sp macro="" textlink="">
        <xdr:nvSpPr>
          <xdr:cNvPr id="4104254" name="Line 5795">
            <a:extLst>
              <a:ext uri="{FF2B5EF4-FFF2-40B4-BE49-F238E27FC236}">
                <a16:creationId xmlns:a16="http://schemas.microsoft.com/office/drawing/2014/main" id="{00000000-0008-0000-0F00-00003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5" name="Line 5796">
            <a:extLst>
              <a:ext uri="{FF2B5EF4-FFF2-40B4-BE49-F238E27FC236}">
                <a16:creationId xmlns:a16="http://schemas.microsoft.com/office/drawing/2014/main" id="{00000000-0008-0000-0F00-00003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1" name="Group 5797">
          <a:extLst>
            <a:ext uri="{FF2B5EF4-FFF2-40B4-BE49-F238E27FC236}">
              <a16:creationId xmlns:a16="http://schemas.microsoft.com/office/drawing/2014/main" id="{00000000-0008-0000-0F00-0000B99A3E00}"/>
            </a:ext>
          </a:extLst>
        </xdr:cNvPr>
        <xdr:cNvGrpSpPr>
          <a:grpSpLocks/>
        </xdr:cNvGrpSpPr>
      </xdr:nvGrpSpPr>
      <xdr:grpSpPr bwMode="auto">
        <a:xfrm>
          <a:off x="4117181" y="10096500"/>
          <a:ext cx="240507" cy="0"/>
          <a:chOff x="466" y="3952"/>
          <a:chExt cx="28" cy="16"/>
        </a:xfrm>
      </xdr:grpSpPr>
      <xdr:sp macro="" textlink="">
        <xdr:nvSpPr>
          <xdr:cNvPr id="4104252" name="Line 5798">
            <a:extLst>
              <a:ext uri="{FF2B5EF4-FFF2-40B4-BE49-F238E27FC236}">
                <a16:creationId xmlns:a16="http://schemas.microsoft.com/office/drawing/2014/main" id="{00000000-0008-0000-0F00-00003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3" name="Line 5799">
            <a:extLst>
              <a:ext uri="{FF2B5EF4-FFF2-40B4-BE49-F238E27FC236}">
                <a16:creationId xmlns:a16="http://schemas.microsoft.com/office/drawing/2014/main" id="{00000000-0008-0000-0F00-00003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2" name="Group 5800">
          <a:extLst>
            <a:ext uri="{FF2B5EF4-FFF2-40B4-BE49-F238E27FC236}">
              <a16:creationId xmlns:a16="http://schemas.microsoft.com/office/drawing/2014/main" id="{00000000-0008-0000-0F00-0000BA9A3E00}"/>
            </a:ext>
          </a:extLst>
        </xdr:cNvPr>
        <xdr:cNvGrpSpPr>
          <a:grpSpLocks/>
        </xdr:cNvGrpSpPr>
      </xdr:nvGrpSpPr>
      <xdr:grpSpPr bwMode="auto">
        <a:xfrm>
          <a:off x="4117181" y="10096500"/>
          <a:ext cx="240507" cy="0"/>
          <a:chOff x="466" y="3952"/>
          <a:chExt cx="28" cy="16"/>
        </a:xfrm>
      </xdr:grpSpPr>
      <xdr:sp macro="" textlink="">
        <xdr:nvSpPr>
          <xdr:cNvPr id="4104250" name="Line 5801">
            <a:extLst>
              <a:ext uri="{FF2B5EF4-FFF2-40B4-BE49-F238E27FC236}">
                <a16:creationId xmlns:a16="http://schemas.microsoft.com/office/drawing/2014/main" id="{00000000-0008-0000-0F00-00003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51" name="Line 5802">
            <a:extLst>
              <a:ext uri="{FF2B5EF4-FFF2-40B4-BE49-F238E27FC236}">
                <a16:creationId xmlns:a16="http://schemas.microsoft.com/office/drawing/2014/main" id="{00000000-0008-0000-0F00-00003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3" name="Group 5803">
          <a:extLst>
            <a:ext uri="{FF2B5EF4-FFF2-40B4-BE49-F238E27FC236}">
              <a16:creationId xmlns:a16="http://schemas.microsoft.com/office/drawing/2014/main" id="{00000000-0008-0000-0F00-0000BB9A3E00}"/>
            </a:ext>
          </a:extLst>
        </xdr:cNvPr>
        <xdr:cNvGrpSpPr>
          <a:grpSpLocks/>
        </xdr:cNvGrpSpPr>
      </xdr:nvGrpSpPr>
      <xdr:grpSpPr bwMode="auto">
        <a:xfrm>
          <a:off x="4117181" y="10096500"/>
          <a:ext cx="240507" cy="0"/>
          <a:chOff x="466" y="3952"/>
          <a:chExt cx="28" cy="16"/>
        </a:xfrm>
      </xdr:grpSpPr>
      <xdr:sp macro="" textlink="">
        <xdr:nvSpPr>
          <xdr:cNvPr id="4104248" name="Line 5804">
            <a:extLst>
              <a:ext uri="{FF2B5EF4-FFF2-40B4-BE49-F238E27FC236}">
                <a16:creationId xmlns:a16="http://schemas.microsoft.com/office/drawing/2014/main" id="{00000000-0008-0000-0F00-00003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9" name="Line 5805">
            <a:extLst>
              <a:ext uri="{FF2B5EF4-FFF2-40B4-BE49-F238E27FC236}">
                <a16:creationId xmlns:a16="http://schemas.microsoft.com/office/drawing/2014/main" id="{00000000-0008-0000-0F00-00003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4" name="Group 5806">
          <a:extLst>
            <a:ext uri="{FF2B5EF4-FFF2-40B4-BE49-F238E27FC236}">
              <a16:creationId xmlns:a16="http://schemas.microsoft.com/office/drawing/2014/main" id="{00000000-0008-0000-0F00-0000BC9A3E00}"/>
            </a:ext>
          </a:extLst>
        </xdr:cNvPr>
        <xdr:cNvGrpSpPr>
          <a:grpSpLocks/>
        </xdr:cNvGrpSpPr>
      </xdr:nvGrpSpPr>
      <xdr:grpSpPr bwMode="auto">
        <a:xfrm>
          <a:off x="4117181" y="10096500"/>
          <a:ext cx="240507" cy="0"/>
          <a:chOff x="466" y="3952"/>
          <a:chExt cx="28" cy="16"/>
        </a:xfrm>
      </xdr:grpSpPr>
      <xdr:sp macro="" textlink="">
        <xdr:nvSpPr>
          <xdr:cNvPr id="4104246" name="Line 5807">
            <a:extLst>
              <a:ext uri="{FF2B5EF4-FFF2-40B4-BE49-F238E27FC236}">
                <a16:creationId xmlns:a16="http://schemas.microsoft.com/office/drawing/2014/main" id="{00000000-0008-0000-0F00-00003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7" name="Line 5808">
            <a:extLst>
              <a:ext uri="{FF2B5EF4-FFF2-40B4-BE49-F238E27FC236}">
                <a16:creationId xmlns:a16="http://schemas.microsoft.com/office/drawing/2014/main" id="{00000000-0008-0000-0F00-00003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45" name="Group 5809">
          <a:extLst>
            <a:ext uri="{FF2B5EF4-FFF2-40B4-BE49-F238E27FC236}">
              <a16:creationId xmlns:a16="http://schemas.microsoft.com/office/drawing/2014/main" id="{00000000-0008-0000-0F00-0000BD9A3E00}"/>
            </a:ext>
          </a:extLst>
        </xdr:cNvPr>
        <xdr:cNvGrpSpPr>
          <a:grpSpLocks/>
        </xdr:cNvGrpSpPr>
      </xdr:nvGrpSpPr>
      <xdr:grpSpPr bwMode="auto">
        <a:xfrm>
          <a:off x="3993356" y="10096500"/>
          <a:ext cx="228600" cy="0"/>
          <a:chOff x="466" y="3952"/>
          <a:chExt cx="28" cy="16"/>
        </a:xfrm>
      </xdr:grpSpPr>
      <xdr:sp macro="" textlink="">
        <xdr:nvSpPr>
          <xdr:cNvPr id="4104244" name="Line 5810">
            <a:extLst>
              <a:ext uri="{FF2B5EF4-FFF2-40B4-BE49-F238E27FC236}">
                <a16:creationId xmlns:a16="http://schemas.microsoft.com/office/drawing/2014/main" id="{00000000-0008-0000-0F00-00003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5" name="Line 5811">
            <a:extLst>
              <a:ext uri="{FF2B5EF4-FFF2-40B4-BE49-F238E27FC236}">
                <a16:creationId xmlns:a16="http://schemas.microsoft.com/office/drawing/2014/main" id="{00000000-0008-0000-0F00-00003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6" name="Group 5812">
          <a:extLst>
            <a:ext uri="{FF2B5EF4-FFF2-40B4-BE49-F238E27FC236}">
              <a16:creationId xmlns:a16="http://schemas.microsoft.com/office/drawing/2014/main" id="{00000000-0008-0000-0F00-0000BE9A3E00}"/>
            </a:ext>
          </a:extLst>
        </xdr:cNvPr>
        <xdr:cNvGrpSpPr>
          <a:grpSpLocks/>
        </xdr:cNvGrpSpPr>
      </xdr:nvGrpSpPr>
      <xdr:grpSpPr bwMode="auto">
        <a:xfrm>
          <a:off x="4117181" y="10096500"/>
          <a:ext cx="228600" cy="0"/>
          <a:chOff x="466" y="3952"/>
          <a:chExt cx="28" cy="16"/>
        </a:xfrm>
      </xdr:grpSpPr>
      <xdr:sp macro="" textlink="">
        <xdr:nvSpPr>
          <xdr:cNvPr id="4104242" name="Line 5813">
            <a:extLst>
              <a:ext uri="{FF2B5EF4-FFF2-40B4-BE49-F238E27FC236}">
                <a16:creationId xmlns:a16="http://schemas.microsoft.com/office/drawing/2014/main" id="{00000000-0008-0000-0F00-00003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3" name="Line 5814">
            <a:extLst>
              <a:ext uri="{FF2B5EF4-FFF2-40B4-BE49-F238E27FC236}">
                <a16:creationId xmlns:a16="http://schemas.microsoft.com/office/drawing/2014/main" id="{00000000-0008-0000-0F00-00003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7" name="Group 5815">
          <a:extLst>
            <a:ext uri="{FF2B5EF4-FFF2-40B4-BE49-F238E27FC236}">
              <a16:creationId xmlns:a16="http://schemas.microsoft.com/office/drawing/2014/main" id="{00000000-0008-0000-0F00-0000BF9A3E00}"/>
            </a:ext>
          </a:extLst>
        </xdr:cNvPr>
        <xdr:cNvGrpSpPr>
          <a:grpSpLocks/>
        </xdr:cNvGrpSpPr>
      </xdr:nvGrpSpPr>
      <xdr:grpSpPr bwMode="auto">
        <a:xfrm>
          <a:off x="4117181" y="10096500"/>
          <a:ext cx="228600" cy="0"/>
          <a:chOff x="466" y="3952"/>
          <a:chExt cx="28" cy="16"/>
        </a:xfrm>
      </xdr:grpSpPr>
      <xdr:sp macro="" textlink="">
        <xdr:nvSpPr>
          <xdr:cNvPr id="4104240" name="Line 5816">
            <a:extLst>
              <a:ext uri="{FF2B5EF4-FFF2-40B4-BE49-F238E27FC236}">
                <a16:creationId xmlns:a16="http://schemas.microsoft.com/office/drawing/2014/main" id="{00000000-0008-0000-0F00-00003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41" name="Line 5817">
            <a:extLst>
              <a:ext uri="{FF2B5EF4-FFF2-40B4-BE49-F238E27FC236}">
                <a16:creationId xmlns:a16="http://schemas.microsoft.com/office/drawing/2014/main" id="{00000000-0008-0000-0F00-00003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48" name="Group 5818">
          <a:extLst>
            <a:ext uri="{FF2B5EF4-FFF2-40B4-BE49-F238E27FC236}">
              <a16:creationId xmlns:a16="http://schemas.microsoft.com/office/drawing/2014/main" id="{00000000-0008-0000-0F00-0000C09A3E00}"/>
            </a:ext>
          </a:extLst>
        </xdr:cNvPr>
        <xdr:cNvGrpSpPr>
          <a:grpSpLocks/>
        </xdr:cNvGrpSpPr>
      </xdr:nvGrpSpPr>
      <xdr:grpSpPr bwMode="auto">
        <a:xfrm>
          <a:off x="4117181" y="10096500"/>
          <a:ext cx="240507" cy="0"/>
          <a:chOff x="466" y="3952"/>
          <a:chExt cx="28" cy="16"/>
        </a:xfrm>
      </xdr:grpSpPr>
      <xdr:sp macro="" textlink="">
        <xdr:nvSpPr>
          <xdr:cNvPr id="4104238" name="Line 5819">
            <a:extLst>
              <a:ext uri="{FF2B5EF4-FFF2-40B4-BE49-F238E27FC236}">
                <a16:creationId xmlns:a16="http://schemas.microsoft.com/office/drawing/2014/main" id="{00000000-0008-0000-0F00-00002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9" name="Line 5820">
            <a:extLst>
              <a:ext uri="{FF2B5EF4-FFF2-40B4-BE49-F238E27FC236}">
                <a16:creationId xmlns:a16="http://schemas.microsoft.com/office/drawing/2014/main" id="{00000000-0008-0000-0F00-00002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49" name="Group 5821">
          <a:extLst>
            <a:ext uri="{FF2B5EF4-FFF2-40B4-BE49-F238E27FC236}">
              <a16:creationId xmlns:a16="http://schemas.microsoft.com/office/drawing/2014/main" id="{00000000-0008-0000-0F00-0000C19A3E00}"/>
            </a:ext>
          </a:extLst>
        </xdr:cNvPr>
        <xdr:cNvGrpSpPr>
          <a:grpSpLocks/>
        </xdr:cNvGrpSpPr>
      </xdr:nvGrpSpPr>
      <xdr:grpSpPr bwMode="auto">
        <a:xfrm>
          <a:off x="4117181" y="10096500"/>
          <a:ext cx="228600" cy="0"/>
          <a:chOff x="466" y="3952"/>
          <a:chExt cx="28" cy="16"/>
        </a:xfrm>
      </xdr:grpSpPr>
      <xdr:sp macro="" textlink="">
        <xdr:nvSpPr>
          <xdr:cNvPr id="4104236" name="Line 5822">
            <a:extLst>
              <a:ext uri="{FF2B5EF4-FFF2-40B4-BE49-F238E27FC236}">
                <a16:creationId xmlns:a16="http://schemas.microsoft.com/office/drawing/2014/main" id="{00000000-0008-0000-0F00-00002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7" name="Line 5823">
            <a:extLst>
              <a:ext uri="{FF2B5EF4-FFF2-40B4-BE49-F238E27FC236}">
                <a16:creationId xmlns:a16="http://schemas.microsoft.com/office/drawing/2014/main" id="{00000000-0008-0000-0F00-00002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50" name="Group 5824">
          <a:extLst>
            <a:ext uri="{FF2B5EF4-FFF2-40B4-BE49-F238E27FC236}">
              <a16:creationId xmlns:a16="http://schemas.microsoft.com/office/drawing/2014/main" id="{00000000-0008-0000-0F00-0000C29A3E00}"/>
            </a:ext>
          </a:extLst>
        </xdr:cNvPr>
        <xdr:cNvGrpSpPr>
          <a:grpSpLocks/>
        </xdr:cNvGrpSpPr>
      </xdr:nvGrpSpPr>
      <xdr:grpSpPr bwMode="auto">
        <a:xfrm>
          <a:off x="4117181" y="10096500"/>
          <a:ext cx="228600" cy="0"/>
          <a:chOff x="466" y="3952"/>
          <a:chExt cx="28" cy="16"/>
        </a:xfrm>
      </xdr:grpSpPr>
      <xdr:sp macro="" textlink="">
        <xdr:nvSpPr>
          <xdr:cNvPr id="4104234" name="Line 5825">
            <a:extLst>
              <a:ext uri="{FF2B5EF4-FFF2-40B4-BE49-F238E27FC236}">
                <a16:creationId xmlns:a16="http://schemas.microsoft.com/office/drawing/2014/main" id="{00000000-0008-0000-0F00-00002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5" name="Line 5826">
            <a:extLst>
              <a:ext uri="{FF2B5EF4-FFF2-40B4-BE49-F238E27FC236}">
                <a16:creationId xmlns:a16="http://schemas.microsoft.com/office/drawing/2014/main" id="{00000000-0008-0000-0F00-00002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51" name="Group 5827">
          <a:extLst>
            <a:ext uri="{FF2B5EF4-FFF2-40B4-BE49-F238E27FC236}">
              <a16:creationId xmlns:a16="http://schemas.microsoft.com/office/drawing/2014/main" id="{00000000-0008-0000-0F00-0000C39A3E00}"/>
            </a:ext>
          </a:extLst>
        </xdr:cNvPr>
        <xdr:cNvGrpSpPr>
          <a:grpSpLocks/>
        </xdr:cNvGrpSpPr>
      </xdr:nvGrpSpPr>
      <xdr:grpSpPr bwMode="auto">
        <a:xfrm>
          <a:off x="4117181" y="10096500"/>
          <a:ext cx="240507" cy="0"/>
          <a:chOff x="466" y="3952"/>
          <a:chExt cx="28" cy="16"/>
        </a:xfrm>
      </xdr:grpSpPr>
      <xdr:sp macro="" textlink="">
        <xdr:nvSpPr>
          <xdr:cNvPr id="4104232" name="Line 5828">
            <a:extLst>
              <a:ext uri="{FF2B5EF4-FFF2-40B4-BE49-F238E27FC236}">
                <a16:creationId xmlns:a16="http://schemas.microsoft.com/office/drawing/2014/main" id="{00000000-0008-0000-0F00-00002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3" name="Line 5829">
            <a:extLst>
              <a:ext uri="{FF2B5EF4-FFF2-40B4-BE49-F238E27FC236}">
                <a16:creationId xmlns:a16="http://schemas.microsoft.com/office/drawing/2014/main" id="{00000000-0008-0000-0F00-00002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2" name="Group 5830">
          <a:extLst>
            <a:ext uri="{FF2B5EF4-FFF2-40B4-BE49-F238E27FC236}">
              <a16:creationId xmlns:a16="http://schemas.microsoft.com/office/drawing/2014/main" id="{00000000-0008-0000-0F00-0000C49A3E00}"/>
            </a:ext>
          </a:extLst>
        </xdr:cNvPr>
        <xdr:cNvGrpSpPr>
          <a:grpSpLocks/>
        </xdr:cNvGrpSpPr>
      </xdr:nvGrpSpPr>
      <xdr:grpSpPr bwMode="auto">
        <a:xfrm>
          <a:off x="4700588" y="10096500"/>
          <a:ext cx="266700" cy="0"/>
          <a:chOff x="466" y="3952"/>
          <a:chExt cx="28" cy="16"/>
        </a:xfrm>
      </xdr:grpSpPr>
      <xdr:sp macro="" textlink="">
        <xdr:nvSpPr>
          <xdr:cNvPr id="4104230" name="Line 5831">
            <a:extLst>
              <a:ext uri="{FF2B5EF4-FFF2-40B4-BE49-F238E27FC236}">
                <a16:creationId xmlns:a16="http://schemas.microsoft.com/office/drawing/2014/main" id="{00000000-0008-0000-0F00-00002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31" name="Line 5832">
            <a:extLst>
              <a:ext uri="{FF2B5EF4-FFF2-40B4-BE49-F238E27FC236}">
                <a16:creationId xmlns:a16="http://schemas.microsoft.com/office/drawing/2014/main" id="{00000000-0008-0000-0F00-00002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3" name="Group 5833">
          <a:extLst>
            <a:ext uri="{FF2B5EF4-FFF2-40B4-BE49-F238E27FC236}">
              <a16:creationId xmlns:a16="http://schemas.microsoft.com/office/drawing/2014/main" id="{00000000-0008-0000-0F00-0000C59A3E00}"/>
            </a:ext>
          </a:extLst>
        </xdr:cNvPr>
        <xdr:cNvGrpSpPr>
          <a:grpSpLocks/>
        </xdr:cNvGrpSpPr>
      </xdr:nvGrpSpPr>
      <xdr:grpSpPr bwMode="auto">
        <a:xfrm>
          <a:off x="4700588" y="10096500"/>
          <a:ext cx="266700" cy="0"/>
          <a:chOff x="466" y="3952"/>
          <a:chExt cx="28" cy="16"/>
        </a:xfrm>
      </xdr:grpSpPr>
      <xdr:sp macro="" textlink="">
        <xdr:nvSpPr>
          <xdr:cNvPr id="4104228" name="Line 5834">
            <a:extLst>
              <a:ext uri="{FF2B5EF4-FFF2-40B4-BE49-F238E27FC236}">
                <a16:creationId xmlns:a16="http://schemas.microsoft.com/office/drawing/2014/main" id="{00000000-0008-0000-0F00-00002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9" name="Line 5835">
            <a:extLst>
              <a:ext uri="{FF2B5EF4-FFF2-40B4-BE49-F238E27FC236}">
                <a16:creationId xmlns:a16="http://schemas.microsoft.com/office/drawing/2014/main" id="{00000000-0008-0000-0F00-00002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54" name="Group 5836">
          <a:extLst>
            <a:ext uri="{FF2B5EF4-FFF2-40B4-BE49-F238E27FC236}">
              <a16:creationId xmlns:a16="http://schemas.microsoft.com/office/drawing/2014/main" id="{00000000-0008-0000-0F00-0000C69A3E00}"/>
            </a:ext>
          </a:extLst>
        </xdr:cNvPr>
        <xdr:cNvGrpSpPr>
          <a:grpSpLocks/>
        </xdr:cNvGrpSpPr>
      </xdr:nvGrpSpPr>
      <xdr:grpSpPr bwMode="auto">
        <a:xfrm>
          <a:off x="4700588" y="10096500"/>
          <a:ext cx="266700" cy="0"/>
          <a:chOff x="466" y="3952"/>
          <a:chExt cx="28" cy="16"/>
        </a:xfrm>
      </xdr:grpSpPr>
      <xdr:sp macro="" textlink="">
        <xdr:nvSpPr>
          <xdr:cNvPr id="4104226" name="Line 5837">
            <a:extLst>
              <a:ext uri="{FF2B5EF4-FFF2-40B4-BE49-F238E27FC236}">
                <a16:creationId xmlns:a16="http://schemas.microsoft.com/office/drawing/2014/main" id="{00000000-0008-0000-0F00-00002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7" name="Line 5838">
            <a:extLst>
              <a:ext uri="{FF2B5EF4-FFF2-40B4-BE49-F238E27FC236}">
                <a16:creationId xmlns:a16="http://schemas.microsoft.com/office/drawing/2014/main" id="{00000000-0008-0000-0F00-00002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5" name="Group 5839">
          <a:extLst>
            <a:ext uri="{FF2B5EF4-FFF2-40B4-BE49-F238E27FC236}">
              <a16:creationId xmlns:a16="http://schemas.microsoft.com/office/drawing/2014/main" id="{00000000-0008-0000-0F00-0000C79A3E00}"/>
            </a:ext>
          </a:extLst>
        </xdr:cNvPr>
        <xdr:cNvGrpSpPr>
          <a:grpSpLocks/>
        </xdr:cNvGrpSpPr>
      </xdr:nvGrpSpPr>
      <xdr:grpSpPr bwMode="auto">
        <a:xfrm>
          <a:off x="5486400" y="10096500"/>
          <a:ext cx="266700" cy="0"/>
          <a:chOff x="466" y="3952"/>
          <a:chExt cx="28" cy="16"/>
        </a:xfrm>
      </xdr:grpSpPr>
      <xdr:sp macro="" textlink="">
        <xdr:nvSpPr>
          <xdr:cNvPr id="4104224" name="Line 5840">
            <a:extLst>
              <a:ext uri="{FF2B5EF4-FFF2-40B4-BE49-F238E27FC236}">
                <a16:creationId xmlns:a16="http://schemas.microsoft.com/office/drawing/2014/main" id="{00000000-0008-0000-0F00-00002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5" name="Line 5841">
            <a:extLst>
              <a:ext uri="{FF2B5EF4-FFF2-40B4-BE49-F238E27FC236}">
                <a16:creationId xmlns:a16="http://schemas.microsoft.com/office/drawing/2014/main" id="{00000000-0008-0000-0F00-00002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6" name="Group 5842">
          <a:extLst>
            <a:ext uri="{FF2B5EF4-FFF2-40B4-BE49-F238E27FC236}">
              <a16:creationId xmlns:a16="http://schemas.microsoft.com/office/drawing/2014/main" id="{00000000-0008-0000-0F00-0000C89A3E00}"/>
            </a:ext>
          </a:extLst>
        </xdr:cNvPr>
        <xdr:cNvGrpSpPr>
          <a:grpSpLocks/>
        </xdr:cNvGrpSpPr>
      </xdr:nvGrpSpPr>
      <xdr:grpSpPr bwMode="auto">
        <a:xfrm>
          <a:off x="5486400" y="10096500"/>
          <a:ext cx="266700" cy="0"/>
          <a:chOff x="466" y="3952"/>
          <a:chExt cx="28" cy="16"/>
        </a:xfrm>
      </xdr:grpSpPr>
      <xdr:sp macro="" textlink="">
        <xdr:nvSpPr>
          <xdr:cNvPr id="4104222" name="Line 5843">
            <a:extLst>
              <a:ext uri="{FF2B5EF4-FFF2-40B4-BE49-F238E27FC236}">
                <a16:creationId xmlns:a16="http://schemas.microsoft.com/office/drawing/2014/main" id="{00000000-0008-0000-0F00-00001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3" name="Line 5844">
            <a:extLst>
              <a:ext uri="{FF2B5EF4-FFF2-40B4-BE49-F238E27FC236}">
                <a16:creationId xmlns:a16="http://schemas.microsoft.com/office/drawing/2014/main" id="{00000000-0008-0000-0F00-00001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7" name="Group 5845">
          <a:extLst>
            <a:ext uri="{FF2B5EF4-FFF2-40B4-BE49-F238E27FC236}">
              <a16:creationId xmlns:a16="http://schemas.microsoft.com/office/drawing/2014/main" id="{00000000-0008-0000-0F00-0000C99A3E00}"/>
            </a:ext>
          </a:extLst>
        </xdr:cNvPr>
        <xdr:cNvGrpSpPr>
          <a:grpSpLocks/>
        </xdr:cNvGrpSpPr>
      </xdr:nvGrpSpPr>
      <xdr:grpSpPr bwMode="auto">
        <a:xfrm>
          <a:off x="5486400" y="10096500"/>
          <a:ext cx="266700" cy="0"/>
          <a:chOff x="466" y="3952"/>
          <a:chExt cx="28" cy="16"/>
        </a:xfrm>
      </xdr:grpSpPr>
      <xdr:sp macro="" textlink="">
        <xdr:nvSpPr>
          <xdr:cNvPr id="4104220" name="Line 5846">
            <a:extLst>
              <a:ext uri="{FF2B5EF4-FFF2-40B4-BE49-F238E27FC236}">
                <a16:creationId xmlns:a16="http://schemas.microsoft.com/office/drawing/2014/main" id="{00000000-0008-0000-0F00-00001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21" name="Line 5847">
            <a:extLst>
              <a:ext uri="{FF2B5EF4-FFF2-40B4-BE49-F238E27FC236}">
                <a16:creationId xmlns:a16="http://schemas.microsoft.com/office/drawing/2014/main" id="{00000000-0008-0000-0F00-00001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8" name="Group 5848">
          <a:extLst>
            <a:ext uri="{FF2B5EF4-FFF2-40B4-BE49-F238E27FC236}">
              <a16:creationId xmlns:a16="http://schemas.microsoft.com/office/drawing/2014/main" id="{00000000-0008-0000-0F00-0000CA9A3E00}"/>
            </a:ext>
          </a:extLst>
        </xdr:cNvPr>
        <xdr:cNvGrpSpPr>
          <a:grpSpLocks/>
        </xdr:cNvGrpSpPr>
      </xdr:nvGrpSpPr>
      <xdr:grpSpPr bwMode="auto">
        <a:xfrm>
          <a:off x="5486400" y="10096500"/>
          <a:ext cx="266700" cy="0"/>
          <a:chOff x="466" y="3952"/>
          <a:chExt cx="28" cy="16"/>
        </a:xfrm>
      </xdr:grpSpPr>
      <xdr:sp macro="" textlink="">
        <xdr:nvSpPr>
          <xdr:cNvPr id="4104218" name="Line 5849">
            <a:extLst>
              <a:ext uri="{FF2B5EF4-FFF2-40B4-BE49-F238E27FC236}">
                <a16:creationId xmlns:a16="http://schemas.microsoft.com/office/drawing/2014/main" id="{00000000-0008-0000-0F00-00001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9" name="Line 5850">
            <a:extLst>
              <a:ext uri="{FF2B5EF4-FFF2-40B4-BE49-F238E27FC236}">
                <a16:creationId xmlns:a16="http://schemas.microsoft.com/office/drawing/2014/main" id="{00000000-0008-0000-0F00-00001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859" name="Group 5851">
          <a:extLst>
            <a:ext uri="{FF2B5EF4-FFF2-40B4-BE49-F238E27FC236}">
              <a16:creationId xmlns:a16="http://schemas.microsoft.com/office/drawing/2014/main" id="{00000000-0008-0000-0F00-0000CB9A3E00}"/>
            </a:ext>
          </a:extLst>
        </xdr:cNvPr>
        <xdr:cNvGrpSpPr>
          <a:grpSpLocks/>
        </xdr:cNvGrpSpPr>
      </xdr:nvGrpSpPr>
      <xdr:grpSpPr bwMode="auto">
        <a:xfrm>
          <a:off x="5486400" y="10096500"/>
          <a:ext cx="266700" cy="0"/>
          <a:chOff x="466" y="3952"/>
          <a:chExt cx="28" cy="16"/>
        </a:xfrm>
      </xdr:grpSpPr>
      <xdr:sp macro="" textlink="">
        <xdr:nvSpPr>
          <xdr:cNvPr id="4104216" name="Line 5852">
            <a:extLst>
              <a:ext uri="{FF2B5EF4-FFF2-40B4-BE49-F238E27FC236}">
                <a16:creationId xmlns:a16="http://schemas.microsoft.com/office/drawing/2014/main" id="{00000000-0008-0000-0F00-00001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7" name="Line 5853">
            <a:extLst>
              <a:ext uri="{FF2B5EF4-FFF2-40B4-BE49-F238E27FC236}">
                <a16:creationId xmlns:a16="http://schemas.microsoft.com/office/drawing/2014/main" id="{00000000-0008-0000-0F00-00001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0" name="Group 5854">
          <a:extLst>
            <a:ext uri="{FF2B5EF4-FFF2-40B4-BE49-F238E27FC236}">
              <a16:creationId xmlns:a16="http://schemas.microsoft.com/office/drawing/2014/main" id="{00000000-0008-0000-0F00-0000CC9A3E00}"/>
            </a:ext>
          </a:extLst>
        </xdr:cNvPr>
        <xdr:cNvGrpSpPr>
          <a:grpSpLocks/>
        </xdr:cNvGrpSpPr>
      </xdr:nvGrpSpPr>
      <xdr:grpSpPr bwMode="auto">
        <a:xfrm>
          <a:off x="4117181" y="10096500"/>
          <a:ext cx="228600" cy="0"/>
          <a:chOff x="466" y="3952"/>
          <a:chExt cx="28" cy="16"/>
        </a:xfrm>
      </xdr:grpSpPr>
      <xdr:sp macro="" textlink="">
        <xdr:nvSpPr>
          <xdr:cNvPr id="4104214" name="Line 5855">
            <a:extLst>
              <a:ext uri="{FF2B5EF4-FFF2-40B4-BE49-F238E27FC236}">
                <a16:creationId xmlns:a16="http://schemas.microsoft.com/office/drawing/2014/main" id="{00000000-0008-0000-0F00-00001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5" name="Line 5856">
            <a:extLst>
              <a:ext uri="{FF2B5EF4-FFF2-40B4-BE49-F238E27FC236}">
                <a16:creationId xmlns:a16="http://schemas.microsoft.com/office/drawing/2014/main" id="{00000000-0008-0000-0F00-00001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1" name="Group 5857">
          <a:extLst>
            <a:ext uri="{FF2B5EF4-FFF2-40B4-BE49-F238E27FC236}">
              <a16:creationId xmlns:a16="http://schemas.microsoft.com/office/drawing/2014/main" id="{00000000-0008-0000-0F00-0000CD9A3E00}"/>
            </a:ext>
          </a:extLst>
        </xdr:cNvPr>
        <xdr:cNvGrpSpPr>
          <a:grpSpLocks/>
        </xdr:cNvGrpSpPr>
      </xdr:nvGrpSpPr>
      <xdr:grpSpPr bwMode="auto">
        <a:xfrm>
          <a:off x="4700588" y="10096500"/>
          <a:ext cx="266700" cy="0"/>
          <a:chOff x="466" y="3952"/>
          <a:chExt cx="28" cy="16"/>
        </a:xfrm>
      </xdr:grpSpPr>
      <xdr:sp macro="" textlink="">
        <xdr:nvSpPr>
          <xdr:cNvPr id="4104212" name="Line 5858">
            <a:extLst>
              <a:ext uri="{FF2B5EF4-FFF2-40B4-BE49-F238E27FC236}">
                <a16:creationId xmlns:a16="http://schemas.microsoft.com/office/drawing/2014/main" id="{00000000-0008-0000-0F00-00001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3" name="Line 5859">
            <a:extLst>
              <a:ext uri="{FF2B5EF4-FFF2-40B4-BE49-F238E27FC236}">
                <a16:creationId xmlns:a16="http://schemas.microsoft.com/office/drawing/2014/main" id="{00000000-0008-0000-0F00-00001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2" name="Group 5860">
          <a:extLst>
            <a:ext uri="{FF2B5EF4-FFF2-40B4-BE49-F238E27FC236}">
              <a16:creationId xmlns:a16="http://schemas.microsoft.com/office/drawing/2014/main" id="{00000000-0008-0000-0F00-0000CE9A3E00}"/>
            </a:ext>
          </a:extLst>
        </xdr:cNvPr>
        <xdr:cNvGrpSpPr>
          <a:grpSpLocks/>
        </xdr:cNvGrpSpPr>
      </xdr:nvGrpSpPr>
      <xdr:grpSpPr bwMode="auto">
        <a:xfrm>
          <a:off x="4117181" y="10096500"/>
          <a:ext cx="228600" cy="0"/>
          <a:chOff x="466" y="3952"/>
          <a:chExt cx="28" cy="16"/>
        </a:xfrm>
      </xdr:grpSpPr>
      <xdr:sp macro="" textlink="">
        <xdr:nvSpPr>
          <xdr:cNvPr id="4104210" name="Line 5861">
            <a:extLst>
              <a:ext uri="{FF2B5EF4-FFF2-40B4-BE49-F238E27FC236}">
                <a16:creationId xmlns:a16="http://schemas.microsoft.com/office/drawing/2014/main" id="{00000000-0008-0000-0F00-00001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11" name="Line 5862">
            <a:extLst>
              <a:ext uri="{FF2B5EF4-FFF2-40B4-BE49-F238E27FC236}">
                <a16:creationId xmlns:a16="http://schemas.microsoft.com/office/drawing/2014/main" id="{00000000-0008-0000-0F00-00001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3" name="Group 5863">
          <a:extLst>
            <a:ext uri="{FF2B5EF4-FFF2-40B4-BE49-F238E27FC236}">
              <a16:creationId xmlns:a16="http://schemas.microsoft.com/office/drawing/2014/main" id="{00000000-0008-0000-0F00-0000CF9A3E00}"/>
            </a:ext>
          </a:extLst>
        </xdr:cNvPr>
        <xdr:cNvGrpSpPr>
          <a:grpSpLocks/>
        </xdr:cNvGrpSpPr>
      </xdr:nvGrpSpPr>
      <xdr:grpSpPr bwMode="auto">
        <a:xfrm>
          <a:off x="4700588" y="10096500"/>
          <a:ext cx="266700" cy="0"/>
          <a:chOff x="466" y="3952"/>
          <a:chExt cx="28" cy="16"/>
        </a:xfrm>
      </xdr:grpSpPr>
      <xdr:sp macro="" textlink="">
        <xdr:nvSpPr>
          <xdr:cNvPr id="4104208" name="Line 5864">
            <a:extLst>
              <a:ext uri="{FF2B5EF4-FFF2-40B4-BE49-F238E27FC236}">
                <a16:creationId xmlns:a16="http://schemas.microsoft.com/office/drawing/2014/main" id="{00000000-0008-0000-0F00-00001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9" name="Line 5865">
            <a:extLst>
              <a:ext uri="{FF2B5EF4-FFF2-40B4-BE49-F238E27FC236}">
                <a16:creationId xmlns:a16="http://schemas.microsoft.com/office/drawing/2014/main" id="{00000000-0008-0000-0F00-00001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4" name="Group 5866">
          <a:extLst>
            <a:ext uri="{FF2B5EF4-FFF2-40B4-BE49-F238E27FC236}">
              <a16:creationId xmlns:a16="http://schemas.microsoft.com/office/drawing/2014/main" id="{00000000-0008-0000-0F00-0000D09A3E00}"/>
            </a:ext>
          </a:extLst>
        </xdr:cNvPr>
        <xdr:cNvGrpSpPr>
          <a:grpSpLocks/>
        </xdr:cNvGrpSpPr>
      </xdr:nvGrpSpPr>
      <xdr:grpSpPr bwMode="auto">
        <a:xfrm>
          <a:off x="4117181" y="10096500"/>
          <a:ext cx="228600" cy="0"/>
          <a:chOff x="466" y="3952"/>
          <a:chExt cx="28" cy="16"/>
        </a:xfrm>
      </xdr:grpSpPr>
      <xdr:sp macro="" textlink="">
        <xdr:nvSpPr>
          <xdr:cNvPr id="4104206" name="Line 5867">
            <a:extLst>
              <a:ext uri="{FF2B5EF4-FFF2-40B4-BE49-F238E27FC236}">
                <a16:creationId xmlns:a16="http://schemas.microsoft.com/office/drawing/2014/main" id="{00000000-0008-0000-0F00-00000E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7" name="Line 5868">
            <a:extLst>
              <a:ext uri="{FF2B5EF4-FFF2-40B4-BE49-F238E27FC236}">
                <a16:creationId xmlns:a16="http://schemas.microsoft.com/office/drawing/2014/main" id="{00000000-0008-0000-0F00-00000F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5" name="Group 5869">
          <a:extLst>
            <a:ext uri="{FF2B5EF4-FFF2-40B4-BE49-F238E27FC236}">
              <a16:creationId xmlns:a16="http://schemas.microsoft.com/office/drawing/2014/main" id="{00000000-0008-0000-0F00-0000D19A3E00}"/>
            </a:ext>
          </a:extLst>
        </xdr:cNvPr>
        <xdr:cNvGrpSpPr>
          <a:grpSpLocks/>
        </xdr:cNvGrpSpPr>
      </xdr:nvGrpSpPr>
      <xdr:grpSpPr bwMode="auto">
        <a:xfrm>
          <a:off x="4700588" y="10096500"/>
          <a:ext cx="266700" cy="0"/>
          <a:chOff x="466" y="3952"/>
          <a:chExt cx="28" cy="16"/>
        </a:xfrm>
      </xdr:grpSpPr>
      <xdr:sp macro="" textlink="">
        <xdr:nvSpPr>
          <xdr:cNvPr id="4104204" name="Line 5870">
            <a:extLst>
              <a:ext uri="{FF2B5EF4-FFF2-40B4-BE49-F238E27FC236}">
                <a16:creationId xmlns:a16="http://schemas.microsoft.com/office/drawing/2014/main" id="{00000000-0008-0000-0F00-00000C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5" name="Line 5871">
            <a:extLst>
              <a:ext uri="{FF2B5EF4-FFF2-40B4-BE49-F238E27FC236}">
                <a16:creationId xmlns:a16="http://schemas.microsoft.com/office/drawing/2014/main" id="{00000000-0008-0000-0F00-00000D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6" name="Group 5872">
          <a:extLst>
            <a:ext uri="{FF2B5EF4-FFF2-40B4-BE49-F238E27FC236}">
              <a16:creationId xmlns:a16="http://schemas.microsoft.com/office/drawing/2014/main" id="{00000000-0008-0000-0F00-0000D29A3E00}"/>
            </a:ext>
          </a:extLst>
        </xdr:cNvPr>
        <xdr:cNvGrpSpPr>
          <a:grpSpLocks/>
        </xdr:cNvGrpSpPr>
      </xdr:nvGrpSpPr>
      <xdr:grpSpPr bwMode="auto">
        <a:xfrm>
          <a:off x="4117181" y="10096500"/>
          <a:ext cx="228600" cy="0"/>
          <a:chOff x="466" y="3952"/>
          <a:chExt cx="28" cy="16"/>
        </a:xfrm>
      </xdr:grpSpPr>
      <xdr:sp macro="" textlink="">
        <xdr:nvSpPr>
          <xdr:cNvPr id="4104202" name="Line 5873">
            <a:extLst>
              <a:ext uri="{FF2B5EF4-FFF2-40B4-BE49-F238E27FC236}">
                <a16:creationId xmlns:a16="http://schemas.microsoft.com/office/drawing/2014/main" id="{00000000-0008-0000-0F00-00000A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3" name="Line 5874">
            <a:extLst>
              <a:ext uri="{FF2B5EF4-FFF2-40B4-BE49-F238E27FC236}">
                <a16:creationId xmlns:a16="http://schemas.microsoft.com/office/drawing/2014/main" id="{00000000-0008-0000-0F00-00000B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67" name="Group 5875">
          <a:extLst>
            <a:ext uri="{FF2B5EF4-FFF2-40B4-BE49-F238E27FC236}">
              <a16:creationId xmlns:a16="http://schemas.microsoft.com/office/drawing/2014/main" id="{00000000-0008-0000-0F00-0000D39A3E00}"/>
            </a:ext>
          </a:extLst>
        </xdr:cNvPr>
        <xdr:cNvGrpSpPr>
          <a:grpSpLocks/>
        </xdr:cNvGrpSpPr>
      </xdr:nvGrpSpPr>
      <xdr:grpSpPr bwMode="auto">
        <a:xfrm>
          <a:off x="4700588" y="10096500"/>
          <a:ext cx="266700" cy="0"/>
          <a:chOff x="466" y="3952"/>
          <a:chExt cx="28" cy="16"/>
        </a:xfrm>
      </xdr:grpSpPr>
      <xdr:sp macro="" textlink="">
        <xdr:nvSpPr>
          <xdr:cNvPr id="4104200" name="Line 5876">
            <a:extLst>
              <a:ext uri="{FF2B5EF4-FFF2-40B4-BE49-F238E27FC236}">
                <a16:creationId xmlns:a16="http://schemas.microsoft.com/office/drawing/2014/main" id="{00000000-0008-0000-0F00-000008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201" name="Line 5877">
            <a:extLst>
              <a:ext uri="{FF2B5EF4-FFF2-40B4-BE49-F238E27FC236}">
                <a16:creationId xmlns:a16="http://schemas.microsoft.com/office/drawing/2014/main" id="{00000000-0008-0000-0F00-000009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8" name="Group 5878">
          <a:extLst>
            <a:ext uri="{FF2B5EF4-FFF2-40B4-BE49-F238E27FC236}">
              <a16:creationId xmlns:a16="http://schemas.microsoft.com/office/drawing/2014/main" id="{00000000-0008-0000-0F00-0000D49A3E00}"/>
            </a:ext>
          </a:extLst>
        </xdr:cNvPr>
        <xdr:cNvGrpSpPr>
          <a:grpSpLocks/>
        </xdr:cNvGrpSpPr>
      </xdr:nvGrpSpPr>
      <xdr:grpSpPr bwMode="auto">
        <a:xfrm>
          <a:off x="4117181" y="10096500"/>
          <a:ext cx="228600" cy="0"/>
          <a:chOff x="466" y="3952"/>
          <a:chExt cx="28" cy="16"/>
        </a:xfrm>
      </xdr:grpSpPr>
      <xdr:sp macro="" textlink="">
        <xdr:nvSpPr>
          <xdr:cNvPr id="4104198" name="Line 5879">
            <a:extLst>
              <a:ext uri="{FF2B5EF4-FFF2-40B4-BE49-F238E27FC236}">
                <a16:creationId xmlns:a16="http://schemas.microsoft.com/office/drawing/2014/main" id="{00000000-0008-0000-0F00-000006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9" name="Line 5880">
            <a:extLst>
              <a:ext uri="{FF2B5EF4-FFF2-40B4-BE49-F238E27FC236}">
                <a16:creationId xmlns:a16="http://schemas.microsoft.com/office/drawing/2014/main" id="{00000000-0008-0000-0F00-000007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69" name="Group 5881">
          <a:extLst>
            <a:ext uri="{FF2B5EF4-FFF2-40B4-BE49-F238E27FC236}">
              <a16:creationId xmlns:a16="http://schemas.microsoft.com/office/drawing/2014/main" id="{00000000-0008-0000-0F00-0000D59A3E00}"/>
            </a:ext>
          </a:extLst>
        </xdr:cNvPr>
        <xdr:cNvGrpSpPr>
          <a:grpSpLocks/>
        </xdr:cNvGrpSpPr>
      </xdr:nvGrpSpPr>
      <xdr:grpSpPr bwMode="auto">
        <a:xfrm>
          <a:off x="4117181" y="10096500"/>
          <a:ext cx="228600" cy="0"/>
          <a:chOff x="466" y="3952"/>
          <a:chExt cx="28" cy="16"/>
        </a:xfrm>
      </xdr:grpSpPr>
      <xdr:sp macro="" textlink="">
        <xdr:nvSpPr>
          <xdr:cNvPr id="4104196" name="Line 5882">
            <a:extLst>
              <a:ext uri="{FF2B5EF4-FFF2-40B4-BE49-F238E27FC236}">
                <a16:creationId xmlns:a16="http://schemas.microsoft.com/office/drawing/2014/main" id="{00000000-0008-0000-0F00-000004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7" name="Line 5883">
            <a:extLst>
              <a:ext uri="{FF2B5EF4-FFF2-40B4-BE49-F238E27FC236}">
                <a16:creationId xmlns:a16="http://schemas.microsoft.com/office/drawing/2014/main" id="{00000000-0008-0000-0F00-000005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0" name="Group 5884">
          <a:extLst>
            <a:ext uri="{FF2B5EF4-FFF2-40B4-BE49-F238E27FC236}">
              <a16:creationId xmlns:a16="http://schemas.microsoft.com/office/drawing/2014/main" id="{00000000-0008-0000-0F00-0000D69A3E00}"/>
            </a:ext>
          </a:extLst>
        </xdr:cNvPr>
        <xdr:cNvGrpSpPr>
          <a:grpSpLocks/>
        </xdr:cNvGrpSpPr>
      </xdr:nvGrpSpPr>
      <xdr:grpSpPr bwMode="auto">
        <a:xfrm>
          <a:off x="4117181" y="10096500"/>
          <a:ext cx="228600" cy="0"/>
          <a:chOff x="466" y="3952"/>
          <a:chExt cx="28" cy="16"/>
        </a:xfrm>
      </xdr:grpSpPr>
      <xdr:sp macro="" textlink="">
        <xdr:nvSpPr>
          <xdr:cNvPr id="4104194" name="Line 5885">
            <a:extLst>
              <a:ext uri="{FF2B5EF4-FFF2-40B4-BE49-F238E27FC236}">
                <a16:creationId xmlns:a16="http://schemas.microsoft.com/office/drawing/2014/main" id="{00000000-0008-0000-0F00-000002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5" name="Line 5886">
            <a:extLst>
              <a:ext uri="{FF2B5EF4-FFF2-40B4-BE49-F238E27FC236}">
                <a16:creationId xmlns:a16="http://schemas.microsoft.com/office/drawing/2014/main" id="{00000000-0008-0000-0F00-000003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1" name="Group 5887">
          <a:extLst>
            <a:ext uri="{FF2B5EF4-FFF2-40B4-BE49-F238E27FC236}">
              <a16:creationId xmlns:a16="http://schemas.microsoft.com/office/drawing/2014/main" id="{00000000-0008-0000-0F00-0000D79A3E00}"/>
            </a:ext>
          </a:extLst>
        </xdr:cNvPr>
        <xdr:cNvGrpSpPr>
          <a:grpSpLocks/>
        </xdr:cNvGrpSpPr>
      </xdr:nvGrpSpPr>
      <xdr:grpSpPr bwMode="auto">
        <a:xfrm>
          <a:off x="4117181" y="10096500"/>
          <a:ext cx="228600" cy="0"/>
          <a:chOff x="466" y="3952"/>
          <a:chExt cx="28" cy="16"/>
        </a:xfrm>
      </xdr:grpSpPr>
      <xdr:sp macro="" textlink="">
        <xdr:nvSpPr>
          <xdr:cNvPr id="4104192" name="Line 5888">
            <a:extLst>
              <a:ext uri="{FF2B5EF4-FFF2-40B4-BE49-F238E27FC236}">
                <a16:creationId xmlns:a16="http://schemas.microsoft.com/office/drawing/2014/main" id="{00000000-0008-0000-0F00-000000A0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3" name="Line 5889">
            <a:extLst>
              <a:ext uri="{FF2B5EF4-FFF2-40B4-BE49-F238E27FC236}">
                <a16:creationId xmlns:a16="http://schemas.microsoft.com/office/drawing/2014/main" id="{00000000-0008-0000-0F00-000001A0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2" name="Group 5890">
          <a:extLst>
            <a:ext uri="{FF2B5EF4-FFF2-40B4-BE49-F238E27FC236}">
              <a16:creationId xmlns:a16="http://schemas.microsoft.com/office/drawing/2014/main" id="{00000000-0008-0000-0F00-0000D89A3E00}"/>
            </a:ext>
          </a:extLst>
        </xdr:cNvPr>
        <xdr:cNvGrpSpPr>
          <a:grpSpLocks/>
        </xdr:cNvGrpSpPr>
      </xdr:nvGrpSpPr>
      <xdr:grpSpPr bwMode="auto">
        <a:xfrm>
          <a:off x="4117181" y="10096500"/>
          <a:ext cx="228600" cy="0"/>
          <a:chOff x="466" y="3952"/>
          <a:chExt cx="28" cy="16"/>
        </a:xfrm>
      </xdr:grpSpPr>
      <xdr:sp macro="" textlink="">
        <xdr:nvSpPr>
          <xdr:cNvPr id="4104190" name="Line 5891">
            <a:extLst>
              <a:ext uri="{FF2B5EF4-FFF2-40B4-BE49-F238E27FC236}">
                <a16:creationId xmlns:a16="http://schemas.microsoft.com/office/drawing/2014/main" id="{00000000-0008-0000-0F00-0000F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91" name="Line 5892">
            <a:extLst>
              <a:ext uri="{FF2B5EF4-FFF2-40B4-BE49-F238E27FC236}">
                <a16:creationId xmlns:a16="http://schemas.microsoft.com/office/drawing/2014/main" id="{00000000-0008-0000-0F00-0000F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3" name="Group 5893">
          <a:extLst>
            <a:ext uri="{FF2B5EF4-FFF2-40B4-BE49-F238E27FC236}">
              <a16:creationId xmlns:a16="http://schemas.microsoft.com/office/drawing/2014/main" id="{00000000-0008-0000-0F00-0000D99A3E00}"/>
            </a:ext>
          </a:extLst>
        </xdr:cNvPr>
        <xdr:cNvGrpSpPr>
          <a:grpSpLocks/>
        </xdr:cNvGrpSpPr>
      </xdr:nvGrpSpPr>
      <xdr:grpSpPr bwMode="auto">
        <a:xfrm>
          <a:off x="4700588" y="10096500"/>
          <a:ext cx="266700" cy="0"/>
          <a:chOff x="466" y="3952"/>
          <a:chExt cx="28" cy="16"/>
        </a:xfrm>
      </xdr:grpSpPr>
      <xdr:sp macro="" textlink="">
        <xdr:nvSpPr>
          <xdr:cNvPr id="4104188" name="Line 5894">
            <a:extLst>
              <a:ext uri="{FF2B5EF4-FFF2-40B4-BE49-F238E27FC236}">
                <a16:creationId xmlns:a16="http://schemas.microsoft.com/office/drawing/2014/main" id="{00000000-0008-0000-0F00-0000F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9" name="Line 5895">
            <a:extLst>
              <a:ext uri="{FF2B5EF4-FFF2-40B4-BE49-F238E27FC236}">
                <a16:creationId xmlns:a16="http://schemas.microsoft.com/office/drawing/2014/main" id="{00000000-0008-0000-0F00-0000F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4" name="Group 5896">
          <a:extLst>
            <a:ext uri="{FF2B5EF4-FFF2-40B4-BE49-F238E27FC236}">
              <a16:creationId xmlns:a16="http://schemas.microsoft.com/office/drawing/2014/main" id="{00000000-0008-0000-0F00-0000DA9A3E00}"/>
            </a:ext>
          </a:extLst>
        </xdr:cNvPr>
        <xdr:cNvGrpSpPr>
          <a:grpSpLocks/>
        </xdr:cNvGrpSpPr>
      </xdr:nvGrpSpPr>
      <xdr:grpSpPr bwMode="auto">
        <a:xfrm>
          <a:off x="4700588" y="10096500"/>
          <a:ext cx="266700" cy="0"/>
          <a:chOff x="466" y="3952"/>
          <a:chExt cx="28" cy="16"/>
        </a:xfrm>
      </xdr:grpSpPr>
      <xdr:sp macro="" textlink="">
        <xdr:nvSpPr>
          <xdr:cNvPr id="4104186" name="Line 5897">
            <a:extLst>
              <a:ext uri="{FF2B5EF4-FFF2-40B4-BE49-F238E27FC236}">
                <a16:creationId xmlns:a16="http://schemas.microsoft.com/office/drawing/2014/main" id="{00000000-0008-0000-0F00-0000F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7" name="Line 5898">
            <a:extLst>
              <a:ext uri="{FF2B5EF4-FFF2-40B4-BE49-F238E27FC236}">
                <a16:creationId xmlns:a16="http://schemas.microsoft.com/office/drawing/2014/main" id="{00000000-0008-0000-0F00-0000F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5" name="Group 5899">
          <a:extLst>
            <a:ext uri="{FF2B5EF4-FFF2-40B4-BE49-F238E27FC236}">
              <a16:creationId xmlns:a16="http://schemas.microsoft.com/office/drawing/2014/main" id="{00000000-0008-0000-0F00-0000DB9A3E00}"/>
            </a:ext>
          </a:extLst>
        </xdr:cNvPr>
        <xdr:cNvGrpSpPr>
          <a:grpSpLocks/>
        </xdr:cNvGrpSpPr>
      </xdr:nvGrpSpPr>
      <xdr:grpSpPr bwMode="auto">
        <a:xfrm>
          <a:off x="4700588" y="10096500"/>
          <a:ext cx="266700" cy="0"/>
          <a:chOff x="466" y="3952"/>
          <a:chExt cx="28" cy="16"/>
        </a:xfrm>
      </xdr:grpSpPr>
      <xdr:sp macro="" textlink="">
        <xdr:nvSpPr>
          <xdr:cNvPr id="4104184" name="Line 5900">
            <a:extLst>
              <a:ext uri="{FF2B5EF4-FFF2-40B4-BE49-F238E27FC236}">
                <a16:creationId xmlns:a16="http://schemas.microsoft.com/office/drawing/2014/main" id="{00000000-0008-0000-0F00-0000F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5" name="Line 5901">
            <a:extLst>
              <a:ext uri="{FF2B5EF4-FFF2-40B4-BE49-F238E27FC236}">
                <a16:creationId xmlns:a16="http://schemas.microsoft.com/office/drawing/2014/main" id="{00000000-0008-0000-0F00-0000F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6" name="Group 5902">
          <a:extLst>
            <a:ext uri="{FF2B5EF4-FFF2-40B4-BE49-F238E27FC236}">
              <a16:creationId xmlns:a16="http://schemas.microsoft.com/office/drawing/2014/main" id="{00000000-0008-0000-0F00-0000DC9A3E00}"/>
            </a:ext>
          </a:extLst>
        </xdr:cNvPr>
        <xdr:cNvGrpSpPr>
          <a:grpSpLocks/>
        </xdr:cNvGrpSpPr>
      </xdr:nvGrpSpPr>
      <xdr:grpSpPr bwMode="auto">
        <a:xfrm>
          <a:off x="4700588" y="10096500"/>
          <a:ext cx="266700" cy="0"/>
          <a:chOff x="466" y="3952"/>
          <a:chExt cx="28" cy="16"/>
        </a:xfrm>
      </xdr:grpSpPr>
      <xdr:sp macro="" textlink="">
        <xdr:nvSpPr>
          <xdr:cNvPr id="4104182" name="Line 5903">
            <a:extLst>
              <a:ext uri="{FF2B5EF4-FFF2-40B4-BE49-F238E27FC236}">
                <a16:creationId xmlns:a16="http://schemas.microsoft.com/office/drawing/2014/main" id="{00000000-0008-0000-0F00-0000F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3" name="Line 5904">
            <a:extLst>
              <a:ext uri="{FF2B5EF4-FFF2-40B4-BE49-F238E27FC236}">
                <a16:creationId xmlns:a16="http://schemas.microsoft.com/office/drawing/2014/main" id="{00000000-0008-0000-0F00-0000F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77" name="Group 5905">
          <a:extLst>
            <a:ext uri="{FF2B5EF4-FFF2-40B4-BE49-F238E27FC236}">
              <a16:creationId xmlns:a16="http://schemas.microsoft.com/office/drawing/2014/main" id="{00000000-0008-0000-0F00-0000DD9A3E00}"/>
            </a:ext>
          </a:extLst>
        </xdr:cNvPr>
        <xdr:cNvGrpSpPr>
          <a:grpSpLocks/>
        </xdr:cNvGrpSpPr>
      </xdr:nvGrpSpPr>
      <xdr:grpSpPr bwMode="auto">
        <a:xfrm>
          <a:off x="4700588" y="10096500"/>
          <a:ext cx="266700" cy="0"/>
          <a:chOff x="466" y="3952"/>
          <a:chExt cx="28" cy="16"/>
        </a:xfrm>
      </xdr:grpSpPr>
      <xdr:sp macro="" textlink="">
        <xdr:nvSpPr>
          <xdr:cNvPr id="4104180" name="Line 5906">
            <a:extLst>
              <a:ext uri="{FF2B5EF4-FFF2-40B4-BE49-F238E27FC236}">
                <a16:creationId xmlns:a16="http://schemas.microsoft.com/office/drawing/2014/main" id="{00000000-0008-0000-0F00-0000F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81" name="Line 5907">
            <a:extLst>
              <a:ext uri="{FF2B5EF4-FFF2-40B4-BE49-F238E27FC236}">
                <a16:creationId xmlns:a16="http://schemas.microsoft.com/office/drawing/2014/main" id="{00000000-0008-0000-0F00-0000F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8" name="Group 5908">
          <a:extLst>
            <a:ext uri="{FF2B5EF4-FFF2-40B4-BE49-F238E27FC236}">
              <a16:creationId xmlns:a16="http://schemas.microsoft.com/office/drawing/2014/main" id="{00000000-0008-0000-0F00-0000DE9A3E00}"/>
            </a:ext>
          </a:extLst>
        </xdr:cNvPr>
        <xdr:cNvGrpSpPr>
          <a:grpSpLocks/>
        </xdr:cNvGrpSpPr>
      </xdr:nvGrpSpPr>
      <xdr:grpSpPr bwMode="auto">
        <a:xfrm>
          <a:off x="4117181" y="10096500"/>
          <a:ext cx="228600" cy="0"/>
          <a:chOff x="466" y="3952"/>
          <a:chExt cx="28" cy="16"/>
        </a:xfrm>
      </xdr:grpSpPr>
      <xdr:sp macro="" textlink="">
        <xdr:nvSpPr>
          <xdr:cNvPr id="4104178" name="Line 5909">
            <a:extLst>
              <a:ext uri="{FF2B5EF4-FFF2-40B4-BE49-F238E27FC236}">
                <a16:creationId xmlns:a16="http://schemas.microsoft.com/office/drawing/2014/main" id="{00000000-0008-0000-0F00-0000F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9" name="Line 5910">
            <a:extLst>
              <a:ext uri="{FF2B5EF4-FFF2-40B4-BE49-F238E27FC236}">
                <a16:creationId xmlns:a16="http://schemas.microsoft.com/office/drawing/2014/main" id="{00000000-0008-0000-0F00-0000F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79" name="Group 5911">
          <a:extLst>
            <a:ext uri="{FF2B5EF4-FFF2-40B4-BE49-F238E27FC236}">
              <a16:creationId xmlns:a16="http://schemas.microsoft.com/office/drawing/2014/main" id="{00000000-0008-0000-0F00-0000DF9A3E00}"/>
            </a:ext>
          </a:extLst>
        </xdr:cNvPr>
        <xdr:cNvGrpSpPr>
          <a:grpSpLocks/>
        </xdr:cNvGrpSpPr>
      </xdr:nvGrpSpPr>
      <xdr:grpSpPr bwMode="auto">
        <a:xfrm>
          <a:off x="4117181" y="10096500"/>
          <a:ext cx="228600" cy="0"/>
          <a:chOff x="466" y="3952"/>
          <a:chExt cx="28" cy="16"/>
        </a:xfrm>
      </xdr:grpSpPr>
      <xdr:sp macro="" textlink="">
        <xdr:nvSpPr>
          <xdr:cNvPr id="4104176" name="Line 5912">
            <a:extLst>
              <a:ext uri="{FF2B5EF4-FFF2-40B4-BE49-F238E27FC236}">
                <a16:creationId xmlns:a16="http://schemas.microsoft.com/office/drawing/2014/main" id="{00000000-0008-0000-0F00-0000F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7" name="Line 5913">
            <a:extLst>
              <a:ext uri="{FF2B5EF4-FFF2-40B4-BE49-F238E27FC236}">
                <a16:creationId xmlns:a16="http://schemas.microsoft.com/office/drawing/2014/main" id="{00000000-0008-0000-0F00-0000F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0" name="Group 5914">
          <a:extLst>
            <a:ext uri="{FF2B5EF4-FFF2-40B4-BE49-F238E27FC236}">
              <a16:creationId xmlns:a16="http://schemas.microsoft.com/office/drawing/2014/main" id="{00000000-0008-0000-0F00-0000E09A3E00}"/>
            </a:ext>
          </a:extLst>
        </xdr:cNvPr>
        <xdr:cNvGrpSpPr>
          <a:grpSpLocks/>
        </xdr:cNvGrpSpPr>
      </xdr:nvGrpSpPr>
      <xdr:grpSpPr bwMode="auto">
        <a:xfrm>
          <a:off x="4700588" y="10096500"/>
          <a:ext cx="266700" cy="0"/>
          <a:chOff x="466" y="3952"/>
          <a:chExt cx="28" cy="16"/>
        </a:xfrm>
      </xdr:grpSpPr>
      <xdr:sp macro="" textlink="">
        <xdr:nvSpPr>
          <xdr:cNvPr id="4104174" name="Line 5915">
            <a:extLst>
              <a:ext uri="{FF2B5EF4-FFF2-40B4-BE49-F238E27FC236}">
                <a16:creationId xmlns:a16="http://schemas.microsoft.com/office/drawing/2014/main" id="{00000000-0008-0000-0F00-0000E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5" name="Line 5916">
            <a:extLst>
              <a:ext uri="{FF2B5EF4-FFF2-40B4-BE49-F238E27FC236}">
                <a16:creationId xmlns:a16="http://schemas.microsoft.com/office/drawing/2014/main" id="{00000000-0008-0000-0F00-0000E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1" name="Group 5917">
          <a:extLst>
            <a:ext uri="{FF2B5EF4-FFF2-40B4-BE49-F238E27FC236}">
              <a16:creationId xmlns:a16="http://schemas.microsoft.com/office/drawing/2014/main" id="{00000000-0008-0000-0F00-0000E19A3E00}"/>
            </a:ext>
          </a:extLst>
        </xdr:cNvPr>
        <xdr:cNvGrpSpPr>
          <a:grpSpLocks/>
        </xdr:cNvGrpSpPr>
      </xdr:nvGrpSpPr>
      <xdr:grpSpPr bwMode="auto">
        <a:xfrm>
          <a:off x="4700588" y="10096500"/>
          <a:ext cx="266700" cy="0"/>
          <a:chOff x="466" y="3952"/>
          <a:chExt cx="28" cy="16"/>
        </a:xfrm>
      </xdr:grpSpPr>
      <xdr:sp macro="" textlink="">
        <xdr:nvSpPr>
          <xdr:cNvPr id="4104172" name="Line 5918">
            <a:extLst>
              <a:ext uri="{FF2B5EF4-FFF2-40B4-BE49-F238E27FC236}">
                <a16:creationId xmlns:a16="http://schemas.microsoft.com/office/drawing/2014/main" id="{00000000-0008-0000-0F00-0000E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3" name="Line 5919">
            <a:extLst>
              <a:ext uri="{FF2B5EF4-FFF2-40B4-BE49-F238E27FC236}">
                <a16:creationId xmlns:a16="http://schemas.microsoft.com/office/drawing/2014/main" id="{00000000-0008-0000-0F00-0000E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82" name="Group 5920">
          <a:extLst>
            <a:ext uri="{FF2B5EF4-FFF2-40B4-BE49-F238E27FC236}">
              <a16:creationId xmlns:a16="http://schemas.microsoft.com/office/drawing/2014/main" id="{00000000-0008-0000-0F00-0000E29A3E00}"/>
            </a:ext>
          </a:extLst>
        </xdr:cNvPr>
        <xdr:cNvGrpSpPr>
          <a:grpSpLocks/>
        </xdr:cNvGrpSpPr>
      </xdr:nvGrpSpPr>
      <xdr:grpSpPr bwMode="auto">
        <a:xfrm>
          <a:off x="4117181" y="10096500"/>
          <a:ext cx="240507" cy="0"/>
          <a:chOff x="466" y="3952"/>
          <a:chExt cx="28" cy="16"/>
        </a:xfrm>
      </xdr:grpSpPr>
      <xdr:sp macro="" textlink="">
        <xdr:nvSpPr>
          <xdr:cNvPr id="4104170" name="Line 5921">
            <a:extLst>
              <a:ext uri="{FF2B5EF4-FFF2-40B4-BE49-F238E27FC236}">
                <a16:creationId xmlns:a16="http://schemas.microsoft.com/office/drawing/2014/main" id="{00000000-0008-0000-0F00-0000E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71" name="Line 5922">
            <a:extLst>
              <a:ext uri="{FF2B5EF4-FFF2-40B4-BE49-F238E27FC236}">
                <a16:creationId xmlns:a16="http://schemas.microsoft.com/office/drawing/2014/main" id="{00000000-0008-0000-0F00-0000E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883" name="Group 5923">
          <a:extLst>
            <a:ext uri="{FF2B5EF4-FFF2-40B4-BE49-F238E27FC236}">
              <a16:creationId xmlns:a16="http://schemas.microsoft.com/office/drawing/2014/main" id="{00000000-0008-0000-0F00-0000E39A3E00}"/>
            </a:ext>
          </a:extLst>
        </xdr:cNvPr>
        <xdr:cNvGrpSpPr>
          <a:grpSpLocks/>
        </xdr:cNvGrpSpPr>
      </xdr:nvGrpSpPr>
      <xdr:grpSpPr bwMode="auto">
        <a:xfrm>
          <a:off x="5486400" y="10096500"/>
          <a:ext cx="228600" cy="0"/>
          <a:chOff x="466" y="3952"/>
          <a:chExt cx="28" cy="16"/>
        </a:xfrm>
      </xdr:grpSpPr>
      <xdr:sp macro="" textlink="">
        <xdr:nvSpPr>
          <xdr:cNvPr id="4104168" name="Line 5924">
            <a:extLst>
              <a:ext uri="{FF2B5EF4-FFF2-40B4-BE49-F238E27FC236}">
                <a16:creationId xmlns:a16="http://schemas.microsoft.com/office/drawing/2014/main" id="{00000000-0008-0000-0F00-0000E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9" name="Line 5925">
            <a:extLst>
              <a:ext uri="{FF2B5EF4-FFF2-40B4-BE49-F238E27FC236}">
                <a16:creationId xmlns:a16="http://schemas.microsoft.com/office/drawing/2014/main" id="{00000000-0008-0000-0F00-0000E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4" name="Group 5926">
          <a:extLst>
            <a:ext uri="{FF2B5EF4-FFF2-40B4-BE49-F238E27FC236}">
              <a16:creationId xmlns:a16="http://schemas.microsoft.com/office/drawing/2014/main" id="{00000000-0008-0000-0F00-0000E49A3E00}"/>
            </a:ext>
          </a:extLst>
        </xdr:cNvPr>
        <xdr:cNvGrpSpPr>
          <a:grpSpLocks/>
        </xdr:cNvGrpSpPr>
      </xdr:nvGrpSpPr>
      <xdr:grpSpPr bwMode="auto">
        <a:xfrm>
          <a:off x="4700588" y="10096500"/>
          <a:ext cx="266700" cy="0"/>
          <a:chOff x="466" y="3952"/>
          <a:chExt cx="28" cy="16"/>
        </a:xfrm>
      </xdr:grpSpPr>
      <xdr:sp macro="" textlink="">
        <xdr:nvSpPr>
          <xdr:cNvPr id="4104166" name="Line 5927">
            <a:extLst>
              <a:ext uri="{FF2B5EF4-FFF2-40B4-BE49-F238E27FC236}">
                <a16:creationId xmlns:a16="http://schemas.microsoft.com/office/drawing/2014/main" id="{00000000-0008-0000-0F00-0000E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7" name="Line 5928">
            <a:extLst>
              <a:ext uri="{FF2B5EF4-FFF2-40B4-BE49-F238E27FC236}">
                <a16:creationId xmlns:a16="http://schemas.microsoft.com/office/drawing/2014/main" id="{00000000-0008-0000-0F00-0000E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5" name="Group 5929">
          <a:extLst>
            <a:ext uri="{FF2B5EF4-FFF2-40B4-BE49-F238E27FC236}">
              <a16:creationId xmlns:a16="http://schemas.microsoft.com/office/drawing/2014/main" id="{00000000-0008-0000-0F00-0000E59A3E00}"/>
            </a:ext>
          </a:extLst>
        </xdr:cNvPr>
        <xdr:cNvGrpSpPr>
          <a:grpSpLocks/>
        </xdr:cNvGrpSpPr>
      </xdr:nvGrpSpPr>
      <xdr:grpSpPr bwMode="auto">
        <a:xfrm>
          <a:off x="4700588" y="10096500"/>
          <a:ext cx="266700" cy="0"/>
          <a:chOff x="466" y="3952"/>
          <a:chExt cx="28" cy="16"/>
        </a:xfrm>
      </xdr:grpSpPr>
      <xdr:sp macro="" textlink="">
        <xdr:nvSpPr>
          <xdr:cNvPr id="4104164" name="Line 5930">
            <a:extLst>
              <a:ext uri="{FF2B5EF4-FFF2-40B4-BE49-F238E27FC236}">
                <a16:creationId xmlns:a16="http://schemas.microsoft.com/office/drawing/2014/main" id="{00000000-0008-0000-0F00-0000E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5" name="Line 5931">
            <a:extLst>
              <a:ext uri="{FF2B5EF4-FFF2-40B4-BE49-F238E27FC236}">
                <a16:creationId xmlns:a16="http://schemas.microsoft.com/office/drawing/2014/main" id="{00000000-0008-0000-0F00-0000E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6" name="Group 5932">
          <a:extLst>
            <a:ext uri="{FF2B5EF4-FFF2-40B4-BE49-F238E27FC236}">
              <a16:creationId xmlns:a16="http://schemas.microsoft.com/office/drawing/2014/main" id="{00000000-0008-0000-0F00-0000E69A3E00}"/>
            </a:ext>
          </a:extLst>
        </xdr:cNvPr>
        <xdr:cNvGrpSpPr>
          <a:grpSpLocks/>
        </xdr:cNvGrpSpPr>
      </xdr:nvGrpSpPr>
      <xdr:grpSpPr bwMode="auto">
        <a:xfrm>
          <a:off x="4700588" y="10096500"/>
          <a:ext cx="266700" cy="0"/>
          <a:chOff x="466" y="3952"/>
          <a:chExt cx="28" cy="16"/>
        </a:xfrm>
      </xdr:grpSpPr>
      <xdr:sp macro="" textlink="">
        <xdr:nvSpPr>
          <xdr:cNvPr id="4104162" name="Line 5933">
            <a:extLst>
              <a:ext uri="{FF2B5EF4-FFF2-40B4-BE49-F238E27FC236}">
                <a16:creationId xmlns:a16="http://schemas.microsoft.com/office/drawing/2014/main" id="{00000000-0008-0000-0F00-0000E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3" name="Line 5934">
            <a:extLst>
              <a:ext uri="{FF2B5EF4-FFF2-40B4-BE49-F238E27FC236}">
                <a16:creationId xmlns:a16="http://schemas.microsoft.com/office/drawing/2014/main" id="{00000000-0008-0000-0F00-0000E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7" name="Group 5935">
          <a:extLst>
            <a:ext uri="{FF2B5EF4-FFF2-40B4-BE49-F238E27FC236}">
              <a16:creationId xmlns:a16="http://schemas.microsoft.com/office/drawing/2014/main" id="{00000000-0008-0000-0F00-0000E79A3E00}"/>
            </a:ext>
          </a:extLst>
        </xdr:cNvPr>
        <xdr:cNvGrpSpPr>
          <a:grpSpLocks/>
        </xdr:cNvGrpSpPr>
      </xdr:nvGrpSpPr>
      <xdr:grpSpPr bwMode="auto">
        <a:xfrm>
          <a:off x="4700588" y="10096500"/>
          <a:ext cx="266700" cy="0"/>
          <a:chOff x="466" y="3952"/>
          <a:chExt cx="28" cy="16"/>
        </a:xfrm>
      </xdr:grpSpPr>
      <xdr:sp macro="" textlink="">
        <xdr:nvSpPr>
          <xdr:cNvPr id="4104160" name="Line 5936">
            <a:extLst>
              <a:ext uri="{FF2B5EF4-FFF2-40B4-BE49-F238E27FC236}">
                <a16:creationId xmlns:a16="http://schemas.microsoft.com/office/drawing/2014/main" id="{00000000-0008-0000-0F00-0000E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61" name="Line 5937">
            <a:extLst>
              <a:ext uri="{FF2B5EF4-FFF2-40B4-BE49-F238E27FC236}">
                <a16:creationId xmlns:a16="http://schemas.microsoft.com/office/drawing/2014/main" id="{00000000-0008-0000-0F00-0000E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888" name="Group 5938">
          <a:extLst>
            <a:ext uri="{FF2B5EF4-FFF2-40B4-BE49-F238E27FC236}">
              <a16:creationId xmlns:a16="http://schemas.microsoft.com/office/drawing/2014/main" id="{00000000-0008-0000-0F00-0000E89A3E00}"/>
            </a:ext>
          </a:extLst>
        </xdr:cNvPr>
        <xdr:cNvGrpSpPr>
          <a:grpSpLocks/>
        </xdr:cNvGrpSpPr>
      </xdr:nvGrpSpPr>
      <xdr:grpSpPr bwMode="auto">
        <a:xfrm>
          <a:off x="4700588" y="10096500"/>
          <a:ext cx="266700" cy="0"/>
          <a:chOff x="466" y="3952"/>
          <a:chExt cx="28" cy="16"/>
        </a:xfrm>
      </xdr:grpSpPr>
      <xdr:sp macro="" textlink="">
        <xdr:nvSpPr>
          <xdr:cNvPr id="4104158" name="Line 5939">
            <a:extLst>
              <a:ext uri="{FF2B5EF4-FFF2-40B4-BE49-F238E27FC236}">
                <a16:creationId xmlns:a16="http://schemas.microsoft.com/office/drawing/2014/main" id="{00000000-0008-0000-0F00-0000D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9" name="Line 5940">
            <a:extLst>
              <a:ext uri="{FF2B5EF4-FFF2-40B4-BE49-F238E27FC236}">
                <a16:creationId xmlns:a16="http://schemas.microsoft.com/office/drawing/2014/main" id="{00000000-0008-0000-0F00-0000D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889" name="Group 5941">
          <a:extLst>
            <a:ext uri="{FF2B5EF4-FFF2-40B4-BE49-F238E27FC236}">
              <a16:creationId xmlns:a16="http://schemas.microsoft.com/office/drawing/2014/main" id="{00000000-0008-0000-0F00-0000E99A3E00}"/>
            </a:ext>
          </a:extLst>
        </xdr:cNvPr>
        <xdr:cNvGrpSpPr>
          <a:grpSpLocks/>
        </xdr:cNvGrpSpPr>
      </xdr:nvGrpSpPr>
      <xdr:grpSpPr bwMode="auto">
        <a:xfrm>
          <a:off x="4576763" y="10096500"/>
          <a:ext cx="228600" cy="0"/>
          <a:chOff x="466" y="3952"/>
          <a:chExt cx="28" cy="16"/>
        </a:xfrm>
      </xdr:grpSpPr>
      <xdr:sp macro="" textlink="">
        <xdr:nvSpPr>
          <xdr:cNvPr id="4104156" name="Line 5942">
            <a:extLst>
              <a:ext uri="{FF2B5EF4-FFF2-40B4-BE49-F238E27FC236}">
                <a16:creationId xmlns:a16="http://schemas.microsoft.com/office/drawing/2014/main" id="{00000000-0008-0000-0F00-0000D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7" name="Line 5943">
            <a:extLst>
              <a:ext uri="{FF2B5EF4-FFF2-40B4-BE49-F238E27FC236}">
                <a16:creationId xmlns:a16="http://schemas.microsoft.com/office/drawing/2014/main" id="{00000000-0008-0000-0F00-0000D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0" name="Group 5944">
          <a:extLst>
            <a:ext uri="{FF2B5EF4-FFF2-40B4-BE49-F238E27FC236}">
              <a16:creationId xmlns:a16="http://schemas.microsoft.com/office/drawing/2014/main" id="{00000000-0008-0000-0F00-0000EA9A3E00}"/>
            </a:ext>
          </a:extLst>
        </xdr:cNvPr>
        <xdr:cNvGrpSpPr>
          <a:grpSpLocks/>
        </xdr:cNvGrpSpPr>
      </xdr:nvGrpSpPr>
      <xdr:grpSpPr bwMode="auto">
        <a:xfrm>
          <a:off x="4117181" y="10096500"/>
          <a:ext cx="240507" cy="0"/>
          <a:chOff x="466" y="3952"/>
          <a:chExt cx="28" cy="16"/>
        </a:xfrm>
      </xdr:grpSpPr>
      <xdr:sp macro="" textlink="">
        <xdr:nvSpPr>
          <xdr:cNvPr id="4104154" name="Line 5945">
            <a:extLst>
              <a:ext uri="{FF2B5EF4-FFF2-40B4-BE49-F238E27FC236}">
                <a16:creationId xmlns:a16="http://schemas.microsoft.com/office/drawing/2014/main" id="{00000000-0008-0000-0F00-0000D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5" name="Line 5946">
            <a:extLst>
              <a:ext uri="{FF2B5EF4-FFF2-40B4-BE49-F238E27FC236}">
                <a16:creationId xmlns:a16="http://schemas.microsoft.com/office/drawing/2014/main" id="{00000000-0008-0000-0F00-0000D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1" name="Group 5947">
          <a:extLst>
            <a:ext uri="{FF2B5EF4-FFF2-40B4-BE49-F238E27FC236}">
              <a16:creationId xmlns:a16="http://schemas.microsoft.com/office/drawing/2014/main" id="{00000000-0008-0000-0F00-0000EB9A3E00}"/>
            </a:ext>
          </a:extLst>
        </xdr:cNvPr>
        <xdr:cNvGrpSpPr>
          <a:grpSpLocks/>
        </xdr:cNvGrpSpPr>
      </xdr:nvGrpSpPr>
      <xdr:grpSpPr bwMode="auto">
        <a:xfrm>
          <a:off x="4117181" y="10096500"/>
          <a:ext cx="240507" cy="0"/>
          <a:chOff x="466" y="3952"/>
          <a:chExt cx="28" cy="16"/>
        </a:xfrm>
      </xdr:grpSpPr>
      <xdr:sp macro="" textlink="">
        <xdr:nvSpPr>
          <xdr:cNvPr id="4104152" name="Line 5948">
            <a:extLst>
              <a:ext uri="{FF2B5EF4-FFF2-40B4-BE49-F238E27FC236}">
                <a16:creationId xmlns:a16="http://schemas.microsoft.com/office/drawing/2014/main" id="{00000000-0008-0000-0F00-0000D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3" name="Line 5949">
            <a:extLst>
              <a:ext uri="{FF2B5EF4-FFF2-40B4-BE49-F238E27FC236}">
                <a16:creationId xmlns:a16="http://schemas.microsoft.com/office/drawing/2014/main" id="{00000000-0008-0000-0F00-0000D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2" name="Group 5950">
          <a:extLst>
            <a:ext uri="{FF2B5EF4-FFF2-40B4-BE49-F238E27FC236}">
              <a16:creationId xmlns:a16="http://schemas.microsoft.com/office/drawing/2014/main" id="{00000000-0008-0000-0F00-0000EC9A3E00}"/>
            </a:ext>
          </a:extLst>
        </xdr:cNvPr>
        <xdr:cNvGrpSpPr>
          <a:grpSpLocks/>
        </xdr:cNvGrpSpPr>
      </xdr:nvGrpSpPr>
      <xdr:grpSpPr bwMode="auto">
        <a:xfrm>
          <a:off x="4117181" y="10096500"/>
          <a:ext cx="240507" cy="0"/>
          <a:chOff x="466" y="3952"/>
          <a:chExt cx="28" cy="16"/>
        </a:xfrm>
      </xdr:grpSpPr>
      <xdr:sp macro="" textlink="">
        <xdr:nvSpPr>
          <xdr:cNvPr id="4104150" name="Line 5951">
            <a:extLst>
              <a:ext uri="{FF2B5EF4-FFF2-40B4-BE49-F238E27FC236}">
                <a16:creationId xmlns:a16="http://schemas.microsoft.com/office/drawing/2014/main" id="{00000000-0008-0000-0F00-0000D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51" name="Line 5952">
            <a:extLst>
              <a:ext uri="{FF2B5EF4-FFF2-40B4-BE49-F238E27FC236}">
                <a16:creationId xmlns:a16="http://schemas.microsoft.com/office/drawing/2014/main" id="{00000000-0008-0000-0F00-0000D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3" name="Group 5953">
          <a:extLst>
            <a:ext uri="{FF2B5EF4-FFF2-40B4-BE49-F238E27FC236}">
              <a16:creationId xmlns:a16="http://schemas.microsoft.com/office/drawing/2014/main" id="{00000000-0008-0000-0F00-0000ED9A3E00}"/>
            </a:ext>
          </a:extLst>
        </xdr:cNvPr>
        <xdr:cNvGrpSpPr>
          <a:grpSpLocks/>
        </xdr:cNvGrpSpPr>
      </xdr:nvGrpSpPr>
      <xdr:grpSpPr bwMode="auto">
        <a:xfrm>
          <a:off x="4117181" y="10096500"/>
          <a:ext cx="240507" cy="0"/>
          <a:chOff x="466" y="3952"/>
          <a:chExt cx="28" cy="16"/>
        </a:xfrm>
      </xdr:grpSpPr>
      <xdr:sp macro="" textlink="">
        <xdr:nvSpPr>
          <xdr:cNvPr id="4104148" name="Line 5954">
            <a:extLst>
              <a:ext uri="{FF2B5EF4-FFF2-40B4-BE49-F238E27FC236}">
                <a16:creationId xmlns:a16="http://schemas.microsoft.com/office/drawing/2014/main" id="{00000000-0008-0000-0F00-0000D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9" name="Line 5955">
            <a:extLst>
              <a:ext uri="{FF2B5EF4-FFF2-40B4-BE49-F238E27FC236}">
                <a16:creationId xmlns:a16="http://schemas.microsoft.com/office/drawing/2014/main" id="{00000000-0008-0000-0F00-0000D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4" name="Group 5956">
          <a:extLst>
            <a:ext uri="{FF2B5EF4-FFF2-40B4-BE49-F238E27FC236}">
              <a16:creationId xmlns:a16="http://schemas.microsoft.com/office/drawing/2014/main" id="{00000000-0008-0000-0F00-0000EE9A3E00}"/>
            </a:ext>
          </a:extLst>
        </xdr:cNvPr>
        <xdr:cNvGrpSpPr>
          <a:grpSpLocks/>
        </xdr:cNvGrpSpPr>
      </xdr:nvGrpSpPr>
      <xdr:grpSpPr bwMode="auto">
        <a:xfrm>
          <a:off x="4117181" y="10096500"/>
          <a:ext cx="240507" cy="0"/>
          <a:chOff x="466" y="3952"/>
          <a:chExt cx="28" cy="16"/>
        </a:xfrm>
      </xdr:grpSpPr>
      <xdr:sp macro="" textlink="">
        <xdr:nvSpPr>
          <xdr:cNvPr id="4104146" name="Line 5957">
            <a:extLst>
              <a:ext uri="{FF2B5EF4-FFF2-40B4-BE49-F238E27FC236}">
                <a16:creationId xmlns:a16="http://schemas.microsoft.com/office/drawing/2014/main" id="{00000000-0008-0000-0F00-0000D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7" name="Line 5958">
            <a:extLst>
              <a:ext uri="{FF2B5EF4-FFF2-40B4-BE49-F238E27FC236}">
                <a16:creationId xmlns:a16="http://schemas.microsoft.com/office/drawing/2014/main" id="{00000000-0008-0000-0F00-0000D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5" name="Group 5959">
          <a:extLst>
            <a:ext uri="{FF2B5EF4-FFF2-40B4-BE49-F238E27FC236}">
              <a16:creationId xmlns:a16="http://schemas.microsoft.com/office/drawing/2014/main" id="{00000000-0008-0000-0F00-0000EF9A3E00}"/>
            </a:ext>
          </a:extLst>
        </xdr:cNvPr>
        <xdr:cNvGrpSpPr>
          <a:grpSpLocks/>
        </xdr:cNvGrpSpPr>
      </xdr:nvGrpSpPr>
      <xdr:grpSpPr bwMode="auto">
        <a:xfrm>
          <a:off x="4117181" y="10096500"/>
          <a:ext cx="240507" cy="0"/>
          <a:chOff x="466" y="3952"/>
          <a:chExt cx="28" cy="16"/>
        </a:xfrm>
      </xdr:grpSpPr>
      <xdr:sp macro="" textlink="">
        <xdr:nvSpPr>
          <xdr:cNvPr id="4104144" name="Line 5960">
            <a:extLst>
              <a:ext uri="{FF2B5EF4-FFF2-40B4-BE49-F238E27FC236}">
                <a16:creationId xmlns:a16="http://schemas.microsoft.com/office/drawing/2014/main" id="{00000000-0008-0000-0F00-0000D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5" name="Line 5961">
            <a:extLst>
              <a:ext uri="{FF2B5EF4-FFF2-40B4-BE49-F238E27FC236}">
                <a16:creationId xmlns:a16="http://schemas.microsoft.com/office/drawing/2014/main" id="{00000000-0008-0000-0F00-0000D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896" name="Group 5962">
          <a:extLst>
            <a:ext uri="{FF2B5EF4-FFF2-40B4-BE49-F238E27FC236}">
              <a16:creationId xmlns:a16="http://schemas.microsoft.com/office/drawing/2014/main" id="{00000000-0008-0000-0F00-0000F09A3E00}"/>
            </a:ext>
          </a:extLst>
        </xdr:cNvPr>
        <xdr:cNvGrpSpPr>
          <a:grpSpLocks/>
        </xdr:cNvGrpSpPr>
      </xdr:nvGrpSpPr>
      <xdr:grpSpPr bwMode="auto">
        <a:xfrm>
          <a:off x="3993356" y="10096500"/>
          <a:ext cx="228600" cy="0"/>
          <a:chOff x="466" y="3952"/>
          <a:chExt cx="28" cy="16"/>
        </a:xfrm>
      </xdr:grpSpPr>
      <xdr:sp macro="" textlink="">
        <xdr:nvSpPr>
          <xdr:cNvPr id="4104142" name="Line 5963">
            <a:extLst>
              <a:ext uri="{FF2B5EF4-FFF2-40B4-BE49-F238E27FC236}">
                <a16:creationId xmlns:a16="http://schemas.microsoft.com/office/drawing/2014/main" id="{00000000-0008-0000-0F00-0000C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3" name="Line 5964">
            <a:extLst>
              <a:ext uri="{FF2B5EF4-FFF2-40B4-BE49-F238E27FC236}">
                <a16:creationId xmlns:a16="http://schemas.microsoft.com/office/drawing/2014/main" id="{00000000-0008-0000-0F00-0000C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7" name="Group 5965">
          <a:extLst>
            <a:ext uri="{FF2B5EF4-FFF2-40B4-BE49-F238E27FC236}">
              <a16:creationId xmlns:a16="http://schemas.microsoft.com/office/drawing/2014/main" id="{00000000-0008-0000-0F00-0000F19A3E00}"/>
            </a:ext>
          </a:extLst>
        </xdr:cNvPr>
        <xdr:cNvGrpSpPr>
          <a:grpSpLocks/>
        </xdr:cNvGrpSpPr>
      </xdr:nvGrpSpPr>
      <xdr:grpSpPr bwMode="auto">
        <a:xfrm>
          <a:off x="4117181" y="10096500"/>
          <a:ext cx="228600" cy="0"/>
          <a:chOff x="466" y="3952"/>
          <a:chExt cx="28" cy="16"/>
        </a:xfrm>
      </xdr:grpSpPr>
      <xdr:sp macro="" textlink="">
        <xdr:nvSpPr>
          <xdr:cNvPr id="4104140" name="Line 5966">
            <a:extLst>
              <a:ext uri="{FF2B5EF4-FFF2-40B4-BE49-F238E27FC236}">
                <a16:creationId xmlns:a16="http://schemas.microsoft.com/office/drawing/2014/main" id="{00000000-0008-0000-0F00-0000C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41" name="Line 5967">
            <a:extLst>
              <a:ext uri="{FF2B5EF4-FFF2-40B4-BE49-F238E27FC236}">
                <a16:creationId xmlns:a16="http://schemas.microsoft.com/office/drawing/2014/main" id="{00000000-0008-0000-0F00-0000C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898" name="Group 5968">
          <a:extLst>
            <a:ext uri="{FF2B5EF4-FFF2-40B4-BE49-F238E27FC236}">
              <a16:creationId xmlns:a16="http://schemas.microsoft.com/office/drawing/2014/main" id="{00000000-0008-0000-0F00-0000F29A3E00}"/>
            </a:ext>
          </a:extLst>
        </xdr:cNvPr>
        <xdr:cNvGrpSpPr>
          <a:grpSpLocks/>
        </xdr:cNvGrpSpPr>
      </xdr:nvGrpSpPr>
      <xdr:grpSpPr bwMode="auto">
        <a:xfrm>
          <a:off x="4117181" y="10096500"/>
          <a:ext cx="228600" cy="0"/>
          <a:chOff x="466" y="3952"/>
          <a:chExt cx="28" cy="16"/>
        </a:xfrm>
      </xdr:grpSpPr>
      <xdr:sp macro="" textlink="">
        <xdr:nvSpPr>
          <xdr:cNvPr id="4104138" name="Line 5969">
            <a:extLst>
              <a:ext uri="{FF2B5EF4-FFF2-40B4-BE49-F238E27FC236}">
                <a16:creationId xmlns:a16="http://schemas.microsoft.com/office/drawing/2014/main" id="{00000000-0008-0000-0F00-0000C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9" name="Line 5970">
            <a:extLst>
              <a:ext uri="{FF2B5EF4-FFF2-40B4-BE49-F238E27FC236}">
                <a16:creationId xmlns:a16="http://schemas.microsoft.com/office/drawing/2014/main" id="{00000000-0008-0000-0F00-0000C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899" name="Group 5971">
          <a:extLst>
            <a:ext uri="{FF2B5EF4-FFF2-40B4-BE49-F238E27FC236}">
              <a16:creationId xmlns:a16="http://schemas.microsoft.com/office/drawing/2014/main" id="{00000000-0008-0000-0F00-0000F39A3E00}"/>
            </a:ext>
          </a:extLst>
        </xdr:cNvPr>
        <xdr:cNvGrpSpPr>
          <a:grpSpLocks/>
        </xdr:cNvGrpSpPr>
      </xdr:nvGrpSpPr>
      <xdr:grpSpPr bwMode="auto">
        <a:xfrm>
          <a:off x="4117181" y="10096500"/>
          <a:ext cx="240507" cy="0"/>
          <a:chOff x="466" y="3952"/>
          <a:chExt cx="28" cy="16"/>
        </a:xfrm>
      </xdr:grpSpPr>
      <xdr:sp macro="" textlink="">
        <xdr:nvSpPr>
          <xdr:cNvPr id="4104136" name="Line 5972">
            <a:extLst>
              <a:ext uri="{FF2B5EF4-FFF2-40B4-BE49-F238E27FC236}">
                <a16:creationId xmlns:a16="http://schemas.microsoft.com/office/drawing/2014/main" id="{00000000-0008-0000-0F00-0000C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7" name="Line 5973">
            <a:extLst>
              <a:ext uri="{FF2B5EF4-FFF2-40B4-BE49-F238E27FC236}">
                <a16:creationId xmlns:a16="http://schemas.microsoft.com/office/drawing/2014/main" id="{00000000-0008-0000-0F00-0000C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0" name="Group 5974">
          <a:extLst>
            <a:ext uri="{FF2B5EF4-FFF2-40B4-BE49-F238E27FC236}">
              <a16:creationId xmlns:a16="http://schemas.microsoft.com/office/drawing/2014/main" id="{00000000-0008-0000-0F00-0000F49A3E00}"/>
            </a:ext>
          </a:extLst>
        </xdr:cNvPr>
        <xdr:cNvGrpSpPr>
          <a:grpSpLocks/>
        </xdr:cNvGrpSpPr>
      </xdr:nvGrpSpPr>
      <xdr:grpSpPr bwMode="auto">
        <a:xfrm>
          <a:off x="4117181" y="10096500"/>
          <a:ext cx="228600" cy="0"/>
          <a:chOff x="466" y="3952"/>
          <a:chExt cx="28" cy="16"/>
        </a:xfrm>
      </xdr:grpSpPr>
      <xdr:sp macro="" textlink="">
        <xdr:nvSpPr>
          <xdr:cNvPr id="4104134" name="Line 5975">
            <a:extLst>
              <a:ext uri="{FF2B5EF4-FFF2-40B4-BE49-F238E27FC236}">
                <a16:creationId xmlns:a16="http://schemas.microsoft.com/office/drawing/2014/main" id="{00000000-0008-0000-0F00-0000C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5" name="Line 5976">
            <a:extLst>
              <a:ext uri="{FF2B5EF4-FFF2-40B4-BE49-F238E27FC236}">
                <a16:creationId xmlns:a16="http://schemas.microsoft.com/office/drawing/2014/main" id="{00000000-0008-0000-0F00-0000C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01" name="Group 5977">
          <a:extLst>
            <a:ext uri="{FF2B5EF4-FFF2-40B4-BE49-F238E27FC236}">
              <a16:creationId xmlns:a16="http://schemas.microsoft.com/office/drawing/2014/main" id="{00000000-0008-0000-0F00-0000F59A3E00}"/>
            </a:ext>
          </a:extLst>
        </xdr:cNvPr>
        <xdr:cNvGrpSpPr>
          <a:grpSpLocks/>
        </xdr:cNvGrpSpPr>
      </xdr:nvGrpSpPr>
      <xdr:grpSpPr bwMode="auto">
        <a:xfrm>
          <a:off x="4117181" y="10096500"/>
          <a:ext cx="228600" cy="0"/>
          <a:chOff x="466" y="3952"/>
          <a:chExt cx="28" cy="16"/>
        </a:xfrm>
      </xdr:grpSpPr>
      <xdr:sp macro="" textlink="">
        <xdr:nvSpPr>
          <xdr:cNvPr id="4104132" name="Line 5978">
            <a:extLst>
              <a:ext uri="{FF2B5EF4-FFF2-40B4-BE49-F238E27FC236}">
                <a16:creationId xmlns:a16="http://schemas.microsoft.com/office/drawing/2014/main" id="{00000000-0008-0000-0F00-0000C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3" name="Line 5979">
            <a:extLst>
              <a:ext uri="{FF2B5EF4-FFF2-40B4-BE49-F238E27FC236}">
                <a16:creationId xmlns:a16="http://schemas.microsoft.com/office/drawing/2014/main" id="{00000000-0008-0000-0F00-0000C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02" name="Group 5980">
          <a:extLst>
            <a:ext uri="{FF2B5EF4-FFF2-40B4-BE49-F238E27FC236}">
              <a16:creationId xmlns:a16="http://schemas.microsoft.com/office/drawing/2014/main" id="{00000000-0008-0000-0F00-0000F69A3E00}"/>
            </a:ext>
          </a:extLst>
        </xdr:cNvPr>
        <xdr:cNvGrpSpPr>
          <a:grpSpLocks/>
        </xdr:cNvGrpSpPr>
      </xdr:nvGrpSpPr>
      <xdr:grpSpPr bwMode="auto">
        <a:xfrm>
          <a:off x="4117181" y="10096500"/>
          <a:ext cx="240507" cy="0"/>
          <a:chOff x="466" y="3952"/>
          <a:chExt cx="28" cy="16"/>
        </a:xfrm>
      </xdr:grpSpPr>
      <xdr:sp macro="" textlink="">
        <xdr:nvSpPr>
          <xdr:cNvPr id="4104130" name="Line 5981">
            <a:extLst>
              <a:ext uri="{FF2B5EF4-FFF2-40B4-BE49-F238E27FC236}">
                <a16:creationId xmlns:a16="http://schemas.microsoft.com/office/drawing/2014/main" id="{00000000-0008-0000-0F00-0000C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31" name="Line 5982">
            <a:extLst>
              <a:ext uri="{FF2B5EF4-FFF2-40B4-BE49-F238E27FC236}">
                <a16:creationId xmlns:a16="http://schemas.microsoft.com/office/drawing/2014/main" id="{00000000-0008-0000-0F00-0000C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3" name="Group 5983">
          <a:extLst>
            <a:ext uri="{FF2B5EF4-FFF2-40B4-BE49-F238E27FC236}">
              <a16:creationId xmlns:a16="http://schemas.microsoft.com/office/drawing/2014/main" id="{00000000-0008-0000-0F00-0000F79A3E00}"/>
            </a:ext>
          </a:extLst>
        </xdr:cNvPr>
        <xdr:cNvGrpSpPr>
          <a:grpSpLocks/>
        </xdr:cNvGrpSpPr>
      </xdr:nvGrpSpPr>
      <xdr:grpSpPr bwMode="auto">
        <a:xfrm>
          <a:off x="4700588" y="10096500"/>
          <a:ext cx="266700" cy="0"/>
          <a:chOff x="466" y="3952"/>
          <a:chExt cx="28" cy="16"/>
        </a:xfrm>
      </xdr:grpSpPr>
      <xdr:sp macro="" textlink="">
        <xdr:nvSpPr>
          <xdr:cNvPr id="4104128" name="Line 5984">
            <a:extLst>
              <a:ext uri="{FF2B5EF4-FFF2-40B4-BE49-F238E27FC236}">
                <a16:creationId xmlns:a16="http://schemas.microsoft.com/office/drawing/2014/main" id="{00000000-0008-0000-0F00-0000C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9" name="Line 5985">
            <a:extLst>
              <a:ext uri="{FF2B5EF4-FFF2-40B4-BE49-F238E27FC236}">
                <a16:creationId xmlns:a16="http://schemas.microsoft.com/office/drawing/2014/main" id="{00000000-0008-0000-0F00-0000C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4" name="Group 5986">
          <a:extLst>
            <a:ext uri="{FF2B5EF4-FFF2-40B4-BE49-F238E27FC236}">
              <a16:creationId xmlns:a16="http://schemas.microsoft.com/office/drawing/2014/main" id="{00000000-0008-0000-0F00-0000F89A3E00}"/>
            </a:ext>
          </a:extLst>
        </xdr:cNvPr>
        <xdr:cNvGrpSpPr>
          <a:grpSpLocks/>
        </xdr:cNvGrpSpPr>
      </xdr:nvGrpSpPr>
      <xdr:grpSpPr bwMode="auto">
        <a:xfrm>
          <a:off x="4700588" y="10096500"/>
          <a:ext cx="266700" cy="0"/>
          <a:chOff x="466" y="3952"/>
          <a:chExt cx="28" cy="16"/>
        </a:xfrm>
      </xdr:grpSpPr>
      <xdr:sp macro="" textlink="">
        <xdr:nvSpPr>
          <xdr:cNvPr id="4104126" name="Line 5987">
            <a:extLst>
              <a:ext uri="{FF2B5EF4-FFF2-40B4-BE49-F238E27FC236}">
                <a16:creationId xmlns:a16="http://schemas.microsoft.com/office/drawing/2014/main" id="{00000000-0008-0000-0F00-0000B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7" name="Line 5988">
            <a:extLst>
              <a:ext uri="{FF2B5EF4-FFF2-40B4-BE49-F238E27FC236}">
                <a16:creationId xmlns:a16="http://schemas.microsoft.com/office/drawing/2014/main" id="{00000000-0008-0000-0F00-0000B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05" name="Group 5989">
          <a:extLst>
            <a:ext uri="{FF2B5EF4-FFF2-40B4-BE49-F238E27FC236}">
              <a16:creationId xmlns:a16="http://schemas.microsoft.com/office/drawing/2014/main" id="{00000000-0008-0000-0F00-0000F99A3E00}"/>
            </a:ext>
          </a:extLst>
        </xdr:cNvPr>
        <xdr:cNvGrpSpPr>
          <a:grpSpLocks/>
        </xdr:cNvGrpSpPr>
      </xdr:nvGrpSpPr>
      <xdr:grpSpPr bwMode="auto">
        <a:xfrm>
          <a:off x="4700588" y="10096500"/>
          <a:ext cx="266700" cy="0"/>
          <a:chOff x="466" y="3952"/>
          <a:chExt cx="28" cy="16"/>
        </a:xfrm>
      </xdr:grpSpPr>
      <xdr:sp macro="" textlink="">
        <xdr:nvSpPr>
          <xdr:cNvPr id="4104124" name="Line 5990">
            <a:extLst>
              <a:ext uri="{FF2B5EF4-FFF2-40B4-BE49-F238E27FC236}">
                <a16:creationId xmlns:a16="http://schemas.microsoft.com/office/drawing/2014/main" id="{00000000-0008-0000-0F00-0000B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5" name="Line 5991">
            <a:extLst>
              <a:ext uri="{FF2B5EF4-FFF2-40B4-BE49-F238E27FC236}">
                <a16:creationId xmlns:a16="http://schemas.microsoft.com/office/drawing/2014/main" id="{00000000-0008-0000-0F00-0000B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6" name="Group 5992">
          <a:extLst>
            <a:ext uri="{FF2B5EF4-FFF2-40B4-BE49-F238E27FC236}">
              <a16:creationId xmlns:a16="http://schemas.microsoft.com/office/drawing/2014/main" id="{00000000-0008-0000-0F00-0000FA9A3E00}"/>
            </a:ext>
          </a:extLst>
        </xdr:cNvPr>
        <xdr:cNvGrpSpPr>
          <a:grpSpLocks/>
        </xdr:cNvGrpSpPr>
      </xdr:nvGrpSpPr>
      <xdr:grpSpPr bwMode="auto">
        <a:xfrm>
          <a:off x="5486400" y="10096500"/>
          <a:ext cx="266700" cy="0"/>
          <a:chOff x="466" y="3952"/>
          <a:chExt cx="28" cy="16"/>
        </a:xfrm>
      </xdr:grpSpPr>
      <xdr:sp macro="" textlink="">
        <xdr:nvSpPr>
          <xdr:cNvPr id="4104122" name="Line 5993">
            <a:extLst>
              <a:ext uri="{FF2B5EF4-FFF2-40B4-BE49-F238E27FC236}">
                <a16:creationId xmlns:a16="http://schemas.microsoft.com/office/drawing/2014/main" id="{00000000-0008-0000-0F00-0000B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3" name="Line 5994">
            <a:extLst>
              <a:ext uri="{FF2B5EF4-FFF2-40B4-BE49-F238E27FC236}">
                <a16:creationId xmlns:a16="http://schemas.microsoft.com/office/drawing/2014/main" id="{00000000-0008-0000-0F00-0000B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7" name="Group 5995">
          <a:extLst>
            <a:ext uri="{FF2B5EF4-FFF2-40B4-BE49-F238E27FC236}">
              <a16:creationId xmlns:a16="http://schemas.microsoft.com/office/drawing/2014/main" id="{00000000-0008-0000-0F00-0000FB9A3E00}"/>
            </a:ext>
          </a:extLst>
        </xdr:cNvPr>
        <xdr:cNvGrpSpPr>
          <a:grpSpLocks/>
        </xdr:cNvGrpSpPr>
      </xdr:nvGrpSpPr>
      <xdr:grpSpPr bwMode="auto">
        <a:xfrm>
          <a:off x="5486400" y="10096500"/>
          <a:ext cx="266700" cy="0"/>
          <a:chOff x="466" y="3952"/>
          <a:chExt cx="28" cy="16"/>
        </a:xfrm>
      </xdr:grpSpPr>
      <xdr:sp macro="" textlink="">
        <xdr:nvSpPr>
          <xdr:cNvPr id="4104120" name="Line 5996">
            <a:extLst>
              <a:ext uri="{FF2B5EF4-FFF2-40B4-BE49-F238E27FC236}">
                <a16:creationId xmlns:a16="http://schemas.microsoft.com/office/drawing/2014/main" id="{00000000-0008-0000-0F00-0000B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21" name="Line 5997">
            <a:extLst>
              <a:ext uri="{FF2B5EF4-FFF2-40B4-BE49-F238E27FC236}">
                <a16:creationId xmlns:a16="http://schemas.microsoft.com/office/drawing/2014/main" id="{00000000-0008-0000-0F00-0000B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8" name="Group 5998">
          <a:extLst>
            <a:ext uri="{FF2B5EF4-FFF2-40B4-BE49-F238E27FC236}">
              <a16:creationId xmlns:a16="http://schemas.microsoft.com/office/drawing/2014/main" id="{00000000-0008-0000-0F00-0000FC9A3E00}"/>
            </a:ext>
          </a:extLst>
        </xdr:cNvPr>
        <xdr:cNvGrpSpPr>
          <a:grpSpLocks/>
        </xdr:cNvGrpSpPr>
      </xdr:nvGrpSpPr>
      <xdr:grpSpPr bwMode="auto">
        <a:xfrm>
          <a:off x="5486400" y="10096500"/>
          <a:ext cx="266700" cy="0"/>
          <a:chOff x="466" y="3952"/>
          <a:chExt cx="28" cy="16"/>
        </a:xfrm>
      </xdr:grpSpPr>
      <xdr:sp macro="" textlink="">
        <xdr:nvSpPr>
          <xdr:cNvPr id="4104118" name="Line 5999">
            <a:extLst>
              <a:ext uri="{FF2B5EF4-FFF2-40B4-BE49-F238E27FC236}">
                <a16:creationId xmlns:a16="http://schemas.microsoft.com/office/drawing/2014/main" id="{00000000-0008-0000-0F00-0000B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9" name="Line 6000">
            <a:extLst>
              <a:ext uri="{FF2B5EF4-FFF2-40B4-BE49-F238E27FC236}">
                <a16:creationId xmlns:a16="http://schemas.microsoft.com/office/drawing/2014/main" id="{00000000-0008-0000-0F00-0000B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09" name="Group 6001">
          <a:extLst>
            <a:ext uri="{FF2B5EF4-FFF2-40B4-BE49-F238E27FC236}">
              <a16:creationId xmlns:a16="http://schemas.microsoft.com/office/drawing/2014/main" id="{00000000-0008-0000-0F00-0000FD9A3E00}"/>
            </a:ext>
          </a:extLst>
        </xdr:cNvPr>
        <xdr:cNvGrpSpPr>
          <a:grpSpLocks/>
        </xdr:cNvGrpSpPr>
      </xdr:nvGrpSpPr>
      <xdr:grpSpPr bwMode="auto">
        <a:xfrm>
          <a:off x="5486400" y="10096500"/>
          <a:ext cx="266700" cy="0"/>
          <a:chOff x="466" y="3952"/>
          <a:chExt cx="28" cy="16"/>
        </a:xfrm>
      </xdr:grpSpPr>
      <xdr:sp macro="" textlink="">
        <xdr:nvSpPr>
          <xdr:cNvPr id="4104116" name="Line 6002">
            <a:extLst>
              <a:ext uri="{FF2B5EF4-FFF2-40B4-BE49-F238E27FC236}">
                <a16:creationId xmlns:a16="http://schemas.microsoft.com/office/drawing/2014/main" id="{00000000-0008-0000-0F00-0000B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7" name="Line 6003">
            <a:extLst>
              <a:ext uri="{FF2B5EF4-FFF2-40B4-BE49-F238E27FC236}">
                <a16:creationId xmlns:a16="http://schemas.microsoft.com/office/drawing/2014/main" id="{00000000-0008-0000-0F00-0000B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10" name="Group 6004">
          <a:extLst>
            <a:ext uri="{FF2B5EF4-FFF2-40B4-BE49-F238E27FC236}">
              <a16:creationId xmlns:a16="http://schemas.microsoft.com/office/drawing/2014/main" id="{00000000-0008-0000-0F00-0000FE9A3E00}"/>
            </a:ext>
          </a:extLst>
        </xdr:cNvPr>
        <xdr:cNvGrpSpPr>
          <a:grpSpLocks/>
        </xdr:cNvGrpSpPr>
      </xdr:nvGrpSpPr>
      <xdr:grpSpPr bwMode="auto">
        <a:xfrm>
          <a:off x="5486400" y="10096500"/>
          <a:ext cx="266700" cy="0"/>
          <a:chOff x="466" y="3952"/>
          <a:chExt cx="28" cy="16"/>
        </a:xfrm>
      </xdr:grpSpPr>
      <xdr:sp macro="" textlink="">
        <xdr:nvSpPr>
          <xdr:cNvPr id="4104114" name="Line 6005">
            <a:extLst>
              <a:ext uri="{FF2B5EF4-FFF2-40B4-BE49-F238E27FC236}">
                <a16:creationId xmlns:a16="http://schemas.microsoft.com/office/drawing/2014/main" id="{00000000-0008-0000-0F00-0000B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5" name="Line 6006">
            <a:extLst>
              <a:ext uri="{FF2B5EF4-FFF2-40B4-BE49-F238E27FC236}">
                <a16:creationId xmlns:a16="http://schemas.microsoft.com/office/drawing/2014/main" id="{00000000-0008-0000-0F00-0000B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1" name="Group 6007">
          <a:extLst>
            <a:ext uri="{FF2B5EF4-FFF2-40B4-BE49-F238E27FC236}">
              <a16:creationId xmlns:a16="http://schemas.microsoft.com/office/drawing/2014/main" id="{00000000-0008-0000-0F00-0000FF9A3E00}"/>
            </a:ext>
          </a:extLst>
        </xdr:cNvPr>
        <xdr:cNvGrpSpPr>
          <a:grpSpLocks/>
        </xdr:cNvGrpSpPr>
      </xdr:nvGrpSpPr>
      <xdr:grpSpPr bwMode="auto">
        <a:xfrm>
          <a:off x="4117181" y="10096500"/>
          <a:ext cx="228600" cy="0"/>
          <a:chOff x="466" y="3952"/>
          <a:chExt cx="28" cy="16"/>
        </a:xfrm>
      </xdr:grpSpPr>
      <xdr:sp macro="" textlink="">
        <xdr:nvSpPr>
          <xdr:cNvPr id="4104112" name="Line 6008">
            <a:extLst>
              <a:ext uri="{FF2B5EF4-FFF2-40B4-BE49-F238E27FC236}">
                <a16:creationId xmlns:a16="http://schemas.microsoft.com/office/drawing/2014/main" id="{00000000-0008-0000-0F00-0000B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3" name="Line 6009">
            <a:extLst>
              <a:ext uri="{FF2B5EF4-FFF2-40B4-BE49-F238E27FC236}">
                <a16:creationId xmlns:a16="http://schemas.microsoft.com/office/drawing/2014/main" id="{00000000-0008-0000-0F00-0000B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2" name="Group 6010">
          <a:extLst>
            <a:ext uri="{FF2B5EF4-FFF2-40B4-BE49-F238E27FC236}">
              <a16:creationId xmlns:a16="http://schemas.microsoft.com/office/drawing/2014/main" id="{00000000-0008-0000-0F00-0000009B3E00}"/>
            </a:ext>
          </a:extLst>
        </xdr:cNvPr>
        <xdr:cNvGrpSpPr>
          <a:grpSpLocks/>
        </xdr:cNvGrpSpPr>
      </xdr:nvGrpSpPr>
      <xdr:grpSpPr bwMode="auto">
        <a:xfrm>
          <a:off x="4700588" y="10096500"/>
          <a:ext cx="266700" cy="0"/>
          <a:chOff x="466" y="3952"/>
          <a:chExt cx="28" cy="16"/>
        </a:xfrm>
      </xdr:grpSpPr>
      <xdr:sp macro="" textlink="">
        <xdr:nvSpPr>
          <xdr:cNvPr id="4104110" name="Line 6011">
            <a:extLst>
              <a:ext uri="{FF2B5EF4-FFF2-40B4-BE49-F238E27FC236}">
                <a16:creationId xmlns:a16="http://schemas.microsoft.com/office/drawing/2014/main" id="{00000000-0008-0000-0F00-0000A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11" name="Line 6012">
            <a:extLst>
              <a:ext uri="{FF2B5EF4-FFF2-40B4-BE49-F238E27FC236}">
                <a16:creationId xmlns:a16="http://schemas.microsoft.com/office/drawing/2014/main" id="{00000000-0008-0000-0F00-0000A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3" name="Group 6013">
          <a:extLst>
            <a:ext uri="{FF2B5EF4-FFF2-40B4-BE49-F238E27FC236}">
              <a16:creationId xmlns:a16="http://schemas.microsoft.com/office/drawing/2014/main" id="{00000000-0008-0000-0F00-0000019B3E00}"/>
            </a:ext>
          </a:extLst>
        </xdr:cNvPr>
        <xdr:cNvGrpSpPr>
          <a:grpSpLocks/>
        </xdr:cNvGrpSpPr>
      </xdr:nvGrpSpPr>
      <xdr:grpSpPr bwMode="auto">
        <a:xfrm>
          <a:off x="4117181" y="10096500"/>
          <a:ext cx="228600" cy="0"/>
          <a:chOff x="466" y="3952"/>
          <a:chExt cx="28" cy="16"/>
        </a:xfrm>
      </xdr:grpSpPr>
      <xdr:sp macro="" textlink="">
        <xdr:nvSpPr>
          <xdr:cNvPr id="4104108" name="Line 6014">
            <a:extLst>
              <a:ext uri="{FF2B5EF4-FFF2-40B4-BE49-F238E27FC236}">
                <a16:creationId xmlns:a16="http://schemas.microsoft.com/office/drawing/2014/main" id="{00000000-0008-0000-0F00-0000A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9" name="Line 6015">
            <a:extLst>
              <a:ext uri="{FF2B5EF4-FFF2-40B4-BE49-F238E27FC236}">
                <a16:creationId xmlns:a16="http://schemas.microsoft.com/office/drawing/2014/main" id="{00000000-0008-0000-0F00-0000A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4" name="Group 6016">
          <a:extLst>
            <a:ext uri="{FF2B5EF4-FFF2-40B4-BE49-F238E27FC236}">
              <a16:creationId xmlns:a16="http://schemas.microsoft.com/office/drawing/2014/main" id="{00000000-0008-0000-0F00-0000029B3E00}"/>
            </a:ext>
          </a:extLst>
        </xdr:cNvPr>
        <xdr:cNvGrpSpPr>
          <a:grpSpLocks/>
        </xdr:cNvGrpSpPr>
      </xdr:nvGrpSpPr>
      <xdr:grpSpPr bwMode="auto">
        <a:xfrm>
          <a:off x="4700588" y="10096500"/>
          <a:ext cx="266700" cy="0"/>
          <a:chOff x="466" y="3952"/>
          <a:chExt cx="28" cy="16"/>
        </a:xfrm>
      </xdr:grpSpPr>
      <xdr:sp macro="" textlink="">
        <xdr:nvSpPr>
          <xdr:cNvPr id="4104106" name="Line 6017">
            <a:extLst>
              <a:ext uri="{FF2B5EF4-FFF2-40B4-BE49-F238E27FC236}">
                <a16:creationId xmlns:a16="http://schemas.microsoft.com/office/drawing/2014/main" id="{00000000-0008-0000-0F00-0000A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7" name="Line 6018">
            <a:extLst>
              <a:ext uri="{FF2B5EF4-FFF2-40B4-BE49-F238E27FC236}">
                <a16:creationId xmlns:a16="http://schemas.microsoft.com/office/drawing/2014/main" id="{00000000-0008-0000-0F00-0000A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5" name="Group 6019">
          <a:extLst>
            <a:ext uri="{FF2B5EF4-FFF2-40B4-BE49-F238E27FC236}">
              <a16:creationId xmlns:a16="http://schemas.microsoft.com/office/drawing/2014/main" id="{00000000-0008-0000-0F00-0000039B3E00}"/>
            </a:ext>
          </a:extLst>
        </xdr:cNvPr>
        <xdr:cNvGrpSpPr>
          <a:grpSpLocks/>
        </xdr:cNvGrpSpPr>
      </xdr:nvGrpSpPr>
      <xdr:grpSpPr bwMode="auto">
        <a:xfrm>
          <a:off x="4117181" y="10096500"/>
          <a:ext cx="228600" cy="0"/>
          <a:chOff x="466" y="3952"/>
          <a:chExt cx="28" cy="16"/>
        </a:xfrm>
      </xdr:grpSpPr>
      <xdr:sp macro="" textlink="">
        <xdr:nvSpPr>
          <xdr:cNvPr id="4104104" name="Line 6020">
            <a:extLst>
              <a:ext uri="{FF2B5EF4-FFF2-40B4-BE49-F238E27FC236}">
                <a16:creationId xmlns:a16="http://schemas.microsoft.com/office/drawing/2014/main" id="{00000000-0008-0000-0F00-0000A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5" name="Line 6021">
            <a:extLst>
              <a:ext uri="{FF2B5EF4-FFF2-40B4-BE49-F238E27FC236}">
                <a16:creationId xmlns:a16="http://schemas.microsoft.com/office/drawing/2014/main" id="{00000000-0008-0000-0F00-0000A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6" name="Group 6022">
          <a:extLst>
            <a:ext uri="{FF2B5EF4-FFF2-40B4-BE49-F238E27FC236}">
              <a16:creationId xmlns:a16="http://schemas.microsoft.com/office/drawing/2014/main" id="{00000000-0008-0000-0F00-0000049B3E00}"/>
            </a:ext>
          </a:extLst>
        </xdr:cNvPr>
        <xdr:cNvGrpSpPr>
          <a:grpSpLocks/>
        </xdr:cNvGrpSpPr>
      </xdr:nvGrpSpPr>
      <xdr:grpSpPr bwMode="auto">
        <a:xfrm>
          <a:off x="4700588" y="10096500"/>
          <a:ext cx="266700" cy="0"/>
          <a:chOff x="466" y="3952"/>
          <a:chExt cx="28" cy="16"/>
        </a:xfrm>
      </xdr:grpSpPr>
      <xdr:sp macro="" textlink="">
        <xdr:nvSpPr>
          <xdr:cNvPr id="4104102" name="Line 6023">
            <a:extLst>
              <a:ext uri="{FF2B5EF4-FFF2-40B4-BE49-F238E27FC236}">
                <a16:creationId xmlns:a16="http://schemas.microsoft.com/office/drawing/2014/main" id="{00000000-0008-0000-0F00-0000A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3" name="Line 6024">
            <a:extLst>
              <a:ext uri="{FF2B5EF4-FFF2-40B4-BE49-F238E27FC236}">
                <a16:creationId xmlns:a16="http://schemas.microsoft.com/office/drawing/2014/main" id="{00000000-0008-0000-0F00-0000A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7" name="Group 6025">
          <a:extLst>
            <a:ext uri="{FF2B5EF4-FFF2-40B4-BE49-F238E27FC236}">
              <a16:creationId xmlns:a16="http://schemas.microsoft.com/office/drawing/2014/main" id="{00000000-0008-0000-0F00-0000059B3E00}"/>
            </a:ext>
          </a:extLst>
        </xdr:cNvPr>
        <xdr:cNvGrpSpPr>
          <a:grpSpLocks/>
        </xdr:cNvGrpSpPr>
      </xdr:nvGrpSpPr>
      <xdr:grpSpPr bwMode="auto">
        <a:xfrm>
          <a:off x="4117181" y="10096500"/>
          <a:ext cx="228600" cy="0"/>
          <a:chOff x="466" y="3952"/>
          <a:chExt cx="28" cy="16"/>
        </a:xfrm>
      </xdr:grpSpPr>
      <xdr:sp macro="" textlink="">
        <xdr:nvSpPr>
          <xdr:cNvPr id="4104100" name="Line 6026">
            <a:extLst>
              <a:ext uri="{FF2B5EF4-FFF2-40B4-BE49-F238E27FC236}">
                <a16:creationId xmlns:a16="http://schemas.microsoft.com/office/drawing/2014/main" id="{00000000-0008-0000-0F00-0000A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101" name="Line 6027">
            <a:extLst>
              <a:ext uri="{FF2B5EF4-FFF2-40B4-BE49-F238E27FC236}">
                <a16:creationId xmlns:a16="http://schemas.microsoft.com/office/drawing/2014/main" id="{00000000-0008-0000-0F00-0000A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18" name="Group 6028">
          <a:extLst>
            <a:ext uri="{FF2B5EF4-FFF2-40B4-BE49-F238E27FC236}">
              <a16:creationId xmlns:a16="http://schemas.microsoft.com/office/drawing/2014/main" id="{00000000-0008-0000-0F00-0000069B3E00}"/>
            </a:ext>
          </a:extLst>
        </xdr:cNvPr>
        <xdr:cNvGrpSpPr>
          <a:grpSpLocks/>
        </xdr:cNvGrpSpPr>
      </xdr:nvGrpSpPr>
      <xdr:grpSpPr bwMode="auto">
        <a:xfrm>
          <a:off x="4700588" y="10096500"/>
          <a:ext cx="266700" cy="0"/>
          <a:chOff x="466" y="3952"/>
          <a:chExt cx="28" cy="16"/>
        </a:xfrm>
      </xdr:grpSpPr>
      <xdr:sp macro="" textlink="">
        <xdr:nvSpPr>
          <xdr:cNvPr id="4104098" name="Line 6029">
            <a:extLst>
              <a:ext uri="{FF2B5EF4-FFF2-40B4-BE49-F238E27FC236}">
                <a16:creationId xmlns:a16="http://schemas.microsoft.com/office/drawing/2014/main" id="{00000000-0008-0000-0F00-0000A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9" name="Line 6030">
            <a:extLst>
              <a:ext uri="{FF2B5EF4-FFF2-40B4-BE49-F238E27FC236}">
                <a16:creationId xmlns:a16="http://schemas.microsoft.com/office/drawing/2014/main" id="{00000000-0008-0000-0F00-0000A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19" name="Group 6031">
          <a:extLst>
            <a:ext uri="{FF2B5EF4-FFF2-40B4-BE49-F238E27FC236}">
              <a16:creationId xmlns:a16="http://schemas.microsoft.com/office/drawing/2014/main" id="{00000000-0008-0000-0F00-0000079B3E00}"/>
            </a:ext>
          </a:extLst>
        </xdr:cNvPr>
        <xdr:cNvGrpSpPr>
          <a:grpSpLocks/>
        </xdr:cNvGrpSpPr>
      </xdr:nvGrpSpPr>
      <xdr:grpSpPr bwMode="auto">
        <a:xfrm>
          <a:off x="4117181" y="10096500"/>
          <a:ext cx="228600" cy="0"/>
          <a:chOff x="466" y="3952"/>
          <a:chExt cx="28" cy="16"/>
        </a:xfrm>
      </xdr:grpSpPr>
      <xdr:sp macro="" textlink="">
        <xdr:nvSpPr>
          <xdr:cNvPr id="4104096" name="Line 6032">
            <a:extLst>
              <a:ext uri="{FF2B5EF4-FFF2-40B4-BE49-F238E27FC236}">
                <a16:creationId xmlns:a16="http://schemas.microsoft.com/office/drawing/2014/main" id="{00000000-0008-0000-0F00-0000A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7" name="Line 6033">
            <a:extLst>
              <a:ext uri="{FF2B5EF4-FFF2-40B4-BE49-F238E27FC236}">
                <a16:creationId xmlns:a16="http://schemas.microsoft.com/office/drawing/2014/main" id="{00000000-0008-0000-0F00-0000A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0" name="Group 6034">
          <a:extLst>
            <a:ext uri="{FF2B5EF4-FFF2-40B4-BE49-F238E27FC236}">
              <a16:creationId xmlns:a16="http://schemas.microsoft.com/office/drawing/2014/main" id="{00000000-0008-0000-0F00-0000089B3E00}"/>
            </a:ext>
          </a:extLst>
        </xdr:cNvPr>
        <xdr:cNvGrpSpPr>
          <a:grpSpLocks/>
        </xdr:cNvGrpSpPr>
      </xdr:nvGrpSpPr>
      <xdr:grpSpPr bwMode="auto">
        <a:xfrm>
          <a:off x="4117181" y="10096500"/>
          <a:ext cx="228600" cy="0"/>
          <a:chOff x="466" y="3952"/>
          <a:chExt cx="28" cy="16"/>
        </a:xfrm>
      </xdr:grpSpPr>
      <xdr:sp macro="" textlink="">
        <xdr:nvSpPr>
          <xdr:cNvPr id="4104094" name="Line 6035">
            <a:extLst>
              <a:ext uri="{FF2B5EF4-FFF2-40B4-BE49-F238E27FC236}">
                <a16:creationId xmlns:a16="http://schemas.microsoft.com/office/drawing/2014/main" id="{00000000-0008-0000-0F00-00009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5" name="Line 6036">
            <a:extLst>
              <a:ext uri="{FF2B5EF4-FFF2-40B4-BE49-F238E27FC236}">
                <a16:creationId xmlns:a16="http://schemas.microsoft.com/office/drawing/2014/main" id="{00000000-0008-0000-0F00-00009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1" name="Group 6037">
          <a:extLst>
            <a:ext uri="{FF2B5EF4-FFF2-40B4-BE49-F238E27FC236}">
              <a16:creationId xmlns:a16="http://schemas.microsoft.com/office/drawing/2014/main" id="{00000000-0008-0000-0F00-0000099B3E00}"/>
            </a:ext>
          </a:extLst>
        </xdr:cNvPr>
        <xdr:cNvGrpSpPr>
          <a:grpSpLocks/>
        </xdr:cNvGrpSpPr>
      </xdr:nvGrpSpPr>
      <xdr:grpSpPr bwMode="auto">
        <a:xfrm>
          <a:off x="4117181" y="10096500"/>
          <a:ext cx="228600" cy="0"/>
          <a:chOff x="466" y="3952"/>
          <a:chExt cx="28" cy="16"/>
        </a:xfrm>
      </xdr:grpSpPr>
      <xdr:sp macro="" textlink="">
        <xdr:nvSpPr>
          <xdr:cNvPr id="4104092" name="Line 6038">
            <a:extLst>
              <a:ext uri="{FF2B5EF4-FFF2-40B4-BE49-F238E27FC236}">
                <a16:creationId xmlns:a16="http://schemas.microsoft.com/office/drawing/2014/main" id="{00000000-0008-0000-0F00-00009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3" name="Line 6039">
            <a:extLst>
              <a:ext uri="{FF2B5EF4-FFF2-40B4-BE49-F238E27FC236}">
                <a16:creationId xmlns:a16="http://schemas.microsoft.com/office/drawing/2014/main" id="{00000000-0008-0000-0F00-00009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2" name="Group 6040">
          <a:extLst>
            <a:ext uri="{FF2B5EF4-FFF2-40B4-BE49-F238E27FC236}">
              <a16:creationId xmlns:a16="http://schemas.microsoft.com/office/drawing/2014/main" id="{00000000-0008-0000-0F00-00000A9B3E00}"/>
            </a:ext>
          </a:extLst>
        </xdr:cNvPr>
        <xdr:cNvGrpSpPr>
          <a:grpSpLocks/>
        </xdr:cNvGrpSpPr>
      </xdr:nvGrpSpPr>
      <xdr:grpSpPr bwMode="auto">
        <a:xfrm>
          <a:off x="4117181" y="10096500"/>
          <a:ext cx="228600" cy="0"/>
          <a:chOff x="466" y="3952"/>
          <a:chExt cx="28" cy="16"/>
        </a:xfrm>
      </xdr:grpSpPr>
      <xdr:sp macro="" textlink="">
        <xdr:nvSpPr>
          <xdr:cNvPr id="4104090" name="Line 6041">
            <a:extLst>
              <a:ext uri="{FF2B5EF4-FFF2-40B4-BE49-F238E27FC236}">
                <a16:creationId xmlns:a16="http://schemas.microsoft.com/office/drawing/2014/main" id="{00000000-0008-0000-0F00-00009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91" name="Line 6042">
            <a:extLst>
              <a:ext uri="{FF2B5EF4-FFF2-40B4-BE49-F238E27FC236}">
                <a16:creationId xmlns:a16="http://schemas.microsoft.com/office/drawing/2014/main" id="{00000000-0008-0000-0F00-00009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3" name="Group 6043">
          <a:extLst>
            <a:ext uri="{FF2B5EF4-FFF2-40B4-BE49-F238E27FC236}">
              <a16:creationId xmlns:a16="http://schemas.microsoft.com/office/drawing/2014/main" id="{00000000-0008-0000-0F00-00000B9B3E00}"/>
            </a:ext>
          </a:extLst>
        </xdr:cNvPr>
        <xdr:cNvGrpSpPr>
          <a:grpSpLocks/>
        </xdr:cNvGrpSpPr>
      </xdr:nvGrpSpPr>
      <xdr:grpSpPr bwMode="auto">
        <a:xfrm>
          <a:off x="4117181" y="10096500"/>
          <a:ext cx="228600" cy="0"/>
          <a:chOff x="466" y="3952"/>
          <a:chExt cx="28" cy="16"/>
        </a:xfrm>
      </xdr:grpSpPr>
      <xdr:sp macro="" textlink="">
        <xdr:nvSpPr>
          <xdr:cNvPr id="4104088" name="Line 6044">
            <a:extLst>
              <a:ext uri="{FF2B5EF4-FFF2-40B4-BE49-F238E27FC236}">
                <a16:creationId xmlns:a16="http://schemas.microsoft.com/office/drawing/2014/main" id="{00000000-0008-0000-0F00-00009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9" name="Line 6045">
            <a:extLst>
              <a:ext uri="{FF2B5EF4-FFF2-40B4-BE49-F238E27FC236}">
                <a16:creationId xmlns:a16="http://schemas.microsoft.com/office/drawing/2014/main" id="{00000000-0008-0000-0F00-00009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4" name="Group 6046">
          <a:extLst>
            <a:ext uri="{FF2B5EF4-FFF2-40B4-BE49-F238E27FC236}">
              <a16:creationId xmlns:a16="http://schemas.microsoft.com/office/drawing/2014/main" id="{00000000-0008-0000-0F00-00000C9B3E00}"/>
            </a:ext>
          </a:extLst>
        </xdr:cNvPr>
        <xdr:cNvGrpSpPr>
          <a:grpSpLocks/>
        </xdr:cNvGrpSpPr>
      </xdr:nvGrpSpPr>
      <xdr:grpSpPr bwMode="auto">
        <a:xfrm>
          <a:off x="4700588" y="10096500"/>
          <a:ext cx="266700" cy="0"/>
          <a:chOff x="466" y="3952"/>
          <a:chExt cx="28" cy="16"/>
        </a:xfrm>
      </xdr:grpSpPr>
      <xdr:sp macro="" textlink="">
        <xdr:nvSpPr>
          <xdr:cNvPr id="4104086" name="Line 6047">
            <a:extLst>
              <a:ext uri="{FF2B5EF4-FFF2-40B4-BE49-F238E27FC236}">
                <a16:creationId xmlns:a16="http://schemas.microsoft.com/office/drawing/2014/main" id="{00000000-0008-0000-0F00-00009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7" name="Line 6048">
            <a:extLst>
              <a:ext uri="{FF2B5EF4-FFF2-40B4-BE49-F238E27FC236}">
                <a16:creationId xmlns:a16="http://schemas.microsoft.com/office/drawing/2014/main" id="{00000000-0008-0000-0F00-00009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5" name="Group 6049">
          <a:extLst>
            <a:ext uri="{FF2B5EF4-FFF2-40B4-BE49-F238E27FC236}">
              <a16:creationId xmlns:a16="http://schemas.microsoft.com/office/drawing/2014/main" id="{00000000-0008-0000-0F00-00000D9B3E00}"/>
            </a:ext>
          </a:extLst>
        </xdr:cNvPr>
        <xdr:cNvGrpSpPr>
          <a:grpSpLocks/>
        </xdr:cNvGrpSpPr>
      </xdr:nvGrpSpPr>
      <xdr:grpSpPr bwMode="auto">
        <a:xfrm>
          <a:off x="4700588" y="10096500"/>
          <a:ext cx="266700" cy="0"/>
          <a:chOff x="466" y="3952"/>
          <a:chExt cx="28" cy="16"/>
        </a:xfrm>
      </xdr:grpSpPr>
      <xdr:sp macro="" textlink="">
        <xdr:nvSpPr>
          <xdr:cNvPr id="4104084" name="Line 6050">
            <a:extLst>
              <a:ext uri="{FF2B5EF4-FFF2-40B4-BE49-F238E27FC236}">
                <a16:creationId xmlns:a16="http://schemas.microsoft.com/office/drawing/2014/main" id="{00000000-0008-0000-0F00-00009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5" name="Line 6051">
            <a:extLst>
              <a:ext uri="{FF2B5EF4-FFF2-40B4-BE49-F238E27FC236}">
                <a16:creationId xmlns:a16="http://schemas.microsoft.com/office/drawing/2014/main" id="{00000000-0008-0000-0F00-00009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6" name="Group 6052">
          <a:extLst>
            <a:ext uri="{FF2B5EF4-FFF2-40B4-BE49-F238E27FC236}">
              <a16:creationId xmlns:a16="http://schemas.microsoft.com/office/drawing/2014/main" id="{00000000-0008-0000-0F00-00000E9B3E00}"/>
            </a:ext>
          </a:extLst>
        </xdr:cNvPr>
        <xdr:cNvGrpSpPr>
          <a:grpSpLocks/>
        </xdr:cNvGrpSpPr>
      </xdr:nvGrpSpPr>
      <xdr:grpSpPr bwMode="auto">
        <a:xfrm>
          <a:off x="4700588" y="10096500"/>
          <a:ext cx="266700" cy="0"/>
          <a:chOff x="466" y="3952"/>
          <a:chExt cx="28" cy="16"/>
        </a:xfrm>
      </xdr:grpSpPr>
      <xdr:sp macro="" textlink="">
        <xdr:nvSpPr>
          <xdr:cNvPr id="4104082" name="Line 6053">
            <a:extLst>
              <a:ext uri="{FF2B5EF4-FFF2-40B4-BE49-F238E27FC236}">
                <a16:creationId xmlns:a16="http://schemas.microsoft.com/office/drawing/2014/main" id="{00000000-0008-0000-0F00-00009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3" name="Line 6054">
            <a:extLst>
              <a:ext uri="{FF2B5EF4-FFF2-40B4-BE49-F238E27FC236}">
                <a16:creationId xmlns:a16="http://schemas.microsoft.com/office/drawing/2014/main" id="{00000000-0008-0000-0F00-00009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7" name="Group 6055">
          <a:extLst>
            <a:ext uri="{FF2B5EF4-FFF2-40B4-BE49-F238E27FC236}">
              <a16:creationId xmlns:a16="http://schemas.microsoft.com/office/drawing/2014/main" id="{00000000-0008-0000-0F00-00000F9B3E00}"/>
            </a:ext>
          </a:extLst>
        </xdr:cNvPr>
        <xdr:cNvGrpSpPr>
          <a:grpSpLocks/>
        </xdr:cNvGrpSpPr>
      </xdr:nvGrpSpPr>
      <xdr:grpSpPr bwMode="auto">
        <a:xfrm>
          <a:off x="4700588" y="10096500"/>
          <a:ext cx="266700" cy="0"/>
          <a:chOff x="466" y="3952"/>
          <a:chExt cx="28" cy="16"/>
        </a:xfrm>
      </xdr:grpSpPr>
      <xdr:sp macro="" textlink="">
        <xdr:nvSpPr>
          <xdr:cNvPr id="4104080" name="Line 6056">
            <a:extLst>
              <a:ext uri="{FF2B5EF4-FFF2-40B4-BE49-F238E27FC236}">
                <a16:creationId xmlns:a16="http://schemas.microsoft.com/office/drawing/2014/main" id="{00000000-0008-0000-0F00-00009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81" name="Line 6057">
            <a:extLst>
              <a:ext uri="{FF2B5EF4-FFF2-40B4-BE49-F238E27FC236}">
                <a16:creationId xmlns:a16="http://schemas.microsoft.com/office/drawing/2014/main" id="{00000000-0008-0000-0F00-00009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28" name="Group 6058">
          <a:extLst>
            <a:ext uri="{FF2B5EF4-FFF2-40B4-BE49-F238E27FC236}">
              <a16:creationId xmlns:a16="http://schemas.microsoft.com/office/drawing/2014/main" id="{00000000-0008-0000-0F00-0000109B3E00}"/>
            </a:ext>
          </a:extLst>
        </xdr:cNvPr>
        <xdr:cNvGrpSpPr>
          <a:grpSpLocks/>
        </xdr:cNvGrpSpPr>
      </xdr:nvGrpSpPr>
      <xdr:grpSpPr bwMode="auto">
        <a:xfrm>
          <a:off x="4700588" y="10096500"/>
          <a:ext cx="266700" cy="0"/>
          <a:chOff x="466" y="3952"/>
          <a:chExt cx="28" cy="16"/>
        </a:xfrm>
      </xdr:grpSpPr>
      <xdr:sp macro="" textlink="">
        <xdr:nvSpPr>
          <xdr:cNvPr id="4104078" name="Line 6059">
            <a:extLst>
              <a:ext uri="{FF2B5EF4-FFF2-40B4-BE49-F238E27FC236}">
                <a16:creationId xmlns:a16="http://schemas.microsoft.com/office/drawing/2014/main" id="{00000000-0008-0000-0F00-00008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9" name="Line 6060">
            <a:extLst>
              <a:ext uri="{FF2B5EF4-FFF2-40B4-BE49-F238E27FC236}">
                <a16:creationId xmlns:a16="http://schemas.microsoft.com/office/drawing/2014/main" id="{00000000-0008-0000-0F00-00008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29" name="Group 6061">
          <a:extLst>
            <a:ext uri="{FF2B5EF4-FFF2-40B4-BE49-F238E27FC236}">
              <a16:creationId xmlns:a16="http://schemas.microsoft.com/office/drawing/2014/main" id="{00000000-0008-0000-0F00-0000119B3E00}"/>
            </a:ext>
          </a:extLst>
        </xdr:cNvPr>
        <xdr:cNvGrpSpPr>
          <a:grpSpLocks/>
        </xdr:cNvGrpSpPr>
      </xdr:nvGrpSpPr>
      <xdr:grpSpPr bwMode="auto">
        <a:xfrm>
          <a:off x="4117181" y="10096500"/>
          <a:ext cx="228600" cy="0"/>
          <a:chOff x="466" y="3952"/>
          <a:chExt cx="28" cy="16"/>
        </a:xfrm>
      </xdr:grpSpPr>
      <xdr:sp macro="" textlink="">
        <xdr:nvSpPr>
          <xdr:cNvPr id="4104076" name="Line 6062">
            <a:extLst>
              <a:ext uri="{FF2B5EF4-FFF2-40B4-BE49-F238E27FC236}">
                <a16:creationId xmlns:a16="http://schemas.microsoft.com/office/drawing/2014/main" id="{00000000-0008-0000-0F00-00008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7" name="Line 6063">
            <a:extLst>
              <a:ext uri="{FF2B5EF4-FFF2-40B4-BE49-F238E27FC236}">
                <a16:creationId xmlns:a16="http://schemas.microsoft.com/office/drawing/2014/main" id="{00000000-0008-0000-0F00-00008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30" name="Group 6064">
          <a:extLst>
            <a:ext uri="{FF2B5EF4-FFF2-40B4-BE49-F238E27FC236}">
              <a16:creationId xmlns:a16="http://schemas.microsoft.com/office/drawing/2014/main" id="{00000000-0008-0000-0F00-0000129B3E00}"/>
            </a:ext>
          </a:extLst>
        </xdr:cNvPr>
        <xdr:cNvGrpSpPr>
          <a:grpSpLocks/>
        </xdr:cNvGrpSpPr>
      </xdr:nvGrpSpPr>
      <xdr:grpSpPr bwMode="auto">
        <a:xfrm>
          <a:off x="4117181" y="10096500"/>
          <a:ext cx="228600" cy="0"/>
          <a:chOff x="466" y="3952"/>
          <a:chExt cx="28" cy="16"/>
        </a:xfrm>
      </xdr:grpSpPr>
      <xdr:sp macro="" textlink="">
        <xdr:nvSpPr>
          <xdr:cNvPr id="4104074" name="Line 6065">
            <a:extLst>
              <a:ext uri="{FF2B5EF4-FFF2-40B4-BE49-F238E27FC236}">
                <a16:creationId xmlns:a16="http://schemas.microsoft.com/office/drawing/2014/main" id="{00000000-0008-0000-0F00-00008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5" name="Line 6066">
            <a:extLst>
              <a:ext uri="{FF2B5EF4-FFF2-40B4-BE49-F238E27FC236}">
                <a16:creationId xmlns:a16="http://schemas.microsoft.com/office/drawing/2014/main" id="{00000000-0008-0000-0F00-00008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1" name="Group 6067">
          <a:extLst>
            <a:ext uri="{FF2B5EF4-FFF2-40B4-BE49-F238E27FC236}">
              <a16:creationId xmlns:a16="http://schemas.microsoft.com/office/drawing/2014/main" id="{00000000-0008-0000-0F00-0000139B3E00}"/>
            </a:ext>
          </a:extLst>
        </xdr:cNvPr>
        <xdr:cNvGrpSpPr>
          <a:grpSpLocks/>
        </xdr:cNvGrpSpPr>
      </xdr:nvGrpSpPr>
      <xdr:grpSpPr bwMode="auto">
        <a:xfrm>
          <a:off x="4700588" y="10096500"/>
          <a:ext cx="266700" cy="0"/>
          <a:chOff x="466" y="3952"/>
          <a:chExt cx="28" cy="16"/>
        </a:xfrm>
      </xdr:grpSpPr>
      <xdr:sp macro="" textlink="">
        <xdr:nvSpPr>
          <xdr:cNvPr id="4104072" name="Line 6068">
            <a:extLst>
              <a:ext uri="{FF2B5EF4-FFF2-40B4-BE49-F238E27FC236}">
                <a16:creationId xmlns:a16="http://schemas.microsoft.com/office/drawing/2014/main" id="{00000000-0008-0000-0F00-00008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3" name="Line 6069">
            <a:extLst>
              <a:ext uri="{FF2B5EF4-FFF2-40B4-BE49-F238E27FC236}">
                <a16:creationId xmlns:a16="http://schemas.microsoft.com/office/drawing/2014/main" id="{00000000-0008-0000-0F00-00008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2" name="Group 6070">
          <a:extLst>
            <a:ext uri="{FF2B5EF4-FFF2-40B4-BE49-F238E27FC236}">
              <a16:creationId xmlns:a16="http://schemas.microsoft.com/office/drawing/2014/main" id="{00000000-0008-0000-0F00-0000149B3E00}"/>
            </a:ext>
          </a:extLst>
        </xdr:cNvPr>
        <xdr:cNvGrpSpPr>
          <a:grpSpLocks/>
        </xdr:cNvGrpSpPr>
      </xdr:nvGrpSpPr>
      <xdr:grpSpPr bwMode="auto">
        <a:xfrm>
          <a:off x="4700588" y="10096500"/>
          <a:ext cx="266700" cy="0"/>
          <a:chOff x="466" y="3952"/>
          <a:chExt cx="28" cy="16"/>
        </a:xfrm>
      </xdr:grpSpPr>
      <xdr:sp macro="" textlink="">
        <xdr:nvSpPr>
          <xdr:cNvPr id="4104070" name="Line 6071">
            <a:extLst>
              <a:ext uri="{FF2B5EF4-FFF2-40B4-BE49-F238E27FC236}">
                <a16:creationId xmlns:a16="http://schemas.microsoft.com/office/drawing/2014/main" id="{00000000-0008-0000-0F00-00008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71" name="Line 6072">
            <a:extLst>
              <a:ext uri="{FF2B5EF4-FFF2-40B4-BE49-F238E27FC236}">
                <a16:creationId xmlns:a16="http://schemas.microsoft.com/office/drawing/2014/main" id="{00000000-0008-0000-0F00-00008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33" name="Group 6073">
          <a:extLst>
            <a:ext uri="{FF2B5EF4-FFF2-40B4-BE49-F238E27FC236}">
              <a16:creationId xmlns:a16="http://schemas.microsoft.com/office/drawing/2014/main" id="{00000000-0008-0000-0F00-0000159B3E00}"/>
            </a:ext>
          </a:extLst>
        </xdr:cNvPr>
        <xdr:cNvGrpSpPr>
          <a:grpSpLocks/>
        </xdr:cNvGrpSpPr>
      </xdr:nvGrpSpPr>
      <xdr:grpSpPr bwMode="auto">
        <a:xfrm>
          <a:off x="4117181" y="10096500"/>
          <a:ext cx="240507" cy="0"/>
          <a:chOff x="466" y="3952"/>
          <a:chExt cx="28" cy="16"/>
        </a:xfrm>
      </xdr:grpSpPr>
      <xdr:sp macro="" textlink="">
        <xdr:nvSpPr>
          <xdr:cNvPr id="4104068" name="Line 6074">
            <a:extLst>
              <a:ext uri="{FF2B5EF4-FFF2-40B4-BE49-F238E27FC236}">
                <a16:creationId xmlns:a16="http://schemas.microsoft.com/office/drawing/2014/main" id="{00000000-0008-0000-0F00-00008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9" name="Line 6075">
            <a:extLst>
              <a:ext uri="{FF2B5EF4-FFF2-40B4-BE49-F238E27FC236}">
                <a16:creationId xmlns:a16="http://schemas.microsoft.com/office/drawing/2014/main" id="{00000000-0008-0000-0F00-00008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2934" name="Group 6076">
          <a:extLst>
            <a:ext uri="{FF2B5EF4-FFF2-40B4-BE49-F238E27FC236}">
              <a16:creationId xmlns:a16="http://schemas.microsoft.com/office/drawing/2014/main" id="{00000000-0008-0000-0F00-0000169B3E00}"/>
            </a:ext>
          </a:extLst>
        </xdr:cNvPr>
        <xdr:cNvGrpSpPr>
          <a:grpSpLocks/>
        </xdr:cNvGrpSpPr>
      </xdr:nvGrpSpPr>
      <xdr:grpSpPr bwMode="auto">
        <a:xfrm>
          <a:off x="5486400" y="10096500"/>
          <a:ext cx="228600" cy="0"/>
          <a:chOff x="466" y="3952"/>
          <a:chExt cx="28" cy="16"/>
        </a:xfrm>
      </xdr:grpSpPr>
      <xdr:sp macro="" textlink="">
        <xdr:nvSpPr>
          <xdr:cNvPr id="4104066" name="Line 6077">
            <a:extLst>
              <a:ext uri="{FF2B5EF4-FFF2-40B4-BE49-F238E27FC236}">
                <a16:creationId xmlns:a16="http://schemas.microsoft.com/office/drawing/2014/main" id="{00000000-0008-0000-0F00-00008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7" name="Line 6078">
            <a:extLst>
              <a:ext uri="{FF2B5EF4-FFF2-40B4-BE49-F238E27FC236}">
                <a16:creationId xmlns:a16="http://schemas.microsoft.com/office/drawing/2014/main" id="{00000000-0008-0000-0F00-00008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5" name="Group 6079">
          <a:extLst>
            <a:ext uri="{FF2B5EF4-FFF2-40B4-BE49-F238E27FC236}">
              <a16:creationId xmlns:a16="http://schemas.microsoft.com/office/drawing/2014/main" id="{00000000-0008-0000-0F00-0000179B3E00}"/>
            </a:ext>
          </a:extLst>
        </xdr:cNvPr>
        <xdr:cNvGrpSpPr>
          <a:grpSpLocks/>
        </xdr:cNvGrpSpPr>
      </xdr:nvGrpSpPr>
      <xdr:grpSpPr bwMode="auto">
        <a:xfrm>
          <a:off x="4700588" y="10096500"/>
          <a:ext cx="266700" cy="0"/>
          <a:chOff x="466" y="3952"/>
          <a:chExt cx="28" cy="16"/>
        </a:xfrm>
      </xdr:grpSpPr>
      <xdr:sp macro="" textlink="">
        <xdr:nvSpPr>
          <xdr:cNvPr id="4104064" name="Line 6080">
            <a:extLst>
              <a:ext uri="{FF2B5EF4-FFF2-40B4-BE49-F238E27FC236}">
                <a16:creationId xmlns:a16="http://schemas.microsoft.com/office/drawing/2014/main" id="{00000000-0008-0000-0F00-00008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5" name="Line 6081">
            <a:extLst>
              <a:ext uri="{FF2B5EF4-FFF2-40B4-BE49-F238E27FC236}">
                <a16:creationId xmlns:a16="http://schemas.microsoft.com/office/drawing/2014/main" id="{00000000-0008-0000-0F00-00008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6" name="Group 6082">
          <a:extLst>
            <a:ext uri="{FF2B5EF4-FFF2-40B4-BE49-F238E27FC236}">
              <a16:creationId xmlns:a16="http://schemas.microsoft.com/office/drawing/2014/main" id="{00000000-0008-0000-0F00-0000189B3E00}"/>
            </a:ext>
          </a:extLst>
        </xdr:cNvPr>
        <xdr:cNvGrpSpPr>
          <a:grpSpLocks/>
        </xdr:cNvGrpSpPr>
      </xdr:nvGrpSpPr>
      <xdr:grpSpPr bwMode="auto">
        <a:xfrm>
          <a:off x="4700588" y="10096500"/>
          <a:ext cx="266700" cy="0"/>
          <a:chOff x="466" y="3952"/>
          <a:chExt cx="28" cy="16"/>
        </a:xfrm>
      </xdr:grpSpPr>
      <xdr:sp macro="" textlink="">
        <xdr:nvSpPr>
          <xdr:cNvPr id="4104062" name="Line 6083">
            <a:extLst>
              <a:ext uri="{FF2B5EF4-FFF2-40B4-BE49-F238E27FC236}">
                <a16:creationId xmlns:a16="http://schemas.microsoft.com/office/drawing/2014/main" id="{00000000-0008-0000-0F00-00007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3" name="Line 6084">
            <a:extLst>
              <a:ext uri="{FF2B5EF4-FFF2-40B4-BE49-F238E27FC236}">
                <a16:creationId xmlns:a16="http://schemas.microsoft.com/office/drawing/2014/main" id="{00000000-0008-0000-0F00-00007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7" name="Group 6085">
          <a:extLst>
            <a:ext uri="{FF2B5EF4-FFF2-40B4-BE49-F238E27FC236}">
              <a16:creationId xmlns:a16="http://schemas.microsoft.com/office/drawing/2014/main" id="{00000000-0008-0000-0F00-0000199B3E00}"/>
            </a:ext>
          </a:extLst>
        </xdr:cNvPr>
        <xdr:cNvGrpSpPr>
          <a:grpSpLocks/>
        </xdr:cNvGrpSpPr>
      </xdr:nvGrpSpPr>
      <xdr:grpSpPr bwMode="auto">
        <a:xfrm>
          <a:off x="4700588" y="10096500"/>
          <a:ext cx="266700" cy="0"/>
          <a:chOff x="466" y="3952"/>
          <a:chExt cx="28" cy="16"/>
        </a:xfrm>
      </xdr:grpSpPr>
      <xdr:sp macro="" textlink="">
        <xdr:nvSpPr>
          <xdr:cNvPr id="4104060" name="Line 6086">
            <a:extLst>
              <a:ext uri="{FF2B5EF4-FFF2-40B4-BE49-F238E27FC236}">
                <a16:creationId xmlns:a16="http://schemas.microsoft.com/office/drawing/2014/main" id="{00000000-0008-0000-0F00-00007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61" name="Line 6087">
            <a:extLst>
              <a:ext uri="{FF2B5EF4-FFF2-40B4-BE49-F238E27FC236}">
                <a16:creationId xmlns:a16="http://schemas.microsoft.com/office/drawing/2014/main" id="{00000000-0008-0000-0F00-00007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38" name="Group 6088">
          <a:extLst>
            <a:ext uri="{FF2B5EF4-FFF2-40B4-BE49-F238E27FC236}">
              <a16:creationId xmlns:a16="http://schemas.microsoft.com/office/drawing/2014/main" id="{00000000-0008-0000-0F00-00001A9B3E00}"/>
            </a:ext>
          </a:extLst>
        </xdr:cNvPr>
        <xdr:cNvGrpSpPr>
          <a:grpSpLocks/>
        </xdr:cNvGrpSpPr>
      </xdr:nvGrpSpPr>
      <xdr:grpSpPr bwMode="auto">
        <a:xfrm>
          <a:off x="4700588" y="10096500"/>
          <a:ext cx="266700" cy="0"/>
          <a:chOff x="466" y="3952"/>
          <a:chExt cx="28" cy="16"/>
        </a:xfrm>
      </xdr:grpSpPr>
      <xdr:sp macro="" textlink="">
        <xdr:nvSpPr>
          <xdr:cNvPr id="4104058" name="Line 6089">
            <a:extLst>
              <a:ext uri="{FF2B5EF4-FFF2-40B4-BE49-F238E27FC236}">
                <a16:creationId xmlns:a16="http://schemas.microsoft.com/office/drawing/2014/main" id="{00000000-0008-0000-0F00-00007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9" name="Line 6090">
            <a:extLst>
              <a:ext uri="{FF2B5EF4-FFF2-40B4-BE49-F238E27FC236}">
                <a16:creationId xmlns:a16="http://schemas.microsoft.com/office/drawing/2014/main" id="{00000000-0008-0000-0F00-00007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2939" name="Group 6091">
          <a:extLst>
            <a:ext uri="{FF2B5EF4-FFF2-40B4-BE49-F238E27FC236}">
              <a16:creationId xmlns:a16="http://schemas.microsoft.com/office/drawing/2014/main" id="{00000000-0008-0000-0F00-00001B9B3E00}"/>
            </a:ext>
          </a:extLst>
        </xdr:cNvPr>
        <xdr:cNvGrpSpPr>
          <a:grpSpLocks/>
        </xdr:cNvGrpSpPr>
      </xdr:nvGrpSpPr>
      <xdr:grpSpPr bwMode="auto">
        <a:xfrm>
          <a:off x="4576763" y="10096500"/>
          <a:ext cx="228600" cy="0"/>
          <a:chOff x="466" y="3952"/>
          <a:chExt cx="28" cy="16"/>
        </a:xfrm>
      </xdr:grpSpPr>
      <xdr:sp macro="" textlink="">
        <xdr:nvSpPr>
          <xdr:cNvPr id="4104056" name="Line 6092">
            <a:extLst>
              <a:ext uri="{FF2B5EF4-FFF2-40B4-BE49-F238E27FC236}">
                <a16:creationId xmlns:a16="http://schemas.microsoft.com/office/drawing/2014/main" id="{00000000-0008-0000-0F00-00007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7" name="Line 6093">
            <a:extLst>
              <a:ext uri="{FF2B5EF4-FFF2-40B4-BE49-F238E27FC236}">
                <a16:creationId xmlns:a16="http://schemas.microsoft.com/office/drawing/2014/main" id="{00000000-0008-0000-0F00-00007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0" name="Group 6094">
          <a:extLst>
            <a:ext uri="{FF2B5EF4-FFF2-40B4-BE49-F238E27FC236}">
              <a16:creationId xmlns:a16="http://schemas.microsoft.com/office/drawing/2014/main" id="{00000000-0008-0000-0F00-00001C9B3E00}"/>
            </a:ext>
          </a:extLst>
        </xdr:cNvPr>
        <xdr:cNvGrpSpPr>
          <a:grpSpLocks/>
        </xdr:cNvGrpSpPr>
      </xdr:nvGrpSpPr>
      <xdr:grpSpPr bwMode="auto">
        <a:xfrm>
          <a:off x="4117181" y="10096500"/>
          <a:ext cx="240507" cy="0"/>
          <a:chOff x="466" y="3952"/>
          <a:chExt cx="28" cy="16"/>
        </a:xfrm>
      </xdr:grpSpPr>
      <xdr:sp macro="" textlink="">
        <xdr:nvSpPr>
          <xdr:cNvPr id="4104054" name="Line 6095">
            <a:extLst>
              <a:ext uri="{FF2B5EF4-FFF2-40B4-BE49-F238E27FC236}">
                <a16:creationId xmlns:a16="http://schemas.microsoft.com/office/drawing/2014/main" id="{00000000-0008-0000-0F00-00007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5" name="Line 6096">
            <a:extLst>
              <a:ext uri="{FF2B5EF4-FFF2-40B4-BE49-F238E27FC236}">
                <a16:creationId xmlns:a16="http://schemas.microsoft.com/office/drawing/2014/main" id="{00000000-0008-0000-0F00-00007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1" name="Group 6097">
          <a:extLst>
            <a:ext uri="{FF2B5EF4-FFF2-40B4-BE49-F238E27FC236}">
              <a16:creationId xmlns:a16="http://schemas.microsoft.com/office/drawing/2014/main" id="{00000000-0008-0000-0F00-00001D9B3E00}"/>
            </a:ext>
          </a:extLst>
        </xdr:cNvPr>
        <xdr:cNvGrpSpPr>
          <a:grpSpLocks/>
        </xdr:cNvGrpSpPr>
      </xdr:nvGrpSpPr>
      <xdr:grpSpPr bwMode="auto">
        <a:xfrm>
          <a:off x="4700588" y="10096500"/>
          <a:ext cx="266700" cy="0"/>
          <a:chOff x="466" y="3952"/>
          <a:chExt cx="28" cy="16"/>
        </a:xfrm>
      </xdr:grpSpPr>
      <xdr:sp macro="" textlink="">
        <xdr:nvSpPr>
          <xdr:cNvPr id="4104052" name="Line 6098">
            <a:extLst>
              <a:ext uri="{FF2B5EF4-FFF2-40B4-BE49-F238E27FC236}">
                <a16:creationId xmlns:a16="http://schemas.microsoft.com/office/drawing/2014/main" id="{00000000-0008-0000-0F00-00007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3" name="Line 6099">
            <a:extLst>
              <a:ext uri="{FF2B5EF4-FFF2-40B4-BE49-F238E27FC236}">
                <a16:creationId xmlns:a16="http://schemas.microsoft.com/office/drawing/2014/main" id="{00000000-0008-0000-0F00-00007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2" name="Group 6100">
          <a:extLst>
            <a:ext uri="{FF2B5EF4-FFF2-40B4-BE49-F238E27FC236}">
              <a16:creationId xmlns:a16="http://schemas.microsoft.com/office/drawing/2014/main" id="{00000000-0008-0000-0F00-00001E9B3E00}"/>
            </a:ext>
          </a:extLst>
        </xdr:cNvPr>
        <xdr:cNvGrpSpPr>
          <a:grpSpLocks/>
        </xdr:cNvGrpSpPr>
      </xdr:nvGrpSpPr>
      <xdr:grpSpPr bwMode="auto">
        <a:xfrm>
          <a:off x="4117181" y="10096500"/>
          <a:ext cx="240507" cy="0"/>
          <a:chOff x="466" y="3952"/>
          <a:chExt cx="28" cy="16"/>
        </a:xfrm>
      </xdr:grpSpPr>
      <xdr:sp macro="" textlink="">
        <xdr:nvSpPr>
          <xdr:cNvPr id="4104050" name="Line 6101">
            <a:extLst>
              <a:ext uri="{FF2B5EF4-FFF2-40B4-BE49-F238E27FC236}">
                <a16:creationId xmlns:a16="http://schemas.microsoft.com/office/drawing/2014/main" id="{00000000-0008-0000-0F00-00007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51" name="Line 6102">
            <a:extLst>
              <a:ext uri="{FF2B5EF4-FFF2-40B4-BE49-F238E27FC236}">
                <a16:creationId xmlns:a16="http://schemas.microsoft.com/office/drawing/2014/main" id="{00000000-0008-0000-0F00-00007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3" name="Group 6103">
          <a:extLst>
            <a:ext uri="{FF2B5EF4-FFF2-40B4-BE49-F238E27FC236}">
              <a16:creationId xmlns:a16="http://schemas.microsoft.com/office/drawing/2014/main" id="{00000000-0008-0000-0F00-00001F9B3E00}"/>
            </a:ext>
          </a:extLst>
        </xdr:cNvPr>
        <xdr:cNvGrpSpPr>
          <a:grpSpLocks/>
        </xdr:cNvGrpSpPr>
      </xdr:nvGrpSpPr>
      <xdr:grpSpPr bwMode="auto">
        <a:xfrm>
          <a:off x="4700588" y="10096500"/>
          <a:ext cx="266700" cy="0"/>
          <a:chOff x="466" y="3952"/>
          <a:chExt cx="28" cy="16"/>
        </a:xfrm>
      </xdr:grpSpPr>
      <xdr:sp macro="" textlink="">
        <xdr:nvSpPr>
          <xdr:cNvPr id="4104048" name="Line 6104">
            <a:extLst>
              <a:ext uri="{FF2B5EF4-FFF2-40B4-BE49-F238E27FC236}">
                <a16:creationId xmlns:a16="http://schemas.microsoft.com/office/drawing/2014/main" id="{00000000-0008-0000-0F00-00007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9" name="Line 6105">
            <a:extLst>
              <a:ext uri="{FF2B5EF4-FFF2-40B4-BE49-F238E27FC236}">
                <a16:creationId xmlns:a16="http://schemas.microsoft.com/office/drawing/2014/main" id="{00000000-0008-0000-0F00-00007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4" name="Group 6106">
          <a:extLst>
            <a:ext uri="{FF2B5EF4-FFF2-40B4-BE49-F238E27FC236}">
              <a16:creationId xmlns:a16="http://schemas.microsoft.com/office/drawing/2014/main" id="{00000000-0008-0000-0F00-0000209B3E00}"/>
            </a:ext>
          </a:extLst>
        </xdr:cNvPr>
        <xdr:cNvGrpSpPr>
          <a:grpSpLocks/>
        </xdr:cNvGrpSpPr>
      </xdr:nvGrpSpPr>
      <xdr:grpSpPr bwMode="auto">
        <a:xfrm>
          <a:off x="4117181" y="10096500"/>
          <a:ext cx="240507" cy="0"/>
          <a:chOff x="466" y="3952"/>
          <a:chExt cx="28" cy="16"/>
        </a:xfrm>
      </xdr:grpSpPr>
      <xdr:sp macro="" textlink="">
        <xdr:nvSpPr>
          <xdr:cNvPr id="4104046" name="Line 6107">
            <a:extLst>
              <a:ext uri="{FF2B5EF4-FFF2-40B4-BE49-F238E27FC236}">
                <a16:creationId xmlns:a16="http://schemas.microsoft.com/office/drawing/2014/main" id="{00000000-0008-0000-0F00-00006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7" name="Line 6108">
            <a:extLst>
              <a:ext uri="{FF2B5EF4-FFF2-40B4-BE49-F238E27FC236}">
                <a16:creationId xmlns:a16="http://schemas.microsoft.com/office/drawing/2014/main" id="{00000000-0008-0000-0F00-00006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45" name="Group 6109">
          <a:extLst>
            <a:ext uri="{FF2B5EF4-FFF2-40B4-BE49-F238E27FC236}">
              <a16:creationId xmlns:a16="http://schemas.microsoft.com/office/drawing/2014/main" id="{00000000-0008-0000-0F00-0000219B3E00}"/>
            </a:ext>
          </a:extLst>
        </xdr:cNvPr>
        <xdr:cNvGrpSpPr>
          <a:grpSpLocks/>
        </xdr:cNvGrpSpPr>
      </xdr:nvGrpSpPr>
      <xdr:grpSpPr bwMode="auto">
        <a:xfrm>
          <a:off x="4700588" y="10096500"/>
          <a:ext cx="266700" cy="0"/>
          <a:chOff x="466" y="3952"/>
          <a:chExt cx="28" cy="16"/>
        </a:xfrm>
      </xdr:grpSpPr>
      <xdr:sp macro="" textlink="">
        <xdr:nvSpPr>
          <xdr:cNvPr id="4104044" name="Line 6110">
            <a:extLst>
              <a:ext uri="{FF2B5EF4-FFF2-40B4-BE49-F238E27FC236}">
                <a16:creationId xmlns:a16="http://schemas.microsoft.com/office/drawing/2014/main" id="{00000000-0008-0000-0F00-00006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5" name="Line 6111">
            <a:extLst>
              <a:ext uri="{FF2B5EF4-FFF2-40B4-BE49-F238E27FC236}">
                <a16:creationId xmlns:a16="http://schemas.microsoft.com/office/drawing/2014/main" id="{00000000-0008-0000-0F00-00006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6" name="Group 6112">
          <a:extLst>
            <a:ext uri="{FF2B5EF4-FFF2-40B4-BE49-F238E27FC236}">
              <a16:creationId xmlns:a16="http://schemas.microsoft.com/office/drawing/2014/main" id="{00000000-0008-0000-0F00-0000229B3E00}"/>
            </a:ext>
          </a:extLst>
        </xdr:cNvPr>
        <xdr:cNvGrpSpPr>
          <a:grpSpLocks/>
        </xdr:cNvGrpSpPr>
      </xdr:nvGrpSpPr>
      <xdr:grpSpPr bwMode="auto">
        <a:xfrm>
          <a:off x="4117181" y="10096500"/>
          <a:ext cx="240507" cy="0"/>
          <a:chOff x="466" y="3952"/>
          <a:chExt cx="28" cy="16"/>
        </a:xfrm>
      </xdr:grpSpPr>
      <xdr:sp macro="" textlink="">
        <xdr:nvSpPr>
          <xdr:cNvPr id="4104042" name="Line 6113">
            <a:extLst>
              <a:ext uri="{FF2B5EF4-FFF2-40B4-BE49-F238E27FC236}">
                <a16:creationId xmlns:a16="http://schemas.microsoft.com/office/drawing/2014/main" id="{00000000-0008-0000-0F00-00006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3" name="Line 6114">
            <a:extLst>
              <a:ext uri="{FF2B5EF4-FFF2-40B4-BE49-F238E27FC236}">
                <a16:creationId xmlns:a16="http://schemas.microsoft.com/office/drawing/2014/main" id="{00000000-0008-0000-0F00-00006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7" name="Group 6115">
          <a:extLst>
            <a:ext uri="{FF2B5EF4-FFF2-40B4-BE49-F238E27FC236}">
              <a16:creationId xmlns:a16="http://schemas.microsoft.com/office/drawing/2014/main" id="{00000000-0008-0000-0F00-0000239B3E00}"/>
            </a:ext>
          </a:extLst>
        </xdr:cNvPr>
        <xdr:cNvGrpSpPr>
          <a:grpSpLocks/>
        </xdr:cNvGrpSpPr>
      </xdr:nvGrpSpPr>
      <xdr:grpSpPr bwMode="auto">
        <a:xfrm>
          <a:off x="4117181" y="10096500"/>
          <a:ext cx="240507" cy="0"/>
          <a:chOff x="466" y="3952"/>
          <a:chExt cx="28" cy="16"/>
        </a:xfrm>
      </xdr:grpSpPr>
      <xdr:sp macro="" textlink="">
        <xdr:nvSpPr>
          <xdr:cNvPr id="4104040" name="Line 6116">
            <a:extLst>
              <a:ext uri="{FF2B5EF4-FFF2-40B4-BE49-F238E27FC236}">
                <a16:creationId xmlns:a16="http://schemas.microsoft.com/office/drawing/2014/main" id="{00000000-0008-0000-0F00-00006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41" name="Line 6117">
            <a:extLst>
              <a:ext uri="{FF2B5EF4-FFF2-40B4-BE49-F238E27FC236}">
                <a16:creationId xmlns:a16="http://schemas.microsoft.com/office/drawing/2014/main" id="{00000000-0008-0000-0F00-00006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8" name="Group 6118">
          <a:extLst>
            <a:ext uri="{FF2B5EF4-FFF2-40B4-BE49-F238E27FC236}">
              <a16:creationId xmlns:a16="http://schemas.microsoft.com/office/drawing/2014/main" id="{00000000-0008-0000-0F00-0000249B3E00}"/>
            </a:ext>
          </a:extLst>
        </xdr:cNvPr>
        <xdr:cNvGrpSpPr>
          <a:grpSpLocks/>
        </xdr:cNvGrpSpPr>
      </xdr:nvGrpSpPr>
      <xdr:grpSpPr bwMode="auto">
        <a:xfrm>
          <a:off x="4117181" y="10096500"/>
          <a:ext cx="240507" cy="0"/>
          <a:chOff x="466" y="3952"/>
          <a:chExt cx="28" cy="16"/>
        </a:xfrm>
      </xdr:grpSpPr>
      <xdr:sp macro="" textlink="">
        <xdr:nvSpPr>
          <xdr:cNvPr id="4104038" name="Line 6119">
            <a:extLst>
              <a:ext uri="{FF2B5EF4-FFF2-40B4-BE49-F238E27FC236}">
                <a16:creationId xmlns:a16="http://schemas.microsoft.com/office/drawing/2014/main" id="{00000000-0008-0000-0F00-00006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9" name="Line 6120">
            <a:extLst>
              <a:ext uri="{FF2B5EF4-FFF2-40B4-BE49-F238E27FC236}">
                <a16:creationId xmlns:a16="http://schemas.microsoft.com/office/drawing/2014/main" id="{00000000-0008-0000-0F00-00006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49" name="Group 6121">
          <a:extLst>
            <a:ext uri="{FF2B5EF4-FFF2-40B4-BE49-F238E27FC236}">
              <a16:creationId xmlns:a16="http://schemas.microsoft.com/office/drawing/2014/main" id="{00000000-0008-0000-0F00-0000259B3E00}"/>
            </a:ext>
          </a:extLst>
        </xdr:cNvPr>
        <xdr:cNvGrpSpPr>
          <a:grpSpLocks/>
        </xdr:cNvGrpSpPr>
      </xdr:nvGrpSpPr>
      <xdr:grpSpPr bwMode="auto">
        <a:xfrm>
          <a:off x="4117181" y="10096500"/>
          <a:ext cx="240507" cy="0"/>
          <a:chOff x="466" y="3952"/>
          <a:chExt cx="28" cy="16"/>
        </a:xfrm>
      </xdr:grpSpPr>
      <xdr:sp macro="" textlink="">
        <xdr:nvSpPr>
          <xdr:cNvPr id="4104036" name="Line 6122">
            <a:extLst>
              <a:ext uri="{FF2B5EF4-FFF2-40B4-BE49-F238E27FC236}">
                <a16:creationId xmlns:a16="http://schemas.microsoft.com/office/drawing/2014/main" id="{00000000-0008-0000-0F00-00006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7" name="Line 6123">
            <a:extLst>
              <a:ext uri="{FF2B5EF4-FFF2-40B4-BE49-F238E27FC236}">
                <a16:creationId xmlns:a16="http://schemas.microsoft.com/office/drawing/2014/main" id="{00000000-0008-0000-0F00-00006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0" name="Group 6124">
          <a:extLst>
            <a:ext uri="{FF2B5EF4-FFF2-40B4-BE49-F238E27FC236}">
              <a16:creationId xmlns:a16="http://schemas.microsoft.com/office/drawing/2014/main" id="{00000000-0008-0000-0F00-0000269B3E00}"/>
            </a:ext>
          </a:extLst>
        </xdr:cNvPr>
        <xdr:cNvGrpSpPr>
          <a:grpSpLocks/>
        </xdr:cNvGrpSpPr>
      </xdr:nvGrpSpPr>
      <xdr:grpSpPr bwMode="auto">
        <a:xfrm>
          <a:off x="5143500" y="10096500"/>
          <a:ext cx="0" cy="0"/>
          <a:chOff x="466" y="3952"/>
          <a:chExt cx="28" cy="16"/>
        </a:xfrm>
      </xdr:grpSpPr>
      <xdr:sp macro="" textlink="">
        <xdr:nvSpPr>
          <xdr:cNvPr id="4104034" name="Line 6125">
            <a:extLst>
              <a:ext uri="{FF2B5EF4-FFF2-40B4-BE49-F238E27FC236}">
                <a16:creationId xmlns:a16="http://schemas.microsoft.com/office/drawing/2014/main" id="{00000000-0008-0000-0F00-00006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5" name="Line 6126">
            <a:extLst>
              <a:ext uri="{FF2B5EF4-FFF2-40B4-BE49-F238E27FC236}">
                <a16:creationId xmlns:a16="http://schemas.microsoft.com/office/drawing/2014/main" id="{00000000-0008-0000-0F00-00006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1" name="Group 6127">
          <a:extLst>
            <a:ext uri="{FF2B5EF4-FFF2-40B4-BE49-F238E27FC236}">
              <a16:creationId xmlns:a16="http://schemas.microsoft.com/office/drawing/2014/main" id="{00000000-0008-0000-0F00-0000279B3E00}"/>
            </a:ext>
          </a:extLst>
        </xdr:cNvPr>
        <xdr:cNvGrpSpPr>
          <a:grpSpLocks/>
        </xdr:cNvGrpSpPr>
      </xdr:nvGrpSpPr>
      <xdr:grpSpPr bwMode="auto">
        <a:xfrm>
          <a:off x="5143500" y="10096500"/>
          <a:ext cx="0" cy="0"/>
          <a:chOff x="466" y="3952"/>
          <a:chExt cx="28" cy="16"/>
        </a:xfrm>
      </xdr:grpSpPr>
      <xdr:sp macro="" textlink="">
        <xdr:nvSpPr>
          <xdr:cNvPr id="4104032" name="Line 6128">
            <a:extLst>
              <a:ext uri="{FF2B5EF4-FFF2-40B4-BE49-F238E27FC236}">
                <a16:creationId xmlns:a16="http://schemas.microsoft.com/office/drawing/2014/main" id="{00000000-0008-0000-0F00-00006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3" name="Line 6129">
            <a:extLst>
              <a:ext uri="{FF2B5EF4-FFF2-40B4-BE49-F238E27FC236}">
                <a16:creationId xmlns:a16="http://schemas.microsoft.com/office/drawing/2014/main" id="{00000000-0008-0000-0F00-00006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2" name="Group 6130">
          <a:extLst>
            <a:ext uri="{FF2B5EF4-FFF2-40B4-BE49-F238E27FC236}">
              <a16:creationId xmlns:a16="http://schemas.microsoft.com/office/drawing/2014/main" id="{00000000-0008-0000-0F00-0000289B3E00}"/>
            </a:ext>
          </a:extLst>
        </xdr:cNvPr>
        <xdr:cNvGrpSpPr>
          <a:grpSpLocks/>
        </xdr:cNvGrpSpPr>
      </xdr:nvGrpSpPr>
      <xdr:grpSpPr bwMode="auto">
        <a:xfrm>
          <a:off x="5143500" y="10096500"/>
          <a:ext cx="0" cy="0"/>
          <a:chOff x="466" y="3952"/>
          <a:chExt cx="28" cy="16"/>
        </a:xfrm>
      </xdr:grpSpPr>
      <xdr:sp macro="" textlink="">
        <xdr:nvSpPr>
          <xdr:cNvPr id="4104030" name="Line 6131">
            <a:extLst>
              <a:ext uri="{FF2B5EF4-FFF2-40B4-BE49-F238E27FC236}">
                <a16:creationId xmlns:a16="http://schemas.microsoft.com/office/drawing/2014/main" id="{00000000-0008-0000-0F00-00005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31" name="Line 6132">
            <a:extLst>
              <a:ext uri="{FF2B5EF4-FFF2-40B4-BE49-F238E27FC236}">
                <a16:creationId xmlns:a16="http://schemas.microsoft.com/office/drawing/2014/main" id="{00000000-0008-0000-0F00-00005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2953" name="Group 6133">
          <a:extLst>
            <a:ext uri="{FF2B5EF4-FFF2-40B4-BE49-F238E27FC236}">
              <a16:creationId xmlns:a16="http://schemas.microsoft.com/office/drawing/2014/main" id="{00000000-0008-0000-0F00-0000299B3E00}"/>
            </a:ext>
          </a:extLst>
        </xdr:cNvPr>
        <xdr:cNvGrpSpPr>
          <a:grpSpLocks/>
        </xdr:cNvGrpSpPr>
      </xdr:nvGrpSpPr>
      <xdr:grpSpPr bwMode="auto">
        <a:xfrm>
          <a:off x="5143500" y="10096500"/>
          <a:ext cx="0" cy="0"/>
          <a:chOff x="466" y="3952"/>
          <a:chExt cx="28" cy="16"/>
        </a:xfrm>
      </xdr:grpSpPr>
      <xdr:sp macro="" textlink="">
        <xdr:nvSpPr>
          <xdr:cNvPr id="4104028" name="Line 6134">
            <a:extLst>
              <a:ext uri="{FF2B5EF4-FFF2-40B4-BE49-F238E27FC236}">
                <a16:creationId xmlns:a16="http://schemas.microsoft.com/office/drawing/2014/main" id="{00000000-0008-0000-0F00-00005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9" name="Line 6135">
            <a:extLst>
              <a:ext uri="{FF2B5EF4-FFF2-40B4-BE49-F238E27FC236}">
                <a16:creationId xmlns:a16="http://schemas.microsoft.com/office/drawing/2014/main" id="{00000000-0008-0000-0F00-00005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2954" name="Group 6136">
          <a:extLst>
            <a:ext uri="{FF2B5EF4-FFF2-40B4-BE49-F238E27FC236}">
              <a16:creationId xmlns:a16="http://schemas.microsoft.com/office/drawing/2014/main" id="{00000000-0008-0000-0F00-00002A9B3E00}"/>
            </a:ext>
          </a:extLst>
        </xdr:cNvPr>
        <xdr:cNvGrpSpPr>
          <a:grpSpLocks/>
        </xdr:cNvGrpSpPr>
      </xdr:nvGrpSpPr>
      <xdr:grpSpPr bwMode="auto">
        <a:xfrm>
          <a:off x="4050506" y="10096500"/>
          <a:ext cx="266700" cy="0"/>
          <a:chOff x="466" y="3952"/>
          <a:chExt cx="28" cy="16"/>
        </a:xfrm>
      </xdr:grpSpPr>
      <xdr:sp macro="" textlink="">
        <xdr:nvSpPr>
          <xdr:cNvPr id="4104026" name="Line 6137">
            <a:extLst>
              <a:ext uri="{FF2B5EF4-FFF2-40B4-BE49-F238E27FC236}">
                <a16:creationId xmlns:a16="http://schemas.microsoft.com/office/drawing/2014/main" id="{00000000-0008-0000-0F00-00005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7" name="Line 6138">
            <a:extLst>
              <a:ext uri="{FF2B5EF4-FFF2-40B4-BE49-F238E27FC236}">
                <a16:creationId xmlns:a16="http://schemas.microsoft.com/office/drawing/2014/main" id="{00000000-0008-0000-0F00-00005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2955" name="Group 6139">
          <a:extLst>
            <a:ext uri="{FF2B5EF4-FFF2-40B4-BE49-F238E27FC236}">
              <a16:creationId xmlns:a16="http://schemas.microsoft.com/office/drawing/2014/main" id="{00000000-0008-0000-0F00-00002B9B3E00}"/>
            </a:ext>
          </a:extLst>
        </xdr:cNvPr>
        <xdr:cNvGrpSpPr>
          <a:grpSpLocks/>
        </xdr:cNvGrpSpPr>
      </xdr:nvGrpSpPr>
      <xdr:grpSpPr bwMode="auto">
        <a:xfrm>
          <a:off x="4031456" y="10096500"/>
          <a:ext cx="266700" cy="0"/>
          <a:chOff x="466" y="3952"/>
          <a:chExt cx="28" cy="16"/>
        </a:xfrm>
      </xdr:grpSpPr>
      <xdr:sp macro="" textlink="">
        <xdr:nvSpPr>
          <xdr:cNvPr id="4104024" name="Line 6140">
            <a:extLst>
              <a:ext uri="{FF2B5EF4-FFF2-40B4-BE49-F238E27FC236}">
                <a16:creationId xmlns:a16="http://schemas.microsoft.com/office/drawing/2014/main" id="{00000000-0008-0000-0F00-00005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5" name="Line 6141">
            <a:extLst>
              <a:ext uri="{FF2B5EF4-FFF2-40B4-BE49-F238E27FC236}">
                <a16:creationId xmlns:a16="http://schemas.microsoft.com/office/drawing/2014/main" id="{00000000-0008-0000-0F00-00005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56" name="Group 6142">
          <a:extLst>
            <a:ext uri="{FF2B5EF4-FFF2-40B4-BE49-F238E27FC236}">
              <a16:creationId xmlns:a16="http://schemas.microsoft.com/office/drawing/2014/main" id="{00000000-0008-0000-0F00-00002C9B3E00}"/>
            </a:ext>
          </a:extLst>
        </xdr:cNvPr>
        <xdr:cNvGrpSpPr>
          <a:grpSpLocks/>
        </xdr:cNvGrpSpPr>
      </xdr:nvGrpSpPr>
      <xdr:grpSpPr bwMode="auto">
        <a:xfrm>
          <a:off x="4060031" y="10096500"/>
          <a:ext cx="266700" cy="0"/>
          <a:chOff x="466" y="3952"/>
          <a:chExt cx="28" cy="16"/>
        </a:xfrm>
      </xdr:grpSpPr>
      <xdr:sp macro="" textlink="">
        <xdr:nvSpPr>
          <xdr:cNvPr id="4104022" name="Line 6143">
            <a:extLst>
              <a:ext uri="{FF2B5EF4-FFF2-40B4-BE49-F238E27FC236}">
                <a16:creationId xmlns:a16="http://schemas.microsoft.com/office/drawing/2014/main" id="{00000000-0008-0000-0F00-00005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3" name="Line 6144">
            <a:extLst>
              <a:ext uri="{FF2B5EF4-FFF2-40B4-BE49-F238E27FC236}">
                <a16:creationId xmlns:a16="http://schemas.microsoft.com/office/drawing/2014/main" id="{00000000-0008-0000-0F00-00005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2957" name="Group 6145">
          <a:extLst>
            <a:ext uri="{FF2B5EF4-FFF2-40B4-BE49-F238E27FC236}">
              <a16:creationId xmlns:a16="http://schemas.microsoft.com/office/drawing/2014/main" id="{00000000-0008-0000-0F00-00002D9B3E00}"/>
            </a:ext>
          </a:extLst>
        </xdr:cNvPr>
        <xdr:cNvGrpSpPr>
          <a:grpSpLocks/>
        </xdr:cNvGrpSpPr>
      </xdr:nvGrpSpPr>
      <xdr:grpSpPr bwMode="auto">
        <a:xfrm>
          <a:off x="4633913" y="10096500"/>
          <a:ext cx="266700" cy="0"/>
          <a:chOff x="466" y="3952"/>
          <a:chExt cx="28" cy="16"/>
        </a:xfrm>
      </xdr:grpSpPr>
      <xdr:sp macro="" textlink="">
        <xdr:nvSpPr>
          <xdr:cNvPr id="4104020" name="Line 6146">
            <a:extLst>
              <a:ext uri="{FF2B5EF4-FFF2-40B4-BE49-F238E27FC236}">
                <a16:creationId xmlns:a16="http://schemas.microsoft.com/office/drawing/2014/main" id="{00000000-0008-0000-0F00-00005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21" name="Line 6147">
            <a:extLst>
              <a:ext uri="{FF2B5EF4-FFF2-40B4-BE49-F238E27FC236}">
                <a16:creationId xmlns:a16="http://schemas.microsoft.com/office/drawing/2014/main" id="{00000000-0008-0000-0F00-00005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2958" name="Group 6148">
          <a:extLst>
            <a:ext uri="{FF2B5EF4-FFF2-40B4-BE49-F238E27FC236}">
              <a16:creationId xmlns:a16="http://schemas.microsoft.com/office/drawing/2014/main" id="{00000000-0008-0000-0F00-00002E9B3E00}"/>
            </a:ext>
          </a:extLst>
        </xdr:cNvPr>
        <xdr:cNvGrpSpPr>
          <a:grpSpLocks/>
        </xdr:cNvGrpSpPr>
      </xdr:nvGrpSpPr>
      <xdr:grpSpPr bwMode="auto">
        <a:xfrm>
          <a:off x="4662488" y="10096500"/>
          <a:ext cx="266700" cy="0"/>
          <a:chOff x="466" y="3952"/>
          <a:chExt cx="28" cy="16"/>
        </a:xfrm>
      </xdr:grpSpPr>
      <xdr:sp macro="" textlink="">
        <xdr:nvSpPr>
          <xdr:cNvPr id="4104018" name="Line 6149">
            <a:extLst>
              <a:ext uri="{FF2B5EF4-FFF2-40B4-BE49-F238E27FC236}">
                <a16:creationId xmlns:a16="http://schemas.microsoft.com/office/drawing/2014/main" id="{00000000-0008-0000-0F00-00005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9" name="Line 6150">
            <a:extLst>
              <a:ext uri="{FF2B5EF4-FFF2-40B4-BE49-F238E27FC236}">
                <a16:creationId xmlns:a16="http://schemas.microsoft.com/office/drawing/2014/main" id="{00000000-0008-0000-0F00-00005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2959" name="Group 6151">
          <a:extLst>
            <a:ext uri="{FF2B5EF4-FFF2-40B4-BE49-F238E27FC236}">
              <a16:creationId xmlns:a16="http://schemas.microsoft.com/office/drawing/2014/main" id="{00000000-0008-0000-0F00-00002F9B3E00}"/>
            </a:ext>
          </a:extLst>
        </xdr:cNvPr>
        <xdr:cNvGrpSpPr>
          <a:grpSpLocks/>
        </xdr:cNvGrpSpPr>
      </xdr:nvGrpSpPr>
      <xdr:grpSpPr bwMode="auto">
        <a:xfrm>
          <a:off x="4652963" y="10096500"/>
          <a:ext cx="266700" cy="0"/>
          <a:chOff x="466" y="3952"/>
          <a:chExt cx="28" cy="16"/>
        </a:xfrm>
      </xdr:grpSpPr>
      <xdr:sp macro="" textlink="">
        <xdr:nvSpPr>
          <xdr:cNvPr id="4104016" name="Line 6152">
            <a:extLst>
              <a:ext uri="{FF2B5EF4-FFF2-40B4-BE49-F238E27FC236}">
                <a16:creationId xmlns:a16="http://schemas.microsoft.com/office/drawing/2014/main" id="{00000000-0008-0000-0F00-00005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7" name="Line 6153">
            <a:extLst>
              <a:ext uri="{FF2B5EF4-FFF2-40B4-BE49-F238E27FC236}">
                <a16:creationId xmlns:a16="http://schemas.microsoft.com/office/drawing/2014/main" id="{00000000-0008-0000-0F00-00005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2960" name="Group 6154">
          <a:extLst>
            <a:ext uri="{FF2B5EF4-FFF2-40B4-BE49-F238E27FC236}">
              <a16:creationId xmlns:a16="http://schemas.microsoft.com/office/drawing/2014/main" id="{00000000-0008-0000-0F00-0000309B3E00}"/>
            </a:ext>
          </a:extLst>
        </xdr:cNvPr>
        <xdr:cNvGrpSpPr>
          <a:grpSpLocks/>
        </xdr:cNvGrpSpPr>
      </xdr:nvGrpSpPr>
      <xdr:grpSpPr bwMode="auto">
        <a:xfrm>
          <a:off x="4040981" y="10096500"/>
          <a:ext cx="266700" cy="0"/>
          <a:chOff x="466" y="3952"/>
          <a:chExt cx="28" cy="16"/>
        </a:xfrm>
      </xdr:grpSpPr>
      <xdr:sp macro="" textlink="">
        <xdr:nvSpPr>
          <xdr:cNvPr id="4104014" name="Line 6155">
            <a:extLst>
              <a:ext uri="{FF2B5EF4-FFF2-40B4-BE49-F238E27FC236}">
                <a16:creationId xmlns:a16="http://schemas.microsoft.com/office/drawing/2014/main" id="{00000000-0008-0000-0F00-00004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5" name="Line 6156">
            <a:extLst>
              <a:ext uri="{FF2B5EF4-FFF2-40B4-BE49-F238E27FC236}">
                <a16:creationId xmlns:a16="http://schemas.microsoft.com/office/drawing/2014/main" id="{00000000-0008-0000-0F00-00004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2961" name="Group 6157">
          <a:extLst>
            <a:ext uri="{FF2B5EF4-FFF2-40B4-BE49-F238E27FC236}">
              <a16:creationId xmlns:a16="http://schemas.microsoft.com/office/drawing/2014/main" id="{00000000-0008-0000-0F00-0000319B3E00}"/>
            </a:ext>
          </a:extLst>
        </xdr:cNvPr>
        <xdr:cNvGrpSpPr>
          <a:grpSpLocks/>
        </xdr:cNvGrpSpPr>
      </xdr:nvGrpSpPr>
      <xdr:grpSpPr bwMode="auto">
        <a:xfrm>
          <a:off x="4088606" y="10096500"/>
          <a:ext cx="269082" cy="0"/>
          <a:chOff x="466" y="3952"/>
          <a:chExt cx="28" cy="16"/>
        </a:xfrm>
      </xdr:grpSpPr>
      <xdr:sp macro="" textlink="">
        <xdr:nvSpPr>
          <xdr:cNvPr id="4104012" name="Line 6158">
            <a:extLst>
              <a:ext uri="{FF2B5EF4-FFF2-40B4-BE49-F238E27FC236}">
                <a16:creationId xmlns:a16="http://schemas.microsoft.com/office/drawing/2014/main" id="{00000000-0008-0000-0F00-00004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3" name="Line 6159">
            <a:extLst>
              <a:ext uri="{FF2B5EF4-FFF2-40B4-BE49-F238E27FC236}">
                <a16:creationId xmlns:a16="http://schemas.microsoft.com/office/drawing/2014/main" id="{00000000-0008-0000-0F00-00004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2962" name="Group 6160">
          <a:extLst>
            <a:ext uri="{FF2B5EF4-FFF2-40B4-BE49-F238E27FC236}">
              <a16:creationId xmlns:a16="http://schemas.microsoft.com/office/drawing/2014/main" id="{00000000-0008-0000-0F00-0000329B3E00}"/>
            </a:ext>
          </a:extLst>
        </xdr:cNvPr>
        <xdr:cNvGrpSpPr>
          <a:grpSpLocks/>
        </xdr:cNvGrpSpPr>
      </xdr:nvGrpSpPr>
      <xdr:grpSpPr bwMode="auto">
        <a:xfrm>
          <a:off x="4069556" y="10096500"/>
          <a:ext cx="266700" cy="0"/>
          <a:chOff x="466" y="3952"/>
          <a:chExt cx="28" cy="16"/>
        </a:xfrm>
      </xdr:grpSpPr>
      <xdr:sp macro="" textlink="">
        <xdr:nvSpPr>
          <xdr:cNvPr id="4104010" name="Line 6161">
            <a:extLst>
              <a:ext uri="{FF2B5EF4-FFF2-40B4-BE49-F238E27FC236}">
                <a16:creationId xmlns:a16="http://schemas.microsoft.com/office/drawing/2014/main" id="{00000000-0008-0000-0F00-00004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11" name="Line 6162">
            <a:extLst>
              <a:ext uri="{FF2B5EF4-FFF2-40B4-BE49-F238E27FC236}">
                <a16:creationId xmlns:a16="http://schemas.microsoft.com/office/drawing/2014/main" id="{00000000-0008-0000-0F00-00004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2963" name="Group 6163">
          <a:extLst>
            <a:ext uri="{FF2B5EF4-FFF2-40B4-BE49-F238E27FC236}">
              <a16:creationId xmlns:a16="http://schemas.microsoft.com/office/drawing/2014/main" id="{00000000-0008-0000-0F00-0000339B3E00}"/>
            </a:ext>
          </a:extLst>
        </xdr:cNvPr>
        <xdr:cNvGrpSpPr>
          <a:grpSpLocks/>
        </xdr:cNvGrpSpPr>
      </xdr:nvGrpSpPr>
      <xdr:grpSpPr bwMode="auto">
        <a:xfrm>
          <a:off x="4060031" y="10096500"/>
          <a:ext cx="266700" cy="0"/>
          <a:chOff x="466" y="3952"/>
          <a:chExt cx="28" cy="16"/>
        </a:xfrm>
      </xdr:grpSpPr>
      <xdr:sp macro="" textlink="">
        <xdr:nvSpPr>
          <xdr:cNvPr id="4104008" name="Line 6164">
            <a:extLst>
              <a:ext uri="{FF2B5EF4-FFF2-40B4-BE49-F238E27FC236}">
                <a16:creationId xmlns:a16="http://schemas.microsoft.com/office/drawing/2014/main" id="{00000000-0008-0000-0F00-00004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9" name="Line 6165">
            <a:extLst>
              <a:ext uri="{FF2B5EF4-FFF2-40B4-BE49-F238E27FC236}">
                <a16:creationId xmlns:a16="http://schemas.microsoft.com/office/drawing/2014/main" id="{00000000-0008-0000-0F00-00004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4" name="Group 6166">
          <a:extLst>
            <a:ext uri="{FF2B5EF4-FFF2-40B4-BE49-F238E27FC236}">
              <a16:creationId xmlns:a16="http://schemas.microsoft.com/office/drawing/2014/main" id="{00000000-0008-0000-0F00-0000349B3E00}"/>
            </a:ext>
          </a:extLst>
        </xdr:cNvPr>
        <xdr:cNvGrpSpPr>
          <a:grpSpLocks/>
        </xdr:cNvGrpSpPr>
      </xdr:nvGrpSpPr>
      <xdr:grpSpPr bwMode="auto">
        <a:xfrm>
          <a:off x="4117181" y="10096500"/>
          <a:ext cx="240507" cy="0"/>
          <a:chOff x="466" y="3952"/>
          <a:chExt cx="28" cy="16"/>
        </a:xfrm>
      </xdr:grpSpPr>
      <xdr:sp macro="" textlink="">
        <xdr:nvSpPr>
          <xdr:cNvPr id="4104006" name="Line 6167">
            <a:extLst>
              <a:ext uri="{FF2B5EF4-FFF2-40B4-BE49-F238E27FC236}">
                <a16:creationId xmlns:a16="http://schemas.microsoft.com/office/drawing/2014/main" id="{00000000-0008-0000-0F00-00004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7" name="Line 6168">
            <a:extLst>
              <a:ext uri="{FF2B5EF4-FFF2-40B4-BE49-F238E27FC236}">
                <a16:creationId xmlns:a16="http://schemas.microsoft.com/office/drawing/2014/main" id="{00000000-0008-0000-0F00-00004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5" name="Group 6169">
          <a:extLst>
            <a:ext uri="{FF2B5EF4-FFF2-40B4-BE49-F238E27FC236}">
              <a16:creationId xmlns:a16="http://schemas.microsoft.com/office/drawing/2014/main" id="{00000000-0008-0000-0F00-0000359B3E00}"/>
            </a:ext>
          </a:extLst>
        </xdr:cNvPr>
        <xdr:cNvGrpSpPr>
          <a:grpSpLocks/>
        </xdr:cNvGrpSpPr>
      </xdr:nvGrpSpPr>
      <xdr:grpSpPr bwMode="auto">
        <a:xfrm>
          <a:off x="4117181" y="10096500"/>
          <a:ext cx="240507" cy="0"/>
          <a:chOff x="466" y="3952"/>
          <a:chExt cx="28" cy="16"/>
        </a:xfrm>
      </xdr:grpSpPr>
      <xdr:sp macro="" textlink="">
        <xdr:nvSpPr>
          <xdr:cNvPr id="4104004" name="Line 6170">
            <a:extLst>
              <a:ext uri="{FF2B5EF4-FFF2-40B4-BE49-F238E27FC236}">
                <a16:creationId xmlns:a16="http://schemas.microsoft.com/office/drawing/2014/main" id="{00000000-0008-0000-0F00-00004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5" name="Line 6171">
            <a:extLst>
              <a:ext uri="{FF2B5EF4-FFF2-40B4-BE49-F238E27FC236}">
                <a16:creationId xmlns:a16="http://schemas.microsoft.com/office/drawing/2014/main" id="{00000000-0008-0000-0F00-00004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6" name="Group 6172">
          <a:extLst>
            <a:ext uri="{FF2B5EF4-FFF2-40B4-BE49-F238E27FC236}">
              <a16:creationId xmlns:a16="http://schemas.microsoft.com/office/drawing/2014/main" id="{00000000-0008-0000-0F00-0000369B3E00}"/>
            </a:ext>
          </a:extLst>
        </xdr:cNvPr>
        <xdr:cNvGrpSpPr>
          <a:grpSpLocks/>
        </xdr:cNvGrpSpPr>
      </xdr:nvGrpSpPr>
      <xdr:grpSpPr bwMode="auto">
        <a:xfrm>
          <a:off x="4117181" y="10096500"/>
          <a:ext cx="240507" cy="0"/>
          <a:chOff x="466" y="3952"/>
          <a:chExt cx="28" cy="16"/>
        </a:xfrm>
      </xdr:grpSpPr>
      <xdr:sp macro="" textlink="">
        <xdr:nvSpPr>
          <xdr:cNvPr id="4104002" name="Line 6173">
            <a:extLst>
              <a:ext uri="{FF2B5EF4-FFF2-40B4-BE49-F238E27FC236}">
                <a16:creationId xmlns:a16="http://schemas.microsoft.com/office/drawing/2014/main" id="{00000000-0008-0000-0F00-00004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3" name="Line 6174">
            <a:extLst>
              <a:ext uri="{FF2B5EF4-FFF2-40B4-BE49-F238E27FC236}">
                <a16:creationId xmlns:a16="http://schemas.microsoft.com/office/drawing/2014/main" id="{00000000-0008-0000-0F00-00004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7" name="Group 6175">
          <a:extLst>
            <a:ext uri="{FF2B5EF4-FFF2-40B4-BE49-F238E27FC236}">
              <a16:creationId xmlns:a16="http://schemas.microsoft.com/office/drawing/2014/main" id="{00000000-0008-0000-0F00-0000379B3E00}"/>
            </a:ext>
          </a:extLst>
        </xdr:cNvPr>
        <xdr:cNvGrpSpPr>
          <a:grpSpLocks/>
        </xdr:cNvGrpSpPr>
      </xdr:nvGrpSpPr>
      <xdr:grpSpPr bwMode="auto">
        <a:xfrm>
          <a:off x="4117181" y="10096500"/>
          <a:ext cx="240507" cy="0"/>
          <a:chOff x="466" y="3952"/>
          <a:chExt cx="28" cy="16"/>
        </a:xfrm>
      </xdr:grpSpPr>
      <xdr:sp macro="" textlink="">
        <xdr:nvSpPr>
          <xdr:cNvPr id="4104000" name="Line 6176">
            <a:extLst>
              <a:ext uri="{FF2B5EF4-FFF2-40B4-BE49-F238E27FC236}">
                <a16:creationId xmlns:a16="http://schemas.microsoft.com/office/drawing/2014/main" id="{00000000-0008-0000-0F00-00004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4001" name="Line 6177">
            <a:extLst>
              <a:ext uri="{FF2B5EF4-FFF2-40B4-BE49-F238E27FC236}">
                <a16:creationId xmlns:a16="http://schemas.microsoft.com/office/drawing/2014/main" id="{00000000-0008-0000-0F00-00004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8" name="Group 6178">
          <a:extLst>
            <a:ext uri="{FF2B5EF4-FFF2-40B4-BE49-F238E27FC236}">
              <a16:creationId xmlns:a16="http://schemas.microsoft.com/office/drawing/2014/main" id="{00000000-0008-0000-0F00-0000389B3E00}"/>
            </a:ext>
          </a:extLst>
        </xdr:cNvPr>
        <xdr:cNvGrpSpPr>
          <a:grpSpLocks/>
        </xdr:cNvGrpSpPr>
      </xdr:nvGrpSpPr>
      <xdr:grpSpPr bwMode="auto">
        <a:xfrm>
          <a:off x="4117181" y="10096500"/>
          <a:ext cx="240507" cy="0"/>
          <a:chOff x="466" y="3952"/>
          <a:chExt cx="28" cy="16"/>
        </a:xfrm>
      </xdr:grpSpPr>
      <xdr:sp macro="" textlink="">
        <xdr:nvSpPr>
          <xdr:cNvPr id="4103998" name="Line 6179">
            <a:extLst>
              <a:ext uri="{FF2B5EF4-FFF2-40B4-BE49-F238E27FC236}">
                <a16:creationId xmlns:a16="http://schemas.microsoft.com/office/drawing/2014/main" id="{00000000-0008-0000-0F00-00003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9" name="Line 6180">
            <a:extLst>
              <a:ext uri="{FF2B5EF4-FFF2-40B4-BE49-F238E27FC236}">
                <a16:creationId xmlns:a16="http://schemas.microsoft.com/office/drawing/2014/main" id="{00000000-0008-0000-0F00-00003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69" name="Group 6181">
          <a:extLst>
            <a:ext uri="{FF2B5EF4-FFF2-40B4-BE49-F238E27FC236}">
              <a16:creationId xmlns:a16="http://schemas.microsoft.com/office/drawing/2014/main" id="{00000000-0008-0000-0F00-0000399B3E00}"/>
            </a:ext>
          </a:extLst>
        </xdr:cNvPr>
        <xdr:cNvGrpSpPr>
          <a:grpSpLocks/>
        </xdr:cNvGrpSpPr>
      </xdr:nvGrpSpPr>
      <xdr:grpSpPr bwMode="auto">
        <a:xfrm>
          <a:off x="4117181" y="10096500"/>
          <a:ext cx="240507" cy="0"/>
          <a:chOff x="466" y="3952"/>
          <a:chExt cx="28" cy="16"/>
        </a:xfrm>
      </xdr:grpSpPr>
      <xdr:sp macro="" textlink="">
        <xdr:nvSpPr>
          <xdr:cNvPr id="4103996" name="Line 6182">
            <a:extLst>
              <a:ext uri="{FF2B5EF4-FFF2-40B4-BE49-F238E27FC236}">
                <a16:creationId xmlns:a16="http://schemas.microsoft.com/office/drawing/2014/main" id="{00000000-0008-0000-0F00-00003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7" name="Line 6183">
            <a:extLst>
              <a:ext uri="{FF2B5EF4-FFF2-40B4-BE49-F238E27FC236}">
                <a16:creationId xmlns:a16="http://schemas.microsoft.com/office/drawing/2014/main" id="{00000000-0008-0000-0F00-00003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2970" name="Group 6184">
          <a:extLst>
            <a:ext uri="{FF2B5EF4-FFF2-40B4-BE49-F238E27FC236}">
              <a16:creationId xmlns:a16="http://schemas.microsoft.com/office/drawing/2014/main" id="{00000000-0008-0000-0F00-00003A9B3E00}"/>
            </a:ext>
          </a:extLst>
        </xdr:cNvPr>
        <xdr:cNvGrpSpPr>
          <a:grpSpLocks/>
        </xdr:cNvGrpSpPr>
      </xdr:nvGrpSpPr>
      <xdr:grpSpPr bwMode="auto">
        <a:xfrm>
          <a:off x="3993356" y="10096500"/>
          <a:ext cx="228600" cy="0"/>
          <a:chOff x="466" y="3952"/>
          <a:chExt cx="28" cy="16"/>
        </a:xfrm>
      </xdr:grpSpPr>
      <xdr:sp macro="" textlink="">
        <xdr:nvSpPr>
          <xdr:cNvPr id="4103994" name="Line 6185">
            <a:extLst>
              <a:ext uri="{FF2B5EF4-FFF2-40B4-BE49-F238E27FC236}">
                <a16:creationId xmlns:a16="http://schemas.microsoft.com/office/drawing/2014/main" id="{00000000-0008-0000-0F00-00003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5" name="Line 6186">
            <a:extLst>
              <a:ext uri="{FF2B5EF4-FFF2-40B4-BE49-F238E27FC236}">
                <a16:creationId xmlns:a16="http://schemas.microsoft.com/office/drawing/2014/main" id="{00000000-0008-0000-0F00-00003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1" name="Group 6187">
          <a:extLst>
            <a:ext uri="{FF2B5EF4-FFF2-40B4-BE49-F238E27FC236}">
              <a16:creationId xmlns:a16="http://schemas.microsoft.com/office/drawing/2014/main" id="{00000000-0008-0000-0F00-00003B9B3E00}"/>
            </a:ext>
          </a:extLst>
        </xdr:cNvPr>
        <xdr:cNvGrpSpPr>
          <a:grpSpLocks/>
        </xdr:cNvGrpSpPr>
      </xdr:nvGrpSpPr>
      <xdr:grpSpPr bwMode="auto">
        <a:xfrm>
          <a:off x="4117181" y="10096500"/>
          <a:ext cx="228600" cy="0"/>
          <a:chOff x="466" y="3952"/>
          <a:chExt cx="28" cy="16"/>
        </a:xfrm>
      </xdr:grpSpPr>
      <xdr:sp macro="" textlink="">
        <xdr:nvSpPr>
          <xdr:cNvPr id="4103992" name="Line 6188">
            <a:extLst>
              <a:ext uri="{FF2B5EF4-FFF2-40B4-BE49-F238E27FC236}">
                <a16:creationId xmlns:a16="http://schemas.microsoft.com/office/drawing/2014/main" id="{00000000-0008-0000-0F00-00003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3" name="Line 6189">
            <a:extLst>
              <a:ext uri="{FF2B5EF4-FFF2-40B4-BE49-F238E27FC236}">
                <a16:creationId xmlns:a16="http://schemas.microsoft.com/office/drawing/2014/main" id="{00000000-0008-0000-0F00-00003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2" name="Group 6190">
          <a:extLst>
            <a:ext uri="{FF2B5EF4-FFF2-40B4-BE49-F238E27FC236}">
              <a16:creationId xmlns:a16="http://schemas.microsoft.com/office/drawing/2014/main" id="{00000000-0008-0000-0F00-00003C9B3E00}"/>
            </a:ext>
          </a:extLst>
        </xdr:cNvPr>
        <xdr:cNvGrpSpPr>
          <a:grpSpLocks/>
        </xdr:cNvGrpSpPr>
      </xdr:nvGrpSpPr>
      <xdr:grpSpPr bwMode="auto">
        <a:xfrm>
          <a:off x="4117181" y="10096500"/>
          <a:ext cx="228600" cy="0"/>
          <a:chOff x="466" y="3952"/>
          <a:chExt cx="28" cy="16"/>
        </a:xfrm>
      </xdr:grpSpPr>
      <xdr:sp macro="" textlink="">
        <xdr:nvSpPr>
          <xdr:cNvPr id="4103990" name="Line 6191">
            <a:extLst>
              <a:ext uri="{FF2B5EF4-FFF2-40B4-BE49-F238E27FC236}">
                <a16:creationId xmlns:a16="http://schemas.microsoft.com/office/drawing/2014/main" id="{00000000-0008-0000-0F00-00003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91" name="Line 6192">
            <a:extLst>
              <a:ext uri="{FF2B5EF4-FFF2-40B4-BE49-F238E27FC236}">
                <a16:creationId xmlns:a16="http://schemas.microsoft.com/office/drawing/2014/main" id="{00000000-0008-0000-0F00-00003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3" name="Group 6193">
          <a:extLst>
            <a:ext uri="{FF2B5EF4-FFF2-40B4-BE49-F238E27FC236}">
              <a16:creationId xmlns:a16="http://schemas.microsoft.com/office/drawing/2014/main" id="{00000000-0008-0000-0F00-00003D9B3E00}"/>
            </a:ext>
          </a:extLst>
        </xdr:cNvPr>
        <xdr:cNvGrpSpPr>
          <a:grpSpLocks/>
        </xdr:cNvGrpSpPr>
      </xdr:nvGrpSpPr>
      <xdr:grpSpPr bwMode="auto">
        <a:xfrm>
          <a:off x="4117181" y="10096500"/>
          <a:ext cx="240507" cy="0"/>
          <a:chOff x="466" y="3952"/>
          <a:chExt cx="28" cy="16"/>
        </a:xfrm>
      </xdr:grpSpPr>
      <xdr:sp macro="" textlink="">
        <xdr:nvSpPr>
          <xdr:cNvPr id="4103988" name="Line 6194">
            <a:extLst>
              <a:ext uri="{FF2B5EF4-FFF2-40B4-BE49-F238E27FC236}">
                <a16:creationId xmlns:a16="http://schemas.microsoft.com/office/drawing/2014/main" id="{00000000-0008-0000-0F00-00003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9" name="Line 6195">
            <a:extLst>
              <a:ext uri="{FF2B5EF4-FFF2-40B4-BE49-F238E27FC236}">
                <a16:creationId xmlns:a16="http://schemas.microsoft.com/office/drawing/2014/main" id="{00000000-0008-0000-0F00-00003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4" name="Group 6196">
          <a:extLst>
            <a:ext uri="{FF2B5EF4-FFF2-40B4-BE49-F238E27FC236}">
              <a16:creationId xmlns:a16="http://schemas.microsoft.com/office/drawing/2014/main" id="{00000000-0008-0000-0F00-00003E9B3E00}"/>
            </a:ext>
          </a:extLst>
        </xdr:cNvPr>
        <xdr:cNvGrpSpPr>
          <a:grpSpLocks/>
        </xdr:cNvGrpSpPr>
      </xdr:nvGrpSpPr>
      <xdr:grpSpPr bwMode="auto">
        <a:xfrm>
          <a:off x="4117181" y="10096500"/>
          <a:ext cx="228600" cy="0"/>
          <a:chOff x="466" y="3952"/>
          <a:chExt cx="28" cy="16"/>
        </a:xfrm>
      </xdr:grpSpPr>
      <xdr:sp macro="" textlink="">
        <xdr:nvSpPr>
          <xdr:cNvPr id="4103986" name="Line 6197">
            <a:extLst>
              <a:ext uri="{FF2B5EF4-FFF2-40B4-BE49-F238E27FC236}">
                <a16:creationId xmlns:a16="http://schemas.microsoft.com/office/drawing/2014/main" id="{00000000-0008-0000-0F00-00003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7" name="Line 6198">
            <a:extLst>
              <a:ext uri="{FF2B5EF4-FFF2-40B4-BE49-F238E27FC236}">
                <a16:creationId xmlns:a16="http://schemas.microsoft.com/office/drawing/2014/main" id="{00000000-0008-0000-0F00-00003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75" name="Group 6199">
          <a:extLst>
            <a:ext uri="{FF2B5EF4-FFF2-40B4-BE49-F238E27FC236}">
              <a16:creationId xmlns:a16="http://schemas.microsoft.com/office/drawing/2014/main" id="{00000000-0008-0000-0F00-00003F9B3E00}"/>
            </a:ext>
          </a:extLst>
        </xdr:cNvPr>
        <xdr:cNvGrpSpPr>
          <a:grpSpLocks/>
        </xdr:cNvGrpSpPr>
      </xdr:nvGrpSpPr>
      <xdr:grpSpPr bwMode="auto">
        <a:xfrm>
          <a:off x="4117181" y="10096500"/>
          <a:ext cx="228600" cy="0"/>
          <a:chOff x="466" y="3952"/>
          <a:chExt cx="28" cy="16"/>
        </a:xfrm>
      </xdr:grpSpPr>
      <xdr:sp macro="" textlink="">
        <xdr:nvSpPr>
          <xdr:cNvPr id="4103984" name="Line 6200">
            <a:extLst>
              <a:ext uri="{FF2B5EF4-FFF2-40B4-BE49-F238E27FC236}">
                <a16:creationId xmlns:a16="http://schemas.microsoft.com/office/drawing/2014/main" id="{00000000-0008-0000-0F00-00003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5" name="Line 6201">
            <a:extLst>
              <a:ext uri="{FF2B5EF4-FFF2-40B4-BE49-F238E27FC236}">
                <a16:creationId xmlns:a16="http://schemas.microsoft.com/office/drawing/2014/main" id="{00000000-0008-0000-0F00-00003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2976" name="Group 6202">
          <a:extLst>
            <a:ext uri="{FF2B5EF4-FFF2-40B4-BE49-F238E27FC236}">
              <a16:creationId xmlns:a16="http://schemas.microsoft.com/office/drawing/2014/main" id="{00000000-0008-0000-0F00-0000409B3E00}"/>
            </a:ext>
          </a:extLst>
        </xdr:cNvPr>
        <xdr:cNvGrpSpPr>
          <a:grpSpLocks/>
        </xdr:cNvGrpSpPr>
      </xdr:nvGrpSpPr>
      <xdr:grpSpPr bwMode="auto">
        <a:xfrm>
          <a:off x="4117181" y="10096500"/>
          <a:ext cx="240507" cy="0"/>
          <a:chOff x="466" y="3952"/>
          <a:chExt cx="28" cy="16"/>
        </a:xfrm>
      </xdr:grpSpPr>
      <xdr:sp macro="" textlink="">
        <xdr:nvSpPr>
          <xdr:cNvPr id="4103982" name="Line 6203">
            <a:extLst>
              <a:ext uri="{FF2B5EF4-FFF2-40B4-BE49-F238E27FC236}">
                <a16:creationId xmlns:a16="http://schemas.microsoft.com/office/drawing/2014/main" id="{00000000-0008-0000-0F00-00002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3" name="Line 6204">
            <a:extLst>
              <a:ext uri="{FF2B5EF4-FFF2-40B4-BE49-F238E27FC236}">
                <a16:creationId xmlns:a16="http://schemas.microsoft.com/office/drawing/2014/main" id="{00000000-0008-0000-0F00-00002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7" name="Group 6205">
          <a:extLst>
            <a:ext uri="{FF2B5EF4-FFF2-40B4-BE49-F238E27FC236}">
              <a16:creationId xmlns:a16="http://schemas.microsoft.com/office/drawing/2014/main" id="{00000000-0008-0000-0F00-0000419B3E00}"/>
            </a:ext>
          </a:extLst>
        </xdr:cNvPr>
        <xdr:cNvGrpSpPr>
          <a:grpSpLocks/>
        </xdr:cNvGrpSpPr>
      </xdr:nvGrpSpPr>
      <xdr:grpSpPr bwMode="auto">
        <a:xfrm>
          <a:off x="4700588" y="10096500"/>
          <a:ext cx="266700" cy="0"/>
          <a:chOff x="466" y="3952"/>
          <a:chExt cx="28" cy="16"/>
        </a:xfrm>
      </xdr:grpSpPr>
      <xdr:sp macro="" textlink="">
        <xdr:nvSpPr>
          <xdr:cNvPr id="4103980" name="Line 6206">
            <a:extLst>
              <a:ext uri="{FF2B5EF4-FFF2-40B4-BE49-F238E27FC236}">
                <a16:creationId xmlns:a16="http://schemas.microsoft.com/office/drawing/2014/main" id="{00000000-0008-0000-0F00-00002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81" name="Line 6207">
            <a:extLst>
              <a:ext uri="{FF2B5EF4-FFF2-40B4-BE49-F238E27FC236}">
                <a16:creationId xmlns:a16="http://schemas.microsoft.com/office/drawing/2014/main" id="{00000000-0008-0000-0F00-00002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8" name="Group 6208">
          <a:extLst>
            <a:ext uri="{FF2B5EF4-FFF2-40B4-BE49-F238E27FC236}">
              <a16:creationId xmlns:a16="http://schemas.microsoft.com/office/drawing/2014/main" id="{00000000-0008-0000-0F00-0000429B3E00}"/>
            </a:ext>
          </a:extLst>
        </xdr:cNvPr>
        <xdr:cNvGrpSpPr>
          <a:grpSpLocks/>
        </xdr:cNvGrpSpPr>
      </xdr:nvGrpSpPr>
      <xdr:grpSpPr bwMode="auto">
        <a:xfrm>
          <a:off x="4700588" y="10096500"/>
          <a:ext cx="266700" cy="0"/>
          <a:chOff x="466" y="3952"/>
          <a:chExt cx="28" cy="16"/>
        </a:xfrm>
      </xdr:grpSpPr>
      <xdr:sp macro="" textlink="">
        <xdr:nvSpPr>
          <xdr:cNvPr id="4103978" name="Line 6209">
            <a:extLst>
              <a:ext uri="{FF2B5EF4-FFF2-40B4-BE49-F238E27FC236}">
                <a16:creationId xmlns:a16="http://schemas.microsoft.com/office/drawing/2014/main" id="{00000000-0008-0000-0F00-00002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9" name="Line 6210">
            <a:extLst>
              <a:ext uri="{FF2B5EF4-FFF2-40B4-BE49-F238E27FC236}">
                <a16:creationId xmlns:a16="http://schemas.microsoft.com/office/drawing/2014/main" id="{00000000-0008-0000-0F00-00002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79" name="Group 6211">
          <a:extLst>
            <a:ext uri="{FF2B5EF4-FFF2-40B4-BE49-F238E27FC236}">
              <a16:creationId xmlns:a16="http://schemas.microsoft.com/office/drawing/2014/main" id="{00000000-0008-0000-0F00-0000439B3E00}"/>
            </a:ext>
          </a:extLst>
        </xdr:cNvPr>
        <xdr:cNvGrpSpPr>
          <a:grpSpLocks/>
        </xdr:cNvGrpSpPr>
      </xdr:nvGrpSpPr>
      <xdr:grpSpPr bwMode="auto">
        <a:xfrm>
          <a:off x="4700588" y="10096500"/>
          <a:ext cx="266700" cy="0"/>
          <a:chOff x="466" y="3952"/>
          <a:chExt cx="28" cy="16"/>
        </a:xfrm>
      </xdr:grpSpPr>
      <xdr:sp macro="" textlink="">
        <xdr:nvSpPr>
          <xdr:cNvPr id="4103976" name="Line 6212">
            <a:extLst>
              <a:ext uri="{FF2B5EF4-FFF2-40B4-BE49-F238E27FC236}">
                <a16:creationId xmlns:a16="http://schemas.microsoft.com/office/drawing/2014/main" id="{00000000-0008-0000-0F00-00002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7" name="Line 6213">
            <a:extLst>
              <a:ext uri="{FF2B5EF4-FFF2-40B4-BE49-F238E27FC236}">
                <a16:creationId xmlns:a16="http://schemas.microsoft.com/office/drawing/2014/main" id="{00000000-0008-0000-0F00-00002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0" name="Group 6214">
          <a:extLst>
            <a:ext uri="{FF2B5EF4-FFF2-40B4-BE49-F238E27FC236}">
              <a16:creationId xmlns:a16="http://schemas.microsoft.com/office/drawing/2014/main" id="{00000000-0008-0000-0F00-0000449B3E00}"/>
            </a:ext>
          </a:extLst>
        </xdr:cNvPr>
        <xdr:cNvGrpSpPr>
          <a:grpSpLocks/>
        </xdr:cNvGrpSpPr>
      </xdr:nvGrpSpPr>
      <xdr:grpSpPr bwMode="auto">
        <a:xfrm>
          <a:off x="5486400" y="10096500"/>
          <a:ext cx="266700" cy="0"/>
          <a:chOff x="466" y="3952"/>
          <a:chExt cx="28" cy="16"/>
        </a:xfrm>
      </xdr:grpSpPr>
      <xdr:sp macro="" textlink="">
        <xdr:nvSpPr>
          <xdr:cNvPr id="4103974" name="Line 6215">
            <a:extLst>
              <a:ext uri="{FF2B5EF4-FFF2-40B4-BE49-F238E27FC236}">
                <a16:creationId xmlns:a16="http://schemas.microsoft.com/office/drawing/2014/main" id="{00000000-0008-0000-0F00-00002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5" name="Line 6216">
            <a:extLst>
              <a:ext uri="{FF2B5EF4-FFF2-40B4-BE49-F238E27FC236}">
                <a16:creationId xmlns:a16="http://schemas.microsoft.com/office/drawing/2014/main" id="{00000000-0008-0000-0F00-00002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1" name="Group 6217">
          <a:extLst>
            <a:ext uri="{FF2B5EF4-FFF2-40B4-BE49-F238E27FC236}">
              <a16:creationId xmlns:a16="http://schemas.microsoft.com/office/drawing/2014/main" id="{00000000-0008-0000-0F00-0000459B3E00}"/>
            </a:ext>
          </a:extLst>
        </xdr:cNvPr>
        <xdr:cNvGrpSpPr>
          <a:grpSpLocks/>
        </xdr:cNvGrpSpPr>
      </xdr:nvGrpSpPr>
      <xdr:grpSpPr bwMode="auto">
        <a:xfrm>
          <a:off x="5486400" y="10096500"/>
          <a:ext cx="266700" cy="0"/>
          <a:chOff x="466" y="3952"/>
          <a:chExt cx="28" cy="16"/>
        </a:xfrm>
      </xdr:grpSpPr>
      <xdr:sp macro="" textlink="">
        <xdr:nvSpPr>
          <xdr:cNvPr id="4103972" name="Line 6218">
            <a:extLst>
              <a:ext uri="{FF2B5EF4-FFF2-40B4-BE49-F238E27FC236}">
                <a16:creationId xmlns:a16="http://schemas.microsoft.com/office/drawing/2014/main" id="{00000000-0008-0000-0F00-00002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3" name="Line 6219">
            <a:extLst>
              <a:ext uri="{FF2B5EF4-FFF2-40B4-BE49-F238E27FC236}">
                <a16:creationId xmlns:a16="http://schemas.microsoft.com/office/drawing/2014/main" id="{00000000-0008-0000-0F00-00002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2" name="Group 6220">
          <a:extLst>
            <a:ext uri="{FF2B5EF4-FFF2-40B4-BE49-F238E27FC236}">
              <a16:creationId xmlns:a16="http://schemas.microsoft.com/office/drawing/2014/main" id="{00000000-0008-0000-0F00-0000469B3E00}"/>
            </a:ext>
          </a:extLst>
        </xdr:cNvPr>
        <xdr:cNvGrpSpPr>
          <a:grpSpLocks/>
        </xdr:cNvGrpSpPr>
      </xdr:nvGrpSpPr>
      <xdr:grpSpPr bwMode="auto">
        <a:xfrm>
          <a:off x="5486400" y="10096500"/>
          <a:ext cx="266700" cy="0"/>
          <a:chOff x="466" y="3952"/>
          <a:chExt cx="28" cy="16"/>
        </a:xfrm>
      </xdr:grpSpPr>
      <xdr:sp macro="" textlink="">
        <xdr:nvSpPr>
          <xdr:cNvPr id="4103970" name="Line 6221">
            <a:extLst>
              <a:ext uri="{FF2B5EF4-FFF2-40B4-BE49-F238E27FC236}">
                <a16:creationId xmlns:a16="http://schemas.microsoft.com/office/drawing/2014/main" id="{00000000-0008-0000-0F00-00002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71" name="Line 6222">
            <a:extLst>
              <a:ext uri="{FF2B5EF4-FFF2-40B4-BE49-F238E27FC236}">
                <a16:creationId xmlns:a16="http://schemas.microsoft.com/office/drawing/2014/main" id="{00000000-0008-0000-0F00-00002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3" name="Group 6223">
          <a:extLst>
            <a:ext uri="{FF2B5EF4-FFF2-40B4-BE49-F238E27FC236}">
              <a16:creationId xmlns:a16="http://schemas.microsoft.com/office/drawing/2014/main" id="{00000000-0008-0000-0F00-0000479B3E00}"/>
            </a:ext>
          </a:extLst>
        </xdr:cNvPr>
        <xdr:cNvGrpSpPr>
          <a:grpSpLocks/>
        </xdr:cNvGrpSpPr>
      </xdr:nvGrpSpPr>
      <xdr:grpSpPr bwMode="auto">
        <a:xfrm>
          <a:off x="5486400" y="10096500"/>
          <a:ext cx="266700" cy="0"/>
          <a:chOff x="466" y="3952"/>
          <a:chExt cx="28" cy="16"/>
        </a:xfrm>
      </xdr:grpSpPr>
      <xdr:sp macro="" textlink="">
        <xdr:nvSpPr>
          <xdr:cNvPr id="4103968" name="Line 6224">
            <a:extLst>
              <a:ext uri="{FF2B5EF4-FFF2-40B4-BE49-F238E27FC236}">
                <a16:creationId xmlns:a16="http://schemas.microsoft.com/office/drawing/2014/main" id="{00000000-0008-0000-0F00-00002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9" name="Line 6225">
            <a:extLst>
              <a:ext uri="{FF2B5EF4-FFF2-40B4-BE49-F238E27FC236}">
                <a16:creationId xmlns:a16="http://schemas.microsoft.com/office/drawing/2014/main" id="{00000000-0008-0000-0F00-00002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2984" name="Group 6226">
          <a:extLst>
            <a:ext uri="{FF2B5EF4-FFF2-40B4-BE49-F238E27FC236}">
              <a16:creationId xmlns:a16="http://schemas.microsoft.com/office/drawing/2014/main" id="{00000000-0008-0000-0F00-0000489B3E00}"/>
            </a:ext>
          </a:extLst>
        </xdr:cNvPr>
        <xdr:cNvGrpSpPr>
          <a:grpSpLocks/>
        </xdr:cNvGrpSpPr>
      </xdr:nvGrpSpPr>
      <xdr:grpSpPr bwMode="auto">
        <a:xfrm>
          <a:off x="5486400" y="10096500"/>
          <a:ext cx="266700" cy="0"/>
          <a:chOff x="466" y="3952"/>
          <a:chExt cx="28" cy="16"/>
        </a:xfrm>
      </xdr:grpSpPr>
      <xdr:sp macro="" textlink="">
        <xdr:nvSpPr>
          <xdr:cNvPr id="4103966" name="Line 6227">
            <a:extLst>
              <a:ext uri="{FF2B5EF4-FFF2-40B4-BE49-F238E27FC236}">
                <a16:creationId xmlns:a16="http://schemas.microsoft.com/office/drawing/2014/main" id="{00000000-0008-0000-0F00-00001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7" name="Line 6228">
            <a:extLst>
              <a:ext uri="{FF2B5EF4-FFF2-40B4-BE49-F238E27FC236}">
                <a16:creationId xmlns:a16="http://schemas.microsoft.com/office/drawing/2014/main" id="{00000000-0008-0000-0F00-00001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5" name="Group 6229">
          <a:extLst>
            <a:ext uri="{FF2B5EF4-FFF2-40B4-BE49-F238E27FC236}">
              <a16:creationId xmlns:a16="http://schemas.microsoft.com/office/drawing/2014/main" id="{00000000-0008-0000-0F00-0000499B3E00}"/>
            </a:ext>
          </a:extLst>
        </xdr:cNvPr>
        <xdr:cNvGrpSpPr>
          <a:grpSpLocks/>
        </xdr:cNvGrpSpPr>
      </xdr:nvGrpSpPr>
      <xdr:grpSpPr bwMode="auto">
        <a:xfrm>
          <a:off x="4117181" y="10096500"/>
          <a:ext cx="228600" cy="0"/>
          <a:chOff x="466" y="3952"/>
          <a:chExt cx="28" cy="16"/>
        </a:xfrm>
      </xdr:grpSpPr>
      <xdr:sp macro="" textlink="">
        <xdr:nvSpPr>
          <xdr:cNvPr id="4103964" name="Line 6230">
            <a:extLst>
              <a:ext uri="{FF2B5EF4-FFF2-40B4-BE49-F238E27FC236}">
                <a16:creationId xmlns:a16="http://schemas.microsoft.com/office/drawing/2014/main" id="{00000000-0008-0000-0F00-00001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5" name="Line 6231">
            <a:extLst>
              <a:ext uri="{FF2B5EF4-FFF2-40B4-BE49-F238E27FC236}">
                <a16:creationId xmlns:a16="http://schemas.microsoft.com/office/drawing/2014/main" id="{00000000-0008-0000-0F00-00001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6" name="Group 6232">
          <a:extLst>
            <a:ext uri="{FF2B5EF4-FFF2-40B4-BE49-F238E27FC236}">
              <a16:creationId xmlns:a16="http://schemas.microsoft.com/office/drawing/2014/main" id="{00000000-0008-0000-0F00-00004A9B3E00}"/>
            </a:ext>
          </a:extLst>
        </xdr:cNvPr>
        <xdr:cNvGrpSpPr>
          <a:grpSpLocks/>
        </xdr:cNvGrpSpPr>
      </xdr:nvGrpSpPr>
      <xdr:grpSpPr bwMode="auto">
        <a:xfrm>
          <a:off x="4700588" y="10096500"/>
          <a:ext cx="266700" cy="0"/>
          <a:chOff x="466" y="3952"/>
          <a:chExt cx="28" cy="16"/>
        </a:xfrm>
      </xdr:grpSpPr>
      <xdr:sp macro="" textlink="">
        <xdr:nvSpPr>
          <xdr:cNvPr id="4103962" name="Line 6233">
            <a:extLst>
              <a:ext uri="{FF2B5EF4-FFF2-40B4-BE49-F238E27FC236}">
                <a16:creationId xmlns:a16="http://schemas.microsoft.com/office/drawing/2014/main" id="{00000000-0008-0000-0F00-00001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3" name="Line 6234">
            <a:extLst>
              <a:ext uri="{FF2B5EF4-FFF2-40B4-BE49-F238E27FC236}">
                <a16:creationId xmlns:a16="http://schemas.microsoft.com/office/drawing/2014/main" id="{00000000-0008-0000-0F00-00001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7" name="Group 6235">
          <a:extLst>
            <a:ext uri="{FF2B5EF4-FFF2-40B4-BE49-F238E27FC236}">
              <a16:creationId xmlns:a16="http://schemas.microsoft.com/office/drawing/2014/main" id="{00000000-0008-0000-0F00-00004B9B3E00}"/>
            </a:ext>
          </a:extLst>
        </xdr:cNvPr>
        <xdr:cNvGrpSpPr>
          <a:grpSpLocks/>
        </xdr:cNvGrpSpPr>
      </xdr:nvGrpSpPr>
      <xdr:grpSpPr bwMode="auto">
        <a:xfrm>
          <a:off x="4117181" y="10096500"/>
          <a:ext cx="228600" cy="0"/>
          <a:chOff x="466" y="3952"/>
          <a:chExt cx="28" cy="16"/>
        </a:xfrm>
      </xdr:grpSpPr>
      <xdr:sp macro="" textlink="">
        <xdr:nvSpPr>
          <xdr:cNvPr id="4103960" name="Line 6236">
            <a:extLst>
              <a:ext uri="{FF2B5EF4-FFF2-40B4-BE49-F238E27FC236}">
                <a16:creationId xmlns:a16="http://schemas.microsoft.com/office/drawing/2014/main" id="{00000000-0008-0000-0F00-00001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61" name="Line 6237">
            <a:extLst>
              <a:ext uri="{FF2B5EF4-FFF2-40B4-BE49-F238E27FC236}">
                <a16:creationId xmlns:a16="http://schemas.microsoft.com/office/drawing/2014/main" id="{00000000-0008-0000-0F00-00001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88" name="Group 6238">
          <a:extLst>
            <a:ext uri="{FF2B5EF4-FFF2-40B4-BE49-F238E27FC236}">
              <a16:creationId xmlns:a16="http://schemas.microsoft.com/office/drawing/2014/main" id="{00000000-0008-0000-0F00-00004C9B3E00}"/>
            </a:ext>
          </a:extLst>
        </xdr:cNvPr>
        <xdr:cNvGrpSpPr>
          <a:grpSpLocks/>
        </xdr:cNvGrpSpPr>
      </xdr:nvGrpSpPr>
      <xdr:grpSpPr bwMode="auto">
        <a:xfrm>
          <a:off x="4700588" y="10096500"/>
          <a:ext cx="266700" cy="0"/>
          <a:chOff x="466" y="3952"/>
          <a:chExt cx="28" cy="16"/>
        </a:xfrm>
      </xdr:grpSpPr>
      <xdr:sp macro="" textlink="">
        <xdr:nvSpPr>
          <xdr:cNvPr id="4103958" name="Line 6239">
            <a:extLst>
              <a:ext uri="{FF2B5EF4-FFF2-40B4-BE49-F238E27FC236}">
                <a16:creationId xmlns:a16="http://schemas.microsoft.com/office/drawing/2014/main" id="{00000000-0008-0000-0F00-00001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9" name="Line 6240">
            <a:extLst>
              <a:ext uri="{FF2B5EF4-FFF2-40B4-BE49-F238E27FC236}">
                <a16:creationId xmlns:a16="http://schemas.microsoft.com/office/drawing/2014/main" id="{00000000-0008-0000-0F00-00001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89" name="Group 6241">
          <a:extLst>
            <a:ext uri="{FF2B5EF4-FFF2-40B4-BE49-F238E27FC236}">
              <a16:creationId xmlns:a16="http://schemas.microsoft.com/office/drawing/2014/main" id="{00000000-0008-0000-0F00-00004D9B3E00}"/>
            </a:ext>
          </a:extLst>
        </xdr:cNvPr>
        <xdr:cNvGrpSpPr>
          <a:grpSpLocks/>
        </xdr:cNvGrpSpPr>
      </xdr:nvGrpSpPr>
      <xdr:grpSpPr bwMode="auto">
        <a:xfrm>
          <a:off x="4117181" y="10096500"/>
          <a:ext cx="228600" cy="0"/>
          <a:chOff x="466" y="3952"/>
          <a:chExt cx="28" cy="16"/>
        </a:xfrm>
      </xdr:grpSpPr>
      <xdr:sp macro="" textlink="">
        <xdr:nvSpPr>
          <xdr:cNvPr id="4103956" name="Line 6242">
            <a:extLst>
              <a:ext uri="{FF2B5EF4-FFF2-40B4-BE49-F238E27FC236}">
                <a16:creationId xmlns:a16="http://schemas.microsoft.com/office/drawing/2014/main" id="{00000000-0008-0000-0F00-00001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7" name="Line 6243">
            <a:extLst>
              <a:ext uri="{FF2B5EF4-FFF2-40B4-BE49-F238E27FC236}">
                <a16:creationId xmlns:a16="http://schemas.microsoft.com/office/drawing/2014/main" id="{00000000-0008-0000-0F00-00001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0" name="Group 6244">
          <a:extLst>
            <a:ext uri="{FF2B5EF4-FFF2-40B4-BE49-F238E27FC236}">
              <a16:creationId xmlns:a16="http://schemas.microsoft.com/office/drawing/2014/main" id="{00000000-0008-0000-0F00-00004E9B3E00}"/>
            </a:ext>
          </a:extLst>
        </xdr:cNvPr>
        <xdr:cNvGrpSpPr>
          <a:grpSpLocks/>
        </xdr:cNvGrpSpPr>
      </xdr:nvGrpSpPr>
      <xdr:grpSpPr bwMode="auto">
        <a:xfrm>
          <a:off x="4700588" y="10096500"/>
          <a:ext cx="266700" cy="0"/>
          <a:chOff x="466" y="3952"/>
          <a:chExt cx="28" cy="16"/>
        </a:xfrm>
      </xdr:grpSpPr>
      <xdr:sp macro="" textlink="">
        <xdr:nvSpPr>
          <xdr:cNvPr id="4103954" name="Line 6245">
            <a:extLst>
              <a:ext uri="{FF2B5EF4-FFF2-40B4-BE49-F238E27FC236}">
                <a16:creationId xmlns:a16="http://schemas.microsoft.com/office/drawing/2014/main" id="{00000000-0008-0000-0F00-00001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5" name="Line 6246">
            <a:extLst>
              <a:ext uri="{FF2B5EF4-FFF2-40B4-BE49-F238E27FC236}">
                <a16:creationId xmlns:a16="http://schemas.microsoft.com/office/drawing/2014/main" id="{00000000-0008-0000-0F00-00001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1" name="Group 6247">
          <a:extLst>
            <a:ext uri="{FF2B5EF4-FFF2-40B4-BE49-F238E27FC236}">
              <a16:creationId xmlns:a16="http://schemas.microsoft.com/office/drawing/2014/main" id="{00000000-0008-0000-0F00-00004F9B3E00}"/>
            </a:ext>
          </a:extLst>
        </xdr:cNvPr>
        <xdr:cNvGrpSpPr>
          <a:grpSpLocks/>
        </xdr:cNvGrpSpPr>
      </xdr:nvGrpSpPr>
      <xdr:grpSpPr bwMode="auto">
        <a:xfrm>
          <a:off x="4117181" y="10096500"/>
          <a:ext cx="228600" cy="0"/>
          <a:chOff x="466" y="3952"/>
          <a:chExt cx="28" cy="16"/>
        </a:xfrm>
      </xdr:grpSpPr>
      <xdr:sp macro="" textlink="">
        <xdr:nvSpPr>
          <xdr:cNvPr id="4103952" name="Line 6248">
            <a:extLst>
              <a:ext uri="{FF2B5EF4-FFF2-40B4-BE49-F238E27FC236}">
                <a16:creationId xmlns:a16="http://schemas.microsoft.com/office/drawing/2014/main" id="{00000000-0008-0000-0F00-00001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3" name="Line 6249">
            <a:extLst>
              <a:ext uri="{FF2B5EF4-FFF2-40B4-BE49-F238E27FC236}">
                <a16:creationId xmlns:a16="http://schemas.microsoft.com/office/drawing/2014/main" id="{00000000-0008-0000-0F00-00001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2" name="Group 6250">
          <a:extLst>
            <a:ext uri="{FF2B5EF4-FFF2-40B4-BE49-F238E27FC236}">
              <a16:creationId xmlns:a16="http://schemas.microsoft.com/office/drawing/2014/main" id="{00000000-0008-0000-0F00-0000509B3E00}"/>
            </a:ext>
          </a:extLst>
        </xdr:cNvPr>
        <xdr:cNvGrpSpPr>
          <a:grpSpLocks/>
        </xdr:cNvGrpSpPr>
      </xdr:nvGrpSpPr>
      <xdr:grpSpPr bwMode="auto">
        <a:xfrm>
          <a:off x="4700588" y="10096500"/>
          <a:ext cx="266700" cy="0"/>
          <a:chOff x="466" y="3952"/>
          <a:chExt cx="28" cy="16"/>
        </a:xfrm>
      </xdr:grpSpPr>
      <xdr:sp macro="" textlink="">
        <xdr:nvSpPr>
          <xdr:cNvPr id="4103950" name="Line 6251">
            <a:extLst>
              <a:ext uri="{FF2B5EF4-FFF2-40B4-BE49-F238E27FC236}">
                <a16:creationId xmlns:a16="http://schemas.microsoft.com/office/drawing/2014/main" id="{00000000-0008-0000-0F00-00000E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51" name="Line 6252">
            <a:extLst>
              <a:ext uri="{FF2B5EF4-FFF2-40B4-BE49-F238E27FC236}">
                <a16:creationId xmlns:a16="http://schemas.microsoft.com/office/drawing/2014/main" id="{00000000-0008-0000-0F00-00000F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3" name="Group 6253">
          <a:extLst>
            <a:ext uri="{FF2B5EF4-FFF2-40B4-BE49-F238E27FC236}">
              <a16:creationId xmlns:a16="http://schemas.microsoft.com/office/drawing/2014/main" id="{00000000-0008-0000-0F00-0000519B3E00}"/>
            </a:ext>
          </a:extLst>
        </xdr:cNvPr>
        <xdr:cNvGrpSpPr>
          <a:grpSpLocks/>
        </xdr:cNvGrpSpPr>
      </xdr:nvGrpSpPr>
      <xdr:grpSpPr bwMode="auto">
        <a:xfrm>
          <a:off x="4117181" y="10096500"/>
          <a:ext cx="228600" cy="0"/>
          <a:chOff x="466" y="3952"/>
          <a:chExt cx="28" cy="16"/>
        </a:xfrm>
      </xdr:grpSpPr>
      <xdr:sp macro="" textlink="">
        <xdr:nvSpPr>
          <xdr:cNvPr id="4103948" name="Line 6254">
            <a:extLst>
              <a:ext uri="{FF2B5EF4-FFF2-40B4-BE49-F238E27FC236}">
                <a16:creationId xmlns:a16="http://schemas.microsoft.com/office/drawing/2014/main" id="{00000000-0008-0000-0F00-00000C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9" name="Line 6255">
            <a:extLst>
              <a:ext uri="{FF2B5EF4-FFF2-40B4-BE49-F238E27FC236}">
                <a16:creationId xmlns:a16="http://schemas.microsoft.com/office/drawing/2014/main" id="{00000000-0008-0000-0F00-00000D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4" name="Group 6256">
          <a:extLst>
            <a:ext uri="{FF2B5EF4-FFF2-40B4-BE49-F238E27FC236}">
              <a16:creationId xmlns:a16="http://schemas.microsoft.com/office/drawing/2014/main" id="{00000000-0008-0000-0F00-0000529B3E00}"/>
            </a:ext>
          </a:extLst>
        </xdr:cNvPr>
        <xdr:cNvGrpSpPr>
          <a:grpSpLocks/>
        </xdr:cNvGrpSpPr>
      </xdr:nvGrpSpPr>
      <xdr:grpSpPr bwMode="auto">
        <a:xfrm>
          <a:off x="4117181" y="10096500"/>
          <a:ext cx="228600" cy="0"/>
          <a:chOff x="466" y="3952"/>
          <a:chExt cx="28" cy="16"/>
        </a:xfrm>
      </xdr:grpSpPr>
      <xdr:sp macro="" textlink="">
        <xdr:nvSpPr>
          <xdr:cNvPr id="4103946" name="Line 6257">
            <a:extLst>
              <a:ext uri="{FF2B5EF4-FFF2-40B4-BE49-F238E27FC236}">
                <a16:creationId xmlns:a16="http://schemas.microsoft.com/office/drawing/2014/main" id="{00000000-0008-0000-0F00-00000A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7" name="Line 6258">
            <a:extLst>
              <a:ext uri="{FF2B5EF4-FFF2-40B4-BE49-F238E27FC236}">
                <a16:creationId xmlns:a16="http://schemas.microsoft.com/office/drawing/2014/main" id="{00000000-0008-0000-0F00-00000B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5" name="Group 6259">
          <a:extLst>
            <a:ext uri="{FF2B5EF4-FFF2-40B4-BE49-F238E27FC236}">
              <a16:creationId xmlns:a16="http://schemas.microsoft.com/office/drawing/2014/main" id="{00000000-0008-0000-0F00-0000539B3E00}"/>
            </a:ext>
          </a:extLst>
        </xdr:cNvPr>
        <xdr:cNvGrpSpPr>
          <a:grpSpLocks/>
        </xdr:cNvGrpSpPr>
      </xdr:nvGrpSpPr>
      <xdr:grpSpPr bwMode="auto">
        <a:xfrm>
          <a:off x="4117181" y="10096500"/>
          <a:ext cx="228600" cy="0"/>
          <a:chOff x="466" y="3952"/>
          <a:chExt cx="28" cy="16"/>
        </a:xfrm>
      </xdr:grpSpPr>
      <xdr:sp macro="" textlink="">
        <xdr:nvSpPr>
          <xdr:cNvPr id="4103944" name="Line 6260">
            <a:extLst>
              <a:ext uri="{FF2B5EF4-FFF2-40B4-BE49-F238E27FC236}">
                <a16:creationId xmlns:a16="http://schemas.microsoft.com/office/drawing/2014/main" id="{00000000-0008-0000-0F00-000008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5" name="Line 6261">
            <a:extLst>
              <a:ext uri="{FF2B5EF4-FFF2-40B4-BE49-F238E27FC236}">
                <a16:creationId xmlns:a16="http://schemas.microsoft.com/office/drawing/2014/main" id="{00000000-0008-0000-0F00-000009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6" name="Group 6262">
          <a:extLst>
            <a:ext uri="{FF2B5EF4-FFF2-40B4-BE49-F238E27FC236}">
              <a16:creationId xmlns:a16="http://schemas.microsoft.com/office/drawing/2014/main" id="{00000000-0008-0000-0F00-0000549B3E00}"/>
            </a:ext>
          </a:extLst>
        </xdr:cNvPr>
        <xdr:cNvGrpSpPr>
          <a:grpSpLocks/>
        </xdr:cNvGrpSpPr>
      </xdr:nvGrpSpPr>
      <xdr:grpSpPr bwMode="auto">
        <a:xfrm>
          <a:off x="4117181" y="10096500"/>
          <a:ext cx="228600" cy="0"/>
          <a:chOff x="466" y="3952"/>
          <a:chExt cx="28" cy="16"/>
        </a:xfrm>
      </xdr:grpSpPr>
      <xdr:sp macro="" textlink="">
        <xdr:nvSpPr>
          <xdr:cNvPr id="4103942" name="Line 6263">
            <a:extLst>
              <a:ext uri="{FF2B5EF4-FFF2-40B4-BE49-F238E27FC236}">
                <a16:creationId xmlns:a16="http://schemas.microsoft.com/office/drawing/2014/main" id="{00000000-0008-0000-0F00-000006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3" name="Line 6264">
            <a:extLst>
              <a:ext uri="{FF2B5EF4-FFF2-40B4-BE49-F238E27FC236}">
                <a16:creationId xmlns:a16="http://schemas.microsoft.com/office/drawing/2014/main" id="{00000000-0008-0000-0F00-000007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2997" name="Group 6265">
          <a:extLst>
            <a:ext uri="{FF2B5EF4-FFF2-40B4-BE49-F238E27FC236}">
              <a16:creationId xmlns:a16="http://schemas.microsoft.com/office/drawing/2014/main" id="{00000000-0008-0000-0F00-0000559B3E00}"/>
            </a:ext>
          </a:extLst>
        </xdr:cNvPr>
        <xdr:cNvGrpSpPr>
          <a:grpSpLocks/>
        </xdr:cNvGrpSpPr>
      </xdr:nvGrpSpPr>
      <xdr:grpSpPr bwMode="auto">
        <a:xfrm>
          <a:off x="4117181" y="10096500"/>
          <a:ext cx="228600" cy="0"/>
          <a:chOff x="466" y="3952"/>
          <a:chExt cx="28" cy="16"/>
        </a:xfrm>
      </xdr:grpSpPr>
      <xdr:sp macro="" textlink="">
        <xdr:nvSpPr>
          <xdr:cNvPr id="4103940" name="Line 6266">
            <a:extLst>
              <a:ext uri="{FF2B5EF4-FFF2-40B4-BE49-F238E27FC236}">
                <a16:creationId xmlns:a16="http://schemas.microsoft.com/office/drawing/2014/main" id="{00000000-0008-0000-0F00-000004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41" name="Line 6267">
            <a:extLst>
              <a:ext uri="{FF2B5EF4-FFF2-40B4-BE49-F238E27FC236}">
                <a16:creationId xmlns:a16="http://schemas.microsoft.com/office/drawing/2014/main" id="{00000000-0008-0000-0F00-000005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8" name="Group 6268">
          <a:extLst>
            <a:ext uri="{FF2B5EF4-FFF2-40B4-BE49-F238E27FC236}">
              <a16:creationId xmlns:a16="http://schemas.microsoft.com/office/drawing/2014/main" id="{00000000-0008-0000-0F00-0000569B3E00}"/>
            </a:ext>
          </a:extLst>
        </xdr:cNvPr>
        <xdr:cNvGrpSpPr>
          <a:grpSpLocks/>
        </xdr:cNvGrpSpPr>
      </xdr:nvGrpSpPr>
      <xdr:grpSpPr bwMode="auto">
        <a:xfrm>
          <a:off x="4700588" y="10096500"/>
          <a:ext cx="266700" cy="0"/>
          <a:chOff x="466" y="3952"/>
          <a:chExt cx="28" cy="16"/>
        </a:xfrm>
      </xdr:grpSpPr>
      <xdr:sp macro="" textlink="">
        <xdr:nvSpPr>
          <xdr:cNvPr id="4103938" name="Line 6269">
            <a:extLst>
              <a:ext uri="{FF2B5EF4-FFF2-40B4-BE49-F238E27FC236}">
                <a16:creationId xmlns:a16="http://schemas.microsoft.com/office/drawing/2014/main" id="{00000000-0008-0000-0F00-000002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9" name="Line 6270">
            <a:extLst>
              <a:ext uri="{FF2B5EF4-FFF2-40B4-BE49-F238E27FC236}">
                <a16:creationId xmlns:a16="http://schemas.microsoft.com/office/drawing/2014/main" id="{00000000-0008-0000-0F00-000003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2999" name="Group 6271">
          <a:extLst>
            <a:ext uri="{FF2B5EF4-FFF2-40B4-BE49-F238E27FC236}">
              <a16:creationId xmlns:a16="http://schemas.microsoft.com/office/drawing/2014/main" id="{00000000-0008-0000-0F00-0000579B3E00}"/>
            </a:ext>
          </a:extLst>
        </xdr:cNvPr>
        <xdr:cNvGrpSpPr>
          <a:grpSpLocks/>
        </xdr:cNvGrpSpPr>
      </xdr:nvGrpSpPr>
      <xdr:grpSpPr bwMode="auto">
        <a:xfrm>
          <a:off x="4700588" y="10096500"/>
          <a:ext cx="266700" cy="0"/>
          <a:chOff x="466" y="3952"/>
          <a:chExt cx="28" cy="16"/>
        </a:xfrm>
      </xdr:grpSpPr>
      <xdr:sp macro="" textlink="">
        <xdr:nvSpPr>
          <xdr:cNvPr id="4103936" name="Line 6272">
            <a:extLst>
              <a:ext uri="{FF2B5EF4-FFF2-40B4-BE49-F238E27FC236}">
                <a16:creationId xmlns:a16="http://schemas.microsoft.com/office/drawing/2014/main" id="{00000000-0008-0000-0F00-0000009F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7" name="Line 6273">
            <a:extLst>
              <a:ext uri="{FF2B5EF4-FFF2-40B4-BE49-F238E27FC236}">
                <a16:creationId xmlns:a16="http://schemas.microsoft.com/office/drawing/2014/main" id="{00000000-0008-0000-0F00-0000019F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0" name="Group 6274">
          <a:extLst>
            <a:ext uri="{FF2B5EF4-FFF2-40B4-BE49-F238E27FC236}">
              <a16:creationId xmlns:a16="http://schemas.microsoft.com/office/drawing/2014/main" id="{00000000-0008-0000-0F00-0000589B3E00}"/>
            </a:ext>
          </a:extLst>
        </xdr:cNvPr>
        <xdr:cNvGrpSpPr>
          <a:grpSpLocks/>
        </xdr:cNvGrpSpPr>
      </xdr:nvGrpSpPr>
      <xdr:grpSpPr bwMode="auto">
        <a:xfrm>
          <a:off x="4700588" y="10096500"/>
          <a:ext cx="266700" cy="0"/>
          <a:chOff x="466" y="3952"/>
          <a:chExt cx="28" cy="16"/>
        </a:xfrm>
      </xdr:grpSpPr>
      <xdr:sp macro="" textlink="">
        <xdr:nvSpPr>
          <xdr:cNvPr id="4103934" name="Line 6275">
            <a:extLst>
              <a:ext uri="{FF2B5EF4-FFF2-40B4-BE49-F238E27FC236}">
                <a16:creationId xmlns:a16="http://schemas.microsoft.com/office/drawing/2014/main" id="{00000000-0008-0000-0F00-0000F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5" name="Line 6276">
            <a:extLst>
              <a:ext uri="{FF2B5EF4-FFF2-40B4-BE49-F238E27FC236}">
                <a16:creationId xmlns:a16="http://schemas.microsoft.com/office/drawing/2014/main" id="{00000000-0008-0000-0F00-0000F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1" name="Group 6277">
          <a:extLst>
            <a:ext uri="{FF2B5EF4-FFF2-40B4-BE49-F238E27FC236}">
              <a16:creationId xmlns:a16="http://schemas.microsoft.com/office/drawing/2014/main" id="{00000000-0008-0000-0F00-0000599B3E00}"/>
            </a:ext>
          </a:extLst>
        </xdr:cNvPr>
        <xdr:cNvGrpSpPr>
          <a:grpSpLocks/>
        </xdr:cNvGrpSpPr>
      </xdr:nvGrpSpPr>
      <xdr:grpSpPr bwMode="auto">
        <a:xfrm>
          <a:off x="4700588" y="10096500"/>
          <a:ext cx="266700" cy="0"/>
          <a:chOff x="466" y="3952"/>
          <a:chExt cx="28" cy="16"/>
        </a:xfrm>
      </xdr:grpSpPr>
      <xdr:sp macro="" textlink="">
        <xdr:nvSpPr>
          <xdr:cNvPr id="4103932" name="Line 6278">
            <a:extLst>
              <a:ext uri="{FF2B5EF4-FFF2-40B4-BE49-F238E27FC236}">
                <a16:creationId xmlns:a16="http://schemas.microsoft.com/office/drawing/2014/main" id="{00000000-0008-0000-0F00-0000F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3" name="Line 6279">
            <a:extLst>
              <a:ext uri="{FF2B5EF4-FFF2-40B4-BE49-F238E27FC236}">
                <a16:creationId xmlns:a16="http://schemas.microsoft.com/office/drawing/2014/main" id="{00000000-0008-0000-0F00-0000F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2" name="Group 6280">
          <a:extLst>
            <a:ext uri="{FF2B5EF4-FFF2-40B4-BE49-F238E27FC236}">
              <a16:creationId xmlns:a16="http://schemas.microsoft.com/office/drawing/2014/main" id="{00000000-0008-0000-0F00-00005A9B3E00}"/>
            </a:ext>
          </a:extLst>
        </xdr:cNvPr>
        <xdr:cNvGrpSpPr>
          <a:grpSpLocks/>
        </xdr:cNvGrpSpPr>
      </xdr:nvGrpSpPr>
      <xdr:grpSpPr bwMode="auto">
        <a:xfrm>
          <a:off x="4700588" y="10096500"/>
          <a:ext cx="266700" cy="0"/>
          <a:chOff x="466" y="3952"/>
          <a:chExt cx="28" cy="16"/>
        </a:xfrm>
      </xdr:grpSpPr>
      <xdr:sp macro="" textlink="">
        <xdr:nvSpPr>
          <xdr:cNvPr id="4103930" name="Line 6281">
            <a:extLst>
              <a:ext uri="{FF2B5EF4-FFF2-40B4-BE49-F238E27FC236}">
                <a16:creationId xmlns:a16="http://schemas.microsoft.com/office/drawing/2014/main" id="{00000000-0008-0000-0F00-0000F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31" name="Line 6282">
            <a:extLst>
              <a:ext uri="{FF2B5EF4-FFF2-40B4-BE49-F238E27FC236}">
                <a16:creationId xmlns:a16="http://schemas.microsoft.com/office/drawing/2014/main" id="{00000000-0008-0000-0F00-0000F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3" name="Group 6283">
          <a:extLst>
            <a:ext uri="{FF2B5EF4-FFF2-40B4-BE49-F238E27FC236}">
              <a16:creationId xmlns:a16="http://schemas.microsoft.com/office/drawing/2014/main" id="{00000000-0008-0000-0F00-00005B9B3E00}"/>
            </a:ext>
          </a:extLst>
        </xdr:cNvPr>
        <xdr:cNvGrpSpPr>
          <a:grpSpLocks/>
        </xdr:cNvGrpSpPr>
      </xdr:nvGrpSpPr>
      <xdr:grpSpPr bwMode="auto">
        <a:xfrm>
          <a:off x="4117181" y="10096500"/>
          <a:ext cx="228600" cy="0"/>
          <a:chOff x="466" y="3952"/>
          <a:chExt cx="28" cy="16"/>
        </a:xfrm>
      </xdr:grpSpPr>
      <xdr:sp macro="" textlink="">
        <xdr:nvSpPr>
          <xdr:cNvPr id="4103928" name="Line 6284">
            <a:extLst>
              <a:ext uri="{FF2B5EF4-FFF2-40B4-BE49-F238E27FC236}">
                <a16:creationId xmlns:a16="http://schemas.microsoft.com/office/drawing/2014/main" id="{00000000-0008-0000-0F00-0000F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9" name="Line 6285">
            <a:extLst>
              <a:ext uri="{FF2B5EF4-FFF2-40B4-BE49-F238E27FC236}">
                <a16:creationId xmlns:a16="http://schemas.microsoft.com/office/drawing/2014/main" id="{00000000-0008-0000-0F00-0000F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04" name="Group 6286">
          <a:extLst>
            <a:ext uri="{FF2B5EF4-FFF2-40B4-BE49-F238E27FC236}">
              <a16:creationId xmlns:a16="http://schemas.microsoft.com/office/drawing/2014/main" id="{00000000-0008-0000-0F00-00005C9B3E00}"/>
            </a:ext>
          </a:extLst>
        </xdr:cNvPr>
        <xdr:cNvGrpSpPr>
          <a:grpSpLocks/>
        </xdr:cNvGrpSpPr>
      </xdr:nvGrpSpPr>
      <xdr:grpSpPr bwMode="auto">
        <a:xfrm>
          <a:off x="4117181" y="10096500"/>
          <a:ext cx="228600" cy="0"/>
          <a:chOff x="466" y="3952"/>
          <a:chExt cx="28" cy="16"/>
        </a:xfrm>
      </xdr:grpSpPr>
      <xdr:sp macro="" textlink="">
        <xdr:nvSpPr>
          <xdr:cNvPr id="4103926" name="Line 6287">
            <a:extLst>
              <a:ext uri="{FF2B5EF4-FFF2-40B4-BE49-F238E27FC236}">
                <a16:creationId xmlns:a16="http://schemas.microsoft.com/office/drawing/2014/main" id="{00000000-0008-0000-0F00-0000F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7" name="Line 6288">
            <a:extLst>
              <a:ext uri="{FF2B5EF4-FFF2-40B4-BE49-F238E27FC236}">
                <a16:creationId xmlns:a16="http://schemas.microsoft.com/office/drawing/2014/main" id="{00000000-0008-0000-0F00-0000F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5" name="Group 6289">
          <a:extLst>
            <a:ext uri="{FF2B5EF4-FFF2-40B4-BE49-F238E27FC236}">
              <a16:creationId xmlns:a16="http://schemas.microsoft.com/office/drawing/2014/main" id="{00000000-0008-0000-0F00-00005D9B3E00}"/>
            </a:ext>
          </a:extLst>
        </xdr:cNvPr>
        <xdr:cNvGrpSpPr>
          <a:grpSpLocks/>
        </xdr:cNvGrpSpPr>
      </xdr:nvGrpSpPr>
      <xdr:grpSpPr bwMode="auto">
        <a:xfrm>
          <a:off x="4700588" y="10096500"/>
          <a:ext cx="266700" cy="0"/>
          <a:chOff x="466" y="3952"/>
          <a:chExt cx="28" cy="16"/>
        </a:xfrm>
      </xdr:grpSpPr>
      <xdr:sp macro="" textlink="">
        <xdr:nvSpPr>
          <xdr:cNvPr id="4103924" name="Line 6290">
            <a:extLst>
              <a:ext uri="{FF2B5EF4-FFF2-40B4-BE49-F238E27FC236}">
                <a16:creationId xmlns:a16="http://schemas.microsoft.com/office/drawing/2014/main" id="{00000000-0008-0000-0F00-0000F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5" name="Line 6291">
            <a:extLst>
              <a:ext uri="{FF2B5EF4-FFF2-40B4-BE49-F238E27FC236}">
                <a16:creationId xmlns:a16="http://schemas.microsoft.com/office/drawing/2014/main" id="{00000000-0008-0000-0F00-0000F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6" name="Group 6292">
          <a:extLst>
            <a:ext uri="{FF2B5EF4-FFF2-40B4-BE49-F238E27FC236}">
              <a16:creationId xmlns:a16="http://schemas.microsoft.com/office/drawing/2014/main" id="{00000000-0008-0000-0F00-00005E9B3E00}"/>
            </a:ext>
          </a:extLst>
        </xdr:cNvPr>
        <xdr:cNvGrpSpPr>
          <a:grpSpLocks/>
        </xdr:cNvGrpSpPr>
      </xdr:nvGrpSpPr>
      <xdr:grpSpPr bwMode="auto">
        <a:xfrm>
          <a:off x="4700588" y="10096500"/>
          <a:ext cx="266700" cy="0"/>
          <a:chOff x="466" y="3952"/>
          <a:chExt cx="28" cy="16"/>
        </a:xfrm>
      </xdr:grpSpPr>
      <xdr:sp macro="" textlink="">
        <xdr:nvSpPr>
          <xdr:cNvPr id="4103922" name="Line 6293">
            <a:extLst>
              <a:ext uri="{FF2B5EF4-FFF2-40B4-BE49-F238E27FC236}">
                <a16:creationId xmlns:a16="http://schemas.microsoft.com/office/drawing/2014/main" id="{00000000-0008-0000-0F00-0000F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3" name="Line 6294">
            <a:extLst>
              <a:ext uri="{FF2B5EF4-FFF2-40B4-BE49-F238E27FC236}">
                <a16:creationId xmlns:a16="http://schemas.microsoft.com/office/drawing/2014/main" id="{00000000-0008-0000-0F00-0000F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07" name="Group 6295">
          <a:extLst>
            <a:ext uri="{FF2B5EF4-FFF2-40B4-BE49-F238E27FC236}">
              <a16:creationId xmlns:a16="http://schemas.microsoft.com/office/drawing/2014/main" id="{00000000-0008-0000-0F00-00005F9B3E00}"/>
            </a:ext>
          </a:extLst>
        </xdr:cNvPr>
        <xdr:cNvGrpSpPr>
          <a:grpSpLocks/>
        </xdr:cNvGrpSpPr>
      </xdr:nvGrpSpPr>
      <xdr:grpSpPr bwMode="auto">
        <a:xfrm>
          <a:off x="4117181" y="10096500"/>
          <a:ext cx="240507" cy="0"/>
          <a:chOff x="466" y="3952"/>
          <a:chExt cx="28" cy="16"/>
        </a:xfrm>
      </xdr:grpSpPr>
      <xdr:sp macro="" textlink="">
        <xdr:nvSpPr>
          <xdr:cNvPr id="4103920" name="Line 6296">
            <a:extLst>
              <a:ext uri="{FF2B5EF4-FFF2-40B4-BE49-F238E27FC236}">
                <a16:creationId xmlns:a16="http://schemas.microsoft.com/office/drawing/2014/main" id="{00000000-0008-0000-0F00-0000F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21" name="Line 6297">
            <a:extLst>
              <a:ext uri="{FF2B5EF4-FFF2-40B4-BE49-F238E27FC236}">
                <a16:creationId xmlns:a16="http://schemas.microsoft.com/office/drawing/2014/main" id="{00000000-0008-0000-0F00-0000F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08" name="Group 6298">
          <a:extLst>
            <a:ext uri="{FF2B5EF4-FFF2-40B4-BE49-F238E27FC236}">
              <a16:creationId xmlns:a16="http://schemas.microsoft.com/office/drawing/2014/main" id="{00000000-0008-0000-0F00-0000609B3E00}"/>
            </a:ext>
          </a:extLst>
        </xdr:cNvPr>
        <xdr:cNvGrpSpPr>
          <a:grpSpLocks/>
        </xdr:cNvGrpSpPr>
      </xdr:nvGrpSpPr>
      <xdr:grpSpPr bwMode="auto">
        <a:xfrm>
          <a:off x="5486400" y="10096500"/>
          <a:ext cx="228600" cy="0"/>
          <a:chOff x="466" y="3952"/>
          <a:chExt cx="28" cy="16"/>
        </a:xfrm>
      </xdr:grpSpPr>
      <xdr:sp macro="" textlink="">
        <xdr:nvSpPr>
          <xdr:cNvPr id="4103918" name="Line 6299">
            <a:extLst>
              <a:ext uri="{FF2B5EF4-FFF2-40B4-BE49-F238E27FC236}">
                <a16:creationId xmlns:a16="http://schemas.microsoft.com/office/drawing/2014/main" id="{00000000-0008-0000-0F00-0000E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9" name="Line 6300">
            <a:extLst>
              <a:ext uri="{FF2B5EF4-FFF2-40B4-BE49-F238E27FC236}">
                <a16:creationId xmlns:a16="http://schemas.microsoft.com/office/drawing/2014/main" id="{00000000-0008-0000-0F00-0000E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09" name="Group 6301">
          <a:extLst>
            <a:ext uri="{FF2B5EF4-FFF2-40B4-BE49-F238E27FC236}">
              <a16:creationId xmlns:a16="http://schemas.microsoft.com/office/drawing/2014/main" id="{00000000-0008-0000-0F00-0000619B3E00}"/>
            </a:ext>
          </a:extLst>
        </xdr:cNvPr>
        <xdr:cNvGrpSpPr>
          <a:grpSpLocks/>
        </xdr:cNvGrpSpPr>
      </xdr:nvGrpSpPr>
      <xdr:grpSpPr bwMode="auto">
        <a:xfrm>
          <a:off x="4700588" y="10096500"/>
          <a:ext cx="266700" cy="0"/>
          <a:chOff x="466" y="3952"/>
          <a:chExt cx="28" cy="16"/>
        </a:xfrm>
      </xdr:grpSpPr>
      <xdr:sp macro="" textlink="">
        <xdr:nvSpPr>
          <xdr:cNvPr id="4103916" name="Line 6302">
            <a:extLst>
              <a:ext uri="{FF2B5EF4-FFF2-40B4-BE49-F238E27FC236}">
                <a16:creationId xmlns:a16="http://schemas.microsoft.com/office/drawing/2014/main" id="{00000000-0008-0000-0F00-0000E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7" name="Line 6303">
            <a:extLst>
              <a:ext uri="{FF2B5EF4-FFF2-40B4-BE49-F238E27FC236}">
                <a16:creationId xmlns:a16="http://schemas.microsoft.com/office/drawing/2014/main" id="{00000000-0008-0000-0F00-0000E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0" name="Group 6304">
          <a:extLst>
            <a:ext uri="{FF2B5EF4-FFF2-40B4-BE49-F238E27FC236}">
              <a16:creationId xmlns:a16="http://schemas.microsoft.com/office/drawing/2014/main" id="{00000000-0008-0000-0F00-0000629B3E00}"/>
            </a:ext>
          </a:extLst>
        </xdr:cNvPr>
        <xdr:cNvGrpSpPr>
          <a:grpSpLocks/>
        </xdr:cNvGrpSpPr>
      </xdr:nvGrpSpPr>
      <xdr:grpSpPr bwMode="auto">
        <a:xfrm>
          <a:off x="4700588" y="10096500"/>
          <a:ext cx="266700" cy="0"/>
          <a:chOff x="466" y="3952"/>
          <a:chExt cx="28" cy="16"/>
        </a:xfrm>
      </xdr:grpSpPr>
      <xdr:sp macro="" textlink="">
        <xdr:nvSpPr>
          <xdr:cNvPr id="4103914" name="Line 6305">
            <a:extLst>
              <a:ext uri="{FF2B5EF4-FFF2-40B4-BE49-F238E27FC236}">
                <a16:creationId xmlns:a16="http://schemas.microsoft.com/office/drawing/2014/main" id="{00000000-0008-0000-0F00-0000E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5" name="Line 6306">
            <a:extLst>
              <a:ext uri="{FF2B5EF4-FFF2-40B4-BE49-F238E27FC236}">
                <a16:creationId xmlns:a16="http://schemas.microsoft.com/office/drawing/2014/main" id="{00000000-0008-0000-0F00-0000E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1" name="Group 6307">
          <a:extLst>
            <a:ext uri="{FF2B5EF4-FFF2-40B4-BE49-F238E27FC236}">
              <a16:creationId xmlns:a16="http://schemas.microsoft.com/office/drawing/2014/main" id="{00000000-0008-0000-0F00-0000639B3E00}"/>
            </a:ext>
          </a:extLst>
        </xdr:cNvPr>
        <xdr:cNvGrpSpPr>
          <a:grpSpLocks/>
        </xdr:cNvGrpSpPr>
      </xdr:nvGrpSpPr>
      <xdr:grpSpPr bwMode="auto">
        <a:xfrm>
          <a:off x="4700588" y="10096500"/>
          <a:ext cx="266700" cy="0"/>
          <a:chOff x="466" y="3952"/>
          <a:chExt cx="28" cy="16"/>
        </a:xfrm>
      </xdr:grpSpPr>
      <xdr:sp macro="" textlink="">
        <xdr:nvSpPr>
          <xdr:cNvPr id="4103912" name="Line 6308">
            <a:extLst>
              <a:ext uri="{FF2B5EF4-FFF2-40B4-BE49-F238E27FC236}">
                <a16:creationId xmlns:a16="http://schemas.microsoft.com/office/drawing/2014/main" id="{00000000-0008-0000-0F00-0000E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3" name="Line 6309">
            <a:extLst>
              <a:ext uri="{FF2B5EF4-FFF2-40B4-BE49-F238E27FC236}">
                <a16:creationId xmlns:a16="http://schemas.microsoft.com/office/drawing/2014/main" id="{00000000-0008-0000-0F00-0000E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2" name="Group 6310">
          <a:extLst>
            <a:ext uri="{FF2B5EF4-FFF2-40B4-BE49-F238E27FC236}">
              <a16:creationId xmlns:a16="http://schemas.microsoft.com/office/drawing/2014/main" id="{00000000-0008-0000-0F00-0000649B3E00}"/>
            </a:ext>
          </a:extLst>
        </xdr:cNvPr>
        <xdr:cNvGrpSpPr>
          <a:grpSpLocks/>
        </xdr:cNvGrpSpPr>
      </xdr:nvGrpSpPr>
      <xdr:grpSpPr bwMode="auto">
        <a:xfrm>
          <a:off x="4700588" y="10096500"/>
          <a:ext cx="266700" cy="0"/>
          <a:chOff x="466" y="3952"/>
          <a:chExt cx="28" cy="16"/>
        </a:xfrm>
      </xdr:grpSpPr>
      <xdr:sp macro="" textlink="">
        <xdr:nvSpPr>
          <xdr:cNvPr id="4103910" name="Line 6311">
            <a:extLst>
              <a:ext uri="{FF2B5EF4-FFF2-40B4-BE49-F238E27FC236}">
                <a16:creationId xmlns:a16="http://schemas.microsoft.com/office/drawing/2014/main" id="{00000000-0008-0000-0F00-0000E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11" name="Line 6312">
            <a:extLst>
              <a:ext uri="{FF2B5EF4-FFF2-40B4-BE49-F238E27FC236}">
                <a16:creationId xmlns:a16="http://schemas.microsoft.com/office/drawing/2014/main" id="{00000000-0008-0000-0F00-0000E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13" name="Group 6313">
          <a:extLst>
            <a:ext uri="{FF2B5EF4-FFF2-40B4-BE49-F238E27FC236}">
              <a16:creationId xmlns:a16="http://schemas.microsoft.com/office/drawing/2014/main" id="{00000000-0008-0000-0F00-0000659B3E00}"/>
            </a:ext>
          </a:extLst>
        </xdr:cNvPr>
        <xdr:cNvGrpSpPr>
          <a:grpSpLocks/>
        </xdr:cNvGrpSpPr>
      </xdr:nvGrpSpPr>
      <xdr:grpSpPr bwMode="auto">
        <a:xfrm>
          <a:off x="4700588" y="10096500"/>
          <a:ext cx="266700" cy="0"/>
          <a:chOff x="466" y="3952"/>
          <a:chExt cx="28" cy="16"/>
        </a:xfrm>
      </xdr:grpSpPr>
      <xdr:sp macro="" textlink="">
        <xdr:nvSpPr>
          <xdr:cNvPr id="4103908" name="Line 6314">
            <a:extLst>
              <a:ext uri="{FF2B5EF4-FFF2-40B4-BE49-F238E27FC236}">
                <a16:creationId xmlns:a16="http://schemas.microsoft.com/office/drawing/2014/main" id="{00000000-0008-0000-0F00-0000E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9" name="Line 6315">
            <a:extLst>
              <a:ext uri="{FF2B5EF4-FFF2-40B4-BE49-F238E27FC236}">
                <a16:creationId xmlns:a16="http://schemas.microsoft.com/office/drawing/2014/main" id="{00000000-0008-0000-0F00-0000E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14" name="Group 6316">
          <a:extLst>
            <a:ext uri="{FF2B5EF4-FFF2-40B4-BE49-F238E27FC236}">
              <a16:creationId xmlns:a16="http://schemas.microsoft.com/office/drawing/2014/main" id="{00000000-0008-0000-0F00-0000669B3E00}"/>
            </a:ext>
          </a:extLst>
        </xdr:cNvPr>
        <xdr:cNvGrpSpPr>
          <a:grpSpLocks/>
        </xdr:cNvGrpSpPr>
      </xdr:nvGrpSpPr>
      <xdr:grpSpPr bwMode="auto">
        <a:xfrm>
          <a:off x="4576763" y="10096500"/>
          <a:ext cx="228600" cy="0"/>
          <a:chOff x="466" y="3952"/>
          <a:chExt cx="28" cy="16"/>
        </a:xfrm>
      </xdr:grpSpPr>
      <xdr:sp macro="" textlink="">
        <xdr:nvSpPr>
          <xdr:cNvPr id="4103906" name="Line 6317">
            <a:extLst>
              <a:ext uri="{FF2B5EF4-FFF2-40B4-BE49-F238E27FC236}">
                <a16:creationId xmlns:a16="http://schemas.microsoft.com/office/drawing/2014/main" id="{00000000-0008-0000-0F00-0000E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7" name="Line 6318">
            <a:extLst>
              <a:ext uri="{FF2B5EF4-FFF2-40B4-BE49-F238E27FC236}">
                <a16:creationId xmlns:a16="http://schemas.microsoft.com/office/drawing/2014/main" id="{00000000-0008-0000-0F00-0000E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5" name="Group 6319">
          <a:extLst>
            <a:ext uri="{FF2B5EF4-FFF2-40B4-BE49-F238E27FC236}">
              <a16:creationId xmlns:a16="http://schemas.microsoft.com/office/drawing/2014/main" id="{00000000-0008-0000-0F00-0000679B3E00}"/>
            </a:ext>
          </a:extLst>
        </xdr:cNvPr>
        <xdr:cNvGrpSpPr>
          <a:grpSpLocks/>
        </xdr:cNvGrpSpPr>
      </xdr:nvGrpSpPr>
      <xdr:grpSpPr bwMode="auto">
        <a:xfrm>
          <a:off x="4117181" y="10096500"/>
          <a:ext cx="240507" cy="0"/>
          <a:chOff x="466" y="3952"/>
          <a:chExt cx="28" cy="16"/>
        </a:xfrm>
      </xdr:grpSpPr>
      <xdr:sp macro="" textlink="">
        <xdr:nvSpPr>
          <xdr:cNvPr id="4103904" name="Line 6320">
            <a:extLst>
              <a:ext uri="{FF2B5EF4-FFF2-40B4-BE49-F238E27FC236}">
                <a16:creationId xmlns:a16="http://schemas.microsoft.com/office/drawing/2014/main" id="{00000000-0008-0000-0F00-0000E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5" name="Line 6321">
            <a:extLst>
              <a:ext uri="{FF2B5EF4-FFF2-40B4-BE49-F238E27FC236}">
                <a16:creationId xmlns:a16="http://schemas.microsoft.com/office/drawing/2014/main" id="{00000000-0008-0000-0F00-0000E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6" name="Group 6322">
          <a:extLst>
            <a:ext uri="{FF2B5EF4-FFF2-40B4-BE49-F238E27FC236}">
              <a16:creationId xmlns:a16="http://schemas.microsoft.com/office/drawing/2014/main" id="{00000000-0008-0000-0F00-0000689B3E00}"/>
            </a:ext>
          </a:extLst>
        </xdr:cNvPr>
        <xdr:cNvGrpSpPr>
          <a:grpSpLocks/>
        </xdr:cNvGrpSpPr>
      </xdr:nvGrpSpPr>
      <xdr:grpSpPr bwMode="auto">
        <a:xfrm>
          <a:off x="4117181" y="10096500"/>
          <a:ext cx="240507" cy="0"/>
          <a:chOff x="466" y="3952"/>
          <a:chExt cx="28" cy="16"/>
        </a:xfrm>
      </xdr:grpSpPr>
      <xdr:sp macro="" textlink="">
        <xdr:nvSpPr>
          <xdr:cNvPr id="4103902" name="Line 6323">
            <a:extLst>
              <a:ext uri="{FF2B5EF4-FFF2-40B4-BE49-F238E27FC236}">
                <a16:creationId xmlns:a16="http://schemas.microsoft.com/office/drawing/2014/main" id="{00000000-0008-0000-0F00-0000D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3" name="Line 6324">
            <a:extLst>
              <a:ext uri="{FF2B5EF4-FFF2-40B4-BE49-F238E27FC236}">
                <a16:creationId xmlns:a16="http://schemas.microsoft.com/office/drawing/2014/main" id="{00000000-0008-0000-0F00-0000D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7" name="Group 6325">
          <a:extLst>
            <a:ext uri="{FF2B5EF4-FFF2-40B4-BE49-F238E27FC236}">
              <a16:creationId xmlns:a16="http://schemas.microsoft.com/office/drawing/2014/main" id="{00000000-0008-0000-0F00-0000699B3E00}"/>
            </a:ext>
          </a:extLst>
        </xdr:cNvPr>
        <xdr:cNvGrpSpPr>
          <a:grpSpLocks/>
        </xdr:cNvGrpSpPr>
      </xdr:nvGrpSpPr>
      <xdr:grpSpPr bwMode="auto">
        <a:xfrm>
          <a:off x="4117181" y="10096500"/>
          <a:ext cx="240507" cy="0"/>
          <a:chOff x="466" y="3952"/>
          <a:chExt cx="28" cy="16"/>
        </a:xfrm>
      </xdr:grpSpPr>
      <xdr:sp macro="" textlink="">
        <xdr:nvSpPr>
          <xdr:cNvPr id="4103900" name="Line 6326">
            <a:extLst>
              <a:ext uri="{FF2B5EF4-FFF2-40B4-BE49-F238E27FC236}">
                <a16:creationId xmlns:a16="http://schemas.microsoft.com/office/drawing/2014/main" id="{00000000-0008-0000-0F00-0000D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901" name="Line 6327">
            <a:extLst>
              <a:ext uri="{FF2B5EF4-FFF2-40B4-BE49-F238E27FC236}">
                <a16:creationId xmlns:a16="http://schemas.microsoft.com/office/drawing/2014/main" id="{00000000-0008-0000-0F00-0000D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8" name="Group 6328">
          <a:extLst>
            <a:ext uri="{FF2B5EF4-FFF2-40B4-BE49-F238E27FC236}">
              <a16:creationId xmlns:a16="http://schemas.microsoft.com/office/drawing/2014/main" id="{00000000-0008-0000-0F00-00006A9B3E00}"/>
            </a:ext>
          </a:extLst>
        </xdr:cNvPr>
        <xdr:cNvGrpSpPr>
          <a:grpSpLocks/>
        </xdr:cNvGrpSpPr>
      </xdr:nvGrpSpPr>
      <xdr:grpSpPr bwMode="auto">
        <a:xfrm>
          <a:off x="4117181" y="10096500"/>
          <a:ext cx="240507" cy="0"/>
          <a:chOff x="466" y="3952"/>
          <a:chExt cx="28" cy="16"/>
        </a:xfrm>
      </xdr:grpSpPr>
      <xdr:sp macro="" textlink="">
        <xdr:nvSpPr>
          <xdr:cNvPr id="4103898" name="Line 6329">
            <a:extLst>
              <a:ext uri="{FF2B5EF4-FFF2-40B4-BE49-F238E27FC236}">
                <a16:creationId xmlns:a16="http://schemas.microsoft.com/office/drawing/2014/main" id="{00000000-0008-0000-0F00-0000D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9" name="Line 6330">
            <a:extLst>
              <a:ext uri="{FF2B5EF4-FFF2-40B4-BE49-F238E27FC236}">
                <a16:creationId xmlns:a16="http://schemas.microsoft.com/office/drawing/2014/main" id="{00000000-0008-0000-0F00-0000D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19" name="Group 6331">
          <a:extLst>
            <a:ext uri="{FF2B5EF4-FFF2-40B4-BE49-F238E27FC236}">
              <a16:creationId xmlns:a16="http://schemas.microsoft.com/office/drawing/2014/main" id="{00000000-0008-0000-0F00-00006B9B3E00}"/>
            </a:ext>
          </a:extLst>
        </xdr:cNvPr>
        <xdr:cNvGrpSpPr>
          <a:grpSpLocks/>
        </xdr:cNvGrpSpPr>
      </xdr:nvGrpSpPr>
      <xdr:grpSpPr bwMode="auto">
        <a:xfrm>
          <a:off x="4117181" y="10096500"/>
          <a:ext cx="240507" cy="0"/>
          <a:chOff x="466" y="3952"/>
          <a:chExt cx="28" cy="16"/>
        </a:xfrm>
      </xdr:grpSpPr>
      <xdr:sp macro="" textlink="">
        <xdr:nvSpPr>
          <xdr:cNvPr id="4103896" name="Line 6332">
            <a:extLst>
              <a:ext uri="{FF2B5EF4-FFF2-40B4-BE49-F238E27FC236}">
                <a16:creationId xmlns:a16="http://schemas.microsoft.com/office/drawing/2014/main" id="{00000000-0008-0000-0F00-0000D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7" name="Line 6333">
            <a:extLst>
              <a:ext uri="{FF2B5EF4-FFF2-40B4-BE49-F238E27FC236}">
                <a16:creationId xmlns:a16="http://schemas.microsoft.com/office/drawing/2014/main" id="{00000000-0008-0000-0F00-0000D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0" name="Group 6334">
          <a:extLst>
            <a:ext uri="{FF2B5EF4-FFF2-40B4-BE49-F238E27FC236}">
              <a16:creationId xmlns:a16="http://schemas.microsoft.com/office/drawing/2014/main" id="{00000000-0008-0000-0F00-00006C9B3E00}"/>
            </a:ext>
          </a:extLst>
        </xdr:cNvPr>
        <xdr:cNvGrpSpPr>
          <a:grpSpLocks/>
        </xdr:cNvGrpSpPr>
      </xdr:nvGrpSpPr>
      <xdr:grpSpPr bwMode="auto">
        <a:xfrm>
          <a:off x="4117181" y="10096500"/>
          <a:ext cx="240507" cy="0"/>
          <a:chOff x="466" y="3952"/>
          <a:chExt cx="28" cy="16"/>
        </a:xfrm>
      </xdr:grpSpPr>
      <xdr:sp macro="" textlink="">
        <xdr:nvSpPr>
          <xdr:cNvPr id="4103894" name="Line 6335">
            <a:extLst>
              <a:ext uri="{FF2B5EF4-FFF2-40B4-BE49-F238E27FC236}">
                <a16:creationId xmlns:a16="http://schemas.microsoft.com/office/drawing/2014/main" id="{00000000-0008-0000-0F00-0000D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5" name="Line 6336">
            <a:extLst>
              <a:ext uri="{FF2B5EF4-FFF2-40B4-BE49-F238E27FC236}">
                <a16:creationId xmlns:a16="http://schemas.microsoft.com/office/drawing/2014/main" id="{00000000-0008-0000-0F00-0000D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21" name="Group 6337">
          <a:extLst>
            <a:ext uri="{FF2B5EF4-FFF2-40B4-BE49-F238E27FC236}">
              <a16:creationId xmlns:a16="http://schemas.microsoft.com/office/drawing/2014/main" id="{00000000-0008-0000-0F00-00006D9B3E00}"/>
            </a:ext>
          </a:extLst>
        </xdr:cNvPr>
        <xdr:cNvGrpSpPr>
          <a:grpSpLocks/>
        </xdr:cNvGrpSpPr>
      </xdr:nvGrpSpPr>
      <xdr:grpSpPr bwMode="auto">
        <a:xfrm>
          <a:off x="3993356" y="10096500"/>
          <a:ext cx="228600" cy="0"/>
          <a:chOff x="466" y="3952"/>
          <a:chExt cx="28" cy="16"/>
        </a:xfrm>
      </xdr:grpSpPr>
      <xdr:sp macro="" textlink="">
        <xdr:nvSpPr>
          <xdr:cNvPr id="4103892" name="Line 6338">
            <a:extLst>
              <a:ext uri="{FF2B5EF4-FFF2-40B4-BE49-F238E27FC236}">
                <a16:creationId xmlns:a16="http://schemas.microsoft.com/office/drawing/2014/main" id="{00000000-0008-0000-0F00-0000D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3" name="Line 6339">
            <a:extLst>
              <a:ext uri="{FF2B5EF4-FFF2-40B4-BE49-F238E27FC236}">
                <a16:creationId xmlns:a16="http://schemas.microsoft.com/office/drawing/2014/main" id="{00000000-0008-0000-0F00-0000D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2" name="Group 6340">
          <a:extLst>
            <a:ext uri="{FF2B5EF4-FFF2-40B4-BE49-F238E27FC236}">
              <a16:creationId xmlns:a16="http://schemas.microsoft.com/office/drawing/2014/main" id="{00000000-0008-0000-0F00-00006E9B3E00}"/>
            </a:ext>
          </a:extLst>
        </xdr:cNvPr>
        <xdr:cNvGrpSpPr>
          <a:grpSpLocks/>
        </xdr:cNvGrpSpPr>
      </xdr:nvGrpSpPr>
      <xdr:grpSpPr bwMode="auto">
        <a:xfrm>
          <a:off x="4117181" y="10096500"/>
          <a:ext cx="228600" cy="0"/>
          <a:chOff x="466" y="3952"/>
          <a:chExt cx="28" cy="16"/>
        </a:xfrm>
      </xdr:grpSpPr>
      <xdr:sp macro="" textlink="">
        <xdr:nvSpPr>
          <xdr:cNvPr id="4103890" name="Line 6341">
            <a:extLst>
              <a:ext uri="{FF2B5EF4-FFF2-40B4-BE49-F238E27FC236}">
                <a16:creationId xmlns:a16="http://schemas.microsoft.com/office/drawing/2014/main" id="{00000000-0008-0000-0F00-0000D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91" name="Line 6342">
            <a:extLst>
              <a:ext uri="{FF2B5EF4-FFF2-40B4-BE49-F238E27FC236}">
                <a16:creationId xmlns:a16="http://schemas.microsoft.com/office/drawing/2014/main" id="{00000000-0008-0000-0F00-0000D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3" name="Group 6343">
          <a:extLst>
            <a:ext uri="{FF2B5EF4-FFF2-40B4-BE49-F238E27FC236}">
              <a16:creationId xmlns:a16="http://schemas.microsoft.com/office/drawing/2014/main" id="{00000000-0008-0000-0F00-00006F9B3E00}"/>
            </a:ext>
          </a:extLst>
        </xdr:cNvPr>
        <xdr:cNvGrpSpPr>
          <a:grpSpLocks/>
        </xdr:cNvGrpSpPr>
      </xdr:nvGrpSpPr>
      <xdr:grpSpPr bwMode="auto">
        <a:xfrm>
          <a:off x="4117181" y="10096500"/>
          <a:ext cx="228600" cy="0"/>
          <a:chOff x="466" y="3952"/>
          <a:chExt cx="28" cy="16"/>
        </a:xfrm>
      </xdr:grpSpPr>
      <xdr:sp macro="" textlink="">
        <xdr:nvSpPr>
          <xdr:cNvPr id="4103888" name="Line 6344">
            <a:extLst>
              <a:ext uri="{FF2B5EF4-FFF2-40B4-BE49-F238E27FC236}">
                <a16:creationId xmlns:a16="http://schemas.microsoft.com/office/drawing/2014/main" id="{00000000-0008-0000-0F00-0000D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9" name="Line 6345">
            <a:extLst>
              <a:ext uri="{FF2B5EF4-FFF2-40B4-BE49-F238E27FC236}">
                <a16:creationId xmlns:a16="http://schemas.microsoft.com/office/drawing/2014/main" id="{00000000-0008-0000-0F00-0000D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4" name="Group 6346">
          <a:extLst>
            <a:ext uri="{FF2B5EF4-FFF2-40B4-BE49-F238E27FC236}">
              <a16:creationId xmlns:a16="http://schemas.microsoft.com/office/drawing/2014/main" id="{00000000-0008-0000-0F00-0000709B3E00}"/>
            </a:ext>
          </a:extLst>
        </xdr:cNvPr>
        <xdr:cNvGrpSpPr>
          <a:grpSpLocks/>
        </xdr:cNvGrpSpPr>
      </xdr:nvGrpSpPr>
      <xdr:grpSpPr bwMode="auto">
        <a:xfrm>
          <a:off x="4117181" y="10096500"/>
          <a:ext cx="240507" cy="0"/>
          <a:chOff x="466" y="3952"/>
          <a:chExt cx="28" cy="16"/>
        </a:xfrm>
      </xdr:grpSpPr>
      <xdr:sp macro="" textlink="">
        <xdr:nvSpPr>
          <xdr:cNvPr id="4103886" name="Line 6347">
            <a:extLst>
              <a:ext uri="{FF2B5EF4-FFF2-40B4-BE49-F238E27FC236}">
                <a16:creationId xmlns:a16="http://schemas.microsoft.com/office/drawing/2014/main" id="{00000000-0008-0000-0F00-0000C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7" name="Line 6348">
            <a:extLst>
              <a:ext uri="{FF2B5EF4-FFF2-40B4-BE49-F238E27FC236}">
                <a16:creationId xmlns:a16="http://schemas.microsoft.com/office/drawing/2014/main" id="{00000000-0008-0000-0F00-0000C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5" name="Group 6349">
          <a:extLst>
            <a:ext uri="{FF2B5EF4-FFF2-40B4-BE49-F238E27FC236}">
              <a16:creationId xmlns:a16="http://schemas.microsoft.com/office/drawing/2014/main" id="{00000000-0008-0000-0F00-0000719B3E00}"/>
            </a:ext>
          </a:extLst>
        </xdr:cNvPr>
        <xdr:cNvGrpSpPr>
          <a:grpSpLocks/>
        </xdr:cNvGrpSpPr>
      </xdr:nvGrpSpPr>
      <xdr:grpSpPr bwMode="auto">
        <a:xfrm>
          <a:off x="4117181" y="10096500"/>
          <a:ext cx="228600" cy="0"/>
          <a:chOff x="466" y="3952"/>
          <a:chExt cx="28" cy="16"/>
        </a:xfrm>
      </xdr:grpSpPr>
      <xdr:sp macro="" textlink="">
        <xdr:nvSpPr>
          <xdr:cNvPr id="4103884" name="Line 6350">
            <a:extLst>
              <a:ext uri="{FF2B5EF4-FFF2-40B4-BE49-F238E27FC236}">
                <a16:creationId xmlns:a16="http://schemas.microsoft.com/office/drawing/2014/main" id="{00000000-0008-0000-0F00-0000C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5" name="Line 6351">
            <a:extLst>
              <a:ext uri="{FF2B5EF4-FFF2-40B4-BE49-F238E27FC236}">
                <a16:creationId xmlns:a16="http://schemas.microsoft.com/office/drawing/2014/main" id="{00000000-0008-0000-0F00-0000C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26" name="Group 6352">
          <a:extLst>
            <a:ext uri="{FF2B5EF4-FFF2-40B4-BE49-F238E27FC236}">
              <a16:creationId xmlns:a16="http://schemas.microsoft.com/office/drawing/2014/main" id="{00000000-0008-0000-0F00-0000729B3E00}"/>
            </a:ext>
          </a:extLst>
        </xdr:cNvPr>
        <xdr:cNvGrpSpPr>
          <a:grpSpLocks/>
        </xdr:cNvGrpSpPr>
      </xdr:nvGrpSpPr>
      <xdr:grpSpPr bwMode="auto">
        <a:xfrm>
          <a:off x="4117181" y="10096500"/>
          <a:ext cx="228600" cy="0"/>
          <a:chOff x="466" y="3952"/>
          <a:chExt cx="28" cy="16"/>
        </a:xfrm>
      </xdr:grpSpPr>
      <xdr:sp macro="" textlink="">
        <xdr:nvSpPr>
          <xdr:cNvPr id="4103882" name="Line 6353">
            <a:extLst>
              <a:ext uri="{FF2B5EF4-FFF2-40B4-BE49-F238E27FC236}">
                <a16:creationId xmlns:a16="http://schemas.microsoft.com/office/drawing/2014/main" id="{00000000-0008-0000-0F00-0000C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3" name="Line 6354">
            <a:extLst>
              <a:ext uri="{FF2B5EF4-FFF2-40B4-BE49-F238E27FC236}">
                <a16:creationId xmlns:a16="http://schemas.microsoft.com/office/drawing/2014/main" id="{00000000-0008-0000-0F00-0000C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27" name="Group 6355">
          <a:extLst>
            <a:ext uri="{FF2B5EF4-FFF2-40B4-BE49-F238E27FC236}">
              <a16:creationId xmlns:a16="http://schemas.microsoft.com/office/drawing/2014/main" id="{00000000-0008-0000-0F00-0000739B3E00}"/>
            </a:ext>
          </a:extLst>
        </xdr:cNvPr>
        <xdr:cNvGrpSpPr>
          <a:grpSpLocks/>
        </xdr:cNvGrpSpPr>
      </xdr:nvGrpSpPr>
      <xdr:grpSpPr bwMode="auto">
        <a:xfrm>
          <a:off x="4117181" y="10096500"/>
          <a:ext cx="240507" cy="0"/>
          <a:chOff x="466" y="3952"/>
          <a:chExt cx="28" cy="16"/>
        </a:xfrm>
      </xdr:grpSpPr>
      <xdr:sp macro="" textlink="">
        <xdr:nvSpPr>
          <xdr:cNvPr id="4103880" name="Line 6356">
            <a:extLst>
              <a:ext uri="{FF2B5EF4-FFF2-40B4-BE49-F238E27FC236}">
                <a16:creationId xmlns:a16="http://schemas.microsoft.com/office/drawing/2014/main" id="{00000000-0008-0000-0F00-0000C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81" name="Line 6357">
            <a:extLst>
              <a:ext uri="{FF2B5EF4-FFF2-40B4-BE49-F238E27FC236}">
                <a16:creationId xmlns:a16="http://schemas.microsoft.com/office/drawing/2014/main" id="{00000000-0008-0000-0F00-0000C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8" name="Group 6358">
          <a:extLst>
            <a:ext uri="{FF2B5EF4-FFF2-40B4-BE49-F238E27FC236}">
              <a16:creationId xmlns:a16="http://schemas.microsoft.com/office/drawing/2014/main" id="{00000000-0008-0000-0F00-0000749B3E00}"/>
            </a:ext>
          </a:extLst>
        </xdr:cNvPr>
        <xdr:cNvGrpSpPr>
          <a:grpSpLocks/>
        </xdr:cNvGrpSpPr>
      </xdr:nvGrpSpPr>
      <xdr:grpSpPr bwMode="auto">
        <a:xfrm>
          <a:off x="4700588" y="10096500"/>
          <a:ext cx="266700" cy="0"/>
          <a:chOff x="466" y="3952"/>
          <a:chExt cx="28" cy="16"/>
        </a:xfrm>
      </xdr:grpSpPr>
      <xdr:sp macro="" textlink="">
        <xdr:nvSpPr>
          <xdr:cNvPr id="4103878" name="Line 6359">
            <a:extLst>
              <a:ext uri="{FF2B5EF4-FFF2-40B4-BE49-F238E27FC236}">
                <a16:creationId xmlns:a16="http://schemas.microsoft.com/office/drawing/2014/main" id="{00000000-0008-0000-0F00-0000C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9" name="Line 6360">
            <a:extLst>
              <a:ext uri="{FF2B5EF4-FFF2-40B4-BE49-F238E27FC236}">
                <a16:creationId xmlns:a16="http://schemas.microsoft.com/office/drawing/2014/main" id="{00000000-0008-0000-0F00-0000C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29" name="Group 6361">
          <a:extLst>
            <a:ext uri="{FF2B5EF4-FFF2-40B4-BE49-F238E27FC236}">
              <a16:creationId xmlns:a16="http://schemas.microsoft.com/office/drawing/2014/main" id="{00000000-0008-0000-0F00-0000759B3E00}"/>
            </a:ext>
          </a:extLst>
        </xdr:cNvPr>
        <xdr:cNvGrpSpPr>
          <a:grpSpLocks/>
        </xdr:cNvGrpSpPr>
      </xdr:nvGrpSpPr>
      <xdr:grpSpPr bwMode="auto">
        <a:xfrm>
          <a:off x="4700588" y="10096500"/>
          <a:ext cx="266700" cy="0"/>
          <a:chOff x="466" y="3952"/>
          <a:chExt cx="28" cy="16"/>
        </a:xfrm>
      </xdr:grpSpPr>
      <xdr:sp macro="" textlink="">
        <xdr:nvSpPr>
          <xdr:cNvPr id="4103876" name="Line 6362">
            <a:extLst>
              <a:ext uri="{FF2B5EF4-FFF2-40B4-BE49-F238E27FC236}">
                <a16:creationId xmlns:a16="http://schemas.microsoft.com/office/drawing/2014/main" id="{00000000-0008-0000-0F00-0000C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7" name="Line 6363">
            <a:extLst>
              <a:ext uri="{FF2B5EF4-FFF2-40B4-BE49-F238E27FC236}">
                <a16:creationId xmlns:a16="http://schemas.microsoft.com/office/drawing/2014/main" id="{00000000-0008-0000-0F00-0000C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0" name="Group 6364">
          <a:extLst>
            <a:ext uri="{FF2B5EF4-FFF2-40B4-BE49-F238E27FC236}">
              <a16:creationId xmlns:a16="http://schemas.microsoft.com/office/drawing/2014/main" id="{00000000-0008-0000-0F00-0000769B3E00}"/>
            </a:ext>
          </a:extLst>
        </xdr:cNvPr>
        <xdr:cNvGrpSpPr>
          <a:grpSpLocks/>
        </xdr:cNvGrpSpPr>
      </xdr:nvGrpSpPr>
      <xdr:grpSpPr bwMode="auto">
        <a:xfrm>
          <a:off x="4700588" y="10096500"/>
          <a:ext cx="266700" cy="0"/>
          <a:chOff x="466" y="3952"/>
          <a:chExt cx="28" cy="16"/>
        </a:xfrm>
      </xdr:grpSpPr>
      <xdr:sp macro="" textlink="">
        <xdr:nvSpPr>
          <xdr:cNvPr id="4103874" name="Line 6365">
            <a:extLst>
              <a:ext uri="{FF2B5EF4-FFF2-40B4-BE49-F238E27FC236}">
                <a16:creationId xmlns:a16="http://schemas.microsoft.com/office/drawing/2014/main" id="{00000000-0008-0000-0F00-0000C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5" name="Line 6366">
            <a:extLst>
              <a:ext uri="{FF2B5EF4-FFF2-40B4-BE49-F238E27FC236}">
                <a16:creationId xmlns:a16="http://schemas.microsoft.com/office/drawing/2014/main" id="{00000000-0008-0000-0F00-0000C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1" name="Group 6367">
          <a:extLst>
            <a:ext uri="{FF2B5EF4-FFF2-40B4-BE49-F238E27FC236}">
              <a16:creationId xmlns:a16="http://schemas.microsoft.com/office/drawing/2014/main" id="{00000000-0008-0000-0F00-0000779B3E00}"/>
            </a:ext>
          </a:extLst>
        </xdr:cNvPr>
        <xdr:cNvGrpSpPr>
          <a:grpSpLocks/>
        </xdr:cNvGrpSpPr>
      </xdr:nvGrpSpPr>
      <xdr:grpSpPr bwMode="auto">
        <a:xfrm>
          <a:off x="5486400" y="10096500"/>
          <a:ext cx="266700" cy="0"/>
          <a:chOff x="466" y="3952"/>
          <a:chExt cx="28" cy="16"/>
        </a:xfrm>
      </xdr:grpSpPr>
      <xdr:sp macro="" textlink="">
        <xdr:nvSpPr>
          <xdr:cNvPr id="4103872" name="Line 6368">
            <a:extLst>
              <a:ext uri="{FF2B5EF4-FFF2-40B4-BE49-F238E27FC236}">
                <a16:creationId xmlns:a16="http://schemas.microsoft.com/office/drawing/2014/main" id="{00000000-0008-0000-0F00-0000C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3" name="Line 6369">
            <a:extLst>
              <a:ext uri="{FF2B5EF4-FFF2-40B4-BE49-F238E27FC236}">
                <a16:creationId xmlns:a16="http://schemas.microsoft.com/office/drawing/2014/main" id="{00000000-0008-0000-0F00-0000C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2" name="Group 6370">
          <a:extLst>
            <a:ext uri="{FF2B5EF4-FFF2-40B4-BE49-F238E27FC236}">
              <a16:creationId xmlns:a16="http://schemas.microsoft.com/office/drawing/2014/main" id="{00000000-0008-0000-0F00-0000789B3E00}"/>
            </a:ext>
          </a:extLst>
        </xdr:cNvPr>
        <xdr:cNvGrpSpPr>
          <a:grpSpLocks/>
        </xdr:cNvGrpSpPr>
      </xdr:nvGrpSpPr>
      <xdr:grpSpPr bwMode="auto">
        <a:xfrm>
          <a:off x="5486400" y="10096500"/>
          <a:ext cx="266700" cy="0"/>
          <a:chOff x="466" y="3952"/>
          <a:chExt cx="28" cy="16"/>
        </a:xfrm>
      </xdr:grpSpPr>
      <xdr:sp macro="" textlink="">
        <xdr:nvSpPr>
          <xdr:cNvPr id="4103870" name="Line 6371">
            <a:extLst>
              <a:ext uri="{FF2B5EF4-FFF2-40B4-BE49-F238E27FC236}">
                <a16:creationId xmlns:a16="http://schemas.microsoft.com/office/drawing/2014/main" id="{00000000-0008-0000-0F00-0000B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71" name="Line 6372">
            <a:extLst>
              <a:ext uri="{FF2B5EF4-FFF2-40B4-BE49-F238E27FC236}">
                <a16:creationId xmlns:a16="http://schemas.microsoft.com/office/drawing/2014/main" id="{00000000-0008-0000-0F00-0000B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3" name="Group 6373">
          <a:extLst>
            <a:ext uri="{FF2B5EF4-FFF2-40B4-BE49-F238E27FC236}">
              <a16:creationId xmlns:a16="http://schemas.microsoft.com/office/drawing/2014/main" id="{00000000-0008-0000-0F00-0000799B3E00}"/>
            </a:ext>
          </a:extLst>
        </xdr:cNvPr>
        <xdr:cNvGrpSpPr>
          <a:grpSpLocks/>
        </xdr:cNvGrpSpPr>
      </xdr:nvGrpSpPr>
      <xdr:grpSpPr bwMode="auto">
        <a:xfrm>
          <a:off x="5486400" y="10096500"/>
          <a:ext cx="266700" cy="0"/>
          <a:chOff x="466" y="3952"/>
          <a:chExt cx="28" cy="16"/>
        </a:xfrm>
      </xdr:grpSpPr>
      <xdr:sp macro="" textlink="">
        <xdr:nvSpPr>
          <xdr:cNvPr id="4103868" name="Line 6374">
            <a:extLst>
              <a:ext uri="{FF2B5EF4-FFF2-40B4-BE49-F238E27FC236}">
                <a16:creationId xmlns:a16="http://schemas.microsoft.com/office/drawing/2014/main" id="{00000000-0008-0000-0F00-0000B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9" name="Line 6375">
            <a:extLst>
              <a:ext uri="{FF2B5EF4-FFF2-40B4-BE49-F238E27FC236}">
                <a16:creationId xmlns:a16="http://schemas.microsoft.com/office/drawing/2014/main" id="{00000000-0008-0000-0F00-0000B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4" name="Group 6376">
          <a:extLst>
            <a:ext uri="{FF2B5EF4-FFF2-40B4-BE49-F238E27FC236}">
              <a16:creationId xmlns:a16="http://schemas.microsoft.com/office/drawing/2014/main" id="{00000000-0008-0000-0F00-00007A9B3E00}"/>
            </a:ext>
          </a:extLst>
        </xdr:cNvPr>
        <xdr:cNvGrpSpPr>
          <a:grpSpLocks/>
        </xdr:cNvGrpSpPr>
      </xdr:nvGrpSpPr>
      <xdr:grpSpPr bwMode="auto">
        <a:xfrm>
          <a:off x="5486400" y="10096500"/>
          <a:ext cx="266700" cy="0"/>
          <a:chOff x="466" y="3952"/>
          <a:chExt cx="28" cy="16"/>
        </a:xfrm>
      </xdr:grpSpPr>
      <xdr:sp macro="" textlink="">
        <xdr:nvSpPr>
          <xdr:cNvPr id="4103866" name="Line 6377">
            <a:extLst>
              <a:ext uri="{FF2B5EF4-FFF2-40B4-BE49-F238E27FC236}">
                <a16:creationId xmlns:a16="http://schemas.microsoft.com/office/drawing/2014/main" id="{00000000-0008-0000-0F00-0000B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7" name="Line 6378">
            <a:extLst>
              <a:ext uri="{FF2B5EF4-FFF2-40B4-BE49-F238E27FC236}">
                <a16:creationId xmlns:a16="http://schemas.microsoft.com/office/drawing/2014/main" id="{00000000-0008-0000-0F00-0000B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035" name="Group 6379">
          <a:extLst>
            <a:ext uri="{FF2B5EF4-FFF2-40B4-BE49-F238E27FC236}">
              <a16:creationId xmlns:a16="http://schemas.microsoft.com/office/drawing/2014/main" id="{00000000-0008-0000-0F00-00007B9B3E00}"/>
            </a:ext>
          </a:extLst>
        </xdr:cNvPr>
        <xdr:cNvGrpSpPr>
          <a:grpSpLocks/>
        </xdr:cNvGrpSpPr>
      </xdr:nvGrpSpPr>
      <xdr:grpSpPr bwMode="auto">
        <a:xfrm>
          <a:off x="5486400" y="10096500"/>
          <a:ext cx="266700" cy="0"/>
          <a:chOff x="466" y="3952"/>
          <a:chExt cx="28" cy="16"/>
        </a:xfrm>
      </xdr:grpSpPr>
      <xdr:sp macro="" textlink="">
        <xdr:nvSpPr>
          <xdr:cNvPr id="4103864" name="Line 6380">
            <a:extLst>
              <a:ext uri="{FF2B5EF4-FFF2-40B4-BE49-F238E27FC236}">
                <a16:creationId xmlns:a16="http://schemas.microsoft.com/office/drawing/2014/main" id="{00000000-0008-0000-0F00-0000B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5" name="Line 6381">
            <a:extLst>
              <a:ext uri="{FF2B5EF4-FFF2-40B4-BE49-F238E27FC236}">
                <a16:creationId xmlns:a16="http://schemas.microsoft.com/office/drawing/2014/main" id="{00000000-0008-0000-0F00-0000B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6" name="Group 6382">
          <a:extLst>
            <a:ext uri="{FF2B5EF4-FFF2-40B4-BE49-F238E27FC236}">
              <a16:creationId xmlns:a16="http://schemas.microsoft.com/office/drawing/2014/main" id="{00000000-0008-0000-0F00-00007C9B3E00}"/>
            </a:ext>
          </a:extLst>
        </xdr:cNvPr>
        <xdr:cNvGrpSpPr>
          <a:grpSpLocks/>
        </xdr:cNvGrpSpPr>
      </xdr:nvGrpSpPr>
      <xdr:grpSpPr bwMode="auto">
        <a:xfrm>
          <a:off x="4117181" y="10096500"/>
          <a:ext cx="228600" cy="0"/>
          <a:chOff x="466" y="3952"/>
          <a:chExt cx="28" cy="16"/>
        </a:xfrm>
      </xdr:grpSpPr>
      <xdr:sp macro="" textlink="">
        <xdr:nvSpPr>
          <xdr:cNvPr id="4103862" name="Line 6383">
            <a:extLst>
              <a:ext uri="{FF2B5EF4-FFF2-40B4-BE49-F238E27FC236}">
                <a16:creationId xmlns:a16="http://schemas.microsoft.com/office/drawing/2014/main" id="{00000000-0008-0000-0F00-0000B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3" name="Line 6384">
            <a:extLst>
              <a:ext uri="{FF2B5EF4-FFF2-40B4-BE49-F238E27FC236}">
                <a16:creationId xmlns:a16="http://schemas.microsoft.com/office/drawing/2014/main" id="{00000000-0008-0000-0F00-0000B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7" name="Group 6385">
          <a:extLst>
            <a:ext uri="{FF2B5EF4-FFF2-40B4-BE49-F238E27FC236}">
              <a16:creationId xmlns:a16="http://schemas.microsoft.com/office/drawing/2014/main" id="{00000000-0008-0000-0F00-00007D9B3E00}"/>
            </a:ext>
          </a:extLst>
        </xdr:cNvPr>
        <xdr:cNvGrpSpPr>
          <a:grpSpLocks/>
        </xdr:cNvGrpSpPr>
      </xdr:nvGrpSpPr>
      <xdr:grpSpPr bwMode="auto">
        <a:xfrm>
          <a:off x="4700588" y="10096500"/>
          <a:ext cx="266700" cy="0"/>
          <a:chOff x="466" y="3952"/>
          <a:chExt cx="28" cy="16"/>
        </a:xfrm>
      </xdr:grpSpPr>
      <xdr:sp macro="" textlink="">
        <xdr:nvSpPr>
          <xdr:cNvPr id="4103860" name="Line 6386">
            <a:extLst>
              <a:ext uri="{FF2B5EF4-FFF2-40B4-BE49-F238E27FC236}">
                <a16:creationId xmlns:a16="http://schemas.microsoft.com/office/drawing/2014/main" id="{00000000-0008-0000-0F00-0000B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61" name="Line 6387">
            <a:extLst>
              <a:ext uri="{FF2B5EF4-FFF2-40B4-BE49-F238E27FC236}">
                <a16:creationId xmlns:a16="http://schemas.microsoft.com/office/drawing/2014/main" id="{00000000-0008-0000-0F00-0000B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38" name="Group 6388">
          <a:extLst>
            <a:ext uri="{FF2B5EF4-FFF2-40B4-BE49-F238E27FC236}">
              <a16:creationId xmlns:a16="http://schemas.microsoft.com/office/drawing/2014/main" id="{00000000-0008-0000-0F00-00007E9B3E00}"/>
            </a:ext>
          </a:extLst>
        </xdr:cNvPr>
        <xdr:cNvGrpSpPr>
          <a:grpSpLocks/>
        </xdr:cNvGrpSpPr>
      </xdr:nvGrpSpPr>
      <xdr:grpSpPr bwMode="auto">
        <a:xfrm>
          <a:off x="4117181" y="10096500"/>
          <a:ext cx="228600" cy="0"/>
          <a:chOff x="466" y="3952"/>
          <a:chExt cx="28" cy="16"/>
        </a:xfrm>
      </xdr:grpSpPr>
      <xdr:sp macro="" textlink="">
        <xdr:nvSpPr>
          <xdr:cNvPr id="4103858" name="Line 6389">
            <a:extLst>
              <a:ext uri="{FF2B5EF4-FFF2-40B4-BE49-F238E27FC236}">
                <a16:creationId xmlns:a16="http://schemas.microsoft.com/office/drawing/2014/main" id="{00000000-0008-0000-0F00-0000B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9" name="Line 6390">
            <a:extLst>
              <a:ext uri="{FF2B5EF4-FFF2-40B4-BE49-F238E27FC236}">
                <a16:creationId xmlns:a16="http://schemas.microsoft.com/office/drawing/2014/main" id="{00000000-0008-0000-0F00-0000B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39" name="Group 6391">
          <a:extLst>
            <a:ext uri="{FF2B5EF4-FFF2-40B4-BE49-F238E27FC236}">
              <a16:creationId xmlns:a16="http://schemas.microsoft.com/office/drawing/2014/main" id="{00000000-0008-0000-0F00-00007F9B3E00}"/>
            </a:ext>
          </a:extLst>
        </xdr:cNvPr>
        <xdr:cNvGrpSpPr>
          <a:grpSpLocks/>
        </xdr:cNvGrpSpPr>
      </xdr:nvGrpSpPr>
      <xdr:grpSpPr bwMode="auto">
        <a:xfrm>
          <a:off x="4700588" y="10096500"/>
          <a:ext cx="266700" cy="0"/>
          <a:chOff x="466" y="3952"/>
          <a:chExt cx="28" cy="16"/>
        </a:xfrm>
      </xdr:grpSpPr>
      <xdr:sp macro="" textlink="">
        <xdr:nvSpPr>
          <xdr:cNvPr id="4103856" name="Line 6392">
            <a:extLst>
              <a:ext uri="{FF2B5EF4-FFF2-40B4-BE49-F238E27FC236}">
                <a16:creationId xmlns:a16="http://schemas.microsoft.com/office/drawing/2014/main" id="{00000000-0008-0000-0F00-0000B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7" name="Line 6393">
            <a:extLst>
              <a:ext uri="{FF2B5EF4-FFF2-40B4-BE49-F238E27FC236}">
                <a16:creationId xmlns:a16="http://schemas.microsoft.com/office/drawing/2014/main" id="{00000000-0008-0000-0F00-0000B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0" name="Group 6394">
          <a:extLst>
            <a:ext uri="{FF2B5EF4-FFF2-40B4-BE49-F238E27FC236}">
              <a16:creationId xmlns:a16="http://schemas.microsoft.com/office/drawing/2014/main" id="{00000000-0008-0000-0F00-0000809B3E00}"/>
            </a:ext>
          </a:extLst>
        </xdr:cNvPr>
        <xdr:cNvGrpSpPr>
          <a:grpSpLocks/>
        </xdr:cNvGrpSpPr>
      </xdr:nvGrpSpPr>
      <xdr:grpSpPr bwMode="auto">
        <a:xfrm>
          <a:off x="4117181" y="10096500"/>
          <a:ext cx="228600" cy="0"/>
          <a:chOff x="466" y="3952"/>
          <a:chExt cx="28" cy="16"/>
        </a:xfrm>
      </xdr:grpSpPr>
      <xdr:sp macro="" textlink="">
        <xdr:nvSpPr>
          <xdr:cNvPr id="4103854" name="Line 6395">
            <a:extLst>
              <a:ext uri="{FF2B5EF4-FFF2-40B4-BE49-F238E27FC236}">
                <a16:creationId xmlns:a16="http://schemas.microsoft.com/office/drawing/2014/main" id="{00000000-0008-0000-0F00-0000A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5" name="Line 6396">
            <a:extLst>
              <a:ext uri="{FF2B5EF4-FFF2-40B4-BE49-F238E27FC236}">
                <a16:creationId xmlns:a16="http://schemas.microsoft.com/office/drawing/2014/main" id="{00000000-0008-0000-0F00-0000A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1" name="Group 6397">
          <a:extLst>
            <a:ext uri="{FF2B5EF4-FFF2-40B4-BE49-F238E27FC236}">
              <a16:creationId xmlns:a16="http://schemas.microsoft.com/office/drawing/2014/main" id="{00000000-0008-0000-0F00-0000819B3E00}"/>
            </a:ext>
          </a:extLst>
        </xdr:cNvPr>
        <xdr:cNvGrpSpPr>
          <a:grpSpLocks/>
        </xdr:cNvGrpSpPr>
      </xdr:nvGrpSpPr>
      <xdr:grpSpPr bwMode="auto">
        <a:xfrm>
          <a:off x="4700588" y="10096500"/>
          <a:ext cx="266700" cy="0"/>
          <a:chOff x="466" y="3952"/>
          <a:chExt cx="28" cy="16"/>
        </a:xfrm>
      </xdr:grpSpPr>
      <xdr:sp macro="" textlink="">
        <xdr:nvSpPr>
          <xdr:cNvPr id="4103852" name="Line 6398">
            <a:extLst>
              <a:ext uri="{FF2B5EF4-FFF2-40B4-BE49-F238E27FC236}">
                <a16:creationId xmlns:a16="http://schemas.microsoft.com/office/drawing/2014/main" id="{00000000-0008-0000-0F00-0000A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3" name="Line 6399">
            <a:extLst>
              <a:ext uri="{FF2B5EF4-FFF2-40B4-BE49-F238E27FC236}">
                <a16:creationId xmlns:a16="http://schemas.microsoft.com/office/drawing/2014/main" id="{00000000-0008-0000-0F00-0000A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2" name="Group 6400">
          <a:extLst>
            <a:ext uri="{FF2B5EF4-FFF2-40B4-BE49-F238E27FC236}">
              <a16:creationId xmlns:a16="http://schemas.microsoft.com/office/drawing/2014/main" id="{00000000-0008-0000-0F00-0000829B3E00}"/>
            </a:ext>
          </a:extLst>
        </xdr:cNvPr>
        <xdr:cNvGrpSpPr>
          <a:grpSpLocks/>
        </xdr:cNvGrpSpPr>
      </xdr:nvGrpSpPr>
      <xdr:grpSpPr bwMode="auto">
        <a:xfrm>
          <a:off x="4117181" y="10096500"/>
          <a:ext cx="228600" cy="0"/>
          <a:chOff x="466" y="3952"/>
          <a:chExt cx="28" cy="16"/>
        </a:xfrm>
      </xdr:grpSpPr>
      <xdr:sp macro="" textlink="">
        <xdr:nvSpPr>
          <xdr:cNvPr id="4103850" name="Line 6401">
            <a:extLst>
              <a:ext uri="{FF2B5EF4-FFF2-40B4-BE49-F238E27FC236}">
                <a16:creationId xmlns:a16="http://schemas.microsoft.com/office/drawing/2014/main" id="{00000000-0008-0000-0F00-0000A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51" name="Line 6402">
            <a:extLst>
              <a:ext uri="{FF2B5EF4-FFF2-40B4-BE49-F238E27FC236}">
                <a16:creationId xmlns:a16="http://schemas.microsoft.com/office/drawing/2014/main" id="{00000000-0008-0000-0F00-0000A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3" name="Group 6403">
          <a:extLst>
            <a:ext uri="{FF2B5EF4-FFF2-40B4-BE49-F238E27FC236}">
              <a16:creationId xmlns:a16="http://schemas.microsoft.com/office/drawing/2014/main" id="{00000000-0008-0000-0F00-0000839B3E00}"/>
            </a:ext>
          </a:extLst>
        </xdr:cNvPr>
        <xdr:cNvGrpSpPr>
          <a:grpSpLocks/>
        </xdr:cNvGrpSpPr>
      </xdr:nvGrpSpPr>
      <xdr:grpSpPr bwMode="auto">
        <a:xfrm>
          <a:off x="4700588" y="10096500"/>
          <a:ext cx="266700" cy="0"/>
          <a:chOff x="466" y="3952"/>
          <a:chExt cx="28" cy="16"/>
        </a:xfrm>
      </xdr:grpSpPr>
      <xdr:sp macro="" textlink="">
        <xdr:nvSpPr>
          <xdr:cNvPr id="4103848" name="Line 6404">
            <a:extLst>
              <a:ext uri="{FF2B5EF4-FFF2-40B4-BE49-F238E27FC236}">
                <a16:creationId xmlns:a16="http://schemas.microsoft.com/office/drawing/2014/main" id="{00000000-0008-0000-0F00-0000A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9" name="Line 6405">
            <a:extLst>
              <a:ext uri="{FF2B5EF4-FFF2-40B4-BE49-F238E27FC236}">
                <a16:creationId xmlns:a16="http://schemas.microsoft.com/office/drawing/2014/main" id="{00000000-0008-0000-0F00-0000A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4" name="Group 6406">
          <a:extLst>
            <a:ext uri="{FF2B5EF4-FFF2-40B4-BE49-F238E27FC236}">
              <a16:creationId xmlns:a16="http://schemas.microsoft.com/office/drawing/2014/main" id="{00000000-0008-0000-0F00-0000849B3E00}"/>
            </a:ext>
          </a:extLst>
        </xdr:cNvPr>
        <xdr:cNvGrpSpPr>
          <a:grpSpLocks/>
        </xdr:cNvGrpSpPr>
      </xdr:nvGrpSpPr>
      <xdr:grpSpPr bwMode="auto">
        <a:xfrm>
          <a:off x="4117181" y="10096500"/>
          <a:ext cx="228600" cy="0"/>
          <a:chOff x="466" y="3952"/>
          <a:chExt cx="28" cy="16"/>
        </a:xfrm>
      </xdr:grpSpPr>
      <xdr:sp macro="" textlink="">
        <xdr:nvSpPr>
          <xdr:cNvPr id="4103846" name="Line 6407">
            <a:extLst>
              <a:ext uri="{FF2B5EF4-FFF2-40B4-BE49-F238E27FC236}">
                <a16:creationId xmlns:a16="http://schemas.microsoft.com/office/drawing/2014/main" id="{00000000-0008-0000-0F00-0000A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7" name="Line 6408">
            <a:extLst>
              <a:ext uri="{FF2B5EF4-FFF2-40B4-BE49-F238E27FC236}">
                <a16:creationId xmlns:a16="http://schemas.microsoft.com/office/drawing/2014/main" id="{00000000-0008-0000-0F00-0000A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5" name="Group 6409">
          <a:extLst>
            <a:ext uri="{FF2B5EF4-FFF2-40B4-BE49-F238E27FC236}">
              <a16:creationId xmlns:a16="http://schemas.microsoft.com/office/drawing/2014/main" id="{00000000-0008-0000-0F00-0000859B3E00}"/>
            </a:ext>
          </a:extLst>
        </xdr:cNvPr>
        <xdr:cNvGrpSpPr>
          <a:grpSpLocks/>
        </xdr:cNvGrpSpPr>
      </xdr:nvGrpSpPr>
      <xdr:grpSpPr bwMode="auto">
        <a:xfrm>
          <a:off x="4117181" y="10096500"/>
          <a:ext cx="228600" cy="0"/>
          <a:chOff x="466" y="3952"/>
          <a:chExt cx="28" cy="16"/>
        </a:xfrm>
      </xdr:grpSpPr>
      <xdr:sp macro="" textlink="">
        <xdr:nvSpPr>
          <xdr:cNvPr id="4103844" name="Line 6410">
            <a:extLst>
              <a:ext uri="{FF2B5EF4-FFF2-40B4-BE49-F238E27FC236}">
                <a16:creationId xmlns:a16="http://schemas.microsoft.com/office/drawing/2014/main" id="{00000000-0008-0000-0F00-0000A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5" name="Line 6411">
            <a:extLst>
              <a:ext uri="{FF2B5EF4-FFF2-40B4-BE49-F238E27FC236}">
                <a16:creationId xmlns:a16="http://schemas.microsoft.com/office/drawing/2014/main" id="{00000000-0008-0000-0F00-0000A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6" name="Group 6412">
          <a:extLst>
            <a:ext uri="{FF2B5EF4-FFF2-40B4-BE49-F238E27FC236}">
              <a16:creationId xmlns:a16="http://schemas.microsoft.com/office/drawing/2014/main" id="{00000000-0008-0000-0F00-0000869B3E00}"/>
            </a:ext>
          </a:extLst>
        </xdr:cNvPr>
        <xdr:cNvGrpSpPr>
          <a:grpSpLocks/>
        </xdr:cNvGrpSpPr>
      </xdr:nvGrpSpPr>
      <xdr:grpSpPr bwMode="auto">
        <a:xfrm>
          <a:off x="4117181" y="10096500"/>
          <a:ext cx="228600" cy="0"/>
          <a:chOff x="466" y="3952"/>
          <a:chExt cx="28" cy="16"/>
        </a:xfrm>
      </xdr:grpSpPr>
      <xdr:sp macro="" textlink="">
        <xdr:nvSpPr>
          <xdr:cNvPr id="4103842" name="Line 6413">
            <a:extLst>
              <a:ext uri="{FF2B5EF4-FFF2-40B4-BE49-F238E27FC236}">
                <a16:creationId xmlns:a16="http://schemas.microsoft.com/office/drawing/2014/main" id="{00000000-0008-0000-0F00-0000A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3" name="Line 6414">
            <a:extLst>
              <a:ext uri="{FF2B5EF4-FFF2-40B4-BE49-F238E27FC236}">
                <a16:creationId xmlns:a16="http://schemas.microsoft.com/office/drawing/2014/main" id="{00000000-0008-0000-0F00-0000A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7" name="Group 6415">
          <a:extLst>
            <a:ext uri="{FF2B5EF4-FFF2-40B4-BE49-F238E27FC236}">
              <a16:creationId xmlns:a16="http://schemas.microsoft.com/office/drawing/2014/main" id="{00000000-0008-0000-0F00-0000879B3E00}"/>
            </a:ext>
          </a:extLst>
        </xdr:cNvPr>
        <xdr:cNvGrpSpPr>
          <a:grpSpLocks/>
        </xdr:cNvGrpSpPr>
      </xdr:nvGrpSpPr>
      <xdr:grpSpPr bwMode="auto">
        <a:xfrm>
          <a:off x="4117181" y="10096500"/>
          <a:ext cx="228600" cy="0"/>
          <a:chOff x="466" y="3952"/>
          <a:chExt cx="28" cy="16"/>
        </a:xfrm>
      </xdr:grpSpPr>
      <xdr:sp macro="" textlink="">
        <xdr:nvSpPr>
          <xdr:cNvPr id="4103840" name="Line 6416">
            <a:extLst>
              <a:ext uri="{FF2B5EF4-FFF2-40B4-BE49-F238E27FC236}">
                <a16:creationId xmlns:a16="http://schemas.microsoft.com/office/drawing/2014/main" id="{00000000-0008-0000-0F00-0000A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41" name="Line 6417">
            <a:extLst>
              <a:ext uri="{FF2B5EF4-FFF2-40B4-BE49-F238E27FC236}">
                <a16:creationId xmlns:a16="http://schemas.microsoft.com/office/drawing/2014/main" id="{00000000-0008-0000-0F00-0000A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48" name="Group 6418">
          <a:extLst>
            <a:ext uri="{FF2B5EF4-FFF2-40B4-BE49-F238E27FC236}">
              <a16:creationId xmlns:a16="http://schemas.microsoft.com/office/drawing/2014/main" id="{00000000-0008-0000-0F00-0000889B3E00}"/>
            </a:ext>
          </a:extLst>
        </xdr:cNvPr>
        <xdr:cNvGrpSpPr>
          <a:grpSpLocks/>
        </xdr:cNvGrpSpPr>
      </xdr:nvGrpSpPr>
      <xdr:grpSpPr bwMode="auto">
        <a:xfrm>
          <a:off x="4117181" y="10096500"/>
          <a:ext cx="228600" cy="0"/>
          <a:chOff x="466" y="3952"/>
          <a:chExt cx="28" cy="16"/>
        </a:xfrm>
      </xdr:grpSpPr>
      <xdr:sp macro="" textlink="">
        <xdr:nvSpPr>
          <xdr:cNvPr id="4103838" name="Line 6419">
            <a:extLst>
              <a:ext uri="{FF2B5EF4-FFF2-40B4-BE49-F238E27FC236}">
                <a16:creationId xmlns:a16="http://schemas.microsoft.com/office/drawing/2014/main" id="{00000000-0008-0000-0F00-00009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9" name="Line 6420">
            <a:extLst>
              <a:ext uri="{FF2B5EF4-FFF2-40B4-BE49-F238E27FC236}">
                <a16:creationId xmlns:a16="http://schemas.microsoft.com/office/drawing/2014/main" id="{00000000-0008-0000-0F00-00009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49" name="Group 6421">
          <a:extLst>
            <a:ext uri="{FF2B5EF4-FFF2-40B4-BE49-F238E27FC236}">
              <a16:creationId xmlns:a16="http://schemas.microsoft.com/office/drawing/2014/main" id="{00000000-0008-0000-0F00-0000899B3E00}"/>
            </a:ext>
          </a:extLst>
        </xdr:cNvPr>
        <xdr:cNvGrpSpPr>
          <a:grpSpLocks/>
        </xdr:cNvGrpSpPr>
      </xdr:nvGrpSpPr>
      <xdr:grpSpPr bwMode="auto">
        <a:xfrm>
          <a:off x="4700588" y="10096500"/>
          <a:ext cx="266700" cy="0"/>
          <a:chOff x="466" y="3952"/>
          <a:chExt cx="28" cy="16"/>
        </a:xfrm>
      </xdr:grpSpPr>
      <xdr:sp macro="" textlink="">
        <xdr:nvSpPr>
          <xdr:cNvPr id="4103836" name="Line 6422">
            <a:extLst>
              <a:ext uri="{FF2B5EF4-FFF2-40B4-BE49-F238E27FC236}">
                <a16:creationId xmlns:a16="http://schemas.microsoft.com/office/drawing/2014/main" id="{00000000-0008-0000-0F00-00009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7" name="Line 6423">
            <a:extLst>
              <a:ext uri="{FF2B5EF4-FFF2-40B4-BE49-F238E27FC236}">
                <a16:creationId xmlns:a16="http://schemas.microsoft.com/office/drawing/2014/main" id="{00000000-0008-0000-0F00-00009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0" name="Group 6424">
          <a:extLst>
            <a:ext uri="{FF2B5EF4-FFF2-40B4-BE49-F238E27FC236}">
              <a16:creationId xmlns:a16="http://schemas.microsoft.com/office/drawing/2014/main" id="{00000000-0008-0000-0F00-00008A9B3E00}"/>
            </a:ext>
          </a:extLst>
        </xdr:cNvPr>
        <xdr:cNvGrpSpPr>
          <a:grpSpLocks/>
        </xdr:cNvGrpSpPr>
      </xdr:nvGrpSpPr>
      <xdr:grpSpPr bwMode="auto">
        <a:xfrm>
          <a:off x="4700588" y="10096500"/>
          <a:ext cx="266700" cy="0"/>
          <a:chOff x="466" y="3952"/>
          <a:chExt cx="28" cy="16"/>
        </a:xfrm>
      </xdr:grpSpPr>
      <xdr:sp macro="" textlink="">
        <xdr:nvSpPr>
          <xdr:cNvPr id="4103834" name="Line 6425">
            <a:extLst>
              <a:ext uri="{FF2B5EF4-FFF2-40B4-BE49-F238E27FC236}">
                <a16:creationId xmlns:a16="http://schemas.microsoft.com/office/drawing/2014/main" id="{00000000-0008-0000-0F00-00009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5" name="Line 6426">
            <a:extLst>
              <a:ext uri="{FF2B5EF4-FFF2-40B4-BE49-F238E27FC236}">
                <a16:creationId xmlns:a16="http://schemas.microsoft.com/office/drawing/2014/main" id="{00000000-0008-0000-0F00-00009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1" name="Group 6427">
          <a:extLst>
            <a:ext uri="{FF2B5EF4-FFF2-40B4-BE49-F238E27FC236}">
              <a16:creationId xmlns:a16="http://schemas.microsoft.com/office/drawing/2014/main" id="{00000000-0008-0000-0F00-00008B9B3E00}"/>
            </a:ext>
          </a:extLst>
        </xdr:cNvPr>
        <xdr:cNvGrpSpPr>
          <a:grpSpLocks/>
        </xdr:cNvGrpSpPr>
      </xdr:nvGrpSpPr>
      <xdr:grpSpPr bwMode="auto">
        <a:xfrm>
          <a:off x="4700588" y="10096500"/>
          <a:ext cx="266700" cy="0"/>
          <a:chOff x="466" y="3952"/>
          <a:chExt cx="28" cy="16"/>
        </a:xfrm>
      </xdr:grpSpPr>
      <xdr:sp macro="" textlink="">
        <xdr:nvSpPr>
          <xdr:cNvPr id="4103832" name="Line 6428">
            <a:extLst>
              <a:ext uri="{FF2B5EF4-FFF2-40B4-BE49-F238E27FC236}">
                <a16:creationId xmlns:a16="http://schemas.microsoft.com/office/drawing/2014/main" id="{00000000-0008-0000-0F00-00009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3" name="Line 6429">
            <a:extLst>
              <a:ext uri="{FF2B5EF4-FFF2-40B4-BE49-F238E27FC236}">
                <a16:creationId xmlns:a16="http://schemas.microsoft.com/office/drawing/2014/main" id="{00000000-0008-0000-0F00-00009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2" name="Group 6430">
          <a:extLst>
            <a:ext uri="{FF2B5EF4-FFF2-40B4-BE49-F238E27FC236}">
              <a16:creationId xmlns:a16="http://schemas.microsoft.com/office/drawing/2014/main" id="{00000000-0008-0000-0F00-00008C9B3E00}"/>
            </a:ext>
          </a:extLst>
        </xdr:cNvPr>
        <xdr:cNvGrpSpPr>
          <a:grpSpLocks/>
        </xdr:cNvGrpSpPr>
      </xdr:nvGrpSpPr>
      <xdr:grpSpPr bwMode="auto">
        <a:xfrm>
          <a:off x="4700588" y="10096500"/>
          <a:ext cx="266700" cy="0"/>
          <a:chOff x="466" y="3952"/>
          <a:chExt cx="28" cy="16"/>
        </a:xfrm>
      </xdr:grpSpPr>
      <xdr:sp macro="" textlink="">
        <xdr:nvSpPr>
          <xdr:cNvPr id="4103830" name="Line 6431">
            <a:extLst>
              <a:ext uri="{FF2B5EF4-FFF2-40B4-BE49-F238E27FC236}">
                <a16:creationId xmlns:a16="http://schemas.microsoft.com/office/drawing/2014/main" id="{00000000-0008-0000-0F00-00009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31" name="Line 6432">
            <a:extLst>
              <a:ext uri="{FF2B5EF4-FFF2-40B4-BE49-F238E27FC236}">
                <a16:creationId xmlns:a16="http://schemas.microsoft.com/office/drawing/2014/main" id="{00000000-0008-0000-0F00-00009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3" name="Group 6433">
          <a:extLst>
            <a:ext uri="{FF2B5EF4-FFF2-40B4-BE49-F238E27FC236}">
              <a16:creationId xmlns:a16="http://schemas.microsoft.com/office/drawing/2014/main" id="{00000000-0008-0000-0F00-00008D9B3E00}"/>
            </a:ext>
          </a:extLst>
        </xdr:cNvPr>
        <xdr:cNvGrpSpPr>
          <a:grpSpLocks/>
        </xdr:cNvGrpSpPr>
      </xdr:nvGrpSpPr>
      <xdr:grpSpPr bwMode="auto">
        <a:xfrm>
          <a:off x="4700588" y="10096500"/>
          <a:ext cx="266700" cy="0"/>
          <a:chOff x="466" y="3952"/>
          <a:chExt cx="28" cy="16"/>
        </a:xfrm>
      </xdr:grpSpPr>
      <xdr:sp macro="" textlink="">
        <xdr:nvSpPr>
          <xdr:cNvPr id="4103828" name="Line 6434">
            <a:extLst>
              <a:ext uri="{FF2B5EF4-FFF2-40B4-BE49-F238E27FC236}">
                <a16:creationId xmlns:a16="http://schemas.microsoft.com/office/drawing/2014/main" id="{00000000-0008-0000-0F00-00009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9" name="Line 6435">
            <a:extLst>
              <a:ext uri="{FF2B5EF4-FFF2-40B4-BE49-F238E27FC236}">
                <a16:creationId xmlns:a16="http://schemas.microsoft.com/office/drawing/2014/main" id="{00000000-0008-0000-0F00-00009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4" name="Group 6436">
          <a:extLst>
            <a:ext uri="{FF2B5EF4-FFF2-40B4-BE49-F238E27FC236}">
              <a16:creationId xmlns:a16="http://schemas.microsoft.com/office/drawing/2014/main" id="{00000000-0008-0000-0F00-00008E9B3E00}"/>
            </a:ext>
          </a:extLst>
        </xdr:cNvPr>
        <xdr:cNvGrpSpPr>
          <a:grpSpLocks/>
        </xdr:cNvGrpSpPr>
      </xdr:nvGrpSpPr>
      <xdr:grpSpPr bwMode="auto">
        <a:xfrm>
          <a:off x="4117181" y="10096500"/>
          <a:ext cx="228600" cy="0"/>
          <a:chOff x="466" y="3952"/>
          <a:chExt cx="28" cy="16"/>
        </a:xfrm>
      </xdr:grpSpPr>
      <xdr:sp macro="" textlink="">
        <xdr:nvSpPr>
          <xdr:cNvPr id="4103826" name="Line 6437">
            <a:extLst>
              <a:ext uri="{FF2B5EF4-FFF2-40B4-BE49-F238E27FC236}">
                <a16:creationId xmlns:a16="http://schemas.microsoft.com/office/drawing/2014/main" id="{00000000-0008-0000-0F00-00009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7" name="Line 6438">
            <a:extLst>
              <a:ext uri="{FF2B5EF4-FFF2-40B4-BE49-F238E27FC236}">
                <a16:creationId xmlns:a16="http://schemas.microsoft.com/office/drawing/2014/main" id="{00000000-0008-0000-0F00-00009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55" name="Group 6439">
          <a:extLst>
            <a:ext uri="{FF2B5EF4-FFF2-40B4-BE49-F238E27FC236}">
              <a16:creationId xmlns:a16="http://schemas.microsoft.com/office/drawing/2014/main" id="{00000000-0008-0000-0F00-00008F9B3E00}"/>
            </a:ext>
          </a:extLst>
        </xdr:cNvPr>
        <xdr:cNvGrpSpPr>
          <a:grpSpLocks/>
        </xdr:cNvGrpSpPr>
      </xdr:nvGrpSpPr>
      <xdr:grpSpPr bwMode="auto">
        <a:xfrm>
          <a:off x="4117181" y="10096500"/>
          <a:ext cx="228600" cy="0"/>
          <a:chOff x="466" y="3952"/>
          <a:chExt cx="28" cy="16"/>
        </a:xfrm>
      </xdr:grpSpPr>
      <xdr:sp macro="" textlink="">
        <xdr:nvSpPr>
          <xdr:cNvPr id="4103824" name="Line 6440">
            <a:extLst>
              <a:ext uri="{FF2B5EF4-FFF2-40B4-BE49-F238E27FC236}">
                <a16:creationId xmlns:a16="http://schemas.microsoft.com/office/drawing/2014/main" id="{00000000-0008-0000-0F00-00009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5" name="Line 6441">
            <a:extLst>
              <a:ext uri="{FF2B5EF4-FFF2-40B4-BE49-F238E27FC236}">
                <a16:creationId xmlns:a16="http://schemas.microsoft.com/office/drawing/2014/main" id="{00000000-0008-0000-0F00-00009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6" name="Group 6442">
          <a:extLst>
            <a:ext uri="{FF2B5EF4-FFF2-40B4-BE49-F238E27FC236}">
              <a16:creationId xmlns:a16="http://schemas.microsoft.com/office/drawing/2014/main" id="{00000000-0008-0000-0F00-0000909B3E00}"/>
            </a:ext>
          </a:extLst>
        </xdr:cNvPr>
        <xdr:cNvGrpSpPr>
          <a:grpSpLocks/>
        </xdr:cNvGrpSpPr>
      </xdr:nvGrpSpPr>
      <xdr:grpSpPr bwMode="auto">
        <a:xfrm>
          <a:off x="4700588" y="10096500"/>
          <a:ext cx="266700" cy="0"/>
          <a:chOff x="466" y="3952"/>
          <a:chExt cx="28" cy="16"/>
        </a:xfrm>
      </xdr:grpSpPr>
      <xdr:sp macro="" textlink="">
        <xdr:nvSpPr>
          <xdr:cNvPr id="4103822" name="Line 6443">
            <a:extLst>
              <a:ext uri="{FF2B5EF4-FFF2-40B4-BE49-F238E27FC236}">
                <a16:creationId xmlns:a16="http://schemas.microsoft.com/office/drawing/2014/main" id="{00000000-0008-0000-0F00-00008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3" name="Line 6444">
            <a:extLst>
              <a:ext uri="{FF2B5EF4-FFF2-40B4-BE49-F238E27FC236}">
                <a16:creationId xmlns:a16="http://schemas.microsoft.com/office/drawing/2014/main" id="{00000000-0008-0000-0F00-00008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7" name="Group 6445">
          <a:extLst>
            <a:ext uri="{FF2B5EF4-FFF2-40B4-BE49-F238E27FC236}">
              <a16:creationId xmlns:a16="http://schemas.microsoft.com/office/drawing/2014/main" id="{00000000-0008-0000-0F00-0000919B3E00}"/>
            </a:ext>
          </a:extLst>
        </xdr:cNvPr>
        <xdr:cNvGrpSpPr>
          <a:grpSpLocks/>
        </xdr:cNvGrpSpPr>
      </xdr:nvGrpSpPr>
      <xdr:grpSpPr bwMode="auto">
        <a:xfrm>
          <a:off x="4700588" y="10096500"/>
          <a:ext cx="266700" cy="0"/>
          <a:chOff x="466" y="3952"/>
          <a:chExt cx="28" cy="16"/>
        </a:xfrm>
      </xdr:grpSpPr>
      <xdr:sp macro="" textlink="">
        <xdr:nvSpPr>
          <xdr:cNvPr id="4103820" name="Line 6446">
            <a:extLst>
              <a:ext uri="{FF2B5EF4-FFF2-40B4-BE49-F238E27FC236}">
                <a16:creationId xmlns:a16="http://schemas.microsoft.com/office/drawing/2014/main" id="{00000000-0008-0000-0F00-00008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21" name="Line 6447">
            <a:extLst>
              <a:ext uri="{FF2B5EF4-FFF2-40B4-BE49-F238E27FC236}">
                <a16:creationId xmlns:a16="http://schemas.microsoft.com/office/drawing/2014/main" id="{00000000-0008-0000-0F00-00008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058" name="Group 6448">
          <a:extLst>
            <a:ext uri="{FF2B5EF4-FFF2-40B4-BE49-F238E27FC236}">
              <a16:creationId xmlns:a16="http://schemas.microsoft.com/office/drawing/2014/main" id="{00000000-0008-0000-0F00-0000929B3E00}"/>
            </a:ext>
          </a:extLst>
        </xdr:cNvPr>
        <xdr:cNvGrpSpPr>
          <a:grpSpLocks/>
        </xdr:cNvGrpSpPr>
      </xdr:nvGrpSpPr>
      <xdr:grpSpPr bwMode="auto">
        <a:xfrm>
          <a:off x="5486400" y="10096500"/>
          <a:ext cx="228600" cy="0"/>
          <a:chOff x="466" y="3952"/>
          <a:chExt cx="28" cy="16"/>
        </a:xfrm>
      </xdr:grpSpPr>
      <xdr:sp macro="" textlink="">
        <xdr:nvSpPr>
          <xdr:cNvPr id="4103818" name="Line 6449">
            <a:extLst>
              <a:ext uri="{FF2B5EF4-FFF2-40B4-BE49-F238E27FC236}">
                <a16:creationId xmlns:a16="http://schemas.microsoft.com/office/drawing/2014/main" id="{00000000-0008-0000-0F00-00008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9" name="Line 6450">
            <a:extLst>
              <a:ext uri="{FF2B5EF4-FFF2-40B4-BE49-F238E27FC236}">
                <a16:creationId xmlns:a16="http://schemas.microsoft.com/office/drawing/2014/main" id="{00000000-0008-0000-0F00-00008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59" name="Group 6451">
          <a:extLst>
            <a:ext uri="{FF2B5EF4-FFF2-40B4-BE49-F238E27FC236}">
              <a16:creationId xmlns:a16="http://schemas.microsoft.com/office/drawing/2014/main" id="{00000000-0008-0000-0F00-0000939B3E00}"/>
            </a:ext>
          </a:extLst>
        </xdr:cNvPr>
        <xdr:cNvGrpSpPr>
          <a:grpSpLocks/>
        </xdr:cNvGrpSpPr>
      </xdr:nvGrpSpPr>
      <xdr:grpSpPr bwMode="auto">
        <a:xfrm>
          <a:off x="4700588" y="10096500"/>
          <a:ext cx="266700" cy="0"/>
          <a:chOff x="466" y="3952"/>
          <a:chExt cx="28" cy="16"/>
        </a:xfrm>
      </xdr:grpSpPr>
      <xdr:sp macro="" textlink="">
        <xdr:nvSpPr>
          <xdr:cNvPr id="4103816" name="Line 6452">
            <a:extLst>
              <a:ext uri="{FF2B5EF4-FFF2-40B4-BE49-F238E27FC236}">
                <a16:creationId xmlns:a16="http://schemas.microsoft.com/office/drawing/2014/main" id="{00000000-0008-0000-0F00-00008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7" name="Line 6453">
            <a:extLst>
              <a:ext uri="{FF2B5EF4-FFF2-40B4-BE49-F238E27FC236}">
                <a16:creationId xmlns:a16="http://schemas.microsoft.com/office/drawing/2014/main" id="{00000000-0008-0000-0F00-00008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0" name="Group 6454">
          <a:extLst>
            <a:ext uri="{FF2B5EF4-FFF2-40B4-BE49-F238E27FC236}">
              <a16:creationId xmlns:a16="http://schemas.microsoft.com/office/drawing/2014/main" id="{00000000-0008-0000-0F00-0000949B3E00}"/>
            </a:ext>
          </a:extLst>
        </xdr:cNvPr>
        <xdr:cNvGrpSpPr>
          <a:grpSpLocks/>
        </xdr:cNvGrpSpPr>
      </xdr:nvGrpSpPr>
      <xdr:grpSpPr bwMode="auto">
        <a:xfrm>
          <a:off x="4700588" y="10096500"/>
          <a:ext cx="266700" cy="0"/>
          <a:chOff x="466" y="3952"/>
          <a:chExt cx="28" cy="16"/>
        </a:xfrm>
      </xdr:grpSpPr>
      <xdr:sp macro="" textlink="">
        <xdr:nvSpPr>
          <xdr:cNvPr id="4103814" name="Line 6455">
            <a:extLst>
              <a:ext uri="{FF2B5EF4-FFF2-40B4-BE49-F238E27FC236}">
                <a16:creationId xmlns:a16="http://schemas.microsoft.com/office/drawing/2014/main" id="{00000000-0008-0000-0F00-00008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5" name="Line 6456">
            <a:extLst>
              <a:ext uri="{FF2B5EF4-FFF2-40B4-BE49-F238E27FC236}">
                <a16:creationId xmlns:a16="http://schemas.microsoft.com/office/drawing/2014/main" id="{00000000-0008-0000-0F00-00008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1" name="Group 6457">
          <a:extLst>
            <a:ext uri="{FF2B5EF4-FFF2-40B4-BE49-F238E27FC236}">
              <a16:creationId xmlns:a16="http://schemas.microsoft.com/office/drawing/2014/main" id="{00000000-0008-0000-0F00-0000959B3E00}"/>
            </a:ext>
          </a:extLst>
        </xdr:cNvPr>
        <xdr:cNvGrpSpPr>
          <a:grpSpLocks/>
        </xdr:cNvGrpSpPr>
      </xdr:nvGrpSpPr>
      <xdr:grpSpPr bwMode="auto">
        <a:xfrm>
          <a:off x="4700588" y="10096500"/>
          <a:ext cx="266700" cy="0"/>
          <a:chOff x="466" y="3952"/>
          <a:chExt cx="28" cy="16"/>
        </a:xfrm>
      </xdr:grpSpPr>
      <xdr:sp macro="" textlink="">
        <xdr:nvSpPr>
          <xdr:cNvPr id="4103812" name="Line 6458">
            <a:extLst>
              <a:ext uri="{FF2B5EF4-FFF2-40B4-BE49-F238E27FC236}">
                <a16:creationId xmlns:a16="http://schemas.microsoft.com/office/drawing/2014/main" id="{00000000-0008-0000-0F00-00008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3" name="Line 6459">
            <a:extLst>
              <a:ext uri="{FF2B5EF4-FFF2-40B4-BE49-F238E27FC236}">
                <a16:creationId xmlns:a16="http://schemas.microsoft.com/office/drawing/2014/main" id="{00000000-0008-0000-0F00-00008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2" name="Group 6460">
          <a:extLst>
            <a:ext uri="{FF2B5EF4-FFF2-40B4-BE49-F238E27FC236}">
              <a16:creationId xmlns:a16="http://schemas.microsoft.com/office/drawing/2014/main" id="{00000000-0008-0000-0F00-0000969B3E00}"/>
            </a:ext>
          </a:extLst>
        </xdr:cNvPr>
        <xdr:cNvGrpSpPr>
          <a:grpSpLocks/>
        </xdr:cNvGrpSpPr>
      </xdr:nvGrpSpPr>
      <xdr:grpSpPr bwMode="auto">
        <a:xfrm>
          <a:off x="4700588" y="10096500"/>
          <a:ext cx="266700" cy="0"/>
          <a:chOff x="466" y="3952"/>
          <a:chExt cx="28" cy="16"/>
        </a:xfrm>
      </xdr:grpSpPr>
      <xdr:sp macro="" textlink="">
        <xdr:nvSpPr>
          <xdr:cNvPr id="4103810" name="Line 6461">
            <a:extLst>
              <a:ext uri="{FF2B5EF4-FFF2-40B4-BE49-F238E27FC236}">
                <a16:creationId xmlns:a16="http://schemas.microsoft.com/office/drawing/2014/main" id="{00000000-0008-0000-0F00-00008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11" name="Line 6462">
            <a:extLst>
              <a:ext uri="{FF2B5EF4-FFF2-40B4-BE49-F238E27FC236}">
                <a16:creationId xmlns:a16="http://schemas.microsoft.com/office/drawing/2014/main" id="{00000000-0008-0000-0F00-00008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063" name="Group 6463">
          <a:extLst>
            <a:ext uri="{FF2B5EF4-FFF2-40B4-BE49-F238E27FC236}">
              <a16:creationId xmlns:a16="http://schemas.microsoft.com/office/drawing/2014/main" id="{00000000-0008-0000-0F00-0000979B3E00}"/>
            </a:ext>
          </a:extLst>
        </xdr:cNvPr>
        <xdr:cNvGrpSpPr>
          <a:grpSpLocks/>
        </xdr:cNvGrpSpPr>
      </xdr:nvGrpSpPr>
      <xdr:grpSpPr bwMode="auto">
        <a:xfrm>
          <a:off x="4576763" y="10096500"/>
          <a:ext cx="228600" cy="0"/>
          <a:chOff x="466" y="3952"/>
          <a:chExt cx="28" cy="16"/>
        </a:xfrm>
      </xdr:grpSpPr>
      <xdr:sp macro="" textlink="">
        <xdr:nvSpPr>
          <xdr:cNvPr id="4103808" name="Line 6464">
            <a:extLst>
              <a:ext uri="{FF2B5EF4-FFF2-40B4-BE49-F238E27FC236}">
                <a16:creationId xmlns:a16="http://schemas.microsoft.com/office/drawing/2014/main" id="{00000000-0008-0000-0F00-00008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9" name="Line 6465">
            <a:extLst>
              <a:ext uri="{FF2B5EF4-FFF2-40B4-BE49-F238E27FC236}">
                <a16:creationId xmlns:a16="http://schemas.microsoft.com/office/drawing/2014/main" id="{00000000-0008-0000-0F00-00008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4" name="Group 6691">
          <a:extLst>
            <a:ext uri="{FF2B5EF4-FFF2-40B4-BE49-F238E27FC236}">
              <a16:creationId xmlns:a16="http://schemas.microsoft.com/office/drawing/2014/main" id="{00000000-0008-0000-0F00-0000989B3E00}"/>
            </a:ext>
          </a:extLst>
        </xdr:cNvPr>
        <xdr:cNvGrpSpPr>
          <a:grpSpLocks/>
        </xdr:cNvGrpSpPr>
      </xdr:nvGrpSpPr>
      <xdr:grpSpPr bwMode="auto">
        <a:xfrm>
          <a:off x="4117181" y="10096500"/>
          <a:ext cx="240507" cy="0"/>
          <a:chOff x="466" y="3952"/>
          <a:chExt cx="28" cy="16"/>
        </a:xfrm>
      </xdr:grpSpPr>
      <xdr:sp macro="" textlink="">
        <xdr:nvSpPr>
          <xdr:cNvPr id="4103806" name="Line 6692">
            <a:extLst>
              <a:ext uri="{FF2B5EF4-FFF2-40B4-BE49-F238E27FC236}">
                <a16:creationId xmlns:a16="http://schemas.microsoft.com/office/drawing/2014/main" id="{00000000-0008-0000-0F00-00007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7" name="Line 6693">
            <a:extLst>
              <a:ext uri="{FF2B5EF4-FFF2-40B4-BE49-F238E27FC236}">
                <a16:creationId xmlns:a16="http://schemas.microsoft.com/office/drawing/2014/main" id="{00000000-0008-0000-0F00-00007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5" name="Group 6694">
          <a:extLst>
            <a:ext uri="{FF2B5EF4-FFF2-40B4-BE49-F238E27FC236}">
              <a16:creationId xmlns:a16="http://schemas.microsoft.com/office/drawing/2014/main" id="{00000000-0008-0000-0F00-0000999B3E00}"/>
            </a:ext>
          </a:extLst>
        </xdr:cNvPr>
        <xdr:cNvGrpSpPr>
          <a:grpSpLocks/>
        </xdr:cNvGrpSpPr>
      </xdr:nvGrpSpPr>
      <xdr:grpSpPr bwMode="auto">
        <a:xfrm>
          <a:off x="4700588" y="10096500"/>
          <a:ext cx="266700" cy="0"/>
          <a:chOff x="466" y="3952"/>
          <a:chExt cx="28" cy="16"/>
        </a:xfrm>
      </xdr:grpSpPr>
      <xdr:sp macro="" textlink="">
        <xdr:nvSpPr>
          <xdr:cNvPr id="4103804" name="Line 6695">
            <a:extLst>
              <a:ext uri="{FF2B5EF4-FFF2-40B4-BE49-F238E27FC236}">
                <a16:creationId xmlns:a16="http://schemas.microsoft.com/office/drawing/2014/main" id="{00000000-0008-0000-0F00-00007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5" name="Line 6696">
            <a:extLst>
              <a:ext uri="{FF2B5EF4-FFF2-40B4-BE49-F238E27FC236}">
                <a16:creationId xmlns:a16="http://schemas.microsoft.com/office/drawing/2014/main" id="{00000000-0008-0000-0F00-00007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6" name="Group 6697">
          <a:extLst>
            <a:ext uri="{FF2B5EF4-FFF2-40B4-BE49-F238E27FC236}">
              <a16:creationId xmlns:a16="http://schemas.microsoft.com/office/drawing/2014/main" id="{00000000-0008-0000-0F00-00009A9B3E00}"/>
            </a:ext>
          </a:extLst>
        </xdr:cNvPr>
        <xdr:cNvGrpSpPr>
          <a:grpSpLocks/>
        </xdr:cNvGrpSpPr>
      </xdr:nvGrpSpPr>
      <xdr:grpSpPr bwMode="auto">
        <a:xfrm>
          <a:off x="4117181" y="10096500"/>
          <a:ext cx="240507" cy="0"/>
          <a:chOff x="466" y="3952"/>
          <a:chExt cx="28" cy="16"/>
        </a:xfrm>
      </xdr:grpSpPr>
      <xdr:sp macro="" textlink="">
        <xdr:nvSpPr>
          <xdr:cNvPr id="4103802" name="Line 6698">
            <a:extLst>
              <a:ext uri="{FF2B5EF4-FFF2-40B4-BE49-F238E27FC236}">
                <a16:creationId xmlns:a16="http://schemas.microsoft.com/office/drawing/2014/main" id="{00000000-0008-0000-0F00-00007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3" name="Line 6699">
            <a:extLst>
              <a:ext uri="{FF2B5EF4-FFF2-40B4-BE49-F238E27FC236}">
                <a16:creationId xmlns:a16="http://schemas.microsoft.com/office/drawing/2014/main" id="{00000000-0008-0000-0F00-00007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7" name="Group 6700">
          <a:extLst>
            <a:ext uri="{FF2B5EF4-FFF2-40B4-BE49-F238E27FC236}">
              <a16:creationId xmlns:a16="http://schemas.microsoft.com/office/drawing/2014/main" id="{00000000-0008-0000-0F00-00009B9B3E00}"/>
            </a:ext>
          </a:extLst>
        </xdr:cNvPr>
        <xdr:cNvGrpSpPr>
          <a:grpSpLocks/>
        </xdr:cNvGrpSpPr>
      </xdr:nvGrpSpPr>
      <xdr:grpSpPr bwMode="auto">
        <a:xfrm>
          <a:off x="4700588" y="10096500"/>
          <a:ext cx="266700" cy="0"/>
          <a:chOff x="466" y="3952"/>
          <a:chExt cx="28" cy="16"/>
        </a:xfrm>
      </xdr:grpSpPr>
      <xdr:sp macro="" textlink="">
        <xdr:nvSpPr>
          <xdr:cNvPr id="4103800" name="Line 6701">
            <a:extLst>
              <a:ext uri="{FF2B5EF4-FFF2-40B4-BE49-F238E27FC236}">
                <a16:creationId xmlns:a16="http://schemas.microsoft.com/office/drawing/2014/main" id="{00000000-0008-0000-0F00-00007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801" name="Line 6702">
            <a:extLst>
              <a:ext uri="{FF2B5EF4-FFF2-40B4-BE49-F238E27FC236}">
                <a16:creationId xmlns:a16="http://schemas.microsoft.com/office/drawing/2014/main" id="{00000000-0008-0000-0F00-00007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68" name="Group 6703">
          <a:extLst>
            <a:ext uri="{FF2B5EF4-FFF2-40B4-BE49-F238E27FC236}">
              <a16:creationId xmlns:a16="http://schemas.microsoft.com/office/drawing/2014/main" id="{00000000-0008-0000-0F00-00009C9B3E00}"/>
            </a:ext>
          </a:extLst>
        </xdr:cNvPr>
        <xdr:cNvGrpSpPr>
          <a:grpSpLocks/>
        </xdr:cNvGrpSpPr>
      </xdr:nvGrpSpPr>
      <xdr:grpSpPr bwMode="auto">
        <a:xfrm>
          <a:off x="4117181" y="10096500"/>
          <a:ext cx="240507" cy="0"/>
          <a:chOff x="466" y="3952"/>
          <a:chExt cx="28" cy="16"/>
        </a:xfrm>
      </xdr:grpSpPr>
      <xdr:sp macro="" textlink="">
        <xdr:nvSpPr>
          <xdr:cNvPr id="4103798" name="Line 6704">
            <a:extLst>
              <a:ext uri="{FF2B5EF4-FFF2-40B4-BE49-F238E27FC236}">
                <a16:creationId xmlns:a16="http://schemas.microsoft.com/office/drawing/2014/main" id="{00000000-0008-0000-0F00-00007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9" name="Line 6705">
            <a:extLst>
              <a:ext uri="{FF2B5EF4-FFF2-40B4-BE49-F238E27FC236}">
                <a16:creationId xmlns:a16="http://schemas.microsoft.com/office/drawing/2014/main" id="{00000000-0008-0000-0F00-00007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069" name="Group 6706">
          <a:extLst>
            <a:ext uri="{FF2B5EF4-FFF2-40B4-BE49-F238E27FC236}">
              <a16:creationId xmlns:a16="http://schemas.microsoft.com/office/drawing/2014/main" id="{00000000-0008-0000-0F00-00009D9B3E00}"/>
            </a:ext>
          </a:extLst>
        </xdr:cNvPr>
        <xdr:cNvGrpSpPr>
          <a:grpSpLocks/>
        </xdr:cNvGrpSpPr>
      </xdr:nvGrpSpPr>
      <xdr:grpSpPr bwMode="auto">
        <a:xfrm>
          <a:off x="4700588" y="10096500"/>
          <a:ext cx="266700" cy="0"/>
          <a:chOff x="466" y="3952"/>
          <a:chExt cx="28" cy="16"/>
        </a:xfrm>
      </xdr:grpSpPr>
      <xdr:sp macro="" textlink="">
        <xdr:nvSpPr>
          <xdr:cNvPr id="4103796" name="Line 6707">
            <a:extLst>
              <a:ext uri="{FF2B5EF4-FFF2-40B4-BE49-F238E27FC236}">
                <a16:creationId xmlns:a16="http://schemas.microsoft.com/office/drawing/2014/main" id="{00000000-0008-0000-0F00-00007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7" name="Line 6708">
            <a:extLst>
              <a:ext uri="{FF2B5EF4-FFF2-40B4-BE49-F238E27FC236}">
                <a16:creationId xmlns:a16="http://schemas.microsoft.com/office/drawing/2014/main" id="{00000000-0008-0000-0F00-00007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0" name="Group 6709">
          <a:extLst>
            <a:ext uri="{FF2B5EF4-FFF2-40B4-BE49-F238E27FC236}">
              <a16:creationId xmlns:a16="http://schemas.microsoft.com/office/drawing/2014/main" id="{00000000-0008-0000-0F00-00009E9B3E00}"/>
            </a:ext>
          </a:extLst>
        </xdr:cNvPr>
        <xdr:cNvGrpSpPr>
          <a:grpSpLocks/>
        </xdr:cNvGrpSpPr>
      </xdr:nvGrpSpPr>
      <xdr:grpSpPr bwMode="auto">
        <a:xfrm>
          <a:off x="4117181" y="10096500"/>
          <a:ext cx="240507" cy="0"/>
          <a:chOff x="466" y="3952"/>
          <a:chExt cx="28" cy="16"/>
        </a:xfrm>
      </xdr:grpSpPr>
      <xdr:sp macro="" textlink="">
        <xdr:nvSpPr>
          <xdr:cNvPr id="4103794" name="Line 6710">
            <a:extLst>
              <a:ext uri="{FF2B5EF4-FFF2-40B4-BE49-F238E27FC236}">
                <a16:creationId xmlns:a16="http://schemas.microsoft.com/office/drawing/2014/main" id="{00000000-0008-0000-0F00-00007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5" name="Line 6711">
            <a:extLst>
              <a:ext uri="{FF2B5EF4-FFF2-40B4-BE49-F238E27FC236}">
                <a16:creationId xmlns:a16="http://schemas.microsoft.com/office/drawing/2014/main" id="{00000000-0008-0000-0F00-00007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1" name="Group 6712">
          <a:extLst>
            <a:ext uri="{FF2B5EF4-FFF2-40B4-BE49-F238E27FC236}">
              <a16:creationId xmlns:a16="http://schemas.microsoft.com/office/drawing/2014/main" id="{00000000-0008-0000-0F00-00009F9B3E00}"/>
            </a:ext>
          </a:extLst>
        </xdr:cNvPr>
        <xdr:cNvGrpSpPr>
          <a:grpSpLocks/>
        </xdr:cNvGrpSpPr>
      </xdr:nvGrpSpPr>
      <xdr:grpSpPr bwMode="auto">
        <a:xfrm>
          <a:off x="4117181" y="10096500"/>
          <a:ext cx="240507" cy="0"/>
          <a:chOff x="466" y="3952"/>
          <a:chExt cx="28" cy="16"/>
        </a:xfrm>
      </xdr:grpSpPr>
      <xdr:sp macro="" textlink="">
        <xdr:nvSpPr>
          <xdr:cNvPr id="4103792" name="Line 6713">
            <a:extLst>
              <a:ext uri="{FF2B5EF4-FFF2-40B4-BE49-F238E27FC236}">
                <a16:creationId xmlns:a16="http://schemas.microsoft.com/office/drawing/2014/main" id="{00000000-0008-0000-0F00-00007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3" name="Line 6714">
            <a:extLst>
              <a:ext uri="{FF2B5EF4-FFF2-40B4-BE49-F238E27FC236}">
                <a16:creationId xmlns:a16="http://schemas.microsoft.com/office/drawing/2014/main" id="{00000000-0008-0000-0F00-00007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2" name="Group 6715">
          <a:extLst>
            <a:ext uri="{FF2B5EF4-FFF2-40B4-BE49-F238E27FC236}">
              <a16:creationId xmlns:a16="http://schemas.microsoft.com/office/drawing/2014/main" id="{00000000-0008-0000-0F00-0000A09B3E00}"/>
            </a:ext>
          </a:extLst>
        </xdr:cNvPr>
        <xdr:cNvGrpSpPr>
          <a:grpSpLocks/>
        </xdr:cNvGrpSpPr>
      </xdr:nvGrpSpPr>
      <xdr:grpSpPr bwMode="auto">
        <a:xfrm>
          <a:off x="4117181" y="10096500"/>
          <a:ext cx="240507" cy="0"/>
          <a:chOff x="466" y="3952"/>
          <a:chExt cx="28" cy="16"/>
        </a:xfrm>
      </xdr:grpSpPr>
      <xdr:sp macro="" textlink="">
        <xdr:nvSpPr>
          <xdr:cNvPr id="4103790" name="Line 6716">
            <a:extLst>
              <a:ext uri="{FF2B5EF4-FFF2-40B4-BE49-F238E27FC236}">
                <a16:creationId xmlns:a16="http://schemas.microsoft.com/office/drawing/2014/main" id="{00000000-0008-0000-0F00-00006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91" name="Line 6717">
            <a:extLst>
              <a:ext uri="{FF2B5EF4-FFF2-40B4-BE49-F238E27FC236}">
                <a16:creationId xmlns:a16="http://schemas.microsoft.com/office/drawing/2014/main" id="{00000000-0008-0000-0F00-00006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73" name="Group 6718">
          <a:extLst>
            <a:ext uri="{FF2B5EF4-FFF2-40B4-BE49-F238E27FC236}">
              <a16:creationId xmlns:a16="http://schemas.microsoft.com/office/drawing/2014/main" id="{00000000-0008-0000-0F00-0000A19B3E00}"/>
            </a:ext>
          </a:extLst>
        </xdr:cNvPr>
        <xdr:cNvGrpSpPr>
          <a:grpSpLocks/>
        </xdr:cNvGrpSpPr>
      </xdr:nvGrpSpPr>
      <xdr:grpSpPr bwMode="auto">
        <a:xfrm>
          <a:off x="4117181" y="10096500"/>
          <a:ext cx="240507" cy="0"/>
          <a:chOff x="466" y="3952"/>
          <a:chExt cx="28" cy="16"/>
        </a:xfrm>
      </xdr:grpSpPr>
      <xdr:sp macro="" textlink="">
        <xdr:nvSpPr>
          <xdr:cNvPr id="4103788" name="Line 6719">
            <a:extLst>
              <a:ext uri="{FF2B5EF4-FFF2-40B4-BE49-F238E27FC236}">
                <a16:creationId xmlns:a16="http://schemas.microsoft.com/office/drawing/2014/main" id="{00000000-0008-0000-0F00-00006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9" name="Line 6720">
            <a:extLst>
              <a:ext uri="{FF2B5EF4-FFF2-40B4-BE49-F238E27FC236}">
                <a16:creationId xmlns:a16="http://schemas.microsoft.com/office/drawing/2014/main" id="{00000000-0008-0000-0F00-00006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4" name="Group 6721">
          <a:extLst>
            <a:ext uri="{FF2B5EF4-FFF2-40B4-BE49-F238E27FC236}">
              <a16:creationId xmlns:a16="http://schemas.microsoft.com/office/drawing/2014/main" id="{00000000-0008-0000-0F00-0000A29B3E00}"/>
            </a:ext>
          </a:extLst>
        </xdr:cNvPr>
        <xdr:cNvGrpSpPr>
          <a:grpSpLocks/>
        </xdr:cNvGrpSpPr>
      </xdr:nvGrpSpPr>
      <xdr:grpSpPr bwMode="auto">
        <a:xfrm>
          <a:off x="5143500" y="10096500"/>
          <a:ext cx="0" cy="0"/>
          <a:chOff x="466" y="3952"/>
          <a:chExt cx="28" cy="16"/>
        </a:xfrm>
      </xdr:grpSpPr>
      <xdr:sp macro="" textlink="">
        <xdr:nvSpPr>
          <xdr:cNvPr id="4103786" name="Line 6722">
            <a:extLst>
              <a:ext uri="{FF2B5EF4-FFF2-40B4-BE49-F238E27FC236}">
                <a16:creationId xmlns:a16="http://schemas.microsoft.com/office/drawing/2014/main" id="{00000000-0008-0000-0F00-00006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7" name="Line 6723">
            <a:extLst>
              <a:ext uri="{FF2B5EF4-FFF2-40B4-BE49-F238E27FC236}">
                <a16:creationId xmlns:a16="http://schemas.microsoft.com/office/drawing/2014/main" id="{00000000-0008-0000-0F00-00006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5" name="Group 6724">
          <a:extLst>
            <a:ext uri="{FF2B5EF4-FFF2-40B4-BE49-F238E27FC236}">
              <a16:creationId xmlns:a16="http://schemas.microsoft.com/office/drawing/2014/main" id="{00000000-0008-0000-0F00-0000A39B3E00}"/>
            </a:ext>
          </a:extLst>
        </xdr:cNvPr>
        <xdr:cNvGrpSpPr>
          <a:grpSpLocks/>
        </xdr:cNvGrpSpPr>
      </xdr:nvGrpSpPr>
      <xdr:grpSpPr bwMode="auto">
        <a:xfrm>
          <a:off x="5143500" y="10096500"/>
          <a:ext cx="0" cy="0"/>
          <a:chOff x="466" y="3952"/>
          <a:chExt cx="28" cy="16"/>
        </a:xfrm>
      </xdr:grpSpPr>
      <xdr:sp macro="" textlink="">
        <xdr:nvSpPr>
          <xdr:cNvPr id="4103784" name="Line 6725">
            <a:extLst>
              <a:ext uri="{FF2B5EF4-FFF2-40B4-BE49-F238E27FC236}">
                <a16:creationId xmlns:a16="http://schemas.microsoft.com/office/drawing/2014/main" id="{00000000-0008-0000-0F00-00006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5" name="Line 6726">
            <a:extLst>
              <a:ext uri="{FF2B5EF4-FFF2-40B4-BE49-F238E27FC236}">
                <a16:creationId xmlns:a16="http://schemas.microsoft.com/office/drawing/2014/main" id="{00000000-0008-0000-0F00-00006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6" name="Group 6727">
          <a:extLst>
            <a:ext uri="{FF2B5EF4-FFF2-40B4-BE49-F238E27FC236}">
              <a16:creationId xmlns:a16="http://schemas.microsoft.com/office/drawing/2014/main" id="{00000000-0008-0000-0F00-0000A49B3E00}"/>
            </a:ext>
          </a:extLst>
        </xdr:cNvPr>
        <xdr:cNvGrpSpPr>
          <a:grpSpLocks/>
        </xdr:cNvGrpSpPr>
      </xdr:nvGrpSpPr>
      <xdr:grpSpPr bwMode="auto">
        <a:xfrm>
          <a:off x="5143500" y="10096500"/>
          <a:ext cx="0" cy="0"/>
          <a:chOff x="466" y="3952"/>
          <a:chExt cx="28" cy="16"/>
        </a:xfrm>
      </xdr:grpSpPr>
      <xdr:sp macro="" textlink="">
        <xdr:nvSpPr>
          <xdr:cNvPr id="4103782" name="Line 6728">
            <a:extLst>
              <a:ext uri="{FF2B5EF4-FFF2-40B4-BE49-F238E27FC236}">
                <a16:creationId xmlns:a16="http://schemas.microsoft.com/office/drawing/2014/main" id="{00000000-0008-0000-0F00-00006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3" name="Line 6729">
            <a:extLst>
              <a:ext uri="{FF2B5EF4-FFF2-40B4-BE49-F238E27FC236}">
                <a16:creationId xmlns:a16="http://schemas.microsoft.com/office/drawing/2014/main" id="{00000000-0008-0000-0F00-00006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077" name="Group 6730">
          <a:extLst>
            <a:ext uri="{FF2B5EF4-FFF2-40B4-BE49-F238E27FC236}">
              <a16:creationId xmlns:a16="http://schemas.microsoft.com/office/drawing/2014/main" id="{00000000-0008-0000-0F00-0000A59B3E00}"/>
            </a:ext>
          </a:extLst>
        </xdr:cNvPr>
        <xdr:cNvGrpSpPr>
          <a:grpSpLocks/>
        </xdr:cNvGrpSpPr>
      </xdr:nvGrpSpPr>
      <xdr:grpSpPr bwMode="auto">
        <a:xfrm>
          <a:off x="5143500" y="10096500"/>
          <a:ext cx="0" cy="0"/>
          <a:chOff x="466" y="3952"/>
          <a:chExt cx="28" cy="16"/>
        </a:xfrm>
      </xdr:grpSpPr>
      <xdr:sp macro="" textlink="">
        <xdr:nvSpPr>
          <xdr:cNvPr id="4103780" name="Line 6731">
            <a:extLst>
              <a:ext uri="{FF2B5EF4-FFF2-40B4-BE49-F238E27FC236}">
                <a16:creationId xmlns:a16="http://schemas.microsoft.com/office/drawing/2014/main" id="{00000000-0008-0000-0F00-00006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81" name="Line 6732">
            <a:extLst>
              <a:ext uri="{FF2B5EF4-FFF2-40B4-BE49-F238E27FC236}">
                <a16:creationId xmlns:a16="http://schemas.microsoft.com/office/drawing/2014/main" id="{00000000-0008-0000-0F00-00006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078" name="Group 6733">
          <a:extLst>
            <a:ext uri="{FF2B5EF4-FFF2-40B4-BE49-F238E27FC236}">
              <a16:creationId xmlns:a16="http://schemas.microsoft.com/office/drawing/2014/main" id="{00000000-0008-0000-0F00-0000A69B3E00}"/>
            </a:ext>
          </a:extLst>
        </xdr:cNvPr>
        <xdr:cNvGrpSpPr>
          <a:grpSpLocks/>
        </xdr:cNvGrpSpPr>
      </xdr:nvGrpSpPr>
      <xdr:grpSpPr bwMode="auto">
        <a:xfrm>
          <a:off x="4050506" y="10096500"/>
          <a:ext cx="266700" cy="0"/>
          <a:chOff x="466" y="3952"/>
          <a:chExt cx="28" cy="16"/>
        </a:xfrm>
      </xdr:grpSpPr>
      <xdr:sp macro="" textlink="">
        <xdr:nvSpPr>
          <xdr:cNvPr id="4103778" name="Line 6734">
            <a:extLst>
              <a:ext uri="{FF2B5EF4-FFF2-40B4-BE49-F238E27FC236}">
                <a16:creationId xmlns:a16="http://schemas.microsoft.com/office/drawing/2014/main" id="{00000000-0008-0000-0F00-00006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9" name="Line 6735">
            <a:extLst>
              <a:ext uri="{FF2B5EF4-FFF2-40B4-BE49-F238E27FC236}">
                <a16:creationId xmlns:a16="http://schemas.microsoft.com/office/drawing/2014/main" id="{00000000-0008-0000-0F00-00006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079" name="Group 6736">
          <a:extLst>
            <a:ext uri="{FF2B5EF4-FFF2-40B4-BE49-F238E27FC236}">
              <a16:creationId xmlns:a16="http://schemas.microsoft.com/office/drawing/2014/main" id="{00000000-0008-0000-0F00-0000A79B3E00}"/>
            </a:ext>
          </a:extLst>
        </xdr:cNvPr>
        <xdr:cNvGrpSpPr>
          <a:grpSpLocks/>
        </xdr:cNvGrpSpPr>
      </xdr:nvGrpSpPr>
      <xdr:grpSpPr bwMode="auto">
        <a:xfrm>
          <a:off x="4031456" y="10096500"/>
          <a:ext cx="266700" cy="0"/>
          <a:chOff x="466" y="3952"/>
          <a:chExt cx="28" cy="16"/>
        </a:xfrm>
      </xdr:grpSpPr>
      <xdr:sp macro="" textlink="">
        <xdr:nvSpPr>
          <xdr:cNvPr id="4103776" name="Line 6737">
            <a:extLst>
              <a:ext uri="{FF2B5EF4-FFF2-40B4-BE49-F238E27FC236}">
                <a16:creationId xmlns:a16="http://schemas.microsoft.com/office/drawing/2014/main" id="{00000000-0008-0000-0F00-00006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7" name="Line 6738">
            <a:extLst>
              <a:ext uri="{FF2B5EF4-FFF2-40B4-BE49-F238E27FC236}">
                <a16:creationId xmlns:a16="http://schemas.microsoft.com/office/drawing/2014/main" id="{00000000-0008-0000-0F00-00006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0" name="Group 6739">
          <a:extLst>
            <a:ext uri="{FF2B5EF4-FFF2-40B4-BE49-F238E27FC236}">
              <a16:creationId xmlns:a16="http://schemas.microsoft.com/office/drawing/2014/main" id="{00000000-0008-0000-0F00-0000A89B3E00}"/>
            </a:ext>
          </a:extLst>
        </xdr:cNvPr>
        <xdr:cNvGrpSpPr>
          <a:grpSpLocks/>
        </xdr:cNvGrpSpPr>
      </xdr:nvGrpSpPr>
      <xdr:grpSpPr bwMode="auto">
        <a:xfrm>
          <a:off x="4060031" y="10096500"/>
          <a:ext cx="266700" cy="0"/>
          <a:chOff x="466" y="3952"/>
          <a:chExt cx="28" cy="16"/>
        </a:xfrm>
      </xdr:grpSpPr>
      <xdr:sp macro="" textlink="">
        <xdr:nvSpPr>
          <xdr:cNvPr id="4103774" name="Line 6740">
            <a:extLst>
              <a:ext uri="{FF2B5EF4-FFF2-40B4-BE49-F238E27FC236}">
                <a16:creationId xmlns:a16="http://schemas.microsoft.com/office/drawing/2014/main" id="{00000000-0008-0000-0F00-00005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5" name="Line 6741">
            <a:extLst>
              <a:ext uri="{FF2B5EF4-FFF2-40B4-BE49-F238E27FC236}">
                <a16:creationId xmlns:a16="http://schemas.microsoft.com/office/drawing/2014/main" id="{00000000-0008-0000-0F00-00005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081" name="Group 6742">
          <a:extLst>
            <a:ext uri="{FF2B5EF4-FFF2-40B4-BE49-F238E27FC236}">
              <a16:creationId xmlns:a16="http://schemas.microsoft.com/office/drawing/2014/main" id="{00000000-0008-0000-0F00-0000A99B3E00}"/>
            </a:ext>
          </a:extLst>
        </xdr:cNvPr>
        <xdr:cNvGrpSpPr>
          <a:grpSpLocks/>
        </xdr:cNvGrpSpPr>
      </xdr:nvGrpSpPr>
      <xdr:grpSpPr bwMode="auto">
        <a:xfrm>
          <a:off x="4633913" y="10096500"/>
          <a:ext cx="266700" cy="0"/>
          <a:chOff x="466" y="3952"/>
          <a:chExt cx="28" cy="16"/>
        </a:xfrm>
      </xdr:grpSpPr>
      <xdr:sp macro="" textlink="">
        <xdr:nvSpPr>
          <xdr:cNvPr id="4103772" name="Line 6743">
            <a:extLst>
              <a:ext uri="{FF2B5EF4-FFF2-40B4-BE49-F238E27FC236}">
                <a16:creationId xmlns:a16="http://schemas.microsoft.com/office/drawing/2014/main" id="{00000000-0008-0000-0F00-00005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3" name="Line 6744">
            <a:extLst>
              <a:ext uri="{FF2B5EF4-FFF2-40B4-BE49-F238E27FC236}">
                <a16:creationId xmlns:a16="http://schemas.microsoft.com/office/drawing/2014/main" id="{00000000-0008-0000-0F00-00005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082" name="Group 6745">
          <a:extLst>
            <a:ext uri="{FF2B5EF4-FFF2-40B4-BE49-F238E27FC236}">
              <a16:creationId xmlns:a16="http://schemas.microsoft.com/office/drawing/2014/main" id="{00000000-0008-0000-0F00-0000AA9B3E00}"/>
            </a:ext>
          </a:extLst>
        </xdr:cNvPr>
        <xdr:cNvGrpSpPr>
          <a:grpSpLocks/>
        </xdr:cNvGrpSpPr>
      </xdr:nvGrpSpPr>
      <xdr:grpSpPr bwMode="auto">
        <a:xfrm>
          <a:off x="4662488" y="10096500"/>
          <a:ext cx="266700" cy="0"/>
          <a:chOff x="466" y="3952"/>
          <a:chExt cx="28" cy="16"/>
        </a:xfrm>
      </xdr:grpSpPr>
      <xdr:sp macro="" textlink="">
        <xdr:nvSpPr>
          <xdr:cNvPr id="4103770" name="Line 6746">
            <a:extLst>
              <a:ext uri="{FF2B5EF4-FFF2-40B4-BE49-F238E27FC236}">
                <a16:creationId xmlns:a16="http://schemas.microsoft.com/office/drawing/2014/main" id="{00000000-0008-0000-0F00-00005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71" name="Line 6747">
            <a:extLst>
              <a:ext uri="{FF2B5EF4-FFF2-40B4-BE49-F238E27FC236}">
                <a16:creationId xmlns:a16="http://schemas.microsoft.com/office/drawing/2014/main" id="{00000000-0008-0000-0F00-00005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083" name="Group 6748">
          <a:extLst>
            <a:ext uri="{FF2B5EF4-FFF2-40B4-BE49-F238E27FC236}">
              <a16:creationId xmlns:a16="http://schemas.microsoft.com/office/drawing/2014/main" id="{00000000-0008-0000-0F00-0000AB9B3E00}"/>
            </a:ext>
          </a:extLst>
        </xdr:cNvPr>
        <xdr:cNvGrpSpPr>
          <a:grpSpLocks/>
        </xdr:cNvGrpSpPr>
      </xdr:nvGrpSpPr>
      <xdr:grpSpPr bwMode="auto">
        <a:xfrm>
          <a:off x="4652963" y="10096500"/>
          <a:ext cx="266700" cy="0"/>
          <a:chOff x="466" y="3952"/>
          <a:chExt cx="28" cy="16"/>
        </a:xfrm>
      </xdr:grpSpPr>
      <xdr:sp macro="" textlink="">
        <xdr:nvSpPr>
          <xdr:cNvPr id="4103768" name="Line 6749">
            <a:extLst>
              <a:ext uri="{FF2B5EF4-FFF2-40B4-BE49-F238E27FC236}">
                <a16:creationId xmlns:a16="http://schemas.microsoft.com/office/drawing/2014/main" id="{00000000-0008-0000-0F00-00005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9" name="Line 6750">
            <a:extLst>
              <a:ext uri="{FF2B5EF4-FFF2-40B4-BE49-F238E27FC236}">
                <a16:creationId xmlns:a16="http://schemas.microsoft.com/office/drawing/2014/main" id="{00000000-0008-0000-0F00-00005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084" name="Group 6751">
          <a:extLst>
            <a:ext uri="{FF2B5EF4-FFF2-40B4-BE49-F238E27FC236}">
              <a16:creationId xmlns:a16="http://schemas.microsoft.com/office/drawing/2014/main" id="{00000000-0008-0000-0F00-0000AC9B3E00}"/>
            </a:ext>
          </a:extLst>
        </xdr:cNvPr>
        <xdr:cNvGrpSpPr>
          <a:grpSpLocks/>
        </xdr:cNvGrpSpPr>
      </xdr:nvGrpSpPr>
      <xdr:grpSpPr bwMode="auto">
        <a:xfrm>
          <a:off x="4040981" y="10096500"/>
          <a:ext cx="266700" cy="0"/>
          <a:chOff x="466" y="3952"/>
          <a:chExt cx="28" cy="16"/>
        </a:xfrm>
      </xdr:grpSpPr>
      <xdr:sp macro="" textlink="">
        <xdr:nvSpPr>
          <xdr:cNvPr id="4103766" name="Line 6752">
            <a:extLst>
              <a:ext uri="{FF2B5EF4-FFF2-40B4-BE49-F238E27FC236}">
                <a16:creationId xmlns:a16="http://schemas.microsoft.com/office/drawing/2014/main" id="{00000000-0008-0000-0F00-00005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7" name="Line 6753">
            <a:extLst>
              <a:ext uri="{FF2B5EF4-FFF2-40B4-BE49-F238E27FC236}">
                <a16:creationId xmlns:a16="http://schemas.microsoft.com/office/drawing/2014/main" id="{00000000-0008-0000-0F00-00005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085" name="Group 6754">
          <a:extLst>
            <a:ext uri="{FF2B5EF4-FFF2-40B4-BE49-F238E27FC236}">
              <a16:creationId xmlns:a16="http://schemas.microsoft.com/office/drawing/2014/main" id="{00000000-0008-0000-0F00-0000AD9B3E00}"/>
            </a:ext>
          </a:extLst>
        </xdr:cNvPr>
        <xdr:cNvGrpSpPr>
          <a:grpSpLocks/>
        </xdr:cNvGrpSpPr>
      </xdr:nvGrpSpPr>
      <xdr:grpSpPr bwMode="auto">
        <a:xfrm>
          <a:off x="4088606" y="10096500"/>
          <a:ext cx="269082" cy="0"/>
          <a:chOff x="466" y="3952"/>
          <a:chExt cx="28" cy="16"/>
        </a:xfrm>
      </xdr:grpSpPr>
      <xdr:sp macro="" textlink="">
        <xdr:nvSpPr>
          <xdr:cNvPr id="4103764" name="Line 6755">
            <a:extLst>
              <a:ext uri="{FF2B5EF4-FFF2-40B4-BE49-F238E27FC236}">
                <a16:creationId xmlns:a16="http://schemas.microsoft.com/office/drawing/2014/main" id="{00000000-0008-0000-0F00-00005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5" name="Line 6756">
            <a:extLst>
              <a:ext uri="{FF2B5EF4-FFF2-40B4-BE49-F238E27FC236}">
                <a16:creationId xmlns:a16="http://schemas.microsoft.com/office/drawing/2014/main" id="{00000000-0008-0000-0F00-00005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086" name="Group 6757">
          <a:extLst>
            <a:ext uri="{FF2B5EF4-FFF2-40B4-BE49-F238E27FC236}">
              <a16:creationId xmlns:a16="http://schemas.microsoft.com/office/drawing/2014/main" id="{00000000-0008-0000-0F00-0000AE9B3E00}"/>
            </a:ext>
          </a:extLst>
        </xdr:cNvPr>
        <xdr:cNvGrpSpPr>
          <a:grpSpLocks/>
        </xdr:cNvGrpSpPr>
      </xdr:nvGrpSpPr>
      <xdr:grpSpPr bwMode="auto">
        <a:xfrm>
          <a:off x="4069556" y="10096500"/>
          <a:ext cx="266700" cy="0"/>
          <a:chOff x="466" y="3952"/>
          <a:chExt cx="28" cy="16"/>
        </a:xfrm>
      </xdr:grpSpPr>
      <xdr:sp macro="" textlink="">
        <xdr:nvSpPr>
          <xdr:cNvPr id="4103762" name="Line 6758">
            <a:extLst>
              <a:ext uri="{FF2B5EF4-FFF2-40B4-BE49-F238E27FC236}">
                <a16:creationId xmlns:a16="http://schemas.microsoft.com/office/drawing/2014/main" id="{00000000-0008-0000-0F00-00005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3" name="Line 6759">
            <a:extLst>
              <a:ext uri="{FF2B5EF4-FFF2-40B4-BE49-F238E27FC236}">
                <a16:creationId xmlns:a16="http://schemas.microsoft.com/office/drawing/2014/main" id="{00000000-0008-0000-0F00-00005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087" name="Group 6760">
          <a:extLst>
            <a:ext uri="{FF2B5EF4-FFF2-40B4-BE49-F238E27FC236}">
              <a16:creationId xmlns:a16="http://schemas.microsoft.com/office/drawing/2014/main" id="{00000000-0008-0000-0F00-0000AF9B3E00}"/>
            </a:ext>
          </a:extLst>
        </xdr:cNvPr>
        <xdr:cNvGrpSpPr>
          <a:grpSpLocks/>
        </xdr:cNvGrpSpPr>
      </xdr:nvGrpSpPr>
      <xdr:grpSpPr bwMode="auto">
        <a:xfrm>
          <a:off x="4060031" y="10096500"/>
          <a:ext cx="266700" cy="0"/>
          <a:chOff x="466" y="3952"/>
          <a:chExt cx="28" cy="16"/>
        </a:xfrm>
      </xdr:grpSpPr>
      <xdr:sp macro="" textlink="">
        <xdr:nvSpPr>
          <xdr:cNvPr id="4103760" name="Line 6761">
            <a:extLst>
              <a:ext uri="{FF2B5EF4-FFF2-40B4-BE49-F238E27FC236}">
                <a16:creationId xmlns:a16="http://schemas.microsoft.com/office/drawing/2014/main" id="{00000000-0008-0000-0F00-00005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61" name="Line 6762">
            <a:extLst>
              <a:ext uri="{FF2B5EF4-FFF2-40B4-BE49-F238E27FC236}">
                <a16:creationId xmlns:a16="http://schemas.microsoft.com/office/drawing/2014/main" id="{00000000-0008-0000-0F00-00005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8" name="Group 6763">
          <a:extLst>
            <a:ext uri="{FF2B5EF4-FFF2-40B4-BE49-F238E27FC236}">
              <a16:creationId xmlns:a16="http://schemas.microsoft.com/office/drawing/2014/main" id="{00000000-0008-0000-0F00-0000B09B3E00}"/>
            </a:ext>
          </a:extLst>
        </xdr:cNvPr>
        <xdr:cNvGrpSpPr>
          <a:grpSpLocks/>
        </xdr:cNvGrpSpPr>
      </xdr:nvGrpSpPr>
      <xdr:grpSpPr bwMode="auto">
        <a:xfrm>
          <a:off x="4117181" y="10096500"/>
          <a:ext cx="240507" cy="0"/>
          <a:chOff x="466" y="3952"/>
          <a:chExt cx="28" cy="16"/>
        </a:xfrm>
      </xdr:grpSpPr>
      <xdr:sp macro="" textlink="">
        <xdr:nvSpPr>
          <xdr:cNvPr id="4103758" name="Line 6764">
            <a:extLst>
              <a:ext uri="{FF2B5EF4-FFF2-40B4-BE49-F238E27FC236}">
                <a16:creationId xmlns:a16="http://schemas.microsoft.com/office/drawing/2014/main" id="{00000000-0008-0000-0F00-00004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9" name="Line 6765">
            <a:extLst>
              <a:ext uri="{FF2B5EF4-FFF2-40B4-BE49-F238E27FC236}">
                <a16:creationId xmlns:a16="http://schemas.microsoft.com/office/drawing/2014/main" id="{00000000-0008-0000-0F00-00004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89" name="Group 6766">
          <a:extLst>
            <a:ext uri="{FF2B5EF4-FFF2-40B4-BE49-F238E27FC236}">
              <a16:creationId xmlns:a16="http://schemas.microsoft.com/office/drawing/2014/main" id="{00000000-0008-0000-0F00-0000B19B3E00}"/>
            </a:ext>
          </a:extLst>
        </xdr:cNvPr>
        <xdr:cNvGrpSpPr>
          <a:grpSpLocks/>
        </xdr:cNvGrpSpPr>
      </xdr:nvGrpSpPr>
      <xdr:grpSpPr bwMode="auto">
        <a:xfrm>
          <a:off x="4117181" y="10096500"/>
          <a:ext cx="240507" cy="0"/>
          <a:chOff x="466" y="3952"/>
          <a:chExt cx="28" cy="16"/>
        </a:xfrm>
      </xdr:grpSpPr>
      <xdr:sp macro="" textlink="">
        <xdr:nvSpPr>
          <xdr:cNvPr id="4103756" name="Line 6767">
            <a:extLst>
              <a:ext uri="{FF2B5EF4-FFF2-40B4-BE49-F238E27FC236}">
                <a16:creationId xmlns:a16="http://schemas.microsoft.com/office/drawing/2014/main" id="{00000000-0008-0000-0F00-00004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7" name="Line 6768">
            <a:extLst>
              <a:ext uri="{FF2B5EF4-FFF2-40B4-BE49-F238E27FC236}">
                <a16:creationId xmlns:a16="http://schemas.microsoft.com/office/drawing/2014/main" id="{00000000-0008-0000-0F00-00004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0" name="Group 6769">
          <a:extLst>
            <a:ext uri="{FF2B5EF4-FFF2-40B4-BE49-F238E27FC236}">
              <a16:creationId xmlns:a16="http://schemas.microsoft.com/office/drawing/2014/main" id="{00000000-0008-0000-0F00-0000B29B3E00}"/>
            </a:ext>
          </a:extLst>
        </xdr:cNvPr>
        <xdr:cNvGrpSpPr>
          <a:grpSpLocks/>
        </xdr:cNvGrpSpPr>
      </xdr:nvGrpSpPr>
      <xdr:grpSpPr bwMode="auto">
        <a:xfrm>
          <a:off x="4117181" y="10096500"/>
          <a:ext cx="240507" cy="0"/>
          <a:chOff x="466" y="3952"/>
          <a:chExt cx="28" cy="16"/>
        </a:xfrm>
      </xdr:grpSpPr>
      <xdr:sp macro="" textlink="">
        <xdr:nvSpPr>
          <xdr:cNvPr id="4103754" name="Line 6770">
            <a:extLst>
              <a:ext uri="{FF2B5EF4-FFF2-40B4-BE49-F238E27FC236}">
                <a16:creationId xmlns:a16="http://schemas.microsoft.com/office/drawing/2014/main" id="{00000000-0008-0000-0F00-00004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5" name="Line 6771">
            <a:extLst>
              <a:ext uri="{FF2B5EF4-FFF2-40B4-BE49-F238E27FC236}">
                <a16:creationId xmlns:a16="http://schemas.microsoft.com/office/drawing/2014/main" id="{00000000-0008-0000-0F00-00004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1" name="Group 6772">
          <a:extLst>
            <a:ext uri="{FF2B5EF4-FFF2-40B4-BE49-F238E27FC236}">
              <a16:creationId xmlns:a16="http://schemas.microsoft.com/office/drawing/2014/main" id="{00000000-0008-0000-0F00-0000B39B3E00}"/>
            </a:ext>
          </a:extLst>
        </xdr:cNvPr>
        <xdr:cNvGrpSpPr>
          <a:grpSpLocks/>
        </xdr:cNvGrpSpPr>
      </xdr:nvGrpSpPr>
      <xdr:grpSpPr bwMode="auto">
        <a:xfrm>
          <a:off x="4117181" y="10096500"/>
          <a:ext cx="240507" cy="0"/>
          <a:chOff x="466" y="3952"/>
          <a:chExt cx="28" cy="16"/>
        </a:xfrm>
      </xdr:grpSpPr>
      <xdr:sp macro="" textlink="">
        <xdr:nvSpPr>
          <xdr:cNvPr id="4103752" name="Line 6773">
            <a:extLst>
              <a:ext uri="{FF2B5EF4-FFF2-40B4-BE49-F238E27FC236}">
                <a16:creationId xmlns:a16="http://schemas.microsoft.com/office/drawing/2014/main" id="{00000000-0008-0000-0F00-00004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3" name="Line 6774">
            <a:extLst>
              <a:ext uri="{FF2B5EF4-FFF2-40B4-BE49-F238E27FC236}">
                <a16:creationId xmlns:a16="http://schemas.microsoft.com/office/drawing/2014/main" id="{00000000-0008-0000-0F00-00004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2" name="Group 6775">
          <a:extLst>
            <a:ext uri="{FF2B5EF4-FFF2-40B4-BE49-F238E27FC236}">
              <a16:creationId xmlns:a16="http://schemas.microsoft.com/office/drawing/2014/main" id="{00000000-0008-0000-0F00-0000B49B3E00}"/>
            </a:ext>
          </a:extLst>
        </xdr:cNvPr>
        <xdr:cNvGrpSpPr>
          <a:grpSpLocks/>
        </xdr:cNvGrpSpPr>
      </xdr:nvGrpSpPr>
      <xdr:grpSpPr bwMode="auto">
        <a:xfrm>
          <a:off x="4117181" y="10096500"/>
          <a:ext cx="240507" cy="0"/>
          <a:chOff x="466" y="3952"/>
          <a:chExt cx="28" cy="16"/>
        </a:xfrm>
      </xdr:grpSpPr>
      <xdr:sp macro="" textlink="">
        <xdr:nvSpPr>
          <xdr:cNvPr id="4103750" name="Line 6776">
            <a:extLst>
              <a:ext uri="{FF2B5EF4-FFF2-40B4-BE49-F238E27FC236}">
                <a16:creationId xmlns:a16="http://schemas.microsoft.com/office/drawing/2014/main" id="{00000000-0008-0000-0F00-00004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51" name="Line 6777">
            <a:extLst>
              <a:ext uri="{FF2B5EF4-FFF2-40B4-BE49-F238E27FC236}">
                <a16:creationId xmlns:a16="http://schemas.microsoft.com/office/drawing/2014/main" id="{00000000-0008-0000-0F00-00004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3" name="Group 6778">
          <a:extLst>
            <a:ext uri="{FF2B5EF4-FFF2-40B4-BE49-F238E27FC236}">
              <a16:creationId xmlns:a16="http://schemas.microsoft.com/office/drawing/2014/main" id="{00000000-0008-0000-0F00-0000B59B3E00}"/>
            </a:ext>
          </a:extLst>
        </xdr:cNvPr>
        <xdr:cNvGrpSpPr>
          <a:grpSpLocks/>
        </xdr:cNvGrpSpPr>
      </xdr:nvGrpSpPr>
      <xdr:grpSpPr bwMode="auto">
        <a:xfrm>
          <a:off x="4117181" y="10096500"/>
          <a:ext cx="240507" cy="0"/>
          <a:chOff x="466" y="3952"/>
          <a:chExt cx="28" cy="16"/>
        </a:xfrm>
      </xdr:grpSpPr>
      <xdr:sp macro="" textlink="">
        <xdr:nvSpPr>
          <xdr:cNvPr id="4103748" name="Line 6779">
            <a:extLst>
              <a:ext uri="{FF2B5EF4-FFF2-40B4-BE49-F238E27FC236}">
                <a16:creationId xmlns:a16="http://schemas.microsoft.com/office/drawing/2014/main" id="{00000000-0008-0000-0F00-00004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9" name="Line 6780">
            <a:extLst>
              <a:ext uri="{FF2B5EF4-FFF2-40B4-BE49-F238E27FC236}">
                <a16:creationId xmlns:a16="http://schemas.microsoft.com/office/drawing/2014/main" id="{00000000-0008-0000-0F00-00004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094" name="Group 6781">
          <a:extLst>
            <a:ext uri="{FF2B5EF4-FFF2-40B4-BE49-F238E27FC236}">
              <a16:creationId xmlns:a16="http://schemas.microsoft.com/office/drawing/2014/main" id="{00000000-0008-0000-0F00-0000B69B3E00}"/>
            </a:ext>
          </a:extLst>
        </xdr:cNvPr>
        <xdr:cNvGrpSpPr>
          <a:grpSpLocks/>
        </xdr:cNvGrpSpPr>
      </xdr:nvGrpSpPr>
      <xdr:grpSpPr bwMode="auto">
        <a:xfrm>
          <a:off x="3993356" y="10096500"/>
          <a:ext cx="228600" cy="0"/>
          <a:chOff x="466" y="3952"/>
          <a:chExt cx="28" cy="16"/>
        </a:xfrm>
      </xdr:grpSpPr>
      <xdr:sp macro="" textlink="">
        <xdr:nvSpPr>
          <xdr:cNvPr id="4103746" name="Line 6782">
            <a:extLst>
              <a:ext uri="{FF2B5EF4-FFF2-40B4-BE49-F238E27FC236}">
                <a16:creationId xmlns:a16="http://schemas.microsoft.com/office/drawing/2014/main" id="{00000000-0008-0000-0F00-00004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7" name="Line 6783">
            <a:extLst>
              <a:ext uri="{FF2B5EF4-FFF2-40B4-BE49-F238E27FC236}">
                <a16:creationId xmlns:a16="http://schemas.microsoft.com/office/drawing/2014/main" id="{00000000-0008-0000-0F00-00004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5" name="Group 6784">
          <a:extLst>
            <a:ext uri="{FF2B5EF4-FFF2-40B4-BE49-F238E27FC236}">
              <a16:creationId xmlns:a16="http://schemas.microsoft.com/office/drawing/2014/main" id="{00000000-0008-0000-0F00-0000B79B3E00}"/>
            </a:ext>
          </a:extLst>
        </xdr:cNvPr>
        <xdr:cNvGrpSpPr>
          <a:grpSpLocks/>
        </xdr:cNvGrpSpPr>
      </xdr:nvGrpSpPr>
      <xdr:grpSpPr bwMode="auto">
        <a:xfrm>
          <a:off x="4117181" y="10096500"/>
          <a:ext cx="228600" cy="0"/>
          <a:chOff x="466" y="3952"/>
          <a:chExt cx="28" cy="16"/>
        </a:xfrm>
      </xdr:grpSpPr>
      <xdr:sp macro="" textlink="">
        <xdr:nvSpPr>
          <xdr:cNvPr id="4103744" name="Line 6785">
            <a:extLst>
              <a:ext uri="{FF2B5EF4-FFF2-40B4-BE49-F238E27FC236}">
                <a16:creationId xmlns:a16="http://schemas.microsoft.com/office/drawing/2014/main" id="{00000000-0008-0000-0F00-00004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5" name="Line 6786">
            <a:extLst>
              <a:ext uri="{FF2B5EF4-FFF2-40B4-BE49-F238E27FC236}">
                <a16:creationId xmlns:a16="http://schemas.microsoft.com/office/drawing/2014/main" id="{00000000-0008-0000-0F00-00004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6" name="Group 6787">
          <a:extLst>
            <a:ext uri="{FF2B5EF4-FFF2-40B4-BE49-F238E27FC236}">
              <a16:creationId xmlns:a16="http://schemas.microsoft.com/office/drawing/2014/main" id="{00000000-0008-0000-0F00-0000B89B3E00}"/>
            </a:ext>
          </a:extLst>
        </xdr:cNvPr>
        <xdr:cNvGrpSpPr>
          <a:grpSpLocks/>
        </xdr:cNvGrpSpPr>
      </xdr:nvGrpSpPr>
      <xdr:grpSpPr bwMode="auto">
        <a:xfrm>
          <a:off x="4117181" y="10096500"/>
          <a:ext cx="228600" cy="0"/>
          <a:chOff x="466" y="3952"/>
          <a:chExt cx="28" cy="16"/>
        </a:xfrm>
      </xdr:grpSpPr>
      <xdr:sp macro="" textlink="">
        <xdr:nvSpPr>
          <xdr:cNvPr id="4103742" name="Line 6788">
            <a:extLst>
              <a:ext uri="{FF2B5EF4-FFF2-40B4-BE49-F238E27FC236}">
                <a16:creationId xmlns:a16="http://schemas.microsoft.com/office/drawing/2014/main" id="{00000000-0008-0000-0F00-00003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3" name="Line 6789">
            <a:extLst>
              <a:ext uri="{FF2B5EF4-FFF2-40B4-BE49-F238E27FC236}">
                <a16:creationId xmlns:a16="http://schemas.microsoft.com/office/drawing/2014/main" id="{00000000-0008-0000-0F00-00003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097" name="Group 6790">
          <a:extLst>
            <a:ext uri="{FF2B5EF4-FFF2-40B4-BE49-F238E27FC236}">
              <a16:creationId xmlns:a16="http://schemas.microsoft.com/office/drawing/2014/main" id="{00000000-0008-0000-0F00-0000B99B3E00}"/>
            </a:ext>
          </a:extLst>
        </xdr:cNvPr>
        <xdr:cNvGrpSpPr>
          <a:grpSpLocks/>
        </xdr:cNvGrpSpPr>
      </xdr:nvGrpSpPr>
      <xdr:grpSpPr bwMode="auto">
        <a:xfrm>
          <a:off x="4117181" y="10096500"/>
          <a:ext cx="240507" cy="0"/>
          <a:chOff x="466" y="3952"/>
          <a:chExt cx="28" cy="16"/>
        </a:xfrm>
      </xdr:grpSpPr>
      <xdr:sp macro="" textlink="">
        <xdr:nvSpPr>
          <xdr:cNvPr id="4103740" name="Line 6791">
            <a:extLst>
              <a:ext uri="{FF2B5EF4-FFF2-40B4-BE49-F238E27FC236}">
                <a16:creationId xmlns:a16="http://schemas.microsoft.com/office/drawing/2014/main" id="{00000000-0008-0000-0F00-00003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41" name="Line 6792">
            <a:extLst>
              <a:ext uri="{FF2B5EF4-FFF2-40B4-BE49-F238E27FC236}">
                <a16:creationId xmlns:a16="http://schemas.microsoft.com/office/drawing/2014/main" id="{00000000-0008-0000-0F00-00003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8" name="Group 6793">
          <a:extLst>
            <a:ext uri="{FF2B5EF4-FFF2-40B4-BE49-F238E27FC236}">
              <a16:creationId xmlns:a16="http://schemas.microsoft.com/office/drawing/2014/main" id="{00000000-0008-0000-0F00-0000BA9B3E00}"/>
            </a:ext>
          </a:extLst>
        </xdr:cNvPr>
        <xdr:cNvGrpSpPr>
          <a:grpSpLocks/>
        </xdr:cNvGrpSpPr>
      </xdr:nvGrpSpPr>
      <xdr:grpSpPr bwMode="auto">
        <a:xfrm>
          <a:off x="4117181" y="10096500"/>
          <a:ext cx="228600" cy="0"/>
          <a:chOff x="466" y="3952"/>
          <a:chExt cx="28" cy="16"/>
        </a:xfrm>
      </xdr:grpSpPr>
      <xdr:sp macro="" textlink="">
        <xdr:nvSpPr>
          <xdr:cNvPr id="4103738" name="Line 6794">
            <a:extLst>
              <a:ext uri="{FF2B5EF4-FFF2-40B4-BE49-F238E27FC236}">
                <a16:creationId xmlns:a16="http://schemas.microsoft.com/office/drawing/2014/main" id="{00000000-0008-0000-0F00-00003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9" name="Line 6795">
            <a:extLst>
              <a:ext uri="{FF2B5EF4-FFF2-40B4-BE49-F238E27FC236}">
                <a16:creationId xmlns:a16="http://schemas.microsoft.com/office/drawing/2014/main" id="{00000000-0008-0000-0F00-00003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099" name="Group 6796">
          <a:extLst>
            <a:ext uri="{FF2B5EF4-FFF2-40B4-BE49-F238E27FC236}">
              <a16:creationId xmlns:a16="http://schemas.microsoft.com/office/drawing/2014/main" id="{00000000-0008-0000-0F00-0000BB9B3E00}"/>
            </a:ext>
          </a:extLst>
        </xdr:cNvPr>
        <xdr:cNvGrpSpPr>
          <a:grpSpLocks/>
        </xdr:cNvGrpSpPr>
      </xdr:nvGrpSpPr>
      <xdr:grpSpPr bwMode="auto">
        <a:xfrm>
          <a:off x="4117181" y="10096500"/>
          <a:ext cx="228600" cy="0"/>
          <a:chOff x="466" y="3952"/>
          <a:chExt cx="28" cy="16"/>
        </a:xfrm>
      </xdr:grpSpPr>
      <xdr:sp macro="" textlink="">
        <xdr:nvSpPr>
          <xdr:cNvPr id="4103736" name="Line 6797">
            <a:extLst>
              <a:ext uri="{FF2B5EF4-FFF2-40B4-BE49-F238E27FC236}">
                <a16:creationId xmlns:a16="http://schemas.microsoft.com/office/drawing/2014/main" id="{00000000-0008-0000-0F00-00003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7" name="Line 6798">
            <a:extLst>
              <a:ext uri="{FF2B5EF4-FFF2-40B4-BE49-F238E27FC236}">
                <a16:creationId xmlns:a16="http://schemas.microsoft.com/office/drawing/2014/main" id="{00000000-0008-0000-0F00-00003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00" name="Group 6799">
          <a:extLst>
            <a:ext uri="{FF2B5EF4-FFF2-40B4-BE49-F238E27FC236}">
              <a16:creationId xmlns:a16="http://schemas.microsoft.com/office/drawing/2014/main" id="{00000000-0008-0000-0F00-0000BC9B3E00}"/>
            </a:ext>
          </a:extLst>
        </xdr:cNvPr>
        <xdr:cNvGrpSpPr>
          <a:grpSpLocks/>
        </xdr:cNvGrpSpPr>
      </xdr:nvGrpSpPr>
      <xdr:grpSpPr bwMode="auto">
        <a:xfrm>
          <a:off x="4117181" y="10096500"/>
          <a:ext cx="240507" cy="0"/>
          <a:chOff x="466" y="3952"/>
          <a:chExt cx="28" cy="16"/>
        </a:xfrm>
      </xdr:grpSpPr>
      <xdr:sp macro="" textlink="">
        <xdr:nvSpPr>
          <xdr:cNvPr id="4103734" name="Line 6800">
            <a:extLst>
              <a:ext uri="{FF2B5EF4-FFF2-40B4-BE49-F238E27FC236}">
                <a16:creationId xmlns:a16="http://schemas.microsoft.com/office/drawing/2014/main" id="{00000000-0008-0000-0F00-00003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5" name="Line 6801">
            <a:extLst>
              <a:ext uri="{FF2B5EF4-FFF2-40B4-BE49-F238E27FC236}">
                <a16:creationId xmlns:a16="http://schemas.microsoft.com/office/drawing/2014/main" id="{00000000-0008-0000-0F00-00003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1" name="Group 6802">
          <a:extLst>
            <a:ext uri="{FF2B5EF4-FFF2-40B4-BE49-F238E27FC236}">
              <a16:creationId xmlns:a16="http://schemas.microsoft.com/office/drawing/2014/main" id="{00000000-0008-0000-0F00-0000BD9B3E00}"/>
            </a:ext>
          </a:extLst>
        </xdr:cNvPr>
        <xdr:cNvGrpSpPr>
          <a:grpSpLocks/>
        </xdr:cNvGrpSpPr>
      </xdr:nvGrpSpPr>
      <xdr:grpSpPr bwMode="auto">
        <a:xfrm>
          <a:off x="4700588" y="10096500"/>
          <a:ext cx="266700" cy="0"/>
          <a:chOff x="466" y="3952"/>
          <a:chExt cx="28" cy="16"/>
        </a:xfrm>
      </xdr:grpSpPr>
      <xdr:sp macro="" textlink="">
        <xdr:nvSpPr>
          <xdr:cNvPr id="4103732" name="Line 6803">
            <a:extLst>
              <a:ext uri="{FF2B5EF4-FFF2-40B4-BE49-F238E27FC236}">
                <a16:creationId xmlns:a16="http://schemas.microsoft.com/office/drawing/2014/main" id="{00000000-0008-0000-0F00-00003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3" name="Line 6804">
            <a:extLst>
              <a:ext uri="{FF2B5EF4-FFF2-40B4-BE49-F238E27FC236}">
                <a16:creationId xmlns:a16="http://schemas.microsoft.com/office/drawing/2014/main" id="{00000000-0008-0000-0F00-00003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2" name="Group 6805">
          <a:extLst>
            <a:ext uri="{FF2B5EF4-FFF2-40B4-BE49-F238E27FC236}">
              <a16:creationId xmlns:a16="http://schemas.microsoft.com/office/drawing/2014/main" id="{00000000-0008-0000-0F00-0000BE9B3E00}"/>
            </a:ext>
          </a:extLst>
        </xdr:cNvPr>
        <xdr:cNvGrpSpPr>
          <a:grpSpLocks/>
        </xdr:cNvGrpSpPr>
      </xdr:nvGrpSpPr>
      <xdr:grpSpPr bwMode="auto">
        <a:xfrm>
          <a:off x="4700588" y="10096500"/>
          <a:ext cx="266700" cy="0"/>
          <a:chOff x="466" y="3952"/>
          <a:chExt cx="28" cy="16"/>
        </a:xfrm>
      </xdr:grpSpPr>
      <xdr:sp macro="" textlink="">
        <xdr:nvSpPr>
          <xdr:cNvPr id="4103730" name="Line 6806">
            <a:extLst>
              <a:ext uri="{FF2B5EF4-FFF2-40B4-BE49-F238E27FC236}">
                <a16:creationId xmlns:a16="http://schemas.microsoft.com/office/drawing/2014/main" id="{00000000-0008-0000-0F00-00003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31" name="Line 6807">
            <a:extLst>
              <a:ext uri="{FF2B5EF4-FFF2-40B4-BE49-F238E27FC236}">
                <a16:creationId xmlns:a16="http://schemas.microsoft.com/office/drawing/2014/main" id="{00000000-0008-0000-0F00-00003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03" name="Group 6808">
          <a:extLst>
            <a:ext uri="{FF2B5EF4-FFF2-40B4-BE49-F238E27FC236}">
              <a16:creationId xmlns:a16="http://schemas.microsoft.com/office/drawing/2014/main" id="{00000000-0008-0000-0F00-0000BF9B3E00}"/>
            </a:ext>
          </a:extLst>
        </xdr:cNvPr>
        <xdr:cNvGrpSpPr>
          <a:grpSpLocks/>
        </xdr:cNvGrpSpPr>
      </xdr:nvGrpSpPr>
      <xdr:grpSpPr bwMode="auto">
        <a:xfrm>
          <a:off x="4700588" y="10096500"/>
          <a:ext cx="266700" cy="0"/>
          <a:chOff x="466" y="3952"/>
          <a:chExt cx="28" cy="16"/>
        </a:xfrm>
      </xdr:grpSpPr>
      <xdr:sp macro="" textlink="">
        <xdr:nvSpPr>
          <xdr:cNvPr id="4103728" name="Line 6809">
            <a:extLst>
              <a:ext uri="{FF2B5EF4-FFF2-40B4-BE49-F238E27FC236}">
                <a16:creationId xmlns:a16="http://schemas.microsoft.com/office/drawing/2014/main" id="{00000000-0008-0000-0F00-00003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9" name="Line 6810">
            <a:extLst>
              <a:ext uri="{FF2B5EF4-FFF2-40B4-BE49-F238E27FC236}">
                <a16:creationId xmlns:a16="http://schemas.microsoft.com/office/drawing/2014/main" id="{00000000-0008-0000-0F00-00003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4" name="Group 6811">
          <a:extLst>
            <a:ext uri="{FF2B5EF4-FFF2-40B4-BE49-F238E27FC236}">
              <a16:creationId xmlns:a16="http://schemas.microsoft.com/office/drawing/2014/main" id="{00000000-0008-0000-0F00-0000C09B3E00}"/>
            </a:ext>
          </a:extLst>
        </xdr:cNvPr>
        <xdr:cNvGrpSpPr>
          <a:grpSpLocks/>
        </xdr:cNvGrpSpPr>
      </xdr:nvGrpSpPr>
      <xdr:grpSpPr bwMode="auto">
        <a:xfrm>
          <a:off x="5486400" y="10096500"/>
          <a:ext cx="266700" cy="0"/>
          <a:chOff x="466" y="3952"/>
          <a:chExt cx="28" cy="16"/>
        </a:xfrm>
      </xdr:grpSpPr>
      <xdr:sp macro="" textlink="">
        <xdr:nvSpPr>
          <xdr:cNvPr id="4103726" name="Line 6812">
            <a:extLst>
              <a:ext uri="{FF2B5EF4-FFF2-40B4-BE49-F238E27FC236}">
                <a16:creationId xmlns:a16="http://schemas.microsoft.com/office/drawing/2014/main" id="{00000000-0008-0000-0F00-00002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7" name="Line 6813">
            <a:extLst>
              <a:ext uri="{FF2B5EF4-FFF2-40B4-BE49-F238E27FC236}">
                <a16:creationId xmlns:a16="http://schemas.microsoft.com/office/drawing/2014/main" id="{00000000-0008-0000-0F00-00002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5" name="Group 6814">
          <a:extLst>
            <a:ext uri="{FF2B5EF4-FFF2-40B4-BE49-F238E27FC236}">
              <a16:creationId xmlns:a16="http://schemas.microsoft.com/office/drawing/2014/main" id="{00000000-0008-0000-0F00-0000C19B3E00}"/>
            </a:ext>
          </a:extLst>
        </xdr:cNvPr>
        <xdr:cNvGrpSpPr>
          <a:grpSpLocks/>
        </xdr:cNvGrpSpPr>
      </xdr:nvGrpSpPr>
      <xdr:grpSpPr bwMode="auto">
        <a:xfrm>
          <a:off x="5486400" y="10096500"/>
          <a:ext cx="266700" cy="0"/>
          <a:chOff x="466" y="3952"/>
          <a:chExt cx="28" cy="16"/>
        </a:xfrm>
      </xdr:grpSpPr>
      <xdr:sp macro="" textlink="">
        <xdr:nvSpPr>
          <xdr:cNvPr id="4103724" name="Line 6815">
            <a:extLst>
              <a:ext uri="{FF2B5EF4-FFF2-40B4-BE49-F238E27FC236}">
                <a16:creationId xmlns:a16="http://schemas.microsoft.com/office/drawing/2014/main" id="{00000000-0008-0000-0F00-00002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5" name="Line 6816">
            <a:extLst>
              <a:ext uri="{FF2B5EF4-FFF2-40B4-BE49-F238E27FC236}">
                <a16:creationId xmlns:a16="http://schemas.microsoft.com/office/drawing/2014/main" id="{00000000-0008-0000-0F00-00002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6" name="Group 6817">
          <a:extLst>
            <a:ext uri="{FF2B5EF4-FFF2-40B4-BE49-F238E27FC236}">
              <a16:creationId xmlns:a16="http://schemas.microsoft.com/office/drawing/2014/main" id="{00000000-0008-0000-0F00-0000C29B3E00}"/>
            </a:ext>
          </a:extLst>
        </xdr:cNvPr>
        <xdr:cNvGrpSpPr>
          <a:grpSpLocks/>
        </xdr:cNvGrpSpPr>
      </xdr:nvGrpSpPr>
      <xdr:grpSpPr bwMode="auto">
        <a:xfrm>
          <a:off x="5486400" y="10096500"/>
          <a:ext cx="266700" cy="0"/>
          <a:chOff x="466" y="3952"/>
          <a:chExt cx="28" cy="16"/>
        </a:xfrm>
      </xdr:grpSpPr>
      <xdr:sp macro="" textlink="">
        <xdr:nvSpPr>
          <xdr:cNvPr id="4103722" name="Line 6818">
            <a:extLst>
              <a:ext uri="{FF2B5EF4-FFF2-40B4-BE49-F238E27FC236}">
                <a16:creationId xmlns:a16="http://schemas.microsoft.com/office/drawing/2014/main" id="{00000000-0008-0000-0F00-00002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3" name="Line 6819">
            <a:extLst>
              <a:ext uri="{FF2B5EF4-FFF2-40B4-BE49-F238E27FC236}">
                <a16:creationId xmlns:a16="http://schemas.microsoft.com/office/drawing/2014/main" id="{00000000-0008-0000-0F00-00002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7" name="Group 6820">
          <a:extLst>
            <a:ext uri="{FF2B5EF4-FFF2-40B4-BE49-F238E27FC236}">
              <a16:creationId xmlns:a16="http://schemas.microsoft.com/office/drawing/2014/main" id="{00000000-0008-0000-0F00-0000C39B3E00}"/>
            </a:ext>
          </a:extLst>
        </xdr:cNvPr>
        <xdr:cNvGrpSpPr>
          <a:grpSpLocks/>
        </xdr:cNvGrpSpPr>
      </xdr:nvGrpSpPr>
      <xdr:grpSpPr bwMode="auto">
        <a:xfrm>
          <a:off x="5486400" y="10096500"/>
          <a:ext cx="266700" cy="0"/>
          <a:chOff x="466" y="3952"/>
          <a:chExt cx="28" cy="16"/>
        </a:xfrm>
      </xdr:grpSpPr>
      <xdr:sp macro="" textlink="">
        <xdr:nvSpPr>
          <xdr:cNvPr id="4103720" name="Line 6821">
            <a:extLst>
              <a:ext uri="{FF2B5EF4-FFF2-40B4-BE49-F238E27FC236}">
                <a16:creationId xmlns:a16="http://schemas.microsoft.com/office/drawing/2014/main" id="{00000000-0008-0000-0F00-00002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21" name="Line 6822">
            <a:extLst>
              <a:ext uri="{FF2B5EF4-FFF2-40B4-BE49-F238E27FC236}">
                <a16:creationId xmlns:a16="http://schemas.microsoft.com/office/drawing/2014/main" id="{00000000-0008-0000-0F00-00002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08" name="Group 6823">
          <a:extLst>
            <a:ext uri="{FF2B5EF4-FFF2-40B4-BE49-F238E27FC236}">
              <a16:creationId xmlns:a16="http://schemas.microsoft.com/office/drawing/2014/main" id="{00000000-0008-0000-0F00-0000C49B3E00}"/>
            </a:ext>
          </a:extLst>
        </xdr:cNvPr>
        <xdr:cNvGrpSpPr>
          <a:grpSpLocks/>
        </xdr:cNvGrpSpPr>
      </xdr:nvGrpSpPr>
      <xdr:grpSpPr bwMode="auto">
        <a:xfrm>
          <a:off x="5486400" y="10096500"/>
          <a:ext cx="266700" cy="0"/>
          <a:chOff x="466" y="3952"/>
          <a:chExt cx="28" cy="16"/>
        </a:xfrm>
      </xdr:grpSpPr>
      <xdr:sp macro="" textlink="">
        <xdr:nvSpPr>
          <xdr:cNvPr id="4103718" name="Line 6824">
            <a:extLst>
              <a:ext uri="{FF2B5EF4-FFF2-40B4-BE49-F238E27FC236}">
                <a16:creationId xmlns:a16="http://schemas.microsoft.com/office/drawing/2014/main" id="{00000000-0008-0000-0F00-00002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9" name="Line 6825">
            <a:extLst>
              <a:ext uri="{FF2B5EF4-FFF2-40B4-BE49-F238E27FC236}">
                <a16:creationId xmlns:a16="http://schemas.microsoft.com/office/drawing/2014/main" id="{00000000-0008-0000-0F00-00002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09" name="Group 6826">
          <a:extLst>
            <a:ext uri="{FF2B5EF4-FFF2-40B4-BE49-F238E27FC236}">
              <a16:creationId xmlns:a16="http://schemas.microsoft.com/office/drawing/2014/main" id="{00000000-0008-0000-0F00-0000C59B3E00}"/>
            </a:ext>
          </a:extLst>
        </xdr:cNvPr>
        <xdr:cNvGrpSpPr>
          <a:grpSpLocks/>
        </xdr:cNvGrpSpPr>
      </xdr:nvGrpSpPr>
      <xdr:grpSpPr bwMode="auto">
        <a:xfrm>
          <a:off x="4117181" y="10096500"/>
          <a:ext cx="228600" cy="0"/>
          <a:chOff x="466" y="3952"/>
          <a:chExt cx="28" cy="16"/>
        </a:xfrm>
      </xdr:grpSpPr>
      <xdr:sp macro="" textlink="">
        <xdr:nvSpPr>
          <xdr:cNvPr id="4103716" name="Line 6827">
            <a:extLst>
              <a:ext uri="{FF2B5EF4-FFF2-40B4-BE49-F238E27FC236}">
                <a16:creationId xmlns:a16="http://schemas.microsoft.com/office/drawing/2014/main" id="{00000000-0008-0000-0F00-00002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7" name="Line 6828">
            <a:extLst>
              <a:ext uri="{FF2B5EF4-FFF2-40B4-BE49-F238E27FC236}">
                <a16:creationId xmlns:a16="http://schemas.microsoft.com/office/drawing/2014/main" id="{00000000-0008-0000-0F00-00002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0" name="Group 6829">
          <a:extLst>
            <a:ext uri="{FF2B5EF4-FFF2-40B4-BE49-F238E27FC236}">
              <a16:creationId xmlns:a16="http://schemas.microsoft.com/office/drawing/2014/main" id="{00000000-0008-0000-0F00-0000C69B3E00}"/>
            </a:ext>
          </a:extLst>
        </xdr:cNvPr>
        <xdr:cNvGrpSpPr>
          <a:grpSpLocks/>
        </xdr:cNvGrpSpPr>
      </xdr:nvGrpSpPr>
      <xdr:grpSpPr bwMode="auto">
        <a:xfrm>
          <a:off x="4700588" y="10096500"/>
          <a:ext cx="266700" cy="0"/>
          <a:chOff x="466" y="3952"/>
          <a:chExt cx="28" cy="16"/>
        </a:xfrm>
      </xdr:grpSpPr>
      <xdr:sp macro="" textlink="">
        <xdr:nvSpPr>
          <xdr:cNvPr id="4103714" name="Line 6830">
            <a:extLst>
              <a:ext uri="{FF2B5EF4-FFF2-40B4-BE49-F238E27FC236}">
                <a16:creationId xmlns:a16="http://schemas.microsoft.com/office/drawing/2014/main" id="{00000000-0008-0000-0F00-00002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5" name="Line 6831">
            <a:extLst>
              <a:ext uri="{FF2B5EF4-FFF2-40B4-BE49-F238E27FC236}">
                <a16:creationId xmlns:a16="http://schemas.microsoft.com/office/drawing/2014/main" id="{00000000-0008-0000-0F00-00002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1" name="Group 6832">
          <a:extLst>
            <a:ext uri="{FF2B5EF4-FFF2-40B4-BE49-F238E27FC236}">
              <a16:creationId xmlns:a16="http://schemas.microsoft.com/office/drawing/2014/main" id="{00000000-0008-0000-0F00-0000C79B3E00}"/>
            </a:ext>
          </a:extLst>
        </xdr:cNvPr>
        <xdr:cNvGrpSpPr>
          <a:grpSpLocks/>
        </xdr:cNvGrpSpPr>
      </xdr:nvGrpSpPr>
      <xdr:grpSpPr bwMode="auto">
        <a:xfrm>
          <a:off x="4117181" y="10096500"/>
          <a:ext cx="228600" cy="0"/>
          <a:chOff x="466" y="3952"/>
          <a:chExt cx="28" cy="16"/>
        </a:xfrm>
      </xdr:grpSpPr>
      <xdr:sp macro="" textlink="">
        <xdr:nvSpPr>
          <xdr:cNvPr id="4103712" name="Line 6833">
            <a:extLst>
              <a:ext uri="{FF2B5EF4-FFF2-40B4-BE49-F238E27FC236}">
                <a16:creationId xmlns:a16="http://schemas.microsoft.com/office/drawing/2014/main" id="{00000000-0008-0000-0F00-00002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3" name="Line 6834">
            <a:extLst>
              <a:ext uri="{FF2B5EF4-FFF2-40B4-BE49-F238E27FC236}">
                <a16:creationId xmlns:a16="http://schemas.microsoft.com/office/drawing/2014/main" id="{00000000-0008-0000-0F00-00002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2" name="Group 6835">
          <a:extLst>
            <a:ext uri="{FF2B5EF4-FFF2-40B4-BE49-F238E27FC236}">
              <a16:creationId xmlns:a16="http://schemas.microsoft.com/office/drawing/2014/main" id="{00000000-0008-0000-0F00-0000C89B3E00}"/>
            </a:ext>
          </a:extLst>
        </xdr:cNvPr>
        <xdr:cNvGrpSpPr>
          <a:grpSpLocks/>
        </xdr:cNvGrpSpPr>
      </xdr:nvGrpSpPr>
      <xdr:grpSpPr bwMode="auto">
        <a:xfrm>
          <a:off x="4700588" y="10096500"/>
          <a:ext cx="266700" cy="0"/>
          <a:chOff x="466" y="3952"/>
          <a:chExt cx="28" cy="16"/>
        </a:xfrm>
      </xdr:grpSpPr>
      <xdr:sp macro="" textlink="">
        <xdr:nvSpPr>
          <xdr:cNvPr id="4103710" name="Line 6836">
            <a:extLst>
              <a:ext uri="{FF2B5EF4-FFF2-40B4-BE49-F238E27FC236}">
                <a16:creationId xmlns:a16="http://schemas.microsoft.com/office/drawing/2014/main" id="{00000000-0008-0000-0F00-00001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11" name="Line 6837">
            <a:extLst>
              <a:ext uri="{FF2B5EF4-FFF2-40B4-BE49-F238E27FC236}">
                <a16:creationId xmlns:a16="http://schemas.microsoft.com/office/drawing/2014/main" id="{00000000-0008-0000-0F00-00001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3" name="Group 6838">
          <a:extLst>
            <a:ext uri="{FF2B5EF4-FFF2-40B4-BE49-F238E27FC236}">
              <a16:creationId xmlns:a16="http://schemas.microsoft.com/office/drawing/2014/main" id="{00000000-0008-0000-0F00-0000C99B3E00}"/>
            </a:ext>
          </a:extLst>
        </xdr:cNvPr>
        <xdr:cNvGrpSpPr>
          <a:grpSpLocks/>
        </xdr:cNvGrpSpPr>
      </xdr:nvGrpSpPr>
      <xdr:grpSpPr bwMode="auto">
        <a:xfrm>
          <a:off x="4117181" y="10096500"/>
          <a:ext cx="228600" cy="0"/>
          <a:chOff x="466" y="3952"/>
          <a:chExt cx="28" cy="16"/>
        </a:xfrm>
      </xdr:grpSpPr>
      <xdr:sp macro="" textlink="">
        <xdr:nvSpPr>
          <xdr:cNvPr id="4103708" name="Line 6839">
            <a:extLst>
              <a:ext uri="{FF2B5EF4-FFF2-40B4-BE49-F238E27FC236}">
                <a16:creationId xmlns:a16="http://schemas.microsoft.com/office/drawing/2014/main" id="{00000000-0008-0000-0F00-00001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9" name="Line 6840">
            <a:extLst>
              <a:ext uri="{FF2B5EF4-FFF2-40B4-BE49-F238E27FC236}">
                <a16:creationId xmlns:a16="http://schemas.microsoft.com/office/drawing/2014/main" id="{00000000-0008-0000-0F00-00001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4" name="Group 6841">
          <a:extLst>
            <a:ext uri="{FF2B5EF4-FFF2-40B4-BE49-F238E27FC236}">
              <a16:creationId xmlns:a16="http://schemas.microsoft.com/office/drawing/2014/main" id="{00000000-0008-0000-0F00-0000CA9B3E00}"/>
            </a:ext>
          </a:extLst>
        </xdr:cNvPr>
        <xdr:cNvGrpSpPr>
          <a:grpSpLocks/>
        </xdr:cNvGrpSpPr>
      </xdr:nvGrpSpPr>
      <xdr:grpSpPr bwMode="auto">
        <a:xfrm>
          <a:off x="4700588" y="10096500"/>
          <a:ext cx="266700" cy="0"/>
          <a:chOff x="466" y="3952"/>
          <a:chExt cx="28" cy="16"/>
        </a:xfrm>
      </xdr:grpSpPr>
      <xdr:sp macro="" textlink="">
        <xdr:nvSpPr>
          <xdr:cNvPr id="4103706" name="Line 6842">
            <a:extLst>
              <a:ext uri="{FF2B5EF4-FFF2-40B4-BE49-F238E27FC236}">
                <a16:creationId xmlns:a16="http://schemas.microsoft.com/office/drawing/2014/main" id="{00000000-0008-0000-0F00-00001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7" name="Line 6843">
            <a:extLst>
              <a:ext uri="{FF2B5EF4-FFF2-40B4-BE49-F238E27FC236}">
                <a16:creationId xmlns:a16="http://schemas.microsoft.com/office/drawing/2014/main" id="{00000000-0008-0000-0F00-00001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5" name="Group 6844">
          <a:extLst>
            <a:ext uri="{FF2B5EF4-FFF2-40B4-BE49-F238E27FC236}">
              <a16:creationId xmlns:a16="http://schemas.microsoft.com/office/drawing/2014/main" id="{00000000-0008-0000-0F00-0000CB9B3E00}"/>
            </a:ext>
          </a:extLst>
        </xdr:cNvPr>
        <xdr:cNvGrpSpPr>
          <a:grpSpLocks/>
        </xdr:cNvGrpSpPr>
      </xdr:nvGrpSpPr>
      <xdr:grpSpPr bwMode="auto">
        <a:xfrm>
          <a:off x="4117181" y="10096500"/>
          <a:ext cx="228600" cy="0"/>
          <a:chOff x="466" y="3952"/>
          <a:chExt cx="28" cy="16"/>
        </a:xfrm>
      </xdr:grpSpPr>
      <xdr:sp macro="" textlink="">
        <xdr:nvSpPr>
          <xdr:cNvPr id="4103704" name="Line 6845">
            <a:extLst>
              <a:ext uri="{FF2B5EF4-FFF2-40B4-BE49-F238E27FC236}">
                <a16:creationId xmlns:a16="http://schemas.microsoft.com/office/drawing/2014/main" id="{00000000-0008-0000-0F00-00001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5" name="Line 6846">
            <a:extLst>
              <a:ext uri="{FF2B5EF4-FFF2-40B4-BE49-F238E27FC236}">
                <a16:creationId xmlns:a16="http://schemas.microsoft.com/office/drawing/2014/main" id="{00000000-0008-0000-0F00-00001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16" name="Group 6847">
          <a:extLst>
            <a:ext uri="{FF2B5EF4-FFF2-40B4-BE49-F238E27FC236}">
              <a16:creationId xmlns:a16="http://schemas.microsoft.com/office/drawing/2014/main" id="{00000000-0008-0000-0F00-0000CC9B3E00}"/>
            </a:ext>
          </a:extLst>
        </xdr:cNvPr>
        <xdr:cNvGrpSpPr>
          <a:grpSpLocks/>
        </xdr:cNvGrpSpPr>
      </xdr:nvGrpSpPr>
      <xdr:grpSpPr bwMode="auto">
        <a:xfrm>
          <a:off x="4700588" y="10096500"/>
          <a:ext cx="266700" cy="0"/>
          <a:chOff x="466" y="3952"/>
          <a:chExt cx="28" cy="16"/>
        </a:xfrm>
      </xdr:grpSpPr>
      <xdr:sp macro="" textlink="">
        <xdr:nvSpPr>
          <xdr:cNvPr id="4103702" name="Line 6848">
            <a:extLst>
              <a:ext uri="{FF2B5EF4-FFF2-40B4-BE49-F238E27FC236}">
                <a16:creationId xmlns:a16="http://schemas.microsoft.com/office/drawing/2014/main" id="{00000000-0008-0000-0F00-00001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3" name="Line 6849">
            <a:extLst>
              <a:ext uri="{FF2B5EF4-FFF2-40B4-BE49-F238E27FC236}">
                <a16:creationId xmlns:a16="http://schemas.microsoft.com/office/drawing/2014/main" id="{00000000-0008-0000-0F00-00001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7" name="Group 6850">
          <a:extLst>
            <a:ext uri="{FF2B5EF4-FFF2-40B4-BE49-F238E27FC236}">
              <a16:creationId xmlns:a16="http://schemas.microsoft.com/office/drawing/2014/main" id="{00000000-0008-0000-0F00-0000CD9B3E00}"/>
            </a:ext>
          </a:extLst>
        </xdr:cNvPr>
        <xdr:cNvGrpSpPr>
          <a:grpSpLocks/>
        </xdr:cNvGrpSpPr>
      </xdr:nvGrpSpPr>
      <xdr:grpSpPr bwMode="auto">
        <a:xfrm>
          <a:off x="4117181" y="10096500"/>
          <a:ext cx="228600" cy="0"/>
          <a:chOff x="466" y="3952"/>
          <a:chExt cx="28" cy="16"/>
        </a:xfrm>
      </xdr:grpSpPr>
      <xdr:sp macro="" textlink="">
        <xdr:nvSpPr>
          <xdr:cNvPr id="4103700" name="Line 6851">
            <a:extLst>
              <a:ext uri="{FF2B5EF4-FFF2-40B4-BE49-F238E27FC236}">
                <a16:creationId xmlns:a16="http://schemas.microsoft.com/office/drawing/2014/main" id="{00000000-0008-0000-0F00-00001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701" name="Line 6852">
            <a:extLst>
              <a:ext uri="{FF2B5EF4-FFF2-40B4-BE49-F238E27FC236}">
                <a16:creationId xmlns:a16="http://schemas.microsoft.com/office/drawing/2014/main" id="{00000000-0008-0000-0F00-00001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8" name="Group 6853">
          <a:extLst>
            <a:ext uri="{FF2B5EF4-FFF2-40B4-BE49-F238E27FC236}">
              <a16:creationId xmlns:a16="http://schemas.microsoft.com/office/drawing/2014/main" id="{00000000-0008-0000-0F00-0000CE9B3E00}"/>
            </a:ext>
          </a:extLst>
        </xdr:cNvPr>
        <xdr:cNvGrpSpPr>
          <a:grpSpLocks/>
        </xdr:cNvGrpSpPr>
      </xdr:nvGrpSpPr>
      <xdr:grpSpPr bwMode="auto">
        <a:xfrm>
          <a:off x="4117181" y="10096500"/>
          <a:ext cx="228600" cy="0"/>
          <a:chOff x="466" y="3952"/>
          <a:chExt cx="28" cy="16"/>
        </a:xfrm>
      </xdr:grpSpPr>
      <xdr:sp macro="" textlink="">
        <xdr:nvSpPr>
          <xdr:cNvPr id="4103698" name="Line 6854">
            <a:extLst>
              <a:ext uri="{FF2B5EF4-FFF2-40B4-BE49-F238E27FC236}">
                <a16:creationId xmlns:a16="http://schemas.microsoft.com/office/drawing/2014/main" id="{00000000-0008-0000-0F00-00001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9" name="Line 6855">
            <a:extLst>
              <a:ext uri="{FF2B5EF4-FFF2-40B4-BE49-F238E27FC236}">
                <a16:creationId xmlns:a16="http://schemas.microsoft.com/office/drawing/2014/main" id="{00000000-0008-0000-0F00-00001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19" name="Group 6856">
          <a:extLst>
            <a:ext uri="{FF2B5EF4-FFF2-40B4-BE49-F238E27FC236}">
              <a16:creationId xmlns:a16="http://schemas.microsoft.com/office/drawing/2014/main" id="{00000000-0008-0000-0F00-0000CF9B3E00}"/>
            </a:ext>
          </a:extLst>
        </xdr:cNvPr>
        <xdr:cNvGrpSpPr>
          <a:grpSpLocks/>
        </xdr:cNvGrpSpPr>
      </xdr:nvGrpSpPr>
      <xdr:grpSpPr bwMode="auto">
        <a:xfrm>
          <a:off x="4117181" y="10096500"/>
          <a:ext cx="228600" cy="0"/>
          <a:chOff x="466" y="3952"/>
          <a:chExt cx="28" cy="16"/>
        </a:xfrm>
      </xdr:grpSpPr>
      <xdr:sp macro="" textlink="">
        <xdr:nvSpPr>
          <xdr:cNvPr id="4103696" name="Line 6857">
            <a:extLst>
              <a:ext uri="{FF2B5EF4-FFF2-40B4-BE49-F238E27FC236}">
                <a16:creationId xmlns:a16="http://schemas.microsoft.com/office/drawing/2014/main" id="{00000000-0008-0000-0F00-00001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7" name="Line 6858">
            <a:extLst>
              <a:ext uri="{FF2B5EF4-FFF2-40B4-BE49-F238E27FC236}">
                <a16:creationId xmlns:a16="http://schemas.microsoft.com/office/drawing/2014/main" id="{00000000-0008-0000-0F00-00001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0" name="Group 6859">
          <a:extLst>
            <a:ext uri="{FF2B5EF4-FFF2-40B4-BE49-F238E27FC236}">
              <a16:creationId xmlns:a16="http://schemas.microsoft.com/office/drawing/2014/main" id="{00000000-0008-0000-0F00-0000D09B3E00}"/>
            </a:ext>
          </a:extLst>
        </xdr:cNvPr>
        <xdr:cNvGrpSpPr>
          <a:grpSpLocks/>
        </xdr:cNvGrpSpPr>
      </xdr:nvGrpSpPr>
      <xdr:grpSpPr bwMode="auto">
        <a:xfrm>
          <a:off x="4117181" y="10096500"/>
          <a:ext cx="228600" cy="0"/>
          <a:chOff x="466" y="3952"/>
          <a:chExt cx="28" cy="16"/>
        </a:xfrm>
      </xdr:grpSpPr>
      <xdr:sp macro="" textlink="">
        <xdr:nvSpPr>
          <xdr:cNvPr id="4103694" name="Line 6860">
            <a:extLst>
              <a:ext uri="{FF2B5EF4-FFF2-40B4-BE49-F238E27FC236}">
                <a16:creationId xmlns:a16="http://schemas.microsoft.com/office/drawing/2014/main" id="{00000000-0008-0000-0F00-00000E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5" name="Line 6861">
            <a:extLst>
              <a:ext uri="{FF2B5EF4-FFF2-40B4-BE49-F238E27FC236}">
                <a16:creationId xmlns:a16="http://schemas.microsoft.com/office/drawing/2014/main" id="{00000000-0008-0000-0F00-00000F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1" name="Group 6862">
          <a:extLst>
            <a:ext uri="{FF2B5EF4-FFF2-40B4-BE49-F238E27FC236}">
              <a16:creationId xmlns:a16="http://schemas.microsoft.com/office/drawing/2014/main" id="{00000000-0008-0000-0F00-0000D19B3E00}"/>
            </a:ext>
          </a:extLst>
        </xdr:cNvPr>
        <xdr:cNvGrpSpPr>
          <a:grpSpLocks/>
        </xdr:cNvGrpSpPr>
      </xdr:nvGrpSpPr>
      <xdr:grpSpPr bwMode="auto">
        <a:xfrm>
          <a:off x="4117181" y="10096500"/>
          <a:ext cx="228600" cy="0"/>
          <a:chOff x="466" y="3952"/>
          <a:chExt cx="28" cy="16"/>
        </a:xfrm>
      </xdr:grpSpPr>
      <xdr:sp macro="" textlink="">
        <xdr:nvSpPr>
          <xdr:cNvPr id="4103692" name="Line 6863">
            <a:extLst>
              <a:ext uri="{FF2B5EF4-FFF2-40B4-BE49-F238E27FC236}">
                <a16:creationId xmlns:a16="http://schemas.microsoft.com/office/drawing/2014/main" id="{00000000-0008-0000-0F00-00000C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3" name="Line 6864">
            <a:extLst>
              <a:ext uri="{FF2B5EF4-FFF2-40B4-BE49-F238E27FC236}">
                <a16:creationId xmlns:a16="http://schemas.microsoft.com/office/drawing/2014/main" id="{00000000-0008-0000-0F00-00000D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2" name="Group 6865">
          <a:extLst>
            <a:ext uri="{FF2B5EF4-FFF2-40B4-BE49-F238E27FC236}">
              <a16:creationId xmlns:a16="http://schemas.microsoft.com/office/drawing/2014/main" id="{00000000-0008-0000-0F00-0000D29B3E00}"/>
            </a:ext>
          </a:extLst>
        </xdr:cNvPr>
        <xdr:cNvGrpSpPr>
          <a:grpSpLocks/>
        </xdr:cNvGrpSpPr>
      </xdr:nvGrpSpPr>
      <xdr:grpSpPr bwMode="auto">
        <a:xfrm>
          <a:off x="4700588" y="10096500"/>
          <a:ext cx="266700" cy="0"/>
          <a:chOff x="466" y="3952"/>
          <a:chExt cx="28" cy="16"/>
        </a:xfrm>
      </xdr:grpSpPr>
      <xdr:sp macro="" textlink="">
        <xdr:nvSpPr>
          <xdr:cNvPr id="4103690" name="Line 6866">
            <a:extLst>
              <a:ext uri="{FF2B5EF4-FFF2-40B4-BE49-F238E27FC236}">
                <a16:creationId xmlns:a16="http://schemas.microsoft.com/office/drawing/2014/main" id="{00000000-0008-0000-0F00-00000A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91" name="Line 6867">
            <a:extLst>
              <a:ext uri="{FF2B5EF4-FFF2-40B4-BE49-F238E27FC236}">
                <a16:creationId xmlns:a16="http://schemas.microsoft.com/office/drawing/2014/main" id="{00000000-0008-0000-0F00-00000B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3" name="Group 6868">
          <a:extLst>
            <a:ext uri="{FF2B5EF4-FFF2-40B4-BE49-F238E27FC236}">
              <a16:creationId xmlns:a16="http://schemas.microsoft.com/office/drawing/2014/main" id="{00000000-0008-0000-0F00-0000D39B3E00}"/>
            </a:ext>
          </a:extLst>
        </xdr:cNvPr>
        <xdr:cNvGrpSpPr>
          <a:grpSpLocks/>
        </xdr:cNvGrpSpPr>
      </xdr:nvGrpSpPr>
      <xdr:grpSpPr bwMode="auto">
        <a:xfrm>
          <a:off x="4700588" y="10096500"/>
          <a:ext cx="266700" cy="0"/>
          <a:chOff x="466" y="3952"/>
          <a:chExt cx="28" cy="16"/>
        </a:xfrm>
      </xdr:grpSpPr>
      <xdr:sp macro="" textlink="">
        <xdr:nvSpPr>
          <xdr:cNvPr id="4103688" name="Line 6869">
            <a:extLst>
              <a:ext uri="{FF2B5EF4-FFF2-40B4-BE49-F238E27FC236}">
                <a16:creationId xmlns:a16="http://schemas.microsoft.com/office/drawing/2014/main" id="{00000000-0008-0000-0F00-000008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9" name="Line 6870">
            <a:extLst>
              <a:ext uri="{FF2B5EF4-FFF2-40B4-BE49-F238E27FC236}">
                <a16:creationId xmlns:a16="http://schemas.microsoft.com/office/drawing/2014/main" id="{00000000-0008-0000-0F00-000009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4" name="Group 6871">
          <a:extLst>
            <a:ext uri="{FF2B5EF4-FFF2-40B4-BE49-F238E27FC236}">
              <a16:creationId xmlns:a16="http://schemas.microsoft.com/office/drawing/2014/main" id="{00000000-0008-0000-0F00-0000D49B3E00}"/>
            </a:ext>
          </a:extLst>
        </xdr:cNvPr>
        <xdr:cNvGrpSpPr>
          <a:grpSpLocks/>
        </xdr:cNvGrpSpPr>
      </xdr:nvGrpSpPr>
      <xdr:grpSpPr bwMode="auto">
        <a:xfrm>
          <a:off x="4700588" y="10096500"/>
          <a:ext cx="266700" cy="0"/>
          <a:chOff x="466" y="3952"/>
          <a:chExt cx="28" cy="16"/>
        </a:xfrm>
      </xdr:grpSpPr>
      <xdr:sp macro="" textlink="">
        <xdr:nvSpPr>
          <xdr:cNvPr id="4103686" name="Line 6872">
            <a:extLst>
              <a:ext uri="{FF2B5EF4-FFF2-40B4-BE49-F238E27FC236}">
                <a16:creationId xmlns:a16="http://schemas.microsoft.com/office/drawing/2014/main" id="{00000000-0008-0000-0F00-000006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7" name="Line 6873">
            <a:extLst>
              <a:ext uri="{FF2B5EF4-FFF2-40B4-BE49-F238E27FC236}">
                <a16:creationId xmlns:a16="http://schemas.microsoft.com/office/drawing/2014/main" id="{00000000-0008-0000-0F00-000007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5" name="Group 6874">
          <a:extLst>
            <a:ext uri="{FF2B5EF4-FFF2-40B4-BE49-F238E27FC236}">
              <a16:creationId xmlns:a16="http://schemas.microsoft.com/office/drawing/2014/main" id="{00000000-0008-0000-0F00-0000D59B3E00}"/>
            </a:ext>
          </a:extLst>
        </xdr:cNvPr>
        <xdr:cNvGrpSpPr>
          <a:grpSpLocks/>
        </xdr:cNvGrpSpPr>
      </xdr:nvGrpSpPr>
      <xdr:grpSpPr bwMode="auto">
        <a:xfrm>
          <a:off x="4700588" y="10096500"/>
          <a:ext cx="266700" cy="0"/>
          <a:chOff x="466" y="3952"/>
          <a:chExt cx="28" cy="16"/>
        </a:xfrm>
      </xdr:grpSpPr>
      <xdr:sp macro="" textlink="">
        <xdr:nvSpPr>
          <xdr:cNvPr id="4103684" name="Line 6875">
            <a:extLst>
              <a:ext uri="{FF2B5EF4-FFF2-40B4-BE49-F238E27FC236}">
                <a16:creationId xmlns:a16="http://schemas.microsoft.com/office/drawing/2014/main" id="{00000000-0008-0000-0F00-000004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5" name="Line 6876">
            <a:extLst>
              <a:ext uri="{FF2B5EF4-FFF2-40B4-BE49-F238E27FC236}">
                <a16:creationId xmlns:a16="http://schemas.microsoft.com/office/drawing/2014/main" id="{00000000-0008-0000-0F00-000005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6" name="Group 6877">
          <a:extLst>
            <a:ext uri="{FF2B5EF4-FFF2-40B4-BE49-F238E27FC236}">
              <a16:creationId xmlns:a16="http://schemas.microsoft.com/office/drawing/2014/main" id="{00000000-0008-0000-0F00-0000D69B3E00}"/>
            </a:ext>
          </a:extLst>
        </xdr:cNvPr>
        <xdr:cNvGrpSpPr>
          <a:grpSpLocks/>
        </xdr:cNvGrpSpPr>
      </xdr:nvGrpSpPr>
      <xdr:grpSpPr bwMode="auto">
        <a:xfrm>
          <a:off x="4700588" y="10096500"/>
          <a:ext cx="266700" cy="0"/>
          <a:chOff x="466" y="3952"/>
          <a:chExt cx="28" cy="16"/>
        </a:xfrm>
      </xdr:grpSpPr>
      <xdr:sp macro="" textlink="">
        <xdr:nvSpPr>
          <xdr:cNvPr id="4103682" name="Line 6878">
            <a:extLst>
              <a:ext uri="{FF2B5EF4-FFF2-40B4-BE49-F238E27FC236}">
                <a16:creationId xmlns:a16="http://schemas.microsoft.com/office/drawing/2014/main" id="{00000000-0008-0000-0F00-000002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3" name="Line 6879">
            <a:extLst>
              <a:ext uri="{FF2B5EF4-FFF2-40B4-BE49-F238E27FC236}">
                <a16:creationId xmlns:a16="http://schemas.microsoft.com/office/drawing/2014/main" id="{00000000-0008-0000-0F00-000003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7" name="Group 6880">
          <a:extLst>
            <a:ext uri="{FF2B5EF4-FFF2-40B4-BE49-F238E27FC236}">
              <a16:creationId xmlns:a16="http://schemas.microsoft.com/office/drawing/2014/main" id="{00000000-0008-0000-0F00-0000D79B3E00}"/>
            </a:ext>
          </a:extLst>
        </xdr:cNvPr>
        <xdr:cNvGrpSpPr>
          <a:grpSpLocks/>
        </xdr:cNvGrpSpPr>
      </xdr:nvGrpSpPr>
      <xdr:grpSpPr bwMode="auto">
        <a:xfrm>
          <a:off x="4117181" y="10096500"/>
          <a:ext cx="228600" cy="0"/>
          <a:chOff x="466" y="3952"/>
          <a:chExt cx="28" cy="16"/>
        </a:xfrm>
      </xdr:grpSpPr>
      <xdr:sp macro="" textlink="">
        <xdr:nvSpPr>
          <xdr:cNvPr id="4103680" name="Line 6881">
            <a:extLst>
              <a:ext uri="{FF2B5EF4-FFF2-40B4-BE49-F238E27FC236}">
                <a16:creationId xmlns:a16="http://schemas.microsoft.com/office/drawing/2014/main" id="{00000000-0008-0000-0F00-0000009E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81" name="Line 6882">
            <a:extLst>
              <a:ext uri="{FF2B5EF4-FFF2-40B4-BE49-F238E27FC236}">
                <a16:creationId xmlns:a16="http://schemas.microsoft.com/office/drawing/2014/main" id="{00000000-0008-0000-0F00-0000019E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28" name="Group 6883">
          <a:extLst>
            <a:ext uri="{FF2B5EF4-FFF2-40B4-BE49-F238E27FC236}">
              <a16:creationId xmlns:a16="http://schemas.microsoft.com/office/drawing/2014/main" id="{00000000-0008-0000-0F00-0000D89B3E00}"/>
            </a:ext>
          </a:extLst>
        </xdr:cNvPr>
        <xdr:cNvGrpSpPr>
          <a:grpSpLocks/>
        </xdr:cNvGrpSpPr>
      </xdr:nvGrpSpPr>
      <xdr:grpSpPr bwMode="auto">
        <a:xfrm>
          <a:off x="4117181" y="10096500"/>
          <a:ext cx="228600" cy="0"/>
          <a:chOff x="466" y="3952"/>
          <a:chExt cx="28" cy="16"/>
        </a:xfrm>
      </xdr:grpSpPr>
      <xdr:sp macro="" textlink="">
        <xdr:nvSpPr>
          <xdr:cNvPr id="4103678" name="Line 6884">
            <a:extLst>
              <a:ext uri="{FF2B5EF4-FFF2-40B4-BE49-F238E27FC236}">
                <a16:creationId xmlns:a16="http://schemas.microsoft.com/office/drawing/2014/main" id="{00000000-0008-0000-0F00-0000F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9" name="Line 6885">
            <a:extLst>
              <a:ext uri="{FF2B5EF4-FFF2-40B4-BE49-F238E27FC236}">
                <a16:creationId xmlns:a16="http://schemas.microsoft.com/office/drawing/2014/main" id="{00000000-0008-0000-0F00-0000F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29" name="Group 6886">
          <a:extLst>
            <a:ext uri="{FF2B5EF4-FFF2-40B4-BE49-F238E27FC236}">
              <a16:creationId xmlns:a16="http://schemas.microsoft.com/office/drawing/2014/main" id="{00000000-0008-0000-0F00-0000D99B3E00}"/>
            </a:ext>
          </a:extLst>
        </xdr:cNvPr>
        <xdr:cNvGrpSpPr>
          <a:grpSpLocks/>
        </xdr:cNvGrpSpPr>
      </xdr:nvGrpSpPr>
      <xdr:grpSpPr bwMode="auto">
        <a:xfrm>
          <a:off x="4700588" y="10096500"/>
          <a:ext cx="266700" cy="0"/>
          <a:chOff x="466" y="3952"/>
          <a:chExt cx="28" cy="16"/>
        </a:xfrm>
      </xdr:grpSpPr>
      <xdr:sp macro="" textlink="">
        <xdr:nvSpPr>
          <xdr:cNvPr id="4103676" name="Line 6887">
            <a:extLst>
              <a:ext uri="{FF2B5EF4-FFF2-40B4-BE49-F238E27FC236}">
                <a16:creationId xmlns:a16="http://schemas.microsoft.com/office/drawing/2014/main" id="{00000000-0008-0000-0F00-0000F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7" name="Line 6888">
            <a:extLst>
              <a:ext uri="{FF2B5EF4-FFF2-40B4-BE49-F238E27FC236}">
                <a16:creationId xmlns:a16="http://schemas.microsoft.com/office/drawing/2014/main" id="{00000000-0008-0000-0F00-0000F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0" name="Group 6889">
          <a:extLst>
            <a:ext uri="{FF2B5EF4-FFF2-40B4-BE49-F238E27FC236}">
              <a16:creationId xmlns:a16="http://schemas.microsoft.com/office/drawing/2014/main" id="{00000000-0008-0000-0F00-0000DA9B3E00}"/>
            </a:ext>
          </a:extLst>
        </xdr:cNvPr>
        <xdr:cNvGrpSpPr>
          <a:grpSpLocks/>
        </xdr:cNvGrpSpPr>
      </xdr:nvGrpSpPr>
      <xdr:grpSpPr bwMode="auto">
        <a:xfrm>
          <a:off x="4700588" y="10096500"/>
          <a:ext cx="266700" cy="0"/>
          <a:chOff x="466" y="3952"/>
          <a:chExt cx="28" cy="16"/>
        </a:xfrm>
      </xdr:grpSpPr>
      <xdr:sp macro="" textlink="">
        <xdr:nvSpPr>
          <xdr:cNvPr id="4103674" name="Line 6890">
            <a:extLst>
              <a:ext uri="{FF2B5EF4-FFF2-40B4-BE49-F238E27FC236}">
                <a16:creationId xmlns:a16="http://schemas.microsoft.com/office/drawing/2014/main" id="{00000000-0008-0000-0F00-0000F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5" name="Line 6891">
            <a:extLst>
              <a:ext uri="{FF2B5EF4-FFF2-40B4-BE49-F238E27FC236}">
                <a16:creationId xmlns:a16="http://schemas.microsoft.com/office/drawing/2014/main" id="{00000000-0008-0000-0F00-0000F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1" name="Group 6892">
          <a:extLst>
            <a:ext uri="{FF2B5EF4-FFF2-40B4-BE49-F238E27FC236}">
              <a16:creationId xmlns:a16="http://schemas.microsoft.com/office/drawing/2014/main" id="{00000000-0008-0000-0F00-0000DB9B3E00}"/>
            </a:ext>
          </a:extLst>
        </xdr:cNvPr>
        <xdr:cNvGrpSpPr>
          <a:grpSpLocks/>
        </xdr:cNvGrpSpPr>
      </xdr:nvGrpSpPr>
      <xdr:grpSpPr bwMode="auto">
        <a:xfrm>
          <a:off x="4117181" y="10096500"/>
          <a:ext cx="240507" cy="0"/>
          <a:chOff x="466" y="3952"/>
          <a:chExt cx="28" cy="16"/>
        </a:xfrm>
      </xdr:grpSpPr>
      <xdr:sp macro="" textlink="">
        <xdr:nvSpPr>
          <xdr:cNvPr id="4103672" name="Line 6893">
            <a:extLst>
              <a:ext uri="{FF2B5EF4-FFF2-40B4-BE49-F238E27FC236}">
                <a16:creationId xmlns:a16="http://schemas.microsoft.com/office/drawing/2014/main" id="{00000000-0008-0000-0F00-0000F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3" name="Line 6894">
            <a:extLst>
              <a:ext uri="{FF2B5EF4-FFF2-40B4-BE49-F238E27FC236}">
                <a16:creationId xmlns:a16="http://schemas.microsoft.com/office/drawing/2014/main" id="{00000000-0008-0000-0F00-0000F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32" name="Group 6895">
          <a:extLst>
            <a:ext uri="{FF2B5EF4-FFF2-40B4-BE49-F238E27FC236}">
              <a16:creationId xmlns:a16="http://schemas.microsoft.com/office/drawing/2014/main" id="{00000000-0008-0000-0F00-0000DC9B3E00}"/>
            </a:ext>
          </a:extLst>
        </xdr:cNvPr>
        <xdr:cNvGrpSpPr>
          <a:grpSpLocks/>
        </xdr:cNvGrpSpPr>
      </xdr:nvGrpSpPr>
      <xdr:grpSpPr bwMode="auto">
        <a:xfrm>
          <a:off x="5486400" y="10096500"/>
          <a:ext cx="228600" cy="0"/>
          <a:chOff x="466" y="3952"/>
          <a:chExt cx="28" cy="16"/>
        </a:xfrm>
      </xdr:grpSpPr>
      <xdr:sp macro="" textlink="">
        <xdr:nvSpPr>
          <xdr:cNvPr id="4103670" name="Line 6896">
            <a:extLst>
              <a:ext uri="{FF2B5EF4-FFF2-40B4-BE49-F238E27FC236}">
                <a16:creationId xmlns:a16="http://schemas.microsoft.com/office/drawing/2014/main" id="{00000000-0008-0000-0F00-0000F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71" name="Line 6897">
            <a:extLst>
              <a:ext uri="{FF2B5EF4-FFF2-40B4-BE49-F238E27FC236}">
                <a16:creationId xmlns:a16="http://schemas.microsoft.com/office/drawing/2014/main" id="{00000000-0008-0000-0F00-0000F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3" name="Group 6898">
          <a:extLst>
            <a:ext uri="{FF2B5EF4-FFF2-40B4-BE49-F238E27FC236}">
              <a16:creationId xmlns:a16="http://schemas.microsoft.com/office/drawing/2014/main" id="{00000000-0008-0000-0F00-0000DD9B3E00}"/>
            </a:ext>
          </a:extLst>
        </xdr:cNvPr>
        <xdr:cNvGrpSpPr>
          <a:grpSpLocks/>
        </xdr:cNvGrpSpPr>
      </xdr:nvGrpSpPr>
      <xdr:grpSpPr bwMode="auto">
        <a:xfrm>
          <a:off x="4700588" y="10096500"/>
          <a:ext cx="266700" cy="0"/>
          <a:chOff x="466" y="3952"/>
          <a:chExt cx="28" cy="16"/>
        </a:xfrm>
      </xdr:grpSpPr>
      <xdr:sp macro="" textlink="">
        <xdr:nvSpPr>
          <xdr:cNvPr id="4103668" name="Line 6899">
            <a:extLst>
              <a:ext uri="{FF2B5EF4-FFF2-40B4-BE49-F238E27FC236}">
                <a16:creationId xmlns:a16="http://schemas.microsoft.com/office/drawing/2014/main" id="{00000000-0008-0000-0F00-0000F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9" name="Line 6900">
            <a:extLst>
              <a:ext uri="{FF2B5EF4-FFF2-40B4-BE49-F238E27FC236}">
                <a16:creationId xmlns:a16="http://schemas.microsoft.com/office/drawing/2014/main" id="{00000000-0008-0000-0F00-0000F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4" name="Group 6901">
          <a:extLst>
            <a:ext uri="{FF2B5EF4-FFF2-40B4-BE49-F238E27FC236}">
              <a16:creationId xmlns:a16="http://schemas.microsoft.com/office/drawing/2014/main" id="{00000000-0008-0000-0F00-0000DE9B3E00}"/>
            </a:ext>
          </a:extLst>
        </xdr:cNvPr>
        <xdr:cNvGrpSpPr>
          <a:grpSpLocks/>
        </xdr:cNvGrpSpPr>
      </xdr:nvGrpSpPr>
      <xdr:grpSpPr bwMode="auto">
        <a:xfrm>
          <a:off x="4700588" y="10096500"/>
          <a:ext cx="266700" cy="0"/>
          <a:chOff x="466" y="3952"/>
          <a:chExt cx="28" cy="16"/>
        </a:xfrm>
      </xdr:grpSpPr>
      <xdr:sp macro="" textlink="">
        <xdr:nvSpPr>
          <xdr:cNvPr id="4103666" name="Line 6902">
            <a:extLst>
              <a:ext uri="{FF2B5EF4-FFF2-40B4-BE49-F238E27FC236}">
                <a16:creationId xmlns:a16="http://schemas.microsoft.com/office/drawing/2014/main" id="{00000000-0008-0000-0F00-0000F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7" name="Line 6903">
            <a:extLst>
              <a:ext uri="{FF2B5EF4-FFF2-40B4-BE49-F238E27FC236}">
                <a16:creationId xmlns:a16="http://schemas.microsoft.com/office/drawing/2014/main" id="{00000000-0008-0000-0F00-0000F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5" name="Group 6904">
          <a:extLst>
            <a:ext uri="{FF2B5EF4-FFF2-40B4-BE49-F238E27FC236}">
              <a16:creationId xmlns:a16="http://schemas.microsoft.com/office/drawing/2014/main" id="{00000000-0008-0000-0F00-0000DF9B3E00}"/>
            </a:ext>
          </a:extLst>
        </xdr:cNvPr>
        <xdr:cNvGrpSpPr>
          <a:grpSpLocks/>
        </xdr:cNvGrpSpPr>
      </xdr:nvGrpSpPr>
      <xdr:grpSpPr bwMode="auto">
        <a:xfrm>
          <a:off x="4700588" y="10096500"/>
          <a:ext cx="266700" cy="0"/>
          <a:chOff x="466" y="3952"/>
          <a:chExt cx="28" cy="16"/>
        </a:xfrm>
      </xdr:grpSpPr>
      <xdr:sp macro="" textlink="">
        <xdr:nvSpPr>
          <xdr:cNvPr id="4103664" name="Line 6905">
            <a:extLst>
              <a:ext uri="{FF2B5EF4-FFF2-40B4-BE49-F238E27FC236}">
                <a16:creationId xmlns:a16="http://schemas.microsoft.com/office/drawing/2014/main" id="{00000000-0008-0000-0F00-0000F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5" name="Line 6906">
            <a:extLst>
              <a:ext uri="{FF2B5EF4-FFF2-40B4-BE49-F238E27FC236}">
                <a16:creationId xmlns:a16="http://schemas.microsoft.com/office/drawing/2014/main" id="{00000000-0008-0000-0F00-0000F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6" name="Group 6907">
          <a:extLst>
            <a:ext uri="{FF2B5EF4-FFF2-40B4-BE49-F238E27FC236}">
              <a16:creationId xmlns:a16="http://schemas.microsoft.com/office/drawing/2014/main" id="{00000000-0008-0000-0F00-0000E09B3E00}"/>
            </a:ext>
          </a:extLst>
        </xdr:cNvPr>
        <xdr:cNvGrpSpPr>
          <a:grpSpLocks/>
        </xdr:cNvGrpSpPr>
      </xdr:nvGrpSpPr>
      <xdr:grpSpPr bwMode="auto">
        <a:xfrm>
          <a:off x="4700588" y="10096500"/>
          <a:ext cx="266700" cy="0"/>
          <a:chOff x="466" y="3952"/>
          <a:chExt cx="28" cy="16"/>
        </a:xfrm>
      </xdr:grpSpPr>
      <xdr:sp macro="" textlink="">
        <xdr:nvSpPr>
          <xdr:cNvPr id="4103662" name="Line 6908">
            <a:extLst>
              <a:ext uri="{FF2B5EF4-FFF2-40B4-BE49-F238E27FC236}">
                <a16:creationId xmlns:a16="http://schemas.microsoft.com/office/drawing/2014/main" id="{00000000-0008-0000-0F00-0000E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3" name="Line 6909">
            <a:extLst>
              <a:ext uri="{FF2B5EF4-FFF2-40B4-BE49-F238E27FC236}">
                <a16:creationId xmlns:a16="http://schemas.microsoft.com/office/drawing/2014/main" id="{00000000-0008-0000-0F00-0000E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37" name="Group 6910">
          <a:extLst>
            <a:ext uri="{FF2B5EF4-FFF2-40B4-BE49-F238E27FC236}">
              <a16:creationId xmlns:a16="http://schemas.microsoft.com/office/drawing/2014/main" id="{00000000-0008-0000-0F00-0000E19B3E00}"/>
            </a:ext>
          </a:extLst>
        </xdr:cNvPr>
        <xdr:cNvGrpSpPr>
          <a:grpSpLocks/>
        </xdr:cNvGrpSpPr>
      </xdr:nvGrpSpPr>
      <xdr:grpSpPr bwMode="auto">
        <a:xfrm>
          <a:off x="4700588" y="10096500"/>
          <a:ext cx="266700" cy="0"/>
          <a:chOff x="466" y="3952"/>
          <a:chExt cx="28" cy="16"/>
        </a:xfrm>
      </xdr:grpSpPr>
      <xdr:sp macro="" textlink="">
        <xdr:nvSpPr>
          <xdr:cNvPr id="4103660" name="Line 6911">
            <a:extLst>
              <a:ext uri="{FF2B5EF4-FFF2-40B4-BE49-F238E27FC236}">
                <a16:creationId xmlns:a16="http://schemas.microsoft.com/office/drawing/2014/main" id="{00000000-0008-0000-0F00-0000E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61" name="Line 6912">
            <a:extLst>
              <a:ext uri="{FF2B5EF4-FFF2-40B4-BE49-F238E27FC236}">
                <a16:creationId xmlns:a16="http://schemas.microsoft.com/office/drawing/2014/main" id="{00000000-0008-0000-0F00-0000E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38" name="Group 6913">
          <a:extLst>
            <a:ext uri="{FF2B5EF4-FFF2-40B4-BE49-F238E27FC236}">
              <a16:creationId xmlns:a16="http://schemas.microsoft.com/office/drawing/2014/main" id="{00000000-0008-0000-0F00-0000E29B3E00}"/>
            </a:ext>
          </a:extLst>
        </xdr:cNvPr>
        <xdr:cNvGrpSpPr>
          <a:grpSpLocks/>
        </xdr:cNvGrpSpPr>
      </xdr:nvGrpSpPr>
      <xdr:grpSpPr bwMode="auto">
        <a:xfrm>
          <a:off x="4576763" y="10096500"/>
          <a:ext cx="228600" cy="0"/>
          <a:chOff x="466" y="3952"/>
          <a:chExt cx="28" cy="16"/>
        </a:xfrm>
      </xdr:grpSpPr>
      <xdr:sp macro="" textlink="">
        <xdr:nvSpPr>
          <xdr:cNvPr id="4103658" name="Line 6914">
            <a:extLst>
              <a:ext uri="{FF2B5EF4-FFF2-40B4-BE49-F238E27FC236}">
                <a16:creationId xmlns:a16="http://schemas.microsoft.com/office/drawing/2014/main" id="{00000000-0008-0000-0F00-0000E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9" name="Line 6915">
            <a:extLst>
              <a:ext uri="{FF2B5EF4-FFF2-40B4-BE49-F238E27FC236}">
                <a16:creationId xmlns:a16="http://schemas.microsoft.com/office/drawing/2014/main" id="{00000000-0008-0000-0F00-0000E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39" name="Group 6916">
          <a:extLst>
            <a:ext uri="{FF2B5EF4-FFF2-40B4-BE49-F238E27FC236}">
              <a16:creationId xmlns:a16="http://schemas.microsoft.com/office/drawing/2014/main" id="{00000000-0008-0000-0F00-0000E39B3E00}"/>
            </a:ext>
          </a:extLst>
        </xdr:cNvPr>
        <xdr:cNvGrpSpPr>
          <a:grpSpLocks/>
        </xdr:cNvGrpSpPr>
      </xdr:nvGrpSpPr>
      <xdr:grpSpPr bwMode="auto">
        <a:xfrm>
          <a:off x="4117181" y="10096500"/>
          <a:ext cx="240507" cy="0"/>
          <a:chOff x="466" y="3952"/>
          <a:chExt cx="28" cy="16"/>
        </a:xfrm>
      </xdr:grpSpPr>
      <xdr:sp macro="" textlink="">
        <xdr:nvSpPr>
          <xdr:cNvPr id="4103656" name="Line 6917">
            <a:extLst>
              <a:ext uri="{FF2B5EF4-FFF2-40B4-BE49-F238E27FC236}">
                <a16:creationId xmlns:a16="http://schemas.microsoft.com/office/drawing/2014/main" id="{00000000-0008-0000-0F00-0000E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7" name="Line 6918">
            <a:extLst>
              <a:ext uri="{FF2B5EF4-FFF2-40B4-BE49-F238E27FC236}">
                <a16:creationId xmlns:a16="http://schemas.microsoft.com/office/drawing/2014/main" id="{00000000-0008-0000-0F00-0000E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0" name="Group 6919">
          <a:extLst>
            <a:ext uri="{FF2B5EF4-FFF2-40B4-BE49-F238E27FC236}">
              <a16:creationId xmlns:a16="http://schemas.microsoft.com/office/drawing/2014/main" id="{00000000-0008-0000-0F00-0000E49B3E00}"/>
            </a:ext>
          </a:extLst>
        </xdr:cNvPr>
        <xdr:cNvGrpSpPr>
          <a:grpSpLocks/>
        </xdr:cNvGrpSpPr>
      </xdr:nvGrpSpPr>
      <xdr:grpSpPr bwMode="auto">
        <a:xfrm>
          <a:off x="4117181" y="10096500"/>
          <a:ext cx="240507" cy="0"/>
          <a:chOff x="466" y="3952"/>
          <a:chExt cx="28" cy="16"/>
        </a:xfrm>
      </xdr:grpSpPr>
      <xdr:sp macro="" textlink="">
        <xdr:nvSpPr>
          <xdr:cNvPr id="4103654" name="Line 6920">
            <a:extLst>
              <a:ext uri="{FF2B5EF4-FFF2-40B4-BE49-F238E27FC236}">
                <a16:creationId xmlns:a16="http://schemas.microsoft.com/office/drawing/2014/main" id="{00000000-0008-0000-0F00-0000E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5" name="Line 6921">
            <a:extLst>
              <a:ext uri="{FF2B5EF4-FFF2-40B4-BE49-F238E27FC236}">
                <a16:creationId xmlns:a16="http://schemas.microsoft.com/office/drawing/2014/main" id="{00000000-0008-0000-0F00-0000E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1" name="Group 6922">
          <a:extLst>
            <a:ext uri="{FF2B5EF4-FFF2-40B4-BE49-F238E27FC236}">
              <a16:creationId xmlns:a16="http://schemas.microsoft.com/office/drawing/2014/main" id="{00000000-0008-0000-0F00-0000E59B3E00}"/>
            </a:ext>
          </a:extLst>
        </xdr:cNvPr>
        <xdr:cNvGrpSpPr>
          <a:grpSpLocks/>
        </xdr:cNvGrpSpPr>
      </xdr:nvGrpSpPr>
      <xdr:grpSpPr bwMode="auto">
        <a:xfrm>
          <a:off x="4117181" y="10096500"/>
          <a:ext cx="240507" cy="0"/>
          <a:chOff x="466" y="3952"/>
          <a:chExt cx="28" cy="16"/>
        </a:xfrm>
      </xdr:grpSpPr>
      <xdr:sp macro="" textlink="">
        <xdr:nvSpPr>
          <xdr:cNvPr id="4103652" name="Line 6923">
            <a:extLst>
              <a:ext uri="{FF2B5EF4-FFF2-40B4-BE49-F238E27FC236}">
                <a16:creationId xmlns:a16="http://schemas.microsoft.com/office/drawing/2014/main" id="{00000000-0008-0000-0F00-0000E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3" name="Line 6924">
            <a:extLst>
              <a:ext uri="{FF2B5EF4-FFF2-40B4-BE49-F238E27FC236}">
                <a16:creationId xmlns:a16="http://schemas.microsoft.com/office/drawing/2014/main" id="{00000000-0008-0000-0F00-0000E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2" name="Group 6925">
          <a:extLst>
            <a:ext uri="{FF2B5EF4-FFF2-40B4-BE49-F238E27FC236}">
              <a16:creationId xmlns:a16="http://schemas.microsoft.com/office/drawing/2014/main" id="{00000000-0008-0000-0F00-0000E69B3E00}"/>
            </a:ext>
          </a:extLst>
        </xdr:cNvPr>
        <xdr:cNvGrpSpPr>
          <a:grpSpLocks/>
        </xdr:cNvGrpSpPr>
      </xdr:nvGrpSpPr>
      <xdr:grpSpPr bwMode="auto">
        <a:xfrm>
          <a:off x="4117181" y="10096500"/>
          <a:ext cx="240507" cy="0"/>
          <a:chOff x="466" y="3952"/>
          <a:chExt cx="28" cy="16"/>
        </a:xfrm>
      </xdr:grpSpPr>
      <xdr:sp macro="" textlink="">
        <xdr:nvSpPr>
          <xdr:cNvPr id="4103650" name="Line 6926">
            <a:extLst>
              <a:ext uri="{FF2B5EF4-FFF2-40B4-BE49-F238E27FC236}">
                <a16:creationId xmlns:a16="http://schemas.microsoft.com/office/drawing/2014/main" id="{00000000-0008-0000-0F00-0000E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51" name="Line 6927">
            <a:extLst>
              <a:ext uri="{FF2B5EF4-FFF2-40B4-BE49-F238E27FC236}">
                <a16:creationId xmlns:a16="http://schemas.microsoft.com/office/drawing/2014/main" id="{00000000-0008-0000-0F00-0000E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3" name="Group 6928">
          <a:extLst>
            <a:ext uri="{FF2B5EF4-FFF2-40B4-BE49-F238E27FC236}">
              <a16:creationId xmlns:a16="http://schemas.microsoft.com/office/drawing/2014/main" id="{00000000-0008-0000-0F00-0000E79B3E00}"/>
            </a:ext>
          </a:extLst>
        </xdr:cNvPr>
        <xdr:cNvGrpSpPr>
          <a:grpSpLocks/>
        </xdr:cNvGrpSpPr>
      </xdr:nvGrpSpPr>
      <xdr:grpSpPr bwMode="auto">
        <a:xfrm>
          <a:off x="4117181" y="10096500"/>
          <a:ext cx="240507" cy="0"/>
          <a:chOff x="466" y="3952"/>
          <a:chExt cx="28" cy="16"/>
        </a:xfrm>
      </xdr:grpSpPr>
      <xdr:sp macro="" textlink="">
        <xdr:nvSpPr>
          <xdr:cNvPr id="4103648" name="Line 6929">
            <a:extLst>
              <a:ext uri="{FF2B5EF4-FFF2-40B4-BE49-F238E27FC236}">
                <a16:creationId xmlns:a16="http://schemas.microsoft.com/office/drawing/2014/main" id="{00000000-0008-0000-0F00-0000E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9" name="Line 6930">
            <a:extLst>
              <a:ext uri="{FF2B5EF4-FFF2-40B4-BE49-F238E27FC236}">
                <a16:creationId xmlns:a16="http://schemas.microsoft.com/office/drawing/2014/main" id="{00000000-0008-0000-0F00-0000E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4" name="Group 6931">
          <a:extLst>
            <a:ext uri="{FF2B5EF4-FFF2-40B4-BE49-F238E27FC236}">
              <a16:creationId xmlns:a16="http://schemas.microsoft.com/office/drawing/2014/main" id="{00000000-0008-0000-0F00-0000E89B3E00}"/>
            </a:ext>
          </a:extLst>
        </xdr:cNvPr>
        <xdr:cNvGrpSpPr>
          <a:grpSpLocks/>
        </xdr:cNvGrpSpPr>
      </xdr:nvGrpSpPr>
      <xdr:grpSpPr bwMode="auto">
        <a:xfrm>
          <a:off x="4117181" y="10096500"/>
          <a:ext cx="240507" cy="0"/>
          <a:chOff x="466" y="3952"/>
          <a:chExt cx="28" cy="16"/>
        </a:xfrm>
      </xdr:grpSpPr>
      <xdr:sp macro="" textlink="">
        <xdr:nvSpPr>
          <xdr:cNvPr id="4103646" name="Line 6932">
            <a:extLst>
              <a:ext uri="{FF2B5EF4-FFF2-40B4-BE49-F238E27FC236}">
                <a16:creationId xmlns:a16="http://schemas.microsoft.com/office/drawing/2014/main" id="{00000000-0008-0000-0F00-0000D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7" name="Line 6933">
            <a:extLst>
              <a:ext uri="{FF2B5EF4-FFF2-40B4-BE49-F238E27FC236}">
                <a16:creationId xmlns:a16="http://schemas.microsoft.com/office/drawing/2014/main" id="{00000000-0008-0000-0F00-0000D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145" name="Group 6934">
          <a:extLst>
            <a:ext uri="{FF2B5EF4-FFF2-40B4-BE49-F238E27FC236}">
              <a16:creationId xmlns:a16="http://schemas.microsoft.com/office/drawing/2014/main" id="{00000000-0008-0000-0F00-0000E99B3E00}"/>
            </a:ext>
          </a:extLst>
        </xdr:cNvPr>
        <xdr:cNvGrpSpPr>
          <a:grpSpLocks/>
        </xdr:cNvGrpSpPr>
      </xdr:nvGrpSpPr>
      <xdr:grpSpPr bwMode="auto">
        <a:xfrm>
          <a:off x="3993356" y="10096500"/>
          <a:ext cx="228600" cy="0"/>
          <a:chOff x="466" y="3952"/>
          <a:chExt cx="28" cy="16"/>
        </a:xfrm>
      </xdr:grpSpPr>
      <xdr:sp macro="" textlink="">
        <xdr:nvSpPr>
          <xdr:cNvPr id="4103644" name="Line 6935">
            <a:extLst>
              <a:ext uri="{FF2B5EF4-FFF2-40B4-BE49-F238E27FC236}">
                <a16:creationId xmlns:a16="http://schemas.microsoft.com/office/drawing/2014/main" id="{00000000-0008-0000-0F00-0000D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5" name="Line 6936">
            <a:extLst>
              <a:ext uri="{FF2B5EF4-FFF2-40B4-BE49-F238E27FC236}">
                <a16:creationId xmlns:a16="http://schemas.microsoft.com/office/drawing/2014/main" id="{00000000-0008-0000-0F00-0000D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6" name="Group 6937">
          <a:extLst>
            <a:ext uri="{FF2B5EF4-FFF2-40B4-BE49-F238E27FC236}">
              <a16:creationId xmlns:a16="http://schemas.microsoft.com/office/drawing/2014/main" id="{00000000-0008-0000-0F00-0000EA9B3E00}"/>
            </a:ext>
          </a:extLst>
        </xdr:cNvPr>
        <xdr:cNvGrpSpPr>
          <a:grpSpLocks/>
        </xdr:cNvGrpSpPr>
      </xdr:nvGrpSpPr>
      <xdr:grpSpPr bwMode="auto">
        <a:xfrm>
          <a:off x="4117181" y="10096500"/>
          <a:ext cx="228600" cy="0"/>
          <a:chOff x="466" y="3952"/>
          <a:chExt cx="28" cy="16"/>
        </a:xfrm>
      </xdr:grpSpPr>
      <xdr:sp macro="" textlink="">
        <xdr:nvSpPr>
          <xdr:cNvPr id="4103642" name="Line 6938">
            <a:extLst>
              <a:ext uri="{FF2B5EF4-FFF2-40B4-BE49-F238E27FC236}">
                <a16:creationId xmlns:a16="http://schemas.microsoft.com/office/drawing/2014/main" id="{00000000-0008-0000-0F00-0000D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3" name="Line 6939">
            <a:extLst>
              <a:ext uri="{FF2B5EF4-FFF2-40B4-BE49-F238E27FC236}">
                <a16:creationId xmlns:a16="http://schemas.microsoft.com/office/drawing/2014/main" id="{00000000-0008-0000-0F00-0000D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7" name="Group 6940">
          <a:extLst>
            <a:ext uri="{FF2B5EF4-FFF2-40B4-BE49-F238E27FC236}">
              <a16:creationId xmlns:a16="http://schemas.microsoft.com/office/drawing/2014/main" id="{00000000-0008-0000-0F00-0000EB9B3E00}"/>
            </a:ext>
          </a:extLst>
        </xdr:cNvPr>
        <xdr:cNvGrpSpPr>
          <a:grpSpLocks/>
        </xdr:cNvGrpSpPr>
      </xdr:nvGrpSpPr>
      <xdr:grpSpPr bwMode="auto">
        <a:xfrm>
          <a:off x="4117181" y="10096500"/>
          <a:ext cx="228600" cy="0"/>
          <a:chOff x="466" y="3952"/>
          <a:chExt cx="28" cy="16"/>
        </a:xfrm>
      </xdr:grpSpPr>
      <xdr:sp macro="" textlink="">
        <xdr:nvSpPr>
          <xdr:cNvPr id="4103640" name="Line 6941">
            <a:extLst>
              <a:ext uri="{FF2B5EF4-FFF2-40B4-BE49-F238E27FC236}">
                <a16:creationId xmlns:a16="http://schemas.microsoft.com/office/drawing/2014/main" id="{00000000-0008-0000-0F00-0000D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41" name="Line 6942">
            <a:extLst>
              <a:ext uri="{FF2B5EF4-FFF2-40B4-BE49-F238E27FC236}">
                <a16:creationId xmlns:a16="http://schemas.microsoft.com/office/drawing/2014/main" id="{00000000-0008-0000-0F00-0000D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48" name="Group 6943">
          <a:extLst>
            <a:ext uri="{FF2B5EF4-FFF2-40B4-BE49-F238E27FC236}">
              <a16:creationId xmlns:a16="http://schemas.microsoft.com/office/drawing/2014/main" id="{00000000-0008-0000-0F00-0000EC9B3E00}"/>
            </a:ext>
          </a:extLst>
        </xdr:cNvPr>
        <xdr:cNvGrpSpPr>
          <a:grpSpLocks/>
        </xdr:cNvGrpSpPr>
      </xdr:nvGrpSpPr>
      <xdr:grpSpPr bwMode="auto">
        <a:xfrm>
          <a:off x="4117181" y="10096500"/>
          <a:ext cx="240507" cy="0"/>
          <a:chOff x="466" y="3952"/>
          <a:chExt cx="28" cy="16"/>
        </a:xfrm>
      </xdr:grpSpPr>
      <xdr:sp macro="" textlink="">
        <xdr:nvSpPr>
          <xdr:cNvPr id="4103638" name="Line 6944">
            <a:extLst>
              <a:ext uri="{FF2B5EF4-FFF2-40B4-BE49-F238E27FC236}">
                <a16:creationId xmlns:a16="http://schemas.microsoft.com/office/drawing/2014/main" id="{00000000-0008-0000-0F00-0000D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9" name="Line 6945">
            <a:extLst>
              <a:ext uri="{FF2B5EF4-FFF2-40B4-BE49-F238E27FC236}">
                <a16:creationId xmlns:a16="http://schemas.microsoft.com/office/drawing/2014/main" id="{00000000-0008-0000-0F00-0000D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49" name="Group 6946">
          <a:extLst>
            <a:ext uri="{FF2B5EF4-FFF2-40B4-BE49-F238E27FC236}">
              <a16:creationId xmlns:a16="http://schemas.microsoft.com/office/drawing/2014/main" id="{00000000-0008-0000-0F00-0000ED9B3E00}"/>
            </a:ext>
          </a:extLst>
        </xdr:cNvPr>
        <xdr:cNvGrpSpPr>
          <a:grpSpLocks/>
        </xdr:cNvGrpSpPr>
      </xdr:nvGrpSpPr>
      <xdr:grpSpPr bwMode="auto">
        <a:xfrm>
          <a:off x="4117181" y="10096500"/>
          <a:ext cx="228600" cy="0"/>
          <a:chOff x="466" y="3952"/>
          <a:chExt cx="28" cy="16"/>
        </a:xfrm>
      </xdr:grpSpPr>
      <xdr:sp macro="" textlink="">
        <xdr:nvSpPr>
          <xdr:cNvPr id="4103636" name="Line 6947">
            <a:extLst>
              <a:ext uri="{FF2B5EF4-FFF2-40B4-BE49-F238E27FC236}">
                <a16:creationId xmlns:a16="http://schemas.microsoft.com/office/drawing/2014/main" id="{00000000-0008-0000-0F00-0000D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7" name="Line 6948">
            <a:extLst>
              <a:ext uri="{FF2B5EF4-FFF2-40B4-BE49-F238E27FC236}">
                <a16:creationId xmlns:a16="http://schemas.microsoft.com/office/drawing/2014/main" id="{00000000-0008-0000-0F00-0000D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50" name="Group 6949">
          <a:extLst>
            <a:ext uri="{FF2B5EF4-FFF2-40B4-BE49-F238E27FC236}">
              <a16:creationId xmlns:a16="http://schemas.microsoft.com/office/drawing/2014/main" id="{00000000-0008-0000-0F00-0000EE9B3E00}"/>
            </a:ext>
          </a:extLst>
        </xdr:cNvPr>
        <xdr:cNvGrpSpPr>
          <a:grpSpLocks/>
        </xdr:cNvGrpSpPr>
      </xdr:nvGrpSpPr>
      <xdr:grpSpPr bwMode="auto">
        <a:xfrm>
          <a:off x="4117181" y="10096500"/>
          <a:ext cx="228600" cy="0"/>
          <a:chOff x="466" y="3952"/>
          <a:chExt cx="28" cy="16"/>
        </a:xfrm>
      </xdr:grpSpPr>
      <xdr:sp macro="" textlink="">
        <xdr:nvSpPr>
          <xdr:cNvPr id="4103634" name="Line 6950">
            <a:extLst>
              <a:ext uri="{FF2B5EF4-FFF2-40B4-BE49-F238E27FC236}">
                <a16:creationId xmlns:a16="http://schemas.microsoft.com/office/drawing/2014/main" id="{00000000-0008-0000-0F00-0000D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5" name="Line 6951">
            <a:extLst>
              <a:ext uri="{FF2B5EF4-FFF2-40B4-BE49-F238E27FC236}">
                <a16:creationId xmlns:a16="http://schemas.microsoft.com/office/drawing/2014/main" id="{00000000-0008-0000-0F00-0000D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51" name="Group 6952">
          <a:extLst>
            <a:ext uri="{FF2B5EF4-FFF2-40B4-BE49-F238E27FC236}">
              <a16:creationId xmlns:a16="http://schemas.microsoft.com/office/drawing/2014/main" id="{00000000-0008-0000-0F00-0000EF9B3E00}"/>
            </a:ext>
          </a:extLst>
        </xdr:cNvPr>
        <xdr:cNvGrpSpPr>
          <a:grpSpLocks/>
        </xdr:cNvGrpSpPr>
      </xdr:nvGrpSpPr>
      <xdr:grpSpPr bwMode="auto">
        <a:xfrm>
          <a:off x="4117181" y="10096500"/>
          <a:ext cx="240507" cy="0"/>
          <a:chOff x="466" y="3952"/>
          <a:chExt cx="28" cy="16"/>
        </a:xfrm>
      </xdr:grpSpPr>
      <xdr:sp macro="" textlink="">
        <xdr:nvSpPr>
          <xdr:cNvPr id="4103632" name="Line 6953">
            <a:extLst>
              <a:ext uri="{FF2B5EF4-FFF2-40B4-BE49-F238E27FC236}">
                <a16:creationId xmlns:a16="http://schemas.microsoft.com/office/drawing/2014/main" id="{00000000-0008-0000-0F00-0000D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3" name="Line 6954">
            <a:extLst>
              <a:ext uri="{FF2B5EF4-FFF2-40B4-BE49-F238E27FC236}">
                <a16:creationId xmlns:a16="http://schemas.microsoft.com/office/drawing/2014/main" id="{00000000-0008-0000-0F00-0000D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2" name="Group 6955">
          <a:extLst>
            <a:ext uri="{FF2B5EF4-FFF2-40B4-BE49-F238E27FC236}">
              <a16:creationId xmlns:a16="http://schemas.microsoft.com/office/drawing/2014/main" id="{00000000-0008-0000-0F00-0000F09B3E00}"/>
            </a:ext>
          </a:extLst>
        </xdr:cNvPr>
        <xdr:cNvGrpSpPr>
          <a:grpSpLocks/>
        </xdr:cNvGrpSpPr>
      </xdr:nvGrpSpPr>
      <xdr:grpSpPr bwMode="auto">
        <a:xfrm>
          <a:off x="4700588" y="10096500"/>
          <a:ext cx="266700" cy="0"/>
          <a:chOff x="466" y="3952"/>
          <a:chExt cx="28" cy="16"/>
        </a:xfrm>
      </xdr:grpSpPr>
      <xdr:sp macro="" textlink="">
        <xdr:nvSpPr>
          <xdr:cNvPr id="4103630" name="Line 6956">
            <a:extLst>
              <a:ext uri="{FF2B5EF4-FFF2-40B4-BE49-F238E27FC236}">
                <a16:creationId xmlns:a16="http://schemas.microsoft.com/office/drawing/2014/main" id="{00000000-0008-0000-0F00-0000C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31" name="Line 6957">
            <a:extLst>
              <a:ext uri="{FF2B5EF4-FFF2-40B4-BE49-F238E27FC236}">
                <a16:creationId xmlns:a16="http://schemas.microsoft.com/office/drawing/2014/main" id="{00000000-0008-0000-0F00-0000C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3" name="Group 6958">
          <a:extLst>
            <a:ext uri="{FF2B5EF4-FFF2-40B4-BE49-F238E27FC236}">
              <a16:creationId xmlns:a16="http://schemas.microsoft.com/office/drawing/2014/main" id="{00000000-0008-0000-0F00-0000F19B3E00}"/>
            </a:ext>
          </a:extLst>
        </xdr:cNvPr>
        <xdr:cNvGrpSpPr>
          <a:grpSpLocks/>
        </xdr:cNvGrpSpPr>
      </xdr:nvGrpSpPr>
      <xdr:grpSpPr bwMode="auto">
        <a:xfrm>
          <a:off x="4700588" y="10096500"/>
          <a:ext cx="266700" cy="0"/>
          <a:chOff x="466" y="3952"/>
          <a:chExt cx="28" cy="16"/>
        </a:xfrm>
      </xdr:grpSpPr>
      <xdr:sp macro="" textlink="">
        <xdr:nvSpPr>
          <xdr:cNvPr id="4103628" name="Line 6959">
            <a:extLst>
              <a:ext uri="{FF2B5EF4-FFF2-40B4-BE49-F238E27FC236}">
                <a16:creationId xmlns:a16="http://schemas.microsoft.com/office/drawing/2014/main" id="{00000000-0008-0000-0F00-0000C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9" name="Line 6960">
            <a:extLst>
              <a:ext uri="{FF2B5EF4-FFF2-40B4-BE49-F238E27FC236}">
                <a16:creationId xmlns:a16="http://schemas.microsoft.com/office/drawing/2014/main" id="{00000000-0008-0000-0F00-0000C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54" name="Group 6961">
          <a:extLst>
            <a:ext uri="{FF2B5EF4-FFF2-40B4-BE49-F238E27FC236}">
              <a16:creationId xmlns:a16="http://schemas.microsoft.com/office/drawing/2014/main" id="{00000000-0008-0000-0F00-0000F29B3E00}"/>
            </a:ext>
          </a:extLst>
        </xdr:cNvPr>
        <xdr:cNvGrpSpPr>
          <a:grpSpLocks/>
        </xdr:cNvGrpSpPr>
      </xdr:nvGrpSpPr>
      <xdr:grpSpPr bwMode="auto">
        <a:xfrm>
          <a:off x="4700588" y="10096500"/>
          <a:ext cx="266700" cy="0"/>
          <a:chOff x="466" y="3952"/>
          <a:chExt cx="28" cy="16"/>
        </a:xfrm>
      </xdr:grpSpPr>
      <xdr:sp macro="" textlink="">
        <xdr:nvSpPr>
          <xdr:cNvPr id="4103626" name="Line 6962">
            <a:extLst>
              <a:ext uri="{FF2B5EF4-FFF2-40B4-BE49-F238E27FC236}">
                <a16:creationId xmlns:a16="http://schemas.microsoft.com/office/drawing/2014/main" id="{00000000-0008-0000-0F00-0000C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7" name="Line 6963">
            <a:extLst>
              <a:ext uri="{FF2B5EF4-FFF2-40B4-BE49-F238E27FC236}">
                <a16:creationId xmlns:a16="http://schemas.microsoft.com/office/drawing/2014/main" id="{00000000-0008-0000-0F00-0000C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5" name="Group 6964">
          <a:extLst>
            <a:ext uri="{FF2B5EF4-FFF2-40B4-BE49-F238E27FC236}">
              <a16:creationId xmlns:a16="http://schemas.microsoft.com/office/drawing/2014/main" id="{00000000-0008-0000-0F00-0000F39B3E00}"/>
            </a:ext>
          </a:extLst>
        </xdr:cNvPr>
        <xdr:cNvGrpSpPr>
          <a:grpSpLocks/>
        </xdr:cNvGrpSpPr>
      </xdr:nvGrpSpPr>
      <xdr:grpSpPr bwMode="auto">
        <a:xfrm>
          <a:off x="5486400" y="10096500"/>
          <a:ext cx="266700" cy="0"/>
          <a:chOff x="466" y="3952"/>
          <a:chExt cx="28" cy="16"/>
        </a:xfrm>
      </xdr:grpSpPr>
      <xdr:sp macro="" textlink="">
        <xdr:nvSpPr>
          <xdr:cNvPr id="4103624" name="Line 6965">
            <a:extLst>
              <a:ext uri="{FF2B5EF4-FFF2-40B4-BE49-F238E27FC236}">
                <a16:creationId xmlns:a16="http://schemas.microsoft.com/office/drawing/2014/main" id="{00000000-0008-0000-0F00-0000C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5" name="Line 6966">
            <a:extLst>
              <a:ext uri="{FF2B5EF4-FFF2-40B4-BE49-F238E27FC236}">
                <a16:creationId xmlns:a16="http://schemas.microsoft.com/office/drawing/2014/main" id="{00000000-0008-0000-0F00-0000C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6" name="Group 6967">
          <a:extLst>
            <a:ext uri="{FF2B5EF4-FFF2-40B4-BE49-F238E27FC236}">
              <a16:creationId xmlns:a16="http://schemas.microsoft.com/office/drawing/2014/main" id="{00000000-0008-0000-0F00-0000F49B3E00}"/>
            </a:ext>
          </a:extLst>
        </xdr:cNvPr>
        <xdr:cNvGrpSpPr>
          <a:grpSpLocks/>
        </xdr:cNvGrpSpPr>
      </xdr:nvGrpSpPr>
      <xdr:grpSpPr bwMode="auto">
        <a:xfrm>
          <a:off x="5486400" y="10096500"/>
          <a:ext cx="266700" cy="0"/>
          <a:chOff x="466" y="3952"/>
          <a:chExt cx="28" cy="16"/>
        </a:xfrm>
      </xdr:grpSpPr>
      <xdr:sp macro="" textlink="">
        <xdr:nvSpPr>
          <xdr:cNvPr id="4103622" name="Line 6968">
            <a:extLst>
              <a:ext uri="{FF2B5EF4-FFF2-40B4-BE49-F238E27FC236}">
                <a16:creationId xmlns:a16="http://schemas.microsoft.com/office/drawing/2014/main" id="{00000000-0008-0000-0F00-0000C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3" name="Line 6969">
            <a:extLst>
              <a:ext uri="{FF2B5EF4-FFF2-40B4-BE49-F238E27FC236}">
                <a16:creationId xmlns:a16="http://schemas.microsoft.com/office/drawing/2014/main" id="{00000000-0008-0000-0F00-0000C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7" name="Group 6970">
          <a:extLst>
            <a:ext uri="{FF2B5EF4-FFF2-40B4-BE49-F238E27FC236}">
              <a16:creationId xmlns:a16="http://schemas.microsoft.com/office/drawing/2014/main" id="{00000000-0008-0000-0F00-0000F59B3E00}"/>
            </a:ext>
          </a:extLst>
        </xdr:cNvPr>
        <xdr:cNvGrpSpPr>
          <a:grpSpLocks/>
        </xdr:cNvGrpSpPr>
      </xdr:nvGrpSpPr>
      <xdr:grpSpPr bwMode="auto">
        <a:xfrm>
          <a:off x="5486400" y="10096500"/>
          <a:ext cx="266700" cy="0"/>
          <a:chOff x="466" y="3952"/>
          <a:chExt cx="28" cy="16"/>
        </a:xfrm>
      </xdr:grpSpPr>
      <xdr:sp macro="" textlink="">
        <xdr:nvSpPr>
          <xdr:cNvPr id="4103620" name="Line 6971">
            <a:extLst>
              <a:ext uri="{FF2B5EF4-FFF2-40B4-BE49-F238E27FC236}">
                <a16:creationId xmlns:a16="http://schemas.microsoft.com/office/drawing/2014/main" id="{00000000-0008-0000-0F00-0000C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21" name="Line 6972">
            <a:extLst>
              <a:ext uri="{FF2B5EF4-FFF2-40B4-BE49-F238E27FC236}">
                <a16:creationId xmlns:a16="http://schemas.microsoft.com/office/drawing/2014/main" id="{00000000-0008-0000-0F00-0000C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8" name="Group 6973">
          <a:extLst>
            <a:ext uri="{FF2B5EF4-FFF2-40B4-BE49-F238E27FC236}">
              <a16:creationId xmlns:a16="http://schemas.microsoft.com/office/drawing/2014/main" id="{00000000-0008-0000-0F00-0000F69B3E00}"/>
            </a:ext>
          </a:extLst>
        </xdr:cNvPr>
        <xdr:cNvGrpSpPr>
          <a:grpSpLocks/>
        </xdr:cNvGrpSpPr>
      </xdr:nvGrpSpPr>
      <xdr:grpSpPr bwMode="auto">
        <a:xfrm>
          <a:off x="5486400" y="10096500"/>
          <a:ext cx="266700" cy="0"/>
          <a:chOff x="466" y="3952"/>
          <a:chExt cx="28" cy="16"/>
        </a:xfrm>
      </xdr:grpSpPr>
      <xdr:sp macro="" textlink="">
        <xdr:nvSpPr>
          <xdr:cNvPr id="4103618" name="Line 6974">
            <a:extLst>
              <a:ext uri="{FF2B5EF4-FFF2-40B4-BE49-F238E27FC236}">
                <a16:creationId xmlns:a16="http://schemas.microsoft.com/office/drawing/2014/main" id="{00000000-0008-0000-0F00-0000C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9" name="Line 6975">
            <a:extLst>
              <a:ext uri="{FF2B5EF4-FFF2-40B4-BE49-F238E27FC236}">
                <a16:creationId xmlns:a16="http://schemas.microsoft.com/office/drawing/2014/main" id="{00000000-0008-0000-0F00-0000C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159" name="Group 6976">
          <a:extLst>
            <a:ext uri="{FF2B5EF4-FFF2-40B4-BE49-F238E27FC236}">
              <a16:creationId xmlns:a16="http://schemas.microsoft.com/office/drawing/2014/main" id="{00000000-0008-0000-0F00-0000F79B3E00}"/>
            </a:ext>
          </a:extLst>
        </xdr:cNvPr>
        <xdr:cNvGrpSpPr>
          <a:grpSpLocks/>
        </xdr:cNvGrpSpPr>
      </xdr:nvGrpSpPr>
      <xdr:grpSpPr bwMode="auto">
        <a:xfrm>
          <a:off x="5486400" y="10096500"/>
          <a:ext cx="266700" cy="0"/>
          <a:chOff x="466" y="3952"/>
          <a:chExt cx="28" cy="16"/>
        </a:xfrm>
      </xdr:grpSpPr>
      <xdr:sp macro="" textlink="">
        <xdr:nvSpPr>
          <xdr:cNvPr id="4103616" name="Line 6977">
            <a:extLst>
              <a:ext uri="{FF2B5EF4-FFF2-40B4-BE49-F238E27FC236}">
                <a16:creationId xmlns:a16="http://schemas.microsoft.com/office/drawing/2014/main" id="{00000000-0008-0000-0F00-0000C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7" name="Line 6978">
            <a:extLst>
              <a:ext uri="{FF2B5EF4-FFF2-40B4-BE49-F238E27FC236}">
                <a16:creationId xmlns:a16="http://schemas.microsoft.com/office/drawing/2014/main" id="{00000000-0008-0000-0F00-0000C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0" name="Group 6979">
          <a:extLst>
            <a:ext uri="{FF2B5EF4-FFF2-40B4-BE49-F238E27FC236}">
              <a16:creationId xmlns:a16="http://schemas.microsoft.com/office/drawing/2014/main" id="{00000000-0008-0000-0F00-0000F89B3E00}"/>
            </a:ext>
          </a:extLst>
        </xdr:cNvPr>
        <xdr:cNvGrpSpPr>
          <a:grpSpLocks/>
        </xdr:cNvGrpSpPr>
      </xdr:nvGrpSpPr>
      <xdr:grpSpPr bwMode="auto">
        <a:xfrm>
          <a:off x="4117181" y="10096500"/>
          <a:ext cx="228600" cy="0"/>
          <a:chOff x="466" y="3952"/>
          <a:chExt cx="28" cy="16"/>
        </a:xfrm>
      </xdr:grpSpPr>
      <xdr:sp macro="" textlink="">
        <xdr:nvSpPr>
          <xdr:cNvPr id="4103614" name="Line 6980">
            <a:extLst>
              <a:ext uri="{FF2B5EF4-FFF2-40B4-BE49-F238E27FC236}">
                <a16:creationId xmlns:a16="http://schemas.microsoft.com/office/drawing/2014/main" id="{00000000-0008-0000-0F00-0000B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5" name="Line 6981">
            <a:extLst>
              <a:ext uri="{FF2B5EF4-FFF2-40B4-BE49-F238E27FC236}">
                <a16:creationId xmlns:a16="http://schemas.microsoft.com/office/drawing/2014/main" id="{00000000-0008-0000-0F00-0000B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1" name="Group 6982">
          <a:extLst>
            <a:ext uri="{FF2B5EF4-FFF2-40B4-BE49-F238E27FC236}">
              <a16:creationId xmlns:a16="http://schemas.microsoft.com/office/drawing/2014/main" id="{00000000-0008-0000-0F00-0000F99B3E00}"/>
            </a:ext>
          </a:extLst>
        </xdr:cNvPr>
        <xdr:cNvGrpSpPr>
          <a:grpSpLocks/>
        </xdr:cNvGrpSpPr>
      </xdr:nvGrpSpPr>
      <xdr:grpSpPr bwMode="auto">
        <a:xfrm>
          <a:off x="4700588" y="10096500"/>
          <a:ext cx="266700" cy="0"/>
          <a:chOff x="466" y="3952"/>
          <a:chExt cx="28" cy="16"/>
        </a:xfrm>
      </xdr:grpSpPr>
      <xdr:sp macro="" textlink="">
        <xdr:nvSpPr>
          <xdr:cNvPr id="4103612" name="Line 6983">
            <a:extLst>
              <a:ext uri="{FF2B5EF4-FFF2-40B4-BE49-F238E27FC236}">
                <a16:creationId xmlns:a16="http://schemas.microsoft.com/office/drawing/2014/main" id="{00000000-0008-0000-0F00-0000B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3" name="Line 6984">
            <a:extLst>
              <a:ext uri="{FF2B5EF4-FFF2-40B4-BE49-F238E27FC236}">
                <a16:creationId xmlns:a16="http://schemas.microsoft.com/office/drawing/2014/main" id="{00000000-0008-0000-0F00-0000B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2" name="Group 6985">
          <a:extLst>
            <a:ext uri="{FF2B5EF4-FFF2-40B4-BE49-F238E27FC236}">
              <a16:creationId xmlns:a16="http://schemas.microsoft.com/office/drawing/2014/main" id="{00000000-0008-0000-0F00-0000FA9B3E00}"/>
            </a:ext>
          </a:extLst>
        </xdr:cNvPr>
        <xdr:cNvGrpSpPr>
          <a:grpSpLocks/>
        </xdr:cNvGrpSpPr>
      </xdr:nvGrpSpPr>
      <xdr:grpSpPr bwMode="auto">
        <a:xfrm>
          <a:off x="4117181" y="10096500"/>
          <a:ext cx="228600" cy="0"/>
          <a:chOff x="466" y="3952"/>
          <a:chExt cx="28" cy="16"/>
        </a:xfrm>
      </xdr:grpSpPr>
      <xdr:sp macro="" textlink="">
        <xdr:nvSpPr>
          <xdr:cNvPr id="4103610" name="Line 6986">
            <a:extLst>
              <a:ext uri="{FF2B5EF4-FFF2-40B4-BE49-F238E27FC236}">
                <a16:creationId xmlns:a16="http://schemas.microsoft.com/office/drawing/2014/main" id="{00000000-0008-0000-0F00-0000B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11" name="Line 6987">
            <a:extLst>
              <a:ext uri="{FF2B5EF4-FFF2-40B4-BE49-F238E27FC236}">
                <a16:creationId xmlns:a16="http://schemas.microsoft.com/office/drawing/2014/main" id="{00000000-0008-0000-0F00-0000B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3" name="Group 6988">
          <a:extLst>
            <a:ext uri="{FF2B5EF4-FFF2-40B4-BE49-F238E27FC236}">
              <a16:creationId xmlns:a16="http://schemas.microsoft.com/office/drawing/2014/main" id="{00000000-0008-0000-0F00-0000FB9B3E00}"/>
            </a:ext>
          </a:extLst>
        </xdr:cNvPr>
        <xdr:cNvGrpSpPr>
          <a:grpSpLocks/>
        </xdr:cNvGrpSpPr>
      </xdr:nvGrpSpPr>
      <xdr:grpSpPr bwMode="auto">
        <a:xfrm>
          <a:off x="4700588" y="10096500"/>
          <a:ext cx="266700" cy="0"/>
          <a:chOff x="466" y="3952"/>
          <a:chExt cx="28" cy="16"/>
        </a:xfrm>
      </xdr:grpSpPr>
      <xdr:sp macro="" textlink="">
        <xdr:nvSpPr>
          <xdr:cNvPr id="4103608" name="Line 6989">
            <a:extLst>
              <a:ext uri="{FF2B5EF4-FFF2-40B4-BE49-F238E27FC236}">
                <a16:creationId xmlns:a16="http://schemas.microsoft.com/office/drawing/2014/main" id="{00000000-0008-0000-0F00-0000B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9" name="Line 6990">
            <a:extLst>
              <a:ext uri="{FF2B5EF4-FFF2-40B4-BE49-F238E27FC236}">
                <a16:creationId xmlns:a16="http://schemas.microsoft.com/office/drawing/2014/main" id="{00000000-0008-0000-0F00-0000B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4" name="Group 6991">
          <a:extLst>
            <a:ext uri="{FF2B5EF4-FFF2-40B4-BE49-F238E27FC236}">
              <a16:creationId xmlns:a16="http://schemas.microsoft.com/office/drawing/2014/main" id="{00000000-0008-0000-0F00-0000FC9B3E00}"/>
            </a:ext>
          </a:extLst>
        </xdr:cNvPr>
        <xdr:cNvGrpSpPr>
          <a:grpSpLocks/>
        </xdr:cNvGrpSpPr>
      </xdr:nvGrpSpPr>
      <xdr:grpSpPr bwMode="auto">
        <a:xfrm>
          <a:off x="4117181" y="10096500"/>
          <a:ext cx="228600" cy="0"/>
          <a:chOff x="466" y="3952"/>
          <a:chExt cx="28" cy="16"/>
        </a:xfrm>
      </xdr:grpSpPr>
      <xdr:sp macro="" textlink="">
        <xdr:nvSpPr>
          <xdr:cNvPr id="4103606" name="Line 6992">
            <a:extLst>
              <a:ext uri="{FF2B5EF4-FFF2-40B4-BE49-F238E27FC236}">
                <a16:creationId xmlns:a16="http://schemas.microsoft.com/office/drawing/2014/main" id="{00000000-0008-0000-0F00-0000B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7" name="Line 6993">
            <a:extLst>
              <a:ext uri="{FF2B5EF4-FFF2-40B4-BE49-F238E27FC236}">
                <a16:creationId xmlns:a16="http://schemas.microsoft.com/office/drawing/2014/main" id="{00000000-0008-0000-0F00-0000B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5" name="Group 6994">
          <a:extLst>
            <a:ext uri="{FF2B5EF4-FFF2-40B4-BE49-F238E27FC236}">
              <a16:creationId xmlns:a16="http://schemas.microsoft.com/office/drawing/2014/main" id="{00000000-0008-0000-0F00-0000FD9B3E00}"/>
            </a:ext>
          </a:extLst>
        </xdr:cNvPr>
        <xdr:cNvGrpSpPr>
          <a:grpSpLocks/>
        </xdr:cNvGrpSpPr>
      </xdr:nvGrpSpPr>
      <xdr:grpSpPr bwMode="auto">
        <a:xfrm>
          <a:off x="4700588" y="10096500"/>
          <a:ext cx="266700" cy="0"/>
          <a:chOff x="466" y="3952"/>
          <a:chExt cx="28" cy="16"/>
        </a:xfrm>
      </xdr:grpSpPr>
      <xdr:sp macro="" textlink="">
        <xdr:nvSpPr>
          <xdr:cNvPr id="4103604" name="Line 6995">
            <a:extLst>
              <a:ext uri="{FF2B5EF4-FFF2-40B4-BE49-F238E27FC236}">
                <a16:creationId xmlns:a16="http://schemas.microsoft.com/office/drawing/2014/main" id="{00000000-0008-0000-0F00-0000B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5" name="Line 6996">
            <a:extLst>
              <a:ext uri="{FF2B5EF4-FFF2-40B4-BE49-F238E27FC236}">
                <a16:creationId xmlns:a16="http://schemas.microsoft.com/office/drawing/2014/main" id="{00000000-0008-0000-0F00-0000B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6" name="Group 6997">
          <a:extLst>
            <a:ext uri="{FF2B5EF4-FFF2-40B4-BE49-F238E27FC236}">
              <a16:creationId xmlns:a16="http://schemas.microsoft.com/office/drawing/2014/main" id="{00000000-0008-0000-0F00-0000FE9B3E00}"/>
            </a:ext>
          </a:extLst>
        </xdr:cNvPr>
        <xdr:cNvGrpSpPr>
          <a:grpSpLocks/>
        </xdr:cNvGrpSpPr>
      </xdr:nvGrpSpPr>
      <xdr:grpSpPr bwMode="auto">
        <a:xfrm>
          <a:off x="4117181" y="10096500"/>
          <a:ext cx="228600" cy="0"/>
          <a:chOff x="466" y="3952"/>
          <a:chExt cx="28" cy="16"/>
        </a:xfrm>
      </xdr:grpSpPr>
      <xdr:sp macro="" textlink="">
        <xdr:nvSpPr>
          <xdr:cNvPr id="4103602" name="Line 6998">
            <a:extLst>
              <a:ext uri="{FF2B5EF4-FFF2-40B4-BE49-F238E27FC236}">
                <a16:creationId xmlns:a16="http://schemas.microsoft.com/office/drawing/2014/main" id="{00000000-0008-0000-0F00-0000B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3" name="Line 6999">
            <a:extLst>
              <a:ext uri="{FF2B5EF4-FFF2-40B4-BE49-F238E27FC236}">
                <a16:creationId xmlns:a16="http://schemas.microsoft.com/office/drawing/2014/main" id="{00000000-0008-0000-0F00-0000B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67" name="Group 7000">
          <a:extLst>
            <a:ext uri="{FF2B5EF4-FFF2-40B4-BE49-F238E27FC236}">
              <a16:creationId xmlns:a16="http://schemas.microsoft.com/office/drawing/2014/main" id="{00000000-0008-0000-0F00-0000FF9B3E00}"/>
            </a:ext>
          </a:extLst>
        </xdr:cNvPr>
        <xdr:cNvGrpSpPr>
          <a:grpSpLocks/>
        </xdr:cNvGrpSpPr>
      </xdr:nvGrpSpPr>
      <xdr:grpSpPr bwMode="auto">
        <a:xfrm>
          <a:off x="4700588" y="10096500"/>
          <a:ext cx="266700" cy="0"/>
          <a:chOff x="466" y="3952"/>
          <a:chExt cx="28" cy="16"/>
        </a:xfrm>
      </xdr:grpSpPr>
      <xdr:sp macro="" textlink="">
        <xdr:nvSpPr>
          <xdr:cNvPr id="4103600" name="Line 7001">
            <a:extLst>
              <a:ext uri="{FF2B5EF4-FFF2-40B4-BE49-F238E27FC236}">
                <a16:creationId xmlns:a16="http://schemas.microsoft.com/office/drawing/2014/main" id="{00000000-0008-0000-0F00-0000B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601" name="Line 7002">
            <a:extLst>
              <a:ext uri="{FF2B5EF4-FFF2-40B4-BE49-F238E27FC236}">
                <a16:creationId xmlns:a16="http://schemas.microsoft.com/office/drawing/2014/main" id="{00000000-0008-0000-0F00-0000B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8" name="Group 7003">
          <a:extLst>
            <a:ext uri="{FF2B5EF4-FFF2-40B4-BE49-F238E27FC236}">
              <a16:creationId xmlns:a16="http://schemas.microsoft.com/office/drawing/2014/main" id="{00000000-0008-0000-0F00-0000009C3E00}"/>
            </a:ext>
          </a:extLst>
        </xdr:cNvPr>
        <xdr:cNvGrpSpPr>
          <a:grpSpLocks/>
        </xdr:cNvGrpSpPr>
      </xdr:nvGrpSpPr>
      <xdr:grpSpPr bwMode="auto">
        <a:xfrm>
          <a:off x="4117181" y="10096500"/>
          <a:ext cx="228600" cy="0"/>
          <a:chOff x="466" y="3952"/>
          <a:chExt cx="28" cy="16"/>
        </a:xfrm>
      </xdr:grpSpPr>
      <xdr:sp macro="" textlink="">
        <xdr:nvSpPr>
          <xdr:cNvPr id="4103598" name="Line 7004">
            <a:extLst>
              <a:ext uri="{FF2B5EF4-FFF2-40B4-BE49-F238E27FC236}">
                <a16:creationId xmlns:a16="http://schemas.microsoft.com/office/drawing/2014/main" id="{00000000-0008-0000-0F00-0000A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9" name="Line 7005">
            <a:extLst>
              <a:ext uri="{FF2B5EF4-FFF2-40B4-BE49-F238E27FC236}">
                <a16:creationId xmlns:a16="http://schemas.microsoft.com/office/drawing/2014/main" id="{00000000-0008-0000-0F00-0000A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69" name="Group 7006">
          <a:extLst>
            <a:ext uri="{FF2B5EF4-FFF2-40B4-BE49-F238E27FC236}">
              <a16:creationId xmlns:a16="http://schemas.microsoft.com/office/drawing/2014/main" id="{00000000-0008-0000-0F00-0000019C3E00}"/>
            </a:ext>
          </a:extLst>
        </xdr:cNvPr>
        <xdr:cNvGrpSpPr>
          <a:grpSpLocks/>
        </xdr:cNvGrpSpPr>
      </xdr:nvGrpSpPr>
      <xdr:grpSpPr bwMode="auto">
        <a:xfrm>
          <a:off x="4117181" y="10096500"/>
          <a:ext cx="228600" cy="0"/>
          <a:chOff x="466" y="3952"/>
          <a:chExt cx="28" cy="16"/>
        </a:xfrm>
      </xdr:grpSpPr>
      <xdr:sp macro="" textlink="">
        <xdr:nvSpPr>
          <xdr:cNvPr id="4103596" name="Line 7007">
            <a:extLst>
              <a:ext uri="{FF2B5EF4-FFF2-40B4-BE49-F238E27FC236}">
                <a16:creationId xmlns:a16="http://schemas.microsoft.com/office/drawing/2014/main" id="{00000000-0008-0000-0F00-0000A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7" name="Line 7008">
            <a:extLst>
              <a:ext uri="{FF2B5EF4-FFF2-40B4-BE49-F238E27FC236}">
                <a16:creationId xmlns:a16="http://schemas.microsoft.com/office/drawing/2014/main" id="{00000000-0008-0000-0F00-0000A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0" name="Group 7009">
          <a:extLst>
            <a:ext uri="{FF2B5EF4-FFF2-40B4-BE49-F238E27FC236}">
              <a16:creationId xmlns:a16="http://schemas.microsoft.com/office/drawing/2014/main" id="{00000000-0008-0000-0F00-0000029C3E00}"/>
            </a:ext>
          </a:extLst>
        </xdr:cNvPr>
        <xdr:cNvGrpSpPr>
          <a:grpSpLocks/>
        </xdr:cNvGrpSpPr>
      </xdr:nvGrpSpPr>
      <xdr:grpSpPr bwMode="auto">
        <a:xfrm>
          <a:off x="4117181" y="10096500"/>
          <a:ext cx="228600" cy="0"/>
          <a:chOff x="466" y="3952"/>
          <a:chExt cx="28" cy="16"/>
        </a:xfrm>
      </xdr:grpSpPr>
      <xdr:sp macro="" textlink="">
        <xdr:nvSpPr>
          <xdr:cNvPr id="4103594" name="Line 7010">
            <a:extLst>
              <a:ext uri="{FF2B5EF4-FFF2-40B4-BE49-F238E27FC236}">
                <a16:creationId xmlns:a16="http://schemas.microsoft.com/office/drawing/2014/main" id="{00000000-0008-0000-0F00-0000A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5" name="Line 7011">
            <a:extLst>
              <a:ext uri="{FF2B5EF4-FFF2-40B4-BE49-F238E27FC236}">
                <a16:creationId xmlns:a16="http://schemas.microsoft.com/office/drawing/2014/main" id="{00000000-0008-0000-0F00-0000A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1" name="Group 7012">
          <a:extLst>
            <a:ext uri="{FF2B5EF4-FFF2-40B4-BE49-F238E27FC236}">
              <a16:creationId xmlns:a16="http://schemas.microsoft.com/office/drawing/2014/main" id="{00000000-0008-0000-0F00-0000039C3E00}"/>
            </a:ext>
          </a:extLst>
        </xdr:cNvPr>
        <xdr:cNvGrpSpPr>
          <a:grpSpLocks/>
        </xdr:cNvGrpSpPr>
      </xdr:nvGrpSpPr>
      <xdr:grpSpPr bwMode="auto">
        <a:xfrm>
          <a:off x="4117181" y="10096500"/>
          <a:ext cx="228600" cy="0"/>
          <a:chOff x="466" y="3952"/>
          <a:chExt cx="28" cy="16"/>
        </a:xfrm>
      </xdr:grpSpPr>
      <xdr:sp macro="" textlink="">
        <xdr:nvSpPr>
          <xdr:cNvPr id="4103592" name="Line 7013">
            <a:extLst>
              <a:ext uri="{FF2B5EF4-FFF2-40B4-BE49-F238E27FC236}">
                <a16:creationId xmlns:a16="http://schemas.microsoft.com/office/drawing/2014/main" id="{00000000-0008-0000-0F00-0000A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3" name="Line 7014">
            <a:extLst>
              <a:ext uri="{FF2B5EF4-FFF2-40B4-BE49-F238E27FC236}">
                <a16:creationId xmlns:a16="http://schemas.microsoft.com/office/drawing/2014/main" id="{00000000-0008-0000-0F00-0000A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2" name="Group 7015">
          <a:extLst>
            <a:ext uri="{FF2B5EF4-FFF2-40B4-BE49-F238E27FC236}">
              <a16:creationId xmlns:a16="http://schemas.microsoft.com/office/drawing/2014/main" id="{00000000-0008-0000-0F00-0000049C3E00}"/>
            </a:ext>
          </a:extLst>
        </xdr:cNvPr>
        <xdr:cNvGrpSpPr>
          <a:grpSpLocks/>
        </xdr:cNvGrpSpPr>
      </xdr:nvGrpSpPr>
      <xdr:grpSpPr bwMode="auto">
        <a:xfrm>
          <a:off x="4117181" y="10096500"/>
          <a:ext cx="228600" cy="0"/>
          <a:chOff x="466" y="3952"/>
          <a:chExt cx="28" cy="16"/>
        </a:xfrm>
      </xdr:grpSpPr>
      <xdr:sp macro="" textlink="">
        <xdr:nvSpPr>
          <xdr:cNvPr id="4103590" name="Line 7016">
            <a:extLst>
              <a:ext uri="{FF2B5EF4-FFF2-40B4-BE49-F238E27FC236}">
                <a16:creationId xmlns:a16="http://schemas.microsoft.com/office/drawing/2014/main" id="{00000000-0008-0000-0F00-0000A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91" name="Line 7017">
            <a:extLst>
              <a:ext uri="{FF2B5EF4-FFF2-40B4-BE49-F238E27FC236}">
                <a16:creationId xmlns:a16="http://schemas.microsoft.com/office/drawing/2014/main" id="{00000000-0008-0000-0F00-0000A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3" name="Group 7018">
          <a:extLst>
            <a:ext uri="{FF2B5EF4-FFF2-40B4-BE49-F238E27FC236}">
              <a16:creationId xmlns:a16="http://schemas.microsoft.com/office/drawing/2014/main" id="{00000000-0008-0000-0F00-0000059C3E00}"/>
            </a:ext>
          </a:extLst>
        </xdr:cNvPr>
        <xdr:cNvGrpSpPr>
          <a:grpSpLocks/>
        </xdr:cNvGrpSpPr>
      </xdr:nvGrpSpPr>
      <xdr:grpSpPr bwMode="auto">
        <a:xfrm>
          <a:off x="4700588" y="10096500"/>
          <a:ext cx="266700" cy="0"/>
          <a:chOff x="466" y="3952"/>
          <a:chExt cx="28" cy="16"/>
        </a:xfrm>
      </xdr:grpSpPr>
      <xdr:sp macro="" textlink="">
        <xdr:nvSpPr>
          <xdr:cNvPr id="4103588" name="Line 7019">
            <a:extLst>
              <a:ext uri="{FF2B5EF4-FFF2-40B4-BE49-F238E27FC236}">
                <a16:creationId xmlns:a16="http://schemas.microsoft.com/office/drawing/2014/main" id="{00000000-0008-0000-0F00-0000A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9" name="Line 7020">
            <a:extLst>
              <a:ext uri="{FF2B5EF4-FFF2-40B4-BE49-F238E27FC236}">
                <a16:creationId xmlns:a16="http://schemas.microsoft.com/office/drawing/2014/main" id="{00000000-0008-0000-0F00-0000A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4" name="Group 7021">
          <a:extLst>
            <a:ext uri="{FF2B5EF4-FFF2-40B4-BE49-F238E27FC236}">
              <a16:creationId xmlns:a16="http://schemas.microsoft.com/office/drawing/2014/main" id="{00000000-0008-0000-0F00-0000069C3E00}"/>
            </a:ext>
          </a:extLst>
        </xdr:cNvPr>
        <xdr:cNvGrpSpPr>
          <a:grpSpLocks/>
        </xdr:cNvGrpSpPr>
      </xdr:nvGrpSpPr>
      <xdr:grpSpPr bwMode="auto">
        <a:xfrm>
          <a:off x="4700588" y="10096500"/>
          <a:ext cx="266700" cy="0"/>
          <a:chOff x="466" y="3952"/>
          <a:chExt cx="28" cy="16"/>
        </a:xfrm>
      </xdr:grpSpPr>
      <xdr:sp macro="" textlink="">
        <xdr:nvSpPr>
          <xdr:cNvPr id="4103586" name="Line 7022">
            <a:extLst>
              <a:ext uri="{FF2B5EF4-FFF2-40B4-BE49-F238E27FC236}">
                <a16:creationId xmlns:a16="http://schemas.microsoft.com/office/drawing/2014/main" id="{00000000-0008-0000-0F00-0000A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7" name="Line 7023">
            <a:extLst>
              <a:ext uri="{FF2B5EF4-FFF2-40B4-BE49-F238E27FC236}">
                <a16:creationId xmlns:a16="http://schemas.microsoft.com/office/drawing/2014/main" id="{00000000-0008-0000-0F00-0000A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5" name="Group 7024">
          <a:extLst>
            <a:ext uri="{FF2B5EF4-FFF2-40B4-BE49-F238E27FC236}">
              <a16:creationId xmlns:a16="http://schemas.microsoft.com/office/drawing/2014/main" id="{00000000-0008-0000-0F00-0000079C3E00}"/>
            </a:ext>
          </a:extLst>
        </xdr:cNvPr>
        <xdr:cNvGrpSpPr>
          <a:grpSpLocks/>
        </xdr:cNvGrpSpPr>
      </xdr:nvGrpSpPr>
      <xdr:grpSpPr bwMode="auto">
        <a:xfrm>
          <a:off x="4700588" y="10096500"/>
          <a:ext cx="266700" cy="0"/>
          <a:chOff x="466" y="3952"/>
          <a:chExt cx="28" cy="16"/>
        </a:xfrm>
      </xdr:grpSpPr>
      <xdr:sp macro="" textlink="">
        <xdr:nvSpPr>
          <xdr:cNvPr id="4103584" name="Line 7025">
            <a:extLst>
              <a:ext uri="{FF2B5EF4-FFF2-40B4-BE49-F238E27FC236}">
                <a16:creationId xmlns:a16="http://schemas.microsoft.com/office/drawing/2014/main" id="{00000000-0008-0000-0F00-0000A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5" name="Line 7026">
            <a:extLst>
              <a:ext uri="{FF2B5EF4-FFF2-40B4-BE49-F238E27FC236}">
                <a16:creationId xmlns:a16="http://schemas.microsoft.com/office/drawing/2014/main" id="{00000000-0008-0000-0F00-0000A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6" name="Group 7027">
          <a:extLst>
            <a:ext uri="{FF2B5EF4-FFF2-40B4-BE49-F238E27FC236}">
              <a16:creationId xmlns:a16="http://schemas.microsoft.com/office/drawing/2014/main" id="{00000000-0008-0000-0F00-0000089C3E00}"/>
            </a:ext>
          </a:extLst>
        </xdr:cNvPr>
        <xdr:cNvGrpSpPr>
          <a:grpSpLocks/>
        </xdr:cNvGrpSpPr>
      </xdr:nvGrpSpPr>
      <xdr:grpSpPr bwMode="auto">
        <a:xfrm>
          <a:off x="4700588" y="10096500"/>
          <a:ext cx="266700" cy="0"/>
          <a:chOff x="466" y="3952"/>
          <a:chExt cx="28" cy="16"/>
        </a:xfrm>
      </xdr:grpSpPr>
      <xdr:sp macro="" textlink="">
        <xdr:nvSpPr>
          <xdr:cNvPr id="4103582" name="Line 7028">
            <a:extLst>
              <a:ext uri="{FF2B5EF4-FFF2-40B4-BE49-F238E27FC236}">
                <a16:creationId xmlns:a16="http://schemas.microsoft.com/office/drawing/2014/main" id="{00000000-0008-0000-0F00-00009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3" name="Line 7029">
            <a:extLst>
              <a:ext uri="{FF2B5EF4-FFF2-40B4-BE49-F238E27FC236}">
                <a16:creationId xmlns:a16="http://schemas.microsoft.com/office/drawing/2014/main" id="{00000000-0008-0000-0F00-00009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77" name="Group 7030">
          <a:extLst>
            <a:ext uri="{FF2B5EF4-FFF2-40B4-BE49-F238E27FC236}">
              <a16:creationId xmlns:a16="http://schemas.microsoft.com/office/drawing/2014/main" id="{00000000-0008-0000-0F00-0000099C3E00}"/>
            </a:ext>
          </a:extLst>
        </xdr:cNvPr>
        <xdr:cNvGrpSpPr>
          <a:grpSpLocks/>
        </xdr:cNvGrpSpPr>
      </xdr:nvGrpSpPr>
      <xdr:grpSpPr bwMode="auto">
        <a:xfrm>
          <a:off x="4700588" y="10096500"/>
          <a:ext cx="266700" cy="0"/>
          <a:chOff x="466" y="3952"/>
          <a:chExt cx="28" cy="16"/>
        </a:xfrm>
      </xdr:grpSpPr>
      <xdr:sp macro="" textlink="">
        <xdr:nvSpPr>
          <xdr:cNvPr id="4103580" name="Line 7031">
            <a:extLst>
              <a:ext uri="{FF2B5EF4-FFF2-40B4-BE49-F238E27FC236}">
                <a16:creationId xmlns:a16="http://schemas.microsoft.com/office/drawing/2014/main" id="{00000000-0008-0000-0F00-00009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81" name="Line 7032">
            <a:extLst>
              <a:ext uri="{FF2B5EF4-FFF2-40B4-BE49-F238E27FC236}">
                <a16:creationId xmlns:a16="http://schemas.microsoft.com/office/drawing/2014/main" id="{00000000-0008-0000-0F00-00009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8" name="Group 7033">
          <a:extLst>
            <a:ext uri="{FF2B5EF4-FFF2-40B4-BE49-F238E27FC236}">
              <a16:creationId xmlns:a16="http://schemas.microsoft.com/office/drawing/2014/main" id="{00000000-0008-0000-0F00-00000A9C3E00}"/>
            </a:ext>
          </a:extLst>
        </xdr:cNvPr>
        <xdr:cNvGrpSpPr>
          <a:grpSpLocks/>
        </xdr:cNvGrpSpPr>
      </xdr:nvGrpSpPr>
      <xdr:grpSpPr bwMode="auto">
        <a:xfrm>
          <a:off x="4117181" y="10096500"/>
          <a:ext cx="228600" cy="0"/>
          <a:chOff x="466" y="3952"/>
          <a:chExt cx="28" cy="16"/>
        </a:xfrm>
      </xdr:grpSpPr>
      <xdr:sp macro="" textlink="">
        <xdr:nvSpPr>
          <xdr:cNvPr id="4103578" name="Line 7034">
            <a:extLst>
              <a:ext uri="{FF2B5EF4-FFF2-40B4-BE49-F238E27FC236}">
                <a16:creationId xmlns:a16="http://schemas.microsoft.com/office/drawing/2014/main" id="{00000000-0008-0000-0F00-00009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9" name="Line 7035">
            <a:extLst>
              <a:ext uri="{FF2B5EF4-FFF2-40B4-BE49-F238E27FC236}">
                <a16:creationId xmlns:a16="http://schemas.microsoft.com/office/drawing/2014/main" id="{00000000-0008-0000-0F00-00009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179" name="Group 7036">
          <a:extLst>
            <a:ext uri="{FF2B5EF4-FFF2-40B4-BE49-F238E27FC236}">
              <a16:creationId xmlns:a16="http://schemas.microsoft.com/office/drawing/2014/main" id="{00000000-0008-0000-0F00-00000B9C3E00}"/>
            </a:ext>
          </a:extLst>
        </xdr:cNvPr>
        <xdr:cNvGrpSpPr>
          <a:grpSpLocks/>
        </xdr:cNvGrpSpPr>
      </xdr:nvGrpSpPr>
      <xdr:grpSpPr bwMode="auto">
        <a:xfrm>
          <a:off x="4117181" y="10096500"/>
          <a:ext cx="228600" cy="0"/>
          <a:chOff x="466" y="3952"/>
          <a:chExt cx="28" cy="16"/>
        </a:xfrm>
      </xdr:grpSpPr>
      <xdr:sp macro="" textlink="">
        <xdr:nvSpPr>
          <xdr:cNvPr id="4103576" name="Line 7037">
            <a:extLst>
              <a:ext uri="{FF2B5EF4-FFF2-40B4-BE49-F238E27FC236}">
                <a16:creationId xmlns:a16="http://schemas.microsoft.com/office/drawing/2014/main" id="{00000000-0008-0000-0F00-00009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7" name="Line 7038">
            <a:extLst>
              <a:ext uri="{FF2B5EF4-FFF2-40B4-BE49-F238E27FC236}">
                <a16:creationId xmlns:a16="http://schemas.microsoft.com/office/drawing/2014/main" id="{00000000-0008-0000-0F00-00009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0" name="Group 7039">
          <a:extLst>
            <a:ext uri="{FF2B5EF4-FFF2-40B4-BE49-F238E27FC236}">
              <a16:creationId xmlns:a16="http://schemas.microsoft.com/office/drawing/2014/main" id="{00000000-0008-0000-0F00-00000C9C3E00}"/>
            </a:ext>
          </a:extLst>
        </xdr:cNvPr>
        <xdr:cNvGrpSpPr>
          <a:grpSpLocks/>
        </xdr:cNvGrpSpPr>
      </xdr:nvGrpSpPr>
      <xdr:grpSpPr bwMode="auto">
        <a:xfrm>
          <a:off x="4700588" y="10096500"/>
          <a:ext cx="266700" cy="0"/>
          <a:chOff x="466" y="3952"/>
          <a:chExt cx="28" cy="16"/>
        </a:xfrm>
      </xdr:grpSpPr>
      <xdr:sp macro="" textlink="">
        <xdr:nvSpPr>
          <xdr:cNvPr id="4103574" name="Line 7040">
            <a:extLst>
              <a:ext uri="{FF2B5EF4-FFF2-40B4-BE49-F238E27FC236}">
                <a16:creationId xmlns:a16="http://schemas.microsoft.com/office/drawing/2014/main" id="{00000000-0008-0000-0F00-00009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5" name="Line 7041">
            <a:extLst>
              <a:ext uri="{FF2B5EF4-FFF2-40B4-BE49-F238E27FC236}">
                <a16:creationId xmlns:a16="http://schemas.microsoft.com/office/drawing/2014/main" id="{00000000-0008-0000-0F00-00009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1" name="Group 7042">
          <a:extLst>
            <a:ext uri="{FF2B5EF4-FFF2-40B4-BE49-F238E27FC236}">
              <a16:creationId xmlns:a16="http://schemas.microsoft.com/office/drawing/2014/main" id="{00000000-0008-0000-0F00-00000D9C3E00}"/>
            </a:ext>
          </a:extLst>
        </xdr:cNvPr>
        <xdr:cNvGrpSpPr>
          <a:grpSpLocks/>
        </xdr:cNvGrpSpPr>
      </xdr:nvGrpSpPr>
      <xdr:grpSpPr bwMode="auto">
        <a:xfrm>
          <a:off x="4700588" y="10096500"/>
          <a:ext cx="266700" cy="0"/>
          <a:chOff x="466" y="3952"/>
          <a:chExt cx="28" cy="16"/>
        </a:xfrm>
      </xdr:grpSpPr>
      <xdr:sp macro="" textlink="">
        <xdr:nvSpPr>
          <xdr:cNvPr id="4103572" name="Line 7043">
            <a:extLst>
              <a:ext uri="{FF2B5EF4-FFF2-40B4-BE49-F238E27FC236}">
                <a16:creationId xmlns:a16="http://schemas.microsoft.com/office/drawing/2014/main" id="{00000000-0008-0000-0F00-00009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3" name="Line 7044">
            <a:extLst>
              <a:ext uri="{FF2B5EF4-FFF2-40B4-BE49-F238E27FC236}">
                <a16:creationId xmlns:a16="http://schemas.microsoft.com/office/drawing/2014/main" id="{00000000-0008-0000-0F00-00009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2" name="Group 7045">
          <a:extLst>
            <a:ext uri="{FF2B5EF4-FFF2-40B4-BE49-F238E27FC236}">
              <a16:creationId xmlns:a16="http://schemas.microsoft.com/office/drawing/2014/main" id="{00000000-0008-0000-0F00-00000E9C3E00}"/>
            </a:ext>
          </a:extLst>
        </xdr:cNvPr>
        <xdr:cNvGrpSpPr>
          <a:grpSpLocks/>
        </xdr:cNvGrpSpPr>
      </xdr:nvGrpSpPr>
      <xdr:grpSpPr bwMode="auto">
        <a:xfrm>
          <a:off x="4117181" y="10096500"/>
          <a:ext cx="240507" cy="0"/>
          <a:chOff x="466" y="3952"/>
          <a:chExt cx="28" cy="16"/>
        </a:xfrm>
      </xdr:grpSpPr>
      <xdr:sp macro="" textlink="">
        <xdr:nvSpPr>
          <xdr:cNvPr id="4103570" name="Line 7046">
            <a:extLst>
              <a:ext uri="{FF2B5EF4-FFF2-40B4-BE49-F238E27FC236}">
                <a16:creationId xmlns:a16="http://schemas.microsoft.com/office/drawing/2014/main" id="{00000000-0008-0000-0F00-00009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71" name="Line 7047">
            <a:extLst>
              <a:ext uri="{FF2B5EF4-FFF2-40B4-BE49-F238E27FC236}">
                <a16:creationId xmlns:a16="http://schemas.microsoft.com/office/drawing/2014/main" id="{00000000-0008-0000-0F00-00009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183" name="Group 7048">
          <a:extLst>
            <a:ext uri="{FF2B5EF4-FFF2-40B4-BE49-F238E27FC236}">
              <a16:creationId xmlns:a16="http://schemas.microsoft.com/office/drawing/2014/main" id="{00000000-0008-0000-0F00-00000F9C3E00}"/>
            </a:ext>
          </a:extLst>
        </xdr:cNvPr>
        <xdr:cNvGrpSpPr>
          <a:grpSpLocks/>
        </xdr:cNvGrpSpPr>
      </xdr:nvGrpSpPr>
      <xdr:grpSpPr bwMode="auto">
        <a:xfrm>
          <a:off x="5486400" y="10096500"/>
          <a:ext cx="228600" cy="0"/>
          <a:chOff x="466" y="3952"/>
          <a:chExt cx="28" cy="16"/>
        </a:xfrm>
      </xdr:grpSpPr>
      <xdr:sp macro="" textlink="">
        <xdr:nvSpPr>
          <xdr:cNvPr id="4103568" name="Line 7049">
            <a:extLst>
              <a:ext uri="{FF2B5EF4-FFF2-40B4-BE49-F238E27FC236}">
                <a16:creationId xmlns:a16="http://schemas.microsoft.com/office/drawing/2014/main" id="{00000000-0008-0000-0F00-00009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9" name="Line 7050">
            <a:extLst>
              <a:ext uri="{FF2B5EF4-FFF2-40B4-BE49-F238E27FC236}">
                <a16:creationId xmlns:a16="http://schemas.microsoft.com/office/drawing/2014/main" id="{00000000-0008-0000-0F00-00009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4" name="Group 7051">
          <a:extLst>
            <a:ext uri="{FF2B5EF4-FFF2-40B4-BE49-F238E27FC236}">
              <a16:creationId xmlns:a16="http://schemas.microsoft.com/office/drawing/2014/main" id="{00000000-0008-0000-0F00-0000109C3E00}"/>
            </a:ext>
          </a:extLst>
        </xdr:cNvPr>
        <xdr:cNvGrpSpPr>
          <a:grpSpLocks/>
        </xdr:cNvGrpSpPr>
      </xdr:nvGrpSpPr>
      <xdr:grpSpPr bwMode="auto">
        <a:xfrm>
          <a:off x="4700588" y="10096500"/>
          <a:ext cx="266700" cy="0"/>
          <a:chOff x="466" y="3952"/>
          <a:chExt cx="28" cy="16"/>
        </a:xfrm>
      </xdr:grpSpPr>
      <xdr:sp macro="" textlink="">
        <xdr:nvSpPr>
          <xdr:cNvPr id="4103566" name="Line 7052">
            <a:extLst>
              <a:ext uri="{FF2B5EF4-FFF2-40B4-BE49-F238E27FC236}">
                <a16:creationId xmlns:a16="http://schemas.microsoft.com/office/drawing/2014/main" id="{00000000-0008-0000-0F00-00008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7" name="Line 7053">
            <a:extLst>
              <a:ext uri="{FF2B5EF4-FFF2-40B4-BE49-F238E27FC236}">
                <a16:creationId xmlns:a16="http://schemas.microsoft.com/office/drawing/2014/main" id="{00000000-0008-0000-0F00-00008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5" name="Group 7054">
          <a:extLst>
            <a:ext uri="{FF2B5EF4-FFF2-40B4-BE49-F238E27FC236}">
              <a16:creationId xmlns:a16="http://schemas.microsoft.com/office/drawing/2014/main" id="{00000000-0008-0000-0F00-0000119C3E00}"/>
            </a:ext>
          </a:extLst>
        </xdr:cNvPr>
        <xdr:cNvGrpSpPr>
          <a:grpSpLocks/>
        </xdr:cNvGrpSpPr>
      </xdr:nvGrpSpPr>
      <xdr:grpSpPr bwMode="auto">
        <a:xfrm>
          <a:off x="4700588" y="10096500"/>
          <a:ext cx="266700" cy="0"/>
          <a:chOff x="466" y="3952"/>
          <a:chExt cx="28" cy="16"/>
        </a:xfrm>
      </xdr:grpSpPr>
      <xdr:sp macro="" textlink="">
        <xdr:nvSpPr>
          <xdr:cNvPr id="4103564" name="Line 7055">
            <a:extLst>
              <a:ext uri="{FF2B5EF4-FFF2-40B4-BE49-F238E27FC236}">
                <a16:creationId xmlns:a16="http://schemas.microsoft.com/office/drawing/2014/main" id="{00000000-0008-0000-0F00-00008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5" name="Line 7056">
            <a:extLst>
              <a:ext uri="{FF2B5EF4-FFF2-40B4-BE49-F238E27FC236}">
                <a16:creationId xmlns:a16="http://schemas.microsoft.com/office/drawing/2014/main" id="{00000000-0008-0000-0F00-00008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6" name="Group 7057">
          <a:extLst>
            <a:ext uri="{FF2B5EF4-FFF2-40B4-BE49-F238E27FC236}">
              <a16:creationId xmlns:a16="http://schemas.microsoft.com/office/drawing/2014/main" id="{00000000-0008-0000-0F00-0000129C3E00}"/>
            </a:ext>
          </a:extLst>
        </xdr:cNvPr>
        <xdr:cNvGrpSpPr>
          <a:grpSpLocks/>
        </xdr:cNvGrpSpPr>
      </xdr:nvGrpSpPr>
      <xdr:grpSpPr bwMode="auto">
        <a:xfrm>
          <a:off x="4700588" y="10096500"/>
          <a:ext cx="266700" cy="0"/>
          <a:chOff x="466" y="3952"/>
          <a:chExt cx="28" cy="16"/>
        </a:xfrm>
      </xdr:grpSpPr>
      <xdr:sp macro="" textlink="">
        <xdr:nvSpPr>
          <xdr:cNvPr id="4103562" name="Line 7058">
            <a:extLst>
              <a:ext uri="{FF2B5EF4-FFF2-40B4-BE49-F238E27FC236}">
                <a16:creationId xmlns:a16="http://schemas.microsoft.com/office/drawing/2014/main" id="{00000000-0008-0000-0F00-00008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3" name="Line 7059">
            <a:extLst>
              <a:ext uri="{FF2B5EF4-FFF2-40B4-BE49-F238E27FC236}">
                <a16:creationId xmlns:a16="http://schemas.microsoft.com/office/drawing/2014/main" id="{00000000-0008-0000-0F00-00008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87" name="Group 7060">
          <a:extLst>
            <a:ext uri="{FF2B5EF4-FFF2-40B4-BE49-F238E27FC236}">
              <a16:creationId xmlns:a16="http://schemas.microsoft.com/office/drawing/2014/main" id="{00000000-0008-0000-0F00-0000139C3E00}"/>
            </a:ext>
          </a:extLst>
        </xdr:cNvPr>
        <xdr:cNvGrpSpPr>
          <a:grpSpLocks/>
        </xdr:cNvGrpSpPr>
      </xdr:nvGrpSpPr>
      <xdr:grpSpPr bwMode="auto">
        <a:xfrm>
          <a:off x="4700588" y="10096500"/>
          <a:ext cx="266700" cy="0"/>
          <a:chOff x="466" y="3952"/>
          <a:chExt cx="28" cy="16"/>
        </a:xfrm>
      </xdr:grpSpPr>
      <xdr:sp macro="" textlink="">
        <xdr:nvSpPr>
          <xdr:cNvPr id="4103560" name="Line 7061">
            <a:extLst>
              <a:ext uri="{FF2B5EF4-FFF2-40B4-BE49-F238E27FC236}">
                <a16:creationId xmlns:a16="http://schemas.microsoft.com/office/drawing/2014/main" id="{00000000-0008-0000-0F00-00008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61" name="Line 7062">
            <a:extLst>
              <a:ext uri="{FF2B5EF4-FFF2-40B4-BE49-F238E27FC236}">
                <a16:creationId xmlns:a16="http://schemas.microsoft.com/office/drawing/2014/main" id="{00000000-0008-0000-0F00-00008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188" name="Group 7063">
          <a:extLst>
            <a:ext uri="{FF2B5EF4-FFF2-40B4-BE49-F238E27FC236}">
              <a16:creationId xmlns:a16="http://schemas.microsoft.com/office/drawing/2014/main" id="{00000000-0008-0000-0F00-0000149C3E00}"/>
            </a:ext>
          </a:extLst>
        </xdr:cNvPr>
        <xdr:cNvGrpSpPr>
          <a:grpSpLocks/>
        </xdr:cNvGrpSpPr>
      </xdr:nvGrpSpPr>
      <xdr:grpSpPr bwMode="auto">
        <a:xfrm>
          <a:off x="4576763" y="10096500"/>
          <a:ext cx="228600" cy="0"/>
          <a:chOff x="466" y="3952"/>
          <a:chExt cx="28" cy="16"/>
        </a:xfrm>
      </xdr:grpSpPr>
      <xdr:sp macro="" textlink="">
        <xdr:nvSpPr>
          <xdr:cNvPr id="4103558" name="Line 7064">
            <a:extLst>
              <a:ext uri="{FF2B5EF4-FFF2-40B4-BE49-F238E27FC236}">
                <a16:creationId xmlns:a16="http://schemas.microsoft.com/office/drawing/2014/main" id="{00000000-0008-0000-0F00-00008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9" name="Line 7065">
            <a:extLst>
              <a:ext uri="{FF2B5EF4-FFF2-40B4-BE49-F238E27FC236}">
                <a16:creationId xmlns:a16="http://schemas.microsoft.com/office/drawing/2014/main" id="{00000000-0008-0000-0F00-00008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89" name="Group 7066">
          <a:extLst>
            <a:ext uri="{FF2B5EF4-FFF2-40B4-BE49-F238E27FC236}">
              <a16:creationId xmlns:a16="http://schemas.microsoft.com/office/drawing/2014/main" id="{00000000-0008-0000-0F00-0000159C3E00}"/>
            </a:ext>
          </a:extLst>
        </xdr:cNvPr>
        <xdr:cNvGrpSpPr>
          <a:grpSpLocks/>
        </xdr:cNvGrpSpPr>
      </xdr:nvGrpSpPr>
      <xdr:grpSpPr bwMode="auto">
        <a:xfrm>
          <a:off x="4117181" y="10096500"/>
          <a:ext cx="240507" cy="0"/>
          <a:chOff x="466" y="3952"/>
          <a:chExt cx="28" cy="16"/>
        </a:xfrm>
      </xdr:grpSpPr>
      <xdr:sp macro="" textlink="">
        <xdr:nvSpPr>
          <xdr:cNvPr id="4103556" name="Line 7067">
            <a:extLst>
              <a:ext uri="{FF2B5EF4-FFF2-40B4-BE49-F238E27FC236}">
                <a16:creationId xmlns:a16="http://schemas.microsoft.com/office/drawing/2014/main" id="{00000000-0008-0000-0F00-00008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7" name="Line 7068">
            <a:extLst>
              <a:ext uri="{FF2B5EF4-FFF2-40B4-BE49-F238E27FC236}">
                <a16:creationId xmlns:a16="http://schemas.microsoft.com/office/drawing/2014/main" id="{00000000-0008-0000-0F00-00008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0" name="Group 7069">
          <a:extLst>
            <a:ext uri="{FF2B5EF4-FFF2-40B4-BE49-F238E27FC236}">
              <a16:creationId xmlns:a16="http://schemas.microsoft.com/office/drawing/2014/main" id="{00000000-0008-0000-0F00-0000169C3E00}"/>
            </a:ext>
          </a:extLst>
        </xdr:cNvPr>
        <xdr:cNvGrpSpPr>
          <a:grpSpLocks/>
        </xdr:cNvGrpSpPr>
      </xdr:nvGrpSpPr>
      <xdr:grpSpPr bwMode="auto">
        <a:xfrm>
          <a:off x="4700588" y="10096500"/>
          <a:ext cx="266700" cy="0"/>
          <a:chOff x="466" y="3952"/>
          <a:chExt cx="28" cy="16"/>
        </a:xfrm>
      </xdr:grpSpPr>
      <xdr:sp macro="" textlink="">
        <xdr:nvSpPr>
          <xdr:cNvPr id="4103554" name="Line 7070">
            <a:extLst>
              <a:ext uri="{FF2B5EF4-FFF2-40B4-BE49-F238E27FC236}">
                <a16:creationId xmlns:a16="http://schemas.microsoft.com/office/drawing/2014/main" id="{00000000-0008-0000-0F00-00008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5" name="Line 7071">
            <a:extLst>
              <a:ext uri="{FF2B5EF4-FFF2-40B4-BE49-F238E27FC236}">
                <a16:creationId xmlns:a16="http://schemas.microsoft.com/office/drawing/2014/main" id="{00000000-0008-0000-0F00-00008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1" name="Group 7072">
          <a:extLst>
            <a:ext uri="{FF2B5EF4-FFF2-40B4-BE49-F238E27FC236}">
              <a16:creationId xmlns:a16="http://schemas.microsoft.com/office/drawing/2014/main" id="{00000000-0008-0000-0F00-0000179C3E00}"/>
            </a:ext>
          </a:extLst>
        </xdr:cNvPr>
        <xdr:cNvGrpSpPr>
          <a:grpSpLocks/>
        </xdr:cNvGrpSpPr>
      </xdr:nvGrpSpPr>
      <xdr:grpSpPr bwMode="auto">
        <a:xfrm>
          <a:off x="4117181" y="10096500"/>
          <a:ext cx="240507" cy="0"/>
          <a:chOff x="466" y="3952"/>
          <a:chExt cx="28" cy="16"/>
        </a:xfrm>
      </xdr:grpSpPr>
      <xdr:sp macro="" textlink="">
        <xdr:nvSpPr>
          <xdr:cNvPr id="4103552" name="Line 7073">
            <a:extLst>
              <a:ext uri="{FF2B5EF4-FFF2-40B4-BE49-F238E27FC236}">
                <a16:creationId xmlns:a16="http://schemas.microsoft.com/office/drawing/2014/main" id="{00000000-0008-0000-0F00-00008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3" name="Line 7074">
            <a:extLst>
              <a:ext uri="{FF2B5EF4-FFF2-40B4-BE49-F238E27FC236}">
                <a16:creationId xmlns:a16="http://schemas.microsoft.com/office/drawing/2014/main" id="{00000000-0008-0000-0F00-00008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2" name="Group 7075">
          <a:extLst>
            <a:ext uri="{FF2B5EF4-FFF2-40B4-BE49-F238E27FC236}">
              <a16:creationId xmlns:a16="http://schemas.microsoft.com/office/drawing/2014/main" id="{00000000-0008-0000-0F00-0000189C3E00}"/>
            </a:ext>
          </a:extLst>
        </xdr:cNvPr>
        <xdr:cNvGrpSpPr>
          <a:grpSpLocks/>
        </xdr:cNvGrpSpPr>
      </xdr:nvGrpSpPr>
      <xdr:grpSpPr bwMode="auto">
        <a:xfrm>
          <a:off x="4700588" y="10096500"/>
          <a:ext cx="266700" cy="0"/>
          <a:chOff x="466" y="3952"/>
          <a:chExt cx="28" cy="16"/>
        </a:xfrm>
      </xdr:grpSpPr>
      <xdr:sp macro="" textlink="">
        <xdr:nvSpPr>
          <xdr:cNvPr id="4103550" name="Line 7076">
            <a:extLst>
              <a:ext uri="{FF2B5EF4-FFF2-40B4-BE49-F238E27FC236}">
                <a16:creationId xmlns:a16="http://schemas.microsoft.com/office/drawing/2014/main" id="{00000000-0008-0000-0F00-00007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51" name="Line 7077">
            <a:extLst>
              <a:ext uri="{FF2B5EF4-FFF2-40B4-BE49-F238E27FC236}">
                <a16:creationId xmlns:a16="http://schemas.microsoft.com/office/drawing/2014/main" id="{00000000-0008-0000-0F00-00007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3" name="Group 7078">
          <a:extLst>
            <a:ext uri="{FF2B5EF4-FFF2-40B4-BE49-F238E27FC236}">
              <a16:creationId xmlns:a16="http://schemas.microsoft.com/office/drawing/2014/main" id="{00000000-0008-0000-0F00-0000199C3E00}"/>
            </a:ext>
          </a:extLst>
        </xdr:cNvPr>
        <xdr:cNvGrpSpPr>
          <a:grpSpLocks/>
        </xdr:cNvGrpSpPr>
      </xdr:nvGrpSpPr>
      <xdr:grpSpPr bwMode="auto">
        <a:xfrm>
          <a:off x="4117181" y="10096500"/>
          <a:ext cx="240507" cy="0"/>
          <a:chOff x="466" y="3952"/>
          <a:chExt cx="28" cy="16"/>
        </a:xfrm>
      </xdr:grpSpPr>
      <xdr:sp macro="" textlink="">
        <xdr:nvSpPr>
          <xdr:cNvPr id="4103548" name="Line 7079">
            <a:extLst>
              <a:ext uri="{FF2B5EF4-FFF2-40B4-BE49-F238E27FC236}">
                <a16:creationId xmlns:a16="http://schemas.microsoft.com/office/drawing/2014/main" id="{00000000-0008-0000-0F00-00007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9" name="Line 7080">
            <a:extLst>
              <a:ext uri="{FF2B5EF4-FFF2-40B4-BE49-F238E27FC236}">
                <a16:creationId xmlns:a16="http://schemas.microsoft.com/office/drawing/2014/main" id="{00000000-0008-0000-0F00-00007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194" name="Group 7081">
          <a:extLst>
            <a:ext uri="{FF2B5EF4-FFF2-40B4-BE49-F238E27FC236}">
              <a16:creationId xmlns:a16="http://schemas.microsoft.com/office/drawing/2014/main" id="{00000000-0008-0000-0F00-00001A9C3E00}"/>
            </a:ext>
          </a:extLst>
        </xdr:cNvPr>
        <xdr:cNvGrpSpPr>
          <a:grpSpLocks/>
        </xdr:cNvGrpSpPr>
      </xdr:nvGrpSpPr>
      <xdr:grpSpPr bwMode="auto">
        <a:xfrm>
          <a:off x="4700588" y="10096500"/>
          <a:ext cx="266700" cy="0"/>
          <a:chOff x="466" y="3952"/>
          <a:chExt cx="28" cy="16"/>
        </a:xfrm>
      </xdr:grpSpPr>
      <xdr:sp macro="" textlink="">
        <xdr:nvSpPr>
          <xdr:cNvPr id="4103546" name="Line 7082">
            <a:extLst>
              <a:ext uri="{FF2B5EF4-FFF2-40B4-BE49-F238E27FC236}">
                <a16:creationId xmlns:a16="http://schemas.microsoft.com/office/drawing/2014/main" id="{00000000-0008-0000-0F00-00007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7" name="Line 7083">
            <a:extLst>
              <a:ext uri="{FF2B5EF4-FFF2-40B4-BE49-F238E27FC236}">
                <a16:creationId xmlns:a16="http://schemas.microsoft.com/office/drawing/2014/main" id="{00000000-0008-0000-0F00-00007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5" name="Group 7084">
          <a:extLst>
            <a:ext uri="{FF2B5EF4-FFF2-40B4-BE49-F238E27FC236}">
              <a16:creationId xmlns:a16="http://schemas.microsoft.com/office/drawing/2014/main" id="{00000000-0008-0000-0F00-00001B9C3E00}"/>
            </a:ext>
          </a:extLst>
        </xdr:cNvPr>
        <xdr:cNvGrpSpPr>
          <a:grpSpLocks/>
        </xdr:cNvGrpSpPr>
      </xdr:nvGrpSpPr>
      <xdr:grpSpPr bwMode="auto">
        <a:xfrm>
          <a:off x="4117181" y="10096500"/>
          <a:ext cx="240507" cy="0"/>
          <a:chOff x="466" y="3952"/>
          <a:chExt cx="28" cy="16"/>
        </a:xfrm>
      </xdr:grpSpPr>
      <xdr:sp macro="" textlink="">
        <xdr:nvSpPr>
          <xdr:cNvPr id="4103544" name="Line 7085">
            <a:extLst>
              <a:ext uri="{FF2B5EF4-FFF2-40B4-BE49-F238E27FC236}">
                <a16:creationId xmlns:a16="http://schemas.microsoft.com/office/drawing/2014/main" id="{00000000-0008-0000-0F00-00007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5" name="Line 7086">
            <a:extLst>
              <a:ext uri="{FF2B5EF4-FFF2-40B4-BE49-F238E27FC236}">
                <a16:creationId xmlns:a16="http://schemas.microsoft.com/office/drawing/2014/main" id="{00000000-0008-0000-0F00-00007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6" name="Group 7087">
          <a:extLst>
            <a:ext uri="{FF2B5EF4-FFF2-40B4-BE49-F238E27FC236}">
              <a16:creationId xmlns:a16="http://schemas.microsoft.com/office/drawing/2014/main" id="{00000000-0008-0000-0F00-00001C9C3E00}"/>
            </a:ext>
          </a:extLst>
        </xdr:cNvPr>
        <xdr:cNvGrpSpPr>
          <a:grpSpLocks/>
        </xdr:cNvGrpSpPr>
      </xdr:nvGrpSpPr>
      <xdr:grpSpPr bwMode="auto">
        <a:xfrm>
          <a:off x="4117181" y="10096500"/>
          <a:ext cx="240507" cy="0"/>
          <a:chOff x="466" y="3952"/>
          <a:chExt cx="28" cy="16"/>
        </a:xfrm>
      </xdr:grpSpPr>
      <xdr:sp macro="" textlink="">
        <xdr:nvSpPr>
          <xdr:cNvPr id="4103542" name="Line 7088">
            <a:extLst>
              <a:ext uri="{FF2B5EF4-FFF2-40B4-BE49-F238E27FC236}">
                <a16:creationId xmlns:a16="http://schemas.microsoft.com/office/drawing/2014/main" id="{00000000-0008-0000-0F00-00007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3" name="Line 7089">
            <a:extLst>
              <a:ext uri="{FF2B5EF4-FFF2-40B4-BE49-F238E27FC236}">
                <a16:creationId xmlns:a16="http://schemas.microsoft.com/office/drawing/2014/main" id="{00000000-0008-0000-0F00-00007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7" name="Group 7090">
          <a:extLst>
            <a:ext uri="{FF2B5EF4-FFF2-40B4-BE49-F238E27FC236}">
              <a16:creationId xmlns:a16="http://schemas.microsoft.com/office/drawing/2014/main" id="{00000000-0008-0000-0F00-00001D9C3E00}"/>
            </a:ext>
          </a:extLst>
        </xdr:cNvPr>
        <xdr:cNvGrpSpPr>
          <a:grpSpLocks/>
        </xdr:cNvGrpSpPr>
      </xdr:nvGrpSpPr>
      <xdr:grpSpPr bwMode="auto">
        <a:xfrm>
          <a:off x="4117181" y="10096500"/>
          <a:ext cx="240507" cy="0"/>
          <a:chOff x="466" y="3952"/>
          <a:chExt cx="28" cy="16"/>
        </a:xfrm>
      </xdr:grpSpPr>
      <xdr:sp macro="" textlink="">
        <xdr:nvSpPr>
          <xdr:cNvPr id="4103540" name="Line 7091">
            <a:extLst>
              <a:ext uri="{FF2B5EF4-FFF2-40B4-BE49-F238E27FC236}">
                <a16:creationId xmlns:a16="http://schemas.microsoft.com/office/drawing/2014/main" id="{00000000-0008-0000-0F00-00007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41" name="Line 7092">
            <a:extLst>
              <a:ext uri="{FF2B5EF4-FFF2-40B4-BE49-F238E27FC236}">
                <a16:creationId xmlns:a16="http://schemas.microsoft.com/office/drawing/2014/main" id="{00000000-0008-0000-0F00-00007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198" name="Group 7093">
          <a:extLst>
            <a:ext uri="{FF2B5EF4-FFF2-40B4-BE49-F238E27FC236}">
              <a16:creationId xmlns:a16="http://schemas.microsoft.com/office/drawing/2014/main" id="{00000000-0008-0000-0F00-00001E9C3E00}"/>
            </a:ext>
          </a:extLst>
        </xdr:cNvPr>
        <xdr:cNvGrpSpPr>
          <a:grpSpLocks/>
        </xdr:cNvGrpSpPr>
      </xdr:nvGrpSpPr>
      <xdr:grpSpPr bwMode="auto">
        <a:xfrm>
          <a:off x="4117181" y="10096500"/>
          <a:ext cx="240507" cy="0"/>
          <a:chOff x="466" y="3952"/>
          <a:chExt cx="28" cy="16"/>
        </a:xfrm>
      </xdr:grpSpPr>
      <xdr:sp macro="" textlink="">
        <xdr:nvSpPr>
          <xdr:cNvPr id="4103538" name="Line 7094">
            <a:extLst>
              <a:ext uri="{FF2B5EF4-FFF2-40B4-BE49-F238E27FC236}">
                <a16:creationId xmlns:a16="http://schemas.microsoft.com/office/drawing/2014/main" id="{00000000-0008-0000-0F00-00007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9" name="Line 7095">
            <a:extLst>
              <a:ext uri="{FF2B5EF4-FFF2-40B4-BE49-F238E27FC236}">
                <a16:creationId xmlns:a16="http://schemas.microsoft.com/office/drawing/2014/main" id="{00000000-0008-0000-0F00-00007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199" name="Group 7096">
          <a:extLst>
            <a:ext uri="{FF2B5EF4-FFF2-40B4-BE49-F238E27FC236}">
              <a16:creationId xmlns:a16="http://schemas.microsoft.com/office/drawing/2014/main" id="{00000000-0008-0000-0F00-00001F9C3E00}"/>
            </a:ext>
          </a:extLst>
        </xdr:cNvPr>
        <xdr:cNvGrpSpPr>
          <a:grpSpLocks/>
        </xdr:cNvGrpSpPr>
      </xdr:nvGrpSpPr>
      <xdr:grpSpPr bwMode="auto">
        <a:xfrm>
          <a:off x="5143500" y="10096500"/>
          <a:ext cx="0" cy="0"/>
          <a:chOff x="466" y="3952"/>
          <a:chExt cx="28" cy="16"/>
        </a:xfrm>
      </xdr:grpSpPr>
      <xdr:sp macro="" textlink="">
        <xdr:nvSpPr>
          <xdr:cNvPr id="4103536" name="Line 7097">
            <a:extLst>
              <a:ext uri="{FF2B5EF4-FFF2-40B4-BE49-F238E27FC236}">
                <a16:creationId xmlns:a16="http://schemas.microsoft.com/office/drawing/2014/main" id="{00000000-0008-0000-0F00-00007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7" name="Line 7098">
            <a:extLst>
              <a:ext uri="{FF2B5EF4-FFF2-40B4-BE49-F238E27FC236}">
                <a16:creationId xmlns:a16="http://schemas.microsoft.com/office/drawing/2014/main" id="{00000000-0008-0000-0F00-00007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0" name="Group 7099">
          <a:extLst>
            <a:ext uri="{FF2B5EF4-FFF2-40B4-BE49-F238E27FC236}">
              <a16:creationId xmlns:a16="http://schemas.microsoft.com/office/drawing/2014/main" id="{00000000-0008-0000-0F00-0000209C3E00}"/>
            </a:ext>
          </a:extLst>
        </xdr:cNvPr>
        <xdr:cNvGrpSpPr>
          <a:grpSpLocks/>
        </xdr:cNvGrpSpPr>
      </xdr:nvGrpSpPr>
      <xdr:grpSpPr bwMode="auto">
        <a:xfrm>
          <a:off x="5143500" y="10096500"/>
          <a:ext cx="0" cy="0"/>
          <a:chOff x="466" y="3952"/>
          <a:chExt cx="28" cy="16"/>
        </a:xfrm>
      </xdr:grpSpPr>
      <xdr:sp macro="" textlink="">
        <xdr:nvSpPr>
          <xdr:cNvPr id="4103534" name="Line 7100">
            <a:extLst>
              <a:ext uri="{FF2B5EF4-FFF2-40B4-BE49-F238E27FC236}">
                <a16:creationId xmlns:a16="http://schemas.microsoft.com/office/drawing/2014/main" id="{00000000-0008-0000-0F00-00006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5" name="Line 7101">
            <a:extLst>
              <a:ext uri="{FF2B5EF4-FFF2-40B4-BE49-F238E27FC236}">
                <a16:creationId xmlns:a16="http://schemas.microsoft.com/office/drawing/2014/main" id="{00000000-0008-0000-0F00-00006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1" name="Group 7102">
          <a:extLst>
            <a:ext uri="{FF2B5EF4-FFF2-40B4-BE49-F238E27FC236}">
              <a16:creationId xmlns:a16="http://schemas.microsoft.com/office/drawing/2014/main" id="{00000000-0008-0000-0F00-0000219C3E00}"/>
            </a:ext>
          </a:extLst>
        </xdr:cNvPr>
        <xdr:cNvGrpSpPr>
          <a:grpSpLocks/>
        </xdr:cNvGrpSpPr>
      </xdr:nvGrpSpPr>
      <xdr:grpSpPr bwMode="auto">
        <a:xfrm>
          <a:off x="5143500" y="10096500"/>
          <a:ext cx="0" cy="0"/>
          <a:chOff x="466" y="3952"/>
          <a:chExt cx="28" cy="16"/>
        </a:xfrm>
      </xdr:grpSpPr>
      <xdr:sp macro="" textlink="">
        <xdr:nvSpPr>
          <xdr:cNvPr id="4103532" name="Line 7103">
            <a:extLst>
              <a:ext uri="{FF2B5EF4-FFF2-40B4-BE49-F238E27FC236}">
                <a16:creationId xmlns:a16="http://schemas.microsoft.com/office/drawing/2014/main" id="{00000000-0008-0000-0F00-00006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3" name="Line 7104">
            <a:extLst>
              <a:ext uri="{FF2B5EF4-FFF2-40B4-BE49-F238E27FC236}">
                <a16:creationId xmlns:a16="http://schemas.microsoft.com/office/drawing/2014/main" id="{00000000-0008-0000-0F00-00006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4103202" name="Group 7105">
          <a:extLst>
            <a:ext uri="{FF2B5EF4-FFF2-40B4-BE49-F238E27FC236}">
              <a16:creationId xmlns:a16="http://schemas.microsoft.com/office/drawing/2014/main" id="{00000000-0008-0000-0F00-0000229C3E00}"/>
            </a:ext>
          </a:extLst>
        </xdr:cNvPr>
        <xdr:cNvGrpSpPr>
          <a:grpSpLocks/>
        </xdr:cNvGrpSpPr>
      </xdr:nvGrpSpPr>
      <xdr:grpSpPr bwMode="auto">
        <a:xfrm>
          <a:off x="5143500" y="10096500"/>
          <a:ext cx="0" cy="0"/>
          <a:chOff x="466" y="3952"/>
          <a:chExt cx="28" cy="16"/>
        </a:xfrm>
      </xdr:grpSpPr>
      <xdr:sp macro="" textlink="">
        <xdr:nvSpPr>
          <xdr:cNvPr id="4103530" name="Line 7106">
            <a:extLst>
              <a:ext uri="{FF2B5EF4-FFF2-40B4-BE49-F238E27FC236}">
                <a16:creationId xmlns:a16="http://schemas.microsoft.com/office/drawing/2014/main" id="{00000000-0008-0000-0F00-00006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31" name="Line 7107">
            <a:extLst>
              <a:ext uri="{FF2B5EF4-FFF2-40B4-BE49-F238E27FC236}">
                <a16:creationId xmlns:a16="http://schemas.microsoft.com/office/drawing/2014/main" id="{00000000-0008-0000-0F00-00006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4103203" name="Group 7108">
          <a:extLst>
            <a:ext uri="{FF2B5EF4-FFF2-40B4-BE49-F238E27FC236}">
              <a16:creationId xmlns:a16="http://schemas.microsoft.com/office/drawing/2014/main" id="{00000000-0008-0000-0F00-0000239C3E00}"/>
            </a:ext>
          </a:extLst>
        </xdr:cNvPr>
        <xdr:cNvGrpSpPr>
          <a:grpSpLocks/>
        </xdr:cNvGrpSpPr>
      </xdr:nvGrpSpPr>
      <xdr:grpSpPr bwMode="auto">
        <a:xfrm>
          <a:off x="4050506" y="10096500"/>
          <a:ext cx="266700" cy="0"/>
          <a:chOff x="466" y="3952"/>
          <a:chExt cx="28" cy="16"/>
        </a:xfrm>
      </xdr:grpSpPr>
      <xdr:sp macro="" textlink="">
        <xdr:nvSpPr>
          <xdr:cNvPr id="4103528" name="Line 7109">
            <a:extLst>
              <a:ext uri="{FF2B5EF4-FFF2-40B4-BE49-F238E27FC236}">
                <a16:creationId xmlns:a16="http://schemas.microsoft.com/office/drawing/2014/main" id="{00000000-0008-0000-0F00-00006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9" name="Line 7110">
            <a:extLst>
              <a:ext uri="{FF2B5EF4-FFF2-40B4-BE49-F238E27FC236}">
                <a16:creationId xmlns:a16="http://schemas.microsoft.com/office/drawing/2014/main" id="{00000000-0008-0000-0F00-00006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4103204" name="Group 7111">
          <a:extLst>
            <a:ext uri="{FF2B5EF4-FFF2-40B4-BE49-F238E27FC236}">
              <a16:creationId xmlns:a16="http://schemas.microsoft.com/office/drawing/2014/main" id="{00000000-0008-0000-0F00-0000249C3E00}"/>
            </a:ext>
          </a:extLst>
        </xdr:cNvPr>
        <xdr:cNvGrpSpPr>
          <a:grpSpLocks/>
        </xdr:cNvGrpSpPr>
      </xdr:nvGrpSpPr>
      <xdr:grpSpPr bwMode="auto">
        <a:xfrm>
          <a:off x="4031456" y="10096500"/>
          <a:ext cx="266700" cy="0"/>
          <a:chOff x="466" y="3952"/>
          <a:chExt cx="28" cy="16"/>
        </a:xfrm>
      </xdr:grpSpPr>
      <xdr:sp macro="" textlink="">
        <xdr:nvSpPr>
          <xdr:cNvPr id="4103526" name="Line 7112">
            <a:extLst>
              <a:ext uri="{FF2B5EF4-FFF2-40B4-BE49-F238E27FC236}">
                <a16:creationId xmlns:a16="http://schemas.microsoft.com/office/drawing/2014/main" id="{00000000-0008-0000-0F00-00006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7" name="Line 7113">
            <a:extLst>
              <a:ext uri="{FF2B5EF4-FFF2-40B4-BE49-F238E27FC236}">
                <a16:creationId xmlns:a16="http://schemas.microsoft.com/office/drawing/2014/main" id="{00000000-0008-0000-0F00-00006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05" name="Group 7114">
          <a:extLst>
            <a:ext uri="{FF2B5EF4-FFF2-40B4-BE49-F238E27FC236}">
              <a16:creationId xmlns:a16="http://schemas.microsoft.com/office/drawing/2014/main" id="{00000000-0008-0000-0F00-0000259C3E00}"/>
            </a:ext>
          </a:extLst>
        </xdr:cNvPr>
        <xdr:cNvGrpSpPr>
          <a:grpSpLocks/>
        </xdr:cNvGrpSpPr>
      </xdr:nvGrpSpPr>
      <xdr:grpSpPr bwMode="auto">
        <a:xfrm>
          <a:off x="4060031" y="10096500"/>
          <a:ext cx="266700" cy="0"/>
          <a:chOff x="466" y="3952"/>
          <a:chExt cx="28" cy="16"/>
        </a:xfrm>
      </xdr:grpSpPr>
      <xdr:sp macro="" textlink="">
        <xdr:nvSpPr>
          <xdr:cNvPr id="4103524" name="Line 7115">
            <a:extLst>
              <a:ext uri="{FF2B5EF4-FFF2-40B4-BE49-F238E27FC236}">
                <a16:creationId xmlns:a16="http://schemas.microsoft.com/office/drawing/2014/main" id="{00000000-0008-0000-0F00-00006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5" name="Line 7116">
            <a:extLst>
              <a:ext uri="{FF2B5EF4-FFF2-40B4-BE49-F238E27FC236}">
                <a16:creationId xmlns:a16="http://schemas.microsoft.com/office/drawing/2014/main" id="{00000000-0008-0000-0F00-00006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4103206" name="Group 7117">
          <a:extLst>
            <a:ext uri="{FF2B5EF4-FFF2-40B4-BE49-F238E27FC236}">
              <a16:creationId xmlns:a16="http://schemas.microsoft.com/office/drawing/2014/main" id="{00000000-0008-0000-0F00-0000269C3E00}"/>
            </a:ext>
          </a:extLst>
        </xdr:cNvPr>
        <xdr:cNvGrpSpPr>
          <a:grpSpLocks/>
        </xdr:cNvGrpSpPr>
      </xdr:nvGrpSpPr>
      <xdr:grpSpPr bwMode="auto">
        <a:xfrm>
          <a:off x="4633913" y="10096500"/>
          <a:ext cx="266700" cy="0"/>
          <a:chOff x="466" y="3952"/>
          <a:chExt cx="28" cy="16"/>
        </a:xfrm>
      </xdr:grpSpPr>
      <xdr:sp macro="" textlink="">
        <xdr:nvSpPr>
          <xdr:cNvPr id="4103522" name="Line 7118">
            <a:extLst>
              <a:ext uri="{FF2B5EF4-FFF2-40B4-BE49-F238E27FC236}">
                <a16:creationId xmlns:a16="http://schemas.microsoft.com/office/drawing/2014/main" id="{00000000-0008-0000-0F00-00006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3" name="Line 7119">
            <a:extLst>
              <a:ext uri="{FF2B5EF4-FFF2-40B4-BE49-F238E27FC236}">
                <a16:creationId xmlns:a16="http://schemas.microsoft.com/office/drawing/2014/main" id="{00000000-0008-0000-0F00-00006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4103207" name="Group 7120">
          <a:extLst>
            <a:ext uri="{FF2B5EF4-FFF2-40B4-BE49-F238E27FC236}">
              <a16:creationId xmlns:a16="http://schemas.microsoft.com/office/drawing/2014/main" id="{00000000-0008-0000-0F00-0000279C3E00}"/>
            </a:ext>
          </a:extLst>
        </xdr:cNvPr>
        <xdr:cNvGrpSpPr>
          <a:grpSpLocks/>
        </xdr:cNvGrpSpPr>
      </xdr:nvGrpSpPr>
      <xdr:grpSpPr bwMode="auto">
        <a:xfrm>
          <a:off x="4662488" y="10096500"/>
          <a:ext cx="266700" cy="0"/>
          <a:chOff x="466" y="3952"/>
          <a:chExt cx="28" cy="16"/>
        </a:xfrm>
      </xdr:grpSpPr>
      <xdr:sp macro="" textlink="">
        <xdr:nvSpPr>
          <xdr:cNvPr id="4103520" name="Line 7121">
            <a:extLst>
              <a:ext uri="{FF2B5EF4-FFF2-40B4-BE49-F238E27FC236}">
                <a16:creationId xmlns:a16="http://schemas.microsoft.com/office/drawing/2014/main" id="{00000000-0008-0000-0F00-00006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21" name="Line 7122">
            <a:extLst>
              <a:ext uri="{FF2B5EF4-FFF2-40B4-BE49-F238E27FC236}">
                <a16:creationId xmlns:a16="http://schemas.microsoft.com/office/drawing/2014/main" id="{00000000-0008-0000-0F00-00006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4103208" name="Group 7123">
          <a:extLst>
            <a:ext uri="{FF2B5EF4-FFF2-40B4-BE49-F238E27FC236}">
              <a16:creationId xmlns:a16="http://schemas.microsoft.com/office/drawing/2014/main" id="{00000000-0008-0000-0F00-0000289C3E00}"/>
            </a:ext>
          </a:extLst>
        </xdr:cNvPr>
        <xdr:cNvGrpSpPr>
          <a:grpSpLocks/>
        </xdr:cNvGrpSpPr>
      </xdr:nvGrpSpPr>
      <xdr:grpSpPr bwMode="auto">
        <a:xfrm>
          <a:off x="4652963" y="10096500"/>
          <a:ext cx="266700" cy="0"/>
          <a:chOff x="466" y="3952"/>
          <a:chExt cx="28" cy="16"/>
        </a:xfrm>
      </xdr:grpSpPr>
      <xdr:sp macro="" textlink="">
        <xdr:nvSpPr>
          <xdr:cNvPr id="4103518" name="Line 7124">
            <a:extLst>
              <a:ext uri="{FF2B5EF4-FFF2-40B4-BE49-F238E27FC236}">
                <a16:creationId xmlns:a16="http://schemas.microsoft.com/office/drawing/2014/main" id="{00000000-0008-0000-0F00-00005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9" name="Line 7125">
            <a:extLst>
              <a:ext uri="{FF2B5EF4-FFF2-40B4-BE49-F238E27FC236}">
                <a16:creationId xmlns:a16="http://schemas.microsoft.com/office/drawing/2014/main" id="{00000000-0008-0000-0F00-00005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4103209" name="Group 7126">
          <a:extLst>
            <a:ext uri="{FF2B5EF4-FFF2-40B4-BE49-F238E27FC236}">
              <a16:creationId xmlns:a16="http://schemas.microsoft.com/office/drawing/2014/main" id="{00000000-0008-0000-0F00-0000299C3E00}"/>
            </a:ext>
          </a:extLst>
        </xdr:cNvPr>
        <xdr:cNvGrpSpPr>
          <a:grpSpLocks/>
        </xdr:cNvGrpSpPr>
      </xdr:nvGrpSpPr>
      <xdr:grpSpPr bwMode="auto">
        <a:xfrm>
          <a:off x="4040981" y="10096500"/>
          <a:ext cx="266700" cy="0"/>
          <a:chOff x="466" y="3952"/>
          <a:chExt cx="28" cy="16"/>
        </a:xfrm>
      </xdr:grpSpPr>
      <xdr:sp macro="" textlink="">
        <xdr:nvSpPr>
          <xdr:cNvPr id="4103516" name="Line 7127">
            <a:extLst>
              <a:ext uri="{FF2B5EF4-FFF2-40B4-BE49-F238E27FC236}">
                <a16:creationId xmlns:a16="http://schemas.microsoft.com/office/drawing/2014/main" id="{00000000-0008-0000-0F00-00005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7" name="Line 7128">
            <a:extLst>
              <a:ext uri="{FF2B5EF4-FFF2-40B4-BE49-F238E27FC236}">
                <a16:creationId xmlns:a16="http://schemas.microsoft.com/office/drawing/2014/main" id="{00000000-0008-0000-0F00-00005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4103210" name="Group 7129">
          <a:extLst>
            <a:ext uri="{FF2B5EF4-FFF2-40B4-BE49-F238E27FC236}">
              <a16:creationId xmlns:a16="http://schemas.microsoft.com/office/drawing/2014/main" id="{00000000-0008-0000-0F00-00002A9C3E00}"/>
            </a:ext>
          </a:extLst>
        </xdr:cNvPr>
        <xdr:cNvGrpSpPr>
          <a:grpSpLocks/>
        </xdr:cNvGrpSpPr>
      </xdr:nvGrpSpPr>
      <xdr:grpSpPr bwMode="auto">
        <a:xfrm>
          <a:off x="4088606" y="10096500"/>
          <a:ext cx="269082" cy="0"/>
          <a:chOff x="466" y="3952"/>
          <a:chExt cx="28" cy="16"/>
        </a:xfrm>
      </xdr:grpSpPr>
      <xdr:sp macro="" textlink="">
        <xdr:nvSpPr>
          <xdr:cNvPr id="4103514" name="Line 7130">
            <a:extLst>
              <a:ext uri="{FF2B5EF4-FFF2-40B4-BE49-F238E27FC236}">
                <a16:creationId xmlns:a16="http://schemas.microsoft.com/office/drawing/2014/main" id="{00000000-0008-0000-0F00-00005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5" name="Line 7131">
            <a:extLst>
              <a:ext uri="{FF2B5EF4-FFF2-40B4-BE49-F238E27FC236}">
                <a16:creationId xmlns:a16="http://schemas.microsoft.com/office/drawing/2014/main" id="{00000000-0008-0000-0F00-00005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4103211" name="Group 7132">
          <a:extLst>
            <a:ext uri="{FF2B5EF4-FFF2-40B4-BE49-F238E27FC236}">
              <a16:creationId xmlns:a16="http://schemas.microsoft.com/office/drawing/2014/main" id="{00000000-0008-0000-0F00-00002B9C3E00}"/>
            </a:ext>
          </a:extLst>
        </xdr:cNvPr>
        <xdr:cNvGrpSpPr>
          <a:grpSpLocks/>
        </xdr:cNvGrpSpPr>
      </xdr:nvGrpSpPr>
      <xdr:grpSpPr bwMode="auto">
        <a:xfrm>
          <a:off x="4069556" y="10096500"/>
          <a:ext cx="266700" cy="0"/>
          <a:chOff x="466" y="3952"/>
          <a:chExt cx="28" cy="16"/>
        </a:xfrm>
      </xdr:grpSpPr>
      <xdr:sp macro="" textlink="">
        <xdr:nvSpPr>
          <xdr:cNvPr id="4103512" name="Line 7133">
            <a:extLst>
              <a:ext uri="{FF2B5EF4-FFF2-40B4-BE49-F238E27FC236}">
                <a16:creationId xmlns:a16="http://schemas.microsoft.com/office/drawing/2014/main" id="{00000000-0008-0000-0F00-00005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3" name="Line 7134">
            <a:extLst>
              <a:ext uri="{FF2B5EF4-FFF2-40B4-BE49-F238E27FC236}">
                <a16:creationId xmlns:a16="http://schemas.microsoft.com/office/drawing/2014/main" id="{00000000-0008-0000-0F00-00005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4103212" name="Group 7135">
          <a:extLst>
            <a:ext uri="{FF2B5EF4-FFF2-40B4-BE49-F238E27FC236}">
              <a16:creationId xmlns:a16="http://schemas.microsoft.com/office/drawing/2014/main" id="{00000000-0008-0000-0F00-00002C9C3E00}"/>
            </a:ext>
          </a:extLst>
        </xdr:cNvPr>
        <xdr:cNvGrpSpPr>
          <a:grpSpLocks/>
        </xdr:cNvGrpSpPr>
      </xdr:nvGrpSpPr>
      <xdr:grpSpPr bwMode="auto">
        <a:xfrm>
          <a:off x="4060031" y="10096500"/>
          <a:ext cx="266700" cy="0"/>
          <a:chOff x="466" y="3952"/>
          <a:chExt cx="28" cy="16"/>
        </a:xfrm>
      </xdr:grpSpPr>
      <xdr:sp macro="" textlink="">
        <xdr:nvSpPr>
          <xdr:cNvPr id="4103510" name="Line 7136">
            <a:extLst>
              <a:ext uri="{FF2B5EF4-FFF2-40B4-BE49-F238E27FC236}">
                <a16:creationId xmlns:a16="http://schemas.microsoft.com/office/drawing/2014/main" id="{00000000-0008-0000-0F00-00005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11" name="Line 7137">
            <a:extLst>
              <a:ext uri="{FF2B5EF4-FFF2-40B4-BE49-F238E27FC236}">
                <a16:creationId xmlns:a16="http://schemas.microsoft.com/office/drawing/2014/main" id="{00000000-0008-0000-0F00-00005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3" name="Group 7138">
          <a:extLst>
            <a:ext uri="{FF2B5EF4-FFF2-40B4-BE49-F238E27FC236}">
              <a16:creationId xmlns:a16="http://schemas.microsoft.com/office/drawing/2014/main" id="{00000000-0008-0000-0F00-00002D9C3E00}"/>
            </a:ext>
          </a:extLst>
        </xdr:cNvPr>
        <xdr:cNvGrpSpPr>
          <a:grpSpLocks/>
        </xdr:cNvGrpSpPr>
      </xdr:nvGrpSpPr>
      <xdr:grpSpPr bwMode="auto">
        <a:xfrm>
          <a:off x="4117181" y="10096500"/>
          <a:ext cx="240507" cy="0"/>
          <a:chOff x="466" y="3952"/>
          <a:chExt cx="28" cy="16"/>
        </a:xfrm>
      </xdr:grpSpPr>
      <xdr:sp macro="" textlink="">
        <xdr:nvSpPr>
          <xdr:cNvPr id="4103508" name="Line 7139">
            <a:extLst>
              <a:ext uri="{FF2B5EF4-FFF2-40B4-BE49-F238E27FC236}">
                <a16:creationId xmlns:a16="http://schemas.microsoft.com/office/drawing/2014/main" id="{00000000-0008-0000-0F00-00005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9" name="Line 7140">
            <a:extLst>
              <a:ext uri="{FF2B5EF4-FFF2-40B4-BE49-F238E27FC236}">
                <a16:creationId xmlns:a16="http://schemas.microsoft.com/office/drawing/2014/main" id="{00000000-0008-0000-0F00-00005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4" name="Group 7141">
          <a:extLst>
            <a:ext uri="{FF2B5EF4-FFF2-40B4-BE49-F238E27FC236}">
              <a16:creationId xmlns:a16="http://schemas.microsoft.com/office/drawing/2014/main" id="{00000000-0008-0000-0F00-00002E9C3E00}"/>
            </a:ext>
          </a:extLst>
        </xdr:cNvPr>
        <xdr:cNvGrpSpPr>
          <a:grpSpLocks/>
        </xdr:cNvGrpSpPr>
      </xdr:nvGrpSpPr>
      <xdr:grpSpPr bwMode="auto">
        <a:xfrm>
          <a:off x="4117181" y="10096500"/>
          <a:ext cx="240507" cy="0"/>
          <a:chOff x="466" y="3952"/>
          <a:chExt cx="28" cy="16"/>
        </a:xfrm>
      </xdr:grpSpPr>
      <xdr:sp macro="" textlink="">
        <xdr:nvSpPr>
          <xdr:cNvPr id="4103506" name="Line 7142">
            <a:extLst>
              <a:ext uri="{FF2B5EF4-FFF2-40B4-BE49-F238E27FC236}">
                <a16:creationId xmlns:a16="http://schemas.microsoft.com/office/drawing/2014/main" id="{00000000-0008-0000-0F00-00005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7" name="Line 7143">
            <a:extLst>
              <a:ext uri="{FF2B5EF4-FFF2-40B4-BE49-F238E27FC236}">
                <a16:creationId xmlns:a16="http://schemas.microsoft.com/office/drawing/2014/main" id="{00000000-0008-0000-0F00-00005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5" name="Group 7144">
          <a:extLst>
            <a:ext uri="{FF2B5EF4-FFF2-40B4-BE49-F238E27FC236}">
              <a16:creationId xmlns:a16="http://schemas.microsoft.com/office/drawing/2014/main" id="{00000000-0008-0000-0F00-00002F9C3E00}"/>
            </a:ext>
          </a:extLst>
        </xdr:cNvPr>
        <xdr:cNvGrpSpPr>
          <a:grpSpLocks/>
        </xdr:cNvGrpSpPr>
      </xdr:nvGrpSpPr>
      <xdr:grpSpPr bwMode="auto">
        <a:xfrm>
          <a:off x="4117181" y="10096500"/>
          <a:ext cx="240507" cy="0"/>
          <a:chOff x="466" y="3952"/>
          <a:chExt cx="28" cy="16"/>
        </a:xfrm>
      </xdr:grpSpPr>
      <xdr:sp macro="" textlink="">
        <xdr:nvSpPr>
          <xdr:cNvPr id="4103504" name="Line 7145">
            <a:extLst>
              <a:ext uri="{FF2B5EF4-FFF2-40B4-BE49-F238E27FC236}">
                <a16:creationId xmlns:a16="http://schemas.microsoft.com/office/drawing/2014/main" id="{00000000-0008-0000-0F00-00005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5" name="Line 7146">
            <a:extLst>
              <a:ext uri="{FF2B5EF4-FFF2-40B4-BE49-F238E27FC236}">
                <a16:creationId xmlns:a16="http://schemas.microsoft.com/office/drawing/2014/main" id="{00000000-0008-0000-0F00-00005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6" name="Group 7147">
          <a:extLst>
            <a:ext uri="{FF2B5EF4-FFF2-40B4-BE49-F238E27FC236}">
              <a16:creationId xmlns:a16="http://schemas.microsoft.com/office/drawing/2014/main" id="{00000000-0008-0000-0F00-0000309C3E00}"/>
            </a:ext>
          </a:extLst>
        </xdr:cNvPr>
        <xdr:cNvGrpSpPr>
          <a:grpSpLocks/>
        </xdr:cNvGrpSpPr>
      </xdr:nvGrpSpPr>
      <xdr:grpSpPr bwMode="auto">
        <a:xfrm>
          <a:off x="4117181" y="10096500"/>
          <a:ext cx="240507" cy="0"/>
          <a:chOff x="466" y="3952"/>
          <a:chExt cx="28" cy="16"/>
        </a:xfrm>
      </xdr:grpSpPr>
      <xdr:sp macro="" textlink="">
        <xdr:nvSpPr>
          <xdr:cNvPr id="4103502" name="Line 7148">
            <a:extLst>
              <a:ext uri="{FF2B5EF4-FFF2-40B4-BE49-F238E27FC236}">
                <a16:creationId xmlns:a16="http://schemas.microsoft.com/office/drawing/2014/main" id="{00000000-0008-0000-0F00-00004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3" name="Line 7149">
            <a:extLst>
              <a:ext uri="{FF2B5EF4-FFF2-40B4-BE49-F238E27FC236}">
                <a16:creationId xmlns:a16="http://schemas.microsoft.com/office/drawing/2014/main" id="{00000000-0008-0000-0F00-00004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7" name="Group 7150">
          <a:extLst>
            <a:ext uri="{FF2B5EF4-FFF2-40B4-BE49-F238E27FC236}">
              <a16:creationId xmlns:a16="http://schemas.microsoft.com/office/drawing/2014/main" id="{00000000-0008-0000-0F00-0000319C3E00}"/>
            </a:ext>
          </a:extLst>
        </xdr:cNvPr>
        <xdr:cNvGrpSpPr>
          <a:grpSpLocks/>
        </xdr:cNvGrpSpPr>
      </xdr:nvGrpSpPr>
      <xdr:grpSpPr bwMode="auto">
        <a:xfrm>
          <a:off x="4117181" y="10096500"/>
          <a:ext cx="240507" cy="0"/>
          <a:chOff x="466" y="3952"/>
          <a:chExt cx="28" cy="16"/>
        </a:xfrm>
      </xdr:grpSpPr>
      <xdr:sp macro="" textlink="">
        <xdr:nvSpPr>
          <xdr:cNvPr id="4103500" name="Line 7151">
            <a:extLst>
              <a:ext uri="{FF2B5EF4-FFF2-40B4-BE49-F238E27FC236}">
                <a16:creationId xmlns:a16="http://schemas.microsoft.com/office/drawing/2014/main" id="{00000000-0008-0000-0F00-00004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501" name="Line 7152">
            <a:extLst>
              <a:ext uri="{FF2B5EF4-FFF2-40B4-BE49-F238E27FC236}">
                <a16:creationId xmlns:a16="http://schemas.microsoft.com/office/drawing/2014/main" id="{00000000-0008-0000-0F00-00004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18" name="Group 7153">
          <a:extLst>
            <a:ext uri="{FF2B5EF4-FFF2-40B4-BE49-F238E27FC236}">
              <a16:creationId xmlns:a16="http://schemas.microsoft.com/office/drawing/2014/main" id="{00000000-0008-0000-0F00-0000329C3E00}"/>
            </a:ext>
          </a:extLst>
        </xdr:cNvPr>
        <xdr:cNvGrpSpPr>
          <a:grpSpLocks/>
        </xdr:cNvGrpSpPr>
      </xdr:nvGrpSpPr>
      <xdr:grpSpPr bwMode="auto">
        <a:xfrm>
          <a:off x="4117181" y="10096500"/>
          <a:ext cx="240507" cy="0"/>
          <a:chOff x="466" y="3952"/>
          <a:chExt cx="28" cy="16"/>
        </a:xfrm>
      </xdr:grpSpPr>
      <xdr:sp macro="" textlink="">
        <xdr:nvSpPr>
          <xdr:cNvPr id="4103498" name="Line 7154">
            <a:extLst>
              <a:ext uri="{FF2B5EF4-FFF2-40B4-BE49-F238E27FC236}">
                <a16:creationId xmlns:a16="http://schemas.microsoft.com/office/drawing/2014/main" id="{00000000-0008-0000-0F00-00004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9" name="Line 7155">
            <a:extLst>
              <a:ext uri="{FF2B5EF4-FFF2-40B4-BE49-F238E27FC236}">
                <a16:creationId xmlns:a16="http://schemas.microsoft.com/office/drawing/2014/main" id="{00000000-0008-0000-0F00-00004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19" name="Group 7156">
          <a:extLst>
            <a:ext uri="{FF2B5EF4-FFF2-40B4-BE49-F238E27FC236}">
              <a16:creationId xmlns:a16="http://schemas.microsoft.com/office/drawing/2014/main" id="{00000000-0008-0000-0F00-0000339C3E00}"/>
            </a:ext>
          </a:extLst>
        </xdr:cNvPr>
        <xdr:cNvGrpSpPr>
          <a:grpSpLocks/>
        </xdr:cNvGrpSpPr>
      </xdr:nvGrpSpPr>
      <xdr:grpSpPr bwMode="auto">
        <a:xfrm>
          <a:off x="3993356" y="10096500"/>
          <a:ext cx="228600" cy="0"/>
          <a:chOff x="466" y="3952"/>
          <a:chExt cx="28" cy="16"/>
        </a:xfrm>
      </xdr:grpSpPr>
      <xdr:sp macro="" textlink="">
        <xdr:nvSpPr>
          <xdr:cNvPr id="4103496" name="Line 7157">
            <a:extLst>
              <a:ext uri="{FF2B5EF4-FFF2-40B4-BE49-F238E27FC236}">
                <a16:creationId xmlns:a16="http://schemas.microsoft.com/office/drawing/2014/main" id="{00000000-0008-0000-0F00-00004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7" name="Line 7158">
            <a:extLst>
              <a:ext uri="{FF2B5EF4-FFF2-40B4-BE49-F238E27FC236}">
                <a16:creationId xmlns:a16="http://schemas.microsoft.com/office/drawing/2014/main" id="{00000000-0008-0000-0F00-00004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0" name="Group 7159">
          <a:extLst>
            <a:ext uri="{FF2B5EF4-FFF2-40B4-BE49-F238E27FC236}">
              <a16:creationId xmlns:a16="http://schemas.microsoft.com/office/drawing/2014/main" id="{00000000-0008-0000-0F00-0000349C3E00}"/>
            </a:ext>
          </a:extLst>
        </xdr:cNvPr>
        <xdr:cNvGrpSpPr>
          <a:grpSpLocks/>
        </xdr:cNvGrpSpPr>
      </xdr:nvGrpSpPr>
      <xdr:grpSpPr bwMode="auto">
        <a:xfrm>
          <a:off x="4117181" y="10096500"/>
          <a:ext cx="228600" cy="0"/>
          <a:chOff x="466" y="3952"/>
          <a:chExt cx="28" cy="16"/>
        </a:xfrm>
      </xdr:grpSpPr>
      <xdr:sp macro="" textlink="">
        <xdr:nvSpPr>
          <xdr:cNvPr id="4103494" name="Line 7160">
            <a:extLst>
              <a:ext uri="{FF2B5EF4-FFF2-40B4-BE49-F238E27FC236}">
                <a16:creationId xmlns:a16="http://schemas.microsoft.com/office/drawing/2014/main" id="{00000000-0008-0000-0F00-00004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5" name="Line 7161">
            <a:extLst>
              <a:ext uri="{FF2B5EF4-FFF2-40B4-BE49-F238E27FC236}">
                <a16:creationId xmlns:a16="http://schemas.microsoft.com/office/drawing/2014/main" id="{00000000-0008-0000-0F00-00004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1" name="Group 7162">
          <a:extLst>
            <a:ext uri="{FF2B5EF4-FFF2-40B4-BE49-F238E27FC236}">
              <a16:creationId xmlns:a16="http://schemas.microsoft.com/office/drawing/2014/main" id="{00000000-0008-0000-0F00-0000359C3E00}"/>
            </a:ext>
          </a:extLst>
        </xdr:cNvPr>
        <xdr:cNvGrpSpPr>
          <a:grpSpLocks/>
        </xdr:cNvGrpSpPr>
      </xdr:nvGrpSpPr>
      <xdr:grpSpPr bwMode="auto">
        <a:xfrm>
          <a:off x="4117181" y="10096500"/>
          <a:ext cx="228600" cy="0"/>
          <a:chOff x="466" y="3952"/>
          <a:chExt cx="28" cy="16"/>
        </a:xfrm>
      </xdr:grpSpPr>
      <xdr:sp macro="" textlink="">
        <xdr:nvSpPr>
          <xdr:cNvPr id="4103492" name="Line 7163">
            <a:extLst>
              <a:ext uri="{FF2B5EF4-FFF2-40B4-BE49-F238E27FC236}">
                <a16:creationId xmlns:a16="http://schemas.microsoft.com/office/drawing/2014/main" id="{00000000-0008-0000-0F00-00004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3" name="Line 7164">
            <a:extLst>
              <a:ext uri="{FF2B5EF4-FFF2-40B4-BE49-F238E27FC236}">
                <a16:creationId xmlns:a16="http://schemas.microsoft.com/office/drawing/2014/main" id="{00000000-0008-0000-0F00-00004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2" name="Group 7165">
          <a:extLst>
            <a:ext uri="{FF2B5EF4-FFF2-40B4-BE49-F238E27FC236}">
              <a16:creationId xmlns:a16="http://schemas.microsoft.com/office/drawing/2014/main" id="{00000000-0008-0000-0F00-0000369C3E00}"/>
            </a:ext>
          </a:extLst>
        </xdr:cNvPr>
        <xdr:cNvGrpSpPr>
          <a:grpSpLocks/>
        </xdr:cNvGrpSpPr>
      </xdr:nvGrpSpPr>
      <xdr:grpSpPr bwMode="auto">
        <a:xfrm>
          <a:off x="4117181" y="10096500"/>
          <a:ext cx="240507" cy="0"/>
          <a:chOff x="466" y="3952"/>
          <a:chExt cx="28" cy="16"/>
        </a:xfrm>
      </xdr:grpSpPr>
      <xdr:sp macro="" textlink="">
        <xdr:nvSpPr>
          <xdr:cNvPr id="4103490" name="Line 7166">
            <a:extLst>
              <a:ext uri="{FF2B5EF4-FFF2-40B4-BE49-F238E27FC236}">
                <a16:creationId xmlns:a16="http://schemas.microsoft.com/office/drawing/2014/main" id="{00000000-0008-0000-0F00-00004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91" name="Line 7167">
            <a:extLst>
              <a:ext uri="{FF2B5EF4-FFF2-40B4-BE49-F238E27FC236}">
                <a16:creationId xmlns:a16="http://schemas.microsoft.com/office/drawing/2014/main" id="{00000000-0008-0000-0F00-00004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3" name="Group 7168">
          <a:extLst>
            <a:ext uri="{FF2B5EF4-FFF2-40B4-BE49-F238E27FC236}">
              <a16:creationId xmlns:a16="http://schemas.microsoft.com/office/drawing/2014/main" id="{00000000-0008-0000-0F00-0000379C3E00}"/>
            </a:ext>
          </a:extLst>
        </xdr:cNvPr>
        <xdr:cNvGrpSpPr>
          <a:grpSpLocks/>
        </xdr:cNvGrpSpPr>
      </xdr:nvGrpSpPr>
      <xdr:grpSpPr bwMode="auto">
        <a:xfrm>
          <a:off x="4117181" y="10096500"/>
          <a:ext cx="228600" cy="0"/>
          <a:chOff x="466" y="3952"/>
          <a:chExt cx="28" cy="16"/>
        </a:xfrm>
      </xdr:grpSpPr>
      <xdr:sp macro="" textlink="">
        <xdr:nvSpPr>
          <xdr:cNvPr id="4103488" name="Line 7169">
            <a:extLst>
              <a:ext uri="{FF2B5EF4-FFF2-40B4-BE49-F238E27FC236}">
                <a16:creationId xmlns:a16="http://schemas.microsoft.com/office/drawing/2014/main" id="{00000000-0008-0000-0F00-00004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9" name="Line 7170">
            <a:extLst>
              <a:ext uri="{FF2B5EF4-FFF2-40B4-BE49-F238E27FC236}">
                <a16:creationId xmlns:a16="http://schemas.microsoft.com/office/drawing/2014/main" id="{00000000-0008-0000-0F00-00004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24" name="Group 7171">
          <a:extLst>
            <a:ext uri="{FF2B5EF4-FFF2-40B4-BE49-F238E27FC236}">
              <a16:creationId xmlns:a16="http://schemas.microsoft.com/office/drawing/2014/main" id="{00000000-0008-0000-0F00-0000389C3E00}"/>
            </a:ext>
          </a:extLst>
        </xdr:cNvPr>
        <xdr:cNvGrpSpPr>
          <a:grpSpLocks/>
        </xdr:cNvGrpSpPr>
      </xdr:nvGrpSpPr>
      <xdr:grpSpPr bwMode="auto">
        <a:xfrm>
          <a:off x="4117181" y="10096500"/>
          <a:ext cx="228600" cy="0"/>
          <a:chOff x="466" y="3952"/>
          <a:chExt cx="28" cy="16"/>
        </a:xfrm>
      </xdr:grpSpPr>
      <xdr:sp macro="" textlink="">
        <xdr:nvSpPr>
          <xdr:cNvPr id="4103486" name="Line 7172">
            <a:extLst>
              <a:ext uri="{FF2B5EF4-FFF2-40B4-BE49-F238E27FC236}">
                <a16:creationId xmlns:a16="http://schemas.microsoft.com/office/drawing/2014/main" id="{00000000-0008-0000-0F00-00003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7" name="Line 7173">
            <a:extLst>
              <a:ext uri="{FF2B5EF4-FFF2-40B4-BE49-F238E27FC236}">
                <a16:creationId xmlns:a16="http://schemas.microsoft.com/office/drawing/2014/main" id="{00000000-0008-0000-0F00-00003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25" name="Group 7174">
          <a:extLst>
            <a:ext uri="{FF2B5EF4-FFF2-40B4-BE49-F238E27FC236}">
              <a16:creationId xmlns:a16="http://schemas.microsoft.com/office/drawing/2014/main" id="{00000000-0008-0000-0F00-0000399C3E00}"/>
            </a:ext>
          </a:extLst>
        </xdr:cNvPr>
        <xdr:cNvGrpSpPr>
          <a:grpSpLocks/>
        </xdr:cNvGrpSpPr>
      </xdr:nvGrpSpPr>
      <xdr:grpSpPr bwMode="auto">
        <a:xfrm>
          <a:off x="4117181" y="10096500"/>
          <a:ext cx="240507" cy="0"/>
          <a:chOff x="466" y="3952"/>
          <a:chExt cx="28" cy="16"/>
        </a:xfrm>
      </xdr:grpSpPr>
      <xdr:sp macro="" textlink="">
        <xdr:nvSpPr>
          <xdr:cNvPr id="4103484" name="Line 7175">
            <a:extLst>
              <a:ext uri="{FF2B5EF4-FFF2-40B4-BE49-F238E27FC236}">
                <a16:creationId xmlns:a16="http://schemas.microsoft.com/office/drawing/2014/main" id="{00000000-0008-0000-0F00-00003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5" name="Line 7176">
            <a:extLst>
              <a:ext uri="{FF2B5EF4-FFF2-40B4-BE49-F238E27FC236}">
                <a16:creationId xmlns:a16="http://schemas.microsoft.com/office/drawing/2014/main" id="{00000000-0008-0000-0F00-00003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6" name="Group 7177">
          <a:extLst>
            <a:ext uri="{FF2B5EF4-FFF2-40B4-BE49-F238E27FC236}">
              <a16:creationId xmlns:a16="http://schemas.microsoft.com/office/drawing/2014/main" id="{00000000-0008-0000-0F00-00003A9C3E00}"/>
            </a:ext>
          </a:extLst>
        </xdr:cNvPr>
        <xdr:cNvGrpSpPr>
          <a:grpSpLocks/>
        </xdr:cNvGrpSpPr>
      </xdr:nvGrpSpPr>
      <xdr:grpSpPr bwMode="auto">
        <a:xfrm>
          <a:off x="4700588" y="10096500"/>
          <a:ext cx="266700" cy="0"/>
          <a:chOff x="466" y="3952"/>
          <a:chExt cx="28" cy="16"/>
        </a:xfrm>
      </xdr:grpSpPr>
      <xdr:sp macro="" textlink="">
        <xdr:nvSpPr>
          <xdr:cNvPr id="4103482" name="Line 7178">
            <a:extLst>
              <a:ext uri="{FF2B5EF4-FFF2-40B4-BE49-F238E27FC236}">
                <a16:creationId xmlns:a16="http://schemas.microsoft.com/office/drawing/2014/main" id="{00000000-0008-0000-0F00-00003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3" name="Line 7179">
            <a:extLst>
              <a:ext uri="{FF2B5EF4-FFF2-40B4-BE49-F238E27FC236}">
                <a16:creationId xmlns:a16="http://schemas.microsoft.com/office/drawing/2014/main" id="{00000000-0008-0000-0F00-00003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7" name="Group 7180">
          <a:extLst>
            <a:ext uri="{FF2B5EF4-FFF2-40B4-BE49-F238E27FC236}">
              <a16:creationId xmlns:a16="http://schemas.microsoft.com/office/drawing/2014/main" id="{00000000-0008-0000-0F00-00003B9C3E00}"/>
            </a:ext>
          </a:extLst>
        </xdr:cNvPr>
        <xdr:cNvGrpSpPr>
          <a:grpSpLocks/>
        </xdr:cNvGrpSpPr>
      </xdr:nvGrpSpPr>
      <xdr:grpSpPr bwMode="auto">
        <a:xfrm>
          <a:off x="4700588" y="10096500"/>
          <a:ext cx="266700" cy="0"/>
          <a:chOff x="466" y="3952"/>
          <a:chExt cx="28" cy="16"/>
        </a:xfrm>
      </xdr:grpSpPr>
      <xdr:sp macro="" textlink="">
        <xdr:nvSpPr>
          <xdr:cNvPr id="4103480" name="Line 7181">
            <a:extLst>
              <a:ext uri="{FF2B5EF4-FFF2-40B4-BE49-F238E27FC236}">
                <a16:creationId xmlns:a16="http://schemas.microsoft.com/office/drawing/2014/main" id="{00000000-0008-0000-0F00-00003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81" name="Line 7182">
            <a:extLst>
              <a:ext uri="{FF2B5EF4-FFF2-40B4-BE49-F238E27FC236}">
                <a16:creationId xmlns:a16="http://schemas.microsoft.com/office/drawing/2014/main" id="{00000000-0008-0000-0F00-00003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28" name="Group 7183">
          <a:extLst>
            <a:ext uri="{FF2B5EF4-FFF2-40B4-BE49-F238E27FC236}">
              <a16:creationId xmlns:a16="http://schemas.microsoft.com/office/drawing/2014/main" id="{00000000-0008-0000-0F00-00003C9C3E00}"/>
            </a:ext>
          </a:extLst>
        </xdr:cNvPr>
        <xdr:cNvGrpSpPr>
          <a:grpSpLocks/>
        </xdr:cNvGrpSpPr>
      </xdr:nvGrpSpPr>
      <xdr:grpSpPr bwMode="auto">
        <a:xfrm>
          <a:off x="4700588" y="10096500"/>
          <a:ext cx="266700" cy="0"/>
          <a:chOff x="466" y="3952"/>
          <a:chExt cx="28" cy="16"/>
        </a:xfrm>
      </xdr:grpSpPr>
      <xdr:sp macro="" textlink="">
        <xdr:nvSpPr>
          <xdr:cNvPr id="4103478" name="Line 7184">
            <a:extLst>
              <a:ext uri="{FF2B5EF4-FFF2-40B4-BE49-F238E27FC236}">
                <a16:creationId xmlns:a16="http://schemas.microsoft.com/office/drawing/2014/main" id="{00000000-0008-0000-0F00-00003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9" name="Line 7185">
            <a:extLst>
              <a:ext uri="{FF2B5EF4-FFF2-40B4-BE49-F238E27FC236}">
                <a16:creationId xmlns:a16="http://schemas.microsoft.com/office/drawing/2014/main" id="{00000000-0008-0000-0F00-00003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29" name="Group 7186">
          <a:extLst>
            <a:ext uri="{FF2B5EF4-FFF2-40B4-BE49-F238E27FC236}">
              <a16:creationId xmlns:a16="http://schemas.microsoft.com/office/drawing/2014/main" id="{00000000-0008-0000-0F00-00003D9C3E00}"/>
            </a:ext>
          </a:extLst>
        </xdr:cNvPr>
        <xdr:cNvGrpSpPr>
          <a:grpSpLocks/>
        </xdr:cNvGrpSpPr>
      </xdr:nvGrpSpPr>
      <xdr:grpSpPr bwMode="auto">
        <a:xfrm>
          <a:off x="5486400" y="10096500"/>
          <a:ext cx="266700" cy="0"/>
          <a:chOff x="466" y="3952"/>
          <a:chExt cx="28" cy="16"/>
        </a:xfrm>
      </xdr:grpSpPr>
      <xdr:sp macro="" textlink="">
        <xdr:nvSpPr>
          <xdr:cNvPr id="4103476" name="Line 7187">
            <a:extLst>
              <a:ext uri="{FF2B5EF4-FFF2-40B4-BE49-F238E27FC236}">
                <a16:creationId xmlns:a16="http://schemas.microsoft.com/office/drawing/2014/main" id="{00000000-0008-0000-0F00-00003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7" name="Line 7188">
            <a:extLst>
              <a:ext uri="{FF2B5EF4-FFF2-40B4-BE49-F238E27FC236}">
                <a16:creationId xmlns:a16="http://schemas.microsoft.com/office/drawing/2014/main" id="{00000000-0008-0000-0F00-00003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0" name="Group 7189">
          <a:extLst>
            <a:ext uri="{FF2B5EF4-FFF2-40B4-BE49-F238E27FC236}">
              <a16:creationId xmlns:a16="http://schemas.microsoft.com/office/drawing/2014/main" id="{00000000-0008-0000-0F00-00003E9C3E00}"/>
            </a:ext>
          </a:extLst>
        </xdr:cNvPr>
        <xdr:cNvGrpSpPr>
          <a:grpSpLocks/>
        </xdr:cNvGrpSpPr>
      </xdr:nvGrpSpPr>
      <xdr:grpSpPr bwMode="auto">
        <a:xfrm>
          <a:off x="5486400" y="10096500"/>
          <a:ext cx="266700" cy="0"/>
          <a:chOff x="466" y="3952"/>
          <a:chExt cx="28" cy="16"/>
        </a:xfrm>
      </xdr:grpSpPr>
      <xdr:sp macro="" textlink="">
        <xdr:nvSpPr>
          <xdr:cNvPr id="4103474" name="Line 7190">
            <a:extLst>
              <a:ext uri="{FF2B5EF4-FFF2-40B4-BE49-F238E27FC236}">
                <a16:creationId xmlns:a16="http://schemas.microsoft.com/office/drawing/2014/main" id="{00000000-0008-0000-0F00-00003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5" name="Line 7191">
            <a:extLst>
              <a:ext uri="{FF2B5EF4-FFF2-40B4-BE49-F238E27FC236}">
                <a16:creationId xmlns:a16="http://schemas.microsoft.com/office/drawing/2014/main" id="{00000000-0008-0000-0F00-00003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1" name="Group 7192">
          <a:extLst>
            <a:ext uri="{FF2B5EF4-FFF2-40B4-BE49-F238E27FC236}">
              <a16:creationId xmlns:a16="http://schemas.microsoft.com/office/drawing/2014/main" id="{00000000-0008-0000-0F00-00003F9C3E00}"/>
            </a:ext>
          </a:extLst>
        </xdr:cNvPr>
        <xdr:cNvGrpSpPr>
          <a:grpSpLocks/>
        </xdr:cNvGrpSpPr>
      </xdr:nvGrpSpPr>
      <xdr:grpSpPr bwMode="auto">
        <a:xfrm>
          <a:off x="5486400" y="10096500"/>
          <a:ext cx="266700" cy="0"/>
          <a:chOff x="466" y="3952"/>
          <a:chExt cx="28" cy="16"/>
        </a:xfrm>
      </xdr:grpSpPr>
      <xdr:sp macro="" textlink="">
        <xdr:nvSpPr>
          <xdr:cNvPr id="4103472" name="Line 7193">
            <a:extLst>
              <a:ext uri="{FF2B5EF4-FFF2-40B4-BE49-F238E27FC236}">
                <a16:creationId xmlns:a16="http://schemas.microsoft.com/office/drawing/2014/main" id="{00000000-0008-0000-0F00-00003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3" name="Line 7194">
            <a:extLst>
              <a:ext uri="{FF2B5EF4-FFF2-40B4-BE49-F238E27FC236}">
                <a16:creationId xmlns:a16="http://schemas.microsoft.com/office/drawing/2014/main" id="{00000000-0008-0000-0F00-00003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2" name="Group 7195">
          <a:extLst>
            <a:ext uri="{FF2B5EF4-FFF2-40B4-BE49-F238E27FC236}">
              <a16:creationId xmlns:a16="http://schemas.microsoft.com/office/drawing/2014/main" id="{00000000-0008-0000-0F00-0000409C3E00}"/>
            </a:ext>
          </a:extLst>
        </xdr:cNvPr>
        <xdr:cNvGrpSpPr>
          <a:grpSpLocks/>
        </xdr:cNvGrpSpPr>
      </xdr:nvGrpSpPr>
      <xdr:grpSpPr bwMode="auto">
        <a:xfrm>
          <a:off x="5486400" y="10096500"/>
          <a:ext cx="266700" cy="0"/>
          <a:chOff x="466" y="3952"/>
          <a:chExt cx="28" cy="16"/>
        </a:xfrm>
      </xdr:grpSpPr>
      <xdr:sp macro="" textlink="">
        <xdr:nvSpPr>
          <xdr:cNvPr id="4103470" name="Line 7196">
            <a:extLst>
              <a:ext uri="{FF2B5EF4-FFF2-40B4-BE49-F238E27FC236}">
                <a16:creationId xmlns:a16="http://schemas.microsoft.com/office/drawing/2014/main" id="{00000000-0008-0000-0F00-00002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71" name="Line 7197">
            <a:extLst>
              <a:ext uri="{FF2B5EF4-FFF2-40B4-BE49-F238E27FC236}">
                <a16:creationId xmlns:a16="http://schemas.microsoft.com/office/drawing/2014/main" id="{00000000-0008-0000-0F00-00002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33" name="Group 7198">
          <a:extLst>
            <a:ext uri="{FF2B5EF4-FFF2-40B4-BE49-F238E27FC236}">
              <a16:creationId xmlns:a16="http://schemas.microsoft.com/office/drawing/2014/main" id="{00000000-0008-0000-0F00-0000419C3E00}"/>
            </a:ext>
          </a:extLst>
        </xdr:cNvPr>
        <xdr:cNvGrpSpPr>
          <a:grpSpLocks/>
        </xdr:cNvGrpSpPr>
      </xdr:nvGrpSpPr>
      <xdr:grpSpPr bwMode="auto">
        <a:xfrm>
          <a:off x="5486400" y="10096500"/>
          <a:ext cx="266700" cy="0"/>
          <a:chOff x="466" y="3952"/>
          <a:chExt cx="28" cy="16"/>
        </a:xfrm>
      </xdr:grpSpPr>
      <xdr:sp macro="" textlink="">
        <xdr:nvSpPr>
          <xdr:cNvPr id="4103468" name="Line 7199">
            <a:extLst>
              <a:ext uri="{FF2B5EF4-FFF2-40B4-BE49-F238E27FC236}">
                <a16:creationId xmlns:a16="http://schemas.microsoft.com/office/drawing/2014/main" id="{00000000-0008-0000-0F00-00002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9" name="Line 7200">
            <a:extLst>
              <a:ext uri="{FF2B5EF4-FFF2-40B4-BE49-F238E27FC236}">
                <a16:creationId xmlns:a16="http://schemas.microsoft.com/office/drawing/2014/main" id="{00000000-0008-0000-0F00-00002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4" name="Group 7201">
          <a:extLst>
            <a:ext uri="{FF2B5EF4-FFF2-40B4-BE49-F238E27FC236}">
              <a16:creationId xmlns:a16="http://schemas.microsoft.com/office/drawing/2014/main" id="{00000000-0008-0000-0F00-0000429C3E00}"/>
            </a:ext>
          </a:extLst>
        </xdr:cNvPr>
        <xdr:cNvGrpSpPr>
          <a:grpSpLocks/>
        </xdr:cNvGrpSpPr>
      </xdr:nvGrpSpPr>
      <xdr:grpSpPr bwMode="auto">
        <a:xfrm>
          <a:off x="4117181" y="10096500"/>
          <a:ext cx="228600" cy="0"/>
          <a:chOff x="466" y="3952"/>
          <a:chExt cx="28" cy="16"/>
        </a:xfrm>
      </xdr:grpSpPr>
      <xdr:sp macro="" textlink="">
        <xdr:nvSpPr>
          <xdr:cNvPr id="4103466" name="Line 7202">
            <a:extLst>
              <a:ext uri="{FF2B5EF4-FFF2-40B4-BE49-F238E27FC236}">
                <a16:creationId xmlns:a16="http://schemas.microsoft.com/office/drawing/2014/main" id="{00000000-0008-0000-0F00-00002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7" name="Line 7203">
            <a:extLst>
              <a:ext uri="{FF2B5EF4-FFF2-40B4-BE49-F238E27FC236}">
                <a16:creationId xmlns:a16="http://schemas.microsoft.com/office/drawing/2014/main" id="{00000000-0008-0000-0F00-00002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5" name="Group 7204">
          <a:extLst>
            <a:ext uri="{FF2B5EF4-FFF2-40B4-BE49-F238E27FC236}">
              <a16:creationId xmlns:a16="http://schemas.microsoft.com/office/drawing/2014/main" id="{00000000-0008-0000-0F00-0000439C3E00}"/>
            </a:ext>
          </a:extLst>
        </xdr:cNvPr>
        <xdr:cNvGrpSpPr>
          <a:grpSpLocks/>
        </xdr:cNvGrpSpPr>
      </xdr:nvGrpSpPr>
      <xdr:grpSpPr bwMode="auto">
        <a:xfrm>
          <a:off x="4700588" y="10096500"/>
          <a:ext cx="266700" cy="0"/>
          <a:chOff x="466" y="3952"/>
          <a:chExt cx="28" cy="16"/>
        </a:xfrm>
      </xdr:grpSpPr>
      <xdr:sp macro="" textlink="">
        <xdr:nvSpPr>
          <xdr:cNvPr id="4103464" name="Line 7205">
            <a:extLst>
              <a:ext uri="{FF2B5EF4-FFF2-40B4-BE49-F238E27FC236}">
                <a16:creationId xmlns:a16="http://schemas.microsoft.com/office/drawing/2014/main" id="{00000000-0008-0000-0F00-00002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5" name="Line 7206">
            <a:extLst>
              <a:ext uri="{FF2B5EF4-FFF2-40B4-BE49-F238E27FC236}">
                <a16:creationId xmlns:a16="http://schemas.microsoft.com/office/drawing/2014/main" id="{00000000-0008-0000-0F00-00002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6" name="Group 7207">
          <a:extLst>
            <a:ext uri="{FF2B5EF4-FFF2-40B4-BE49-F238E27FC236}">
              <a16:creationId xmlns:a16="http://schemas.microsoft.com/office/drawing/2014/main" id="{00000000-0008-0000-0F00-0000449C3E00}"/>
            </a:ext>
          </a:extLst>
        </xdr:cNvPr>
        <xdr:cNvGrpSpPr>
          <a:grpSpLocks/>
        </xdr:cNvGrpSpPr>
      </xdr:nvGrpSpPr>
      <xdr:grpSpPr bwMode="auto">
        <a:xfrm>
          <a:off x="4117181" y="10096500"/>
          <a:ext cx="228600" cy="0"/>
          <a:chOff x="466" y="3952"/>
          <a:chExt cx="28" cy="16"/>
        </a:xfrm>
      </xdr:grpSpPr>
      <xdr:sp macro="" textlink="">
        <xdr:nvSpPr>
          <xdr:cNvPr id="4103462" name="Line 7208">
            <a:extLst>
              <a:ext uri="{FF2B5EF4-FFF2-40B4-BE49-F238E27FC236}">
                <a16:creationId xmlns:a16="http://schemas.microsoft.com/office/drawing/2014/main" id="{00000000-0008-0000-0F00-00002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3" name="Line 7209">
            <a:extLst>
              <a:ext uri="{FF2B5EF4-FFF2-40B4-BE49-F238E27FC236}">
                <a16:creationId xmlns:a16="http://schemas.microsoft.com/office/drawing/2014/main" id="{00000000-0008-0000-0F00-00002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7" name="Group 7210">
          <a:extLst>
            <a:ext uri="{FF2B5EF4-FFF2-40B4-BE49-F238E27FC236}">
              <a16:creationId xmlns:a16="http://schemas.microsoft.com/office/drawing/2014/main" id="{00000000-0008-0000-0F00-0000459C3E00}"/>
            </a:ext>
          </a:extLst>
        </xdr:cNvPr>
        <xdr:cNvGrpSpPr>
          <a:grpSpLocks/>
        </xdr:cNvGrpSpPr>
      </xdr:nvGrpSpPr>
      <xdr:grpSpPr bwMode="auto">
        <a:xfrm>
          <a:off x="4700588" y="10096500"/>
          <a:ext cx="266700" cy="0"/>
          <a:chOff x="466" y="3952"/>
          <a:chExt cx="28" cy="16"/>
        </a:xfrm>
      </xdr:grpSpPr>
      <xdr:sp macro="" textlink="">
        <xdr:nvSpPr>
          <xdr:cNvPr id="4103460" name="Line 7211">
            <a:extLst>
              <a:ext uri="{FF2B5EF4-FFF2-40B4-BE49-F238E27FC236}">
                <a16:creationId xmlns:a16="http://schemas.microsoft.com/office/drawing/2014/main" id="{00000000-0008-0000-0F00-00002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61" name="Line 7212">
            <a:extLst>
              <a:ext uri="{FF2B5EF4-FFF2-40B4-BE49-F238E27FC236}">
                <a16:creationId xmlns:a16="http://schemas.microsoft.com/office/drawing/2014/main" id="{00000000-0008-0000-0F00-00002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38" name="Group 7213">
          <a:extLst>
            <a:ext uri="{FF2B5EF4-FFF2-40B4-BE49-F238E27FC236}">
              <a16:creationId xmlns:a16="http://schemas.microsoft.com/office/drawing/2014/main" id="{00000000-0008-0000-0F00-0000469C3E00}"/>
            </a:ext>
          </a:extLst>
        </xdr:cNvPr>
        <xdr:cNvGrpSpPr>
          <a:grpSpLocks/>
        </xdr:cNvGrpSpPr>
      </xdr:nvGrpSpPr>
      <xdr:grpSpPr bwMode="auto">
        <a:xfrm>
          <a:off x="4117181" y="10096500"/>
          <a:ext cx="228600" cy="0"/>
          <a:chOff x="466" y="3952"/>
          <a:chExt cx="28" cy="16"/>
        </a:xfrm>
      </xdr:grpSpPr>
      <xdr:sp macro="" textlink="">
        <xdr:nvSpPr>
          <xdr:cNvPr id="4103458" name="Line 7214">
            <a:extLst>
              <a:ext uri="{FF2B5EF4-FFF2-40B4-BE49-F238E27FC236}">
                <a16:creationId xmlns:a16="http://schemas.microsoft.com/office/drawing/2014/main" id="{00000000-0008-0000-0F00-00002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9" name="Line 7215">
            <a:extLst>
              <a:ext uri="{FF2B5EF4-FFF2-40B4-BE49-F238E27FC236}">
                <a16:creationId xmlns:a16="http://schemas.microsoft.com/office/drawing/2014/main" id="{00000000-0008-0000-0F00-00002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39" name="Group 7216">
          <a:extLst>
            <a:ext uri="{FF2B5EF4-FFF2-40B4-BE49-F238E27FC236}">
              <a16:creationId xmlns:a16="http://schemas.microsoft.com/office/drawing/2014/main" id="{00000000-0008-0000-0F00-0000479C3E00}"/>
            </a:ext>
          </a:extLst>
        </xdr:cNvPr>
        <xdr:cNvGrpSpPr>
          <a:grpSpLocks/>
        </xdr:cNvGrpSpPr>
      </xdr:nvGrpSpPr>
      <xdr:grpSpPr bwMode="auto">
        <a:xfrm>
          <a:off x="4700588" y="10096500"/>
          <a:ext cx="266700" cy="0"/>
          <a:chOff x="466" y="3952"/>
          <a:chExt cx="28" cy="16"/>
        </a:xfrm>
      </xdr:grpSpPr>
      <xdr:sp macro="" textlink="">
        <xdr:nvSpPr>
          <xdr:cNvPr id="4103456" name="Line 7217">
            <a:extLst>
              <a:ext uri="{FF2B5EF4-FFF2-40B4-BE49-F238E27FC236}">
                <a16:creationId xmlns:a16="http://schemas.microsoft.com/office/drawing/2014/main" id="{00000000-0008-0000-0F00-00002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7" name="Line 7218">
            <a:extLst>
              <a:ext uri="{FF2B5EF4-FFF2-40B4-BE49-F238E27FC236}">
                <a16:creationId xmlns:a16="http://schemas.microsoft.com/office/drawing/2014/main" id="{00000000-0008-0000-0F00-00002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0" name="Group 7219">
          <a:extLst>
            <a:ext uri="{FF2B5EF4-FFF2-40B4-BE49-F238E27FC236}">
              <a16:creationId xmlns:a16="http://schemas.microsoft.com/office/drawing/2014/main" id="{00000000-0008-0000-0F00-0000489C3E00}"/>
            </a:ext>
          </a:extLst>
        </xdr:cNvPr>
        <xdr:cNvGrpSpPr>
          <a:grpSpLocks/>
        </xdr:cNvGrpSpPr>
      </xdr:nvGrpSpPr>
      <xdr:grpSpPr bwMode="auto">
        <a:xfrm>
          <a:off x="4117181" y="10096500"/>
          <a:ext cx="228600" cy="0"/>
          <a:chOff x="466" y="3952"/>
          <a:chExt cx="28" cy="16"/>
        </a:xfrm>
      </xdr:grpSpPr>
      <xdr:sp macro="" textlink="">
        <xdr:nvSpPr>
          <xdr:cNvPr id="4103454" name="Line 7220">
            <a:extLst>
              <a:ext uri="{FF2B5EF4-FFF2-40B4-BE49-F238E27FC236}">
                <a16:creationId xmlns:a16="http://schemas.microsoft.com/office/drawing/2014/main" id="{00000000-0008-0000-0F00-00001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5" name="Line 7221">
            <a:extLst>
              <a:ext uri="{FF2B5EF4-FFF2-40B4-BE49-F238E27FC236}">
                <a16:creationId xmlns:a16="http://schemas.microsoft.com/office/drawing/2014/main" id="{00000000-0008-0000-0F00-00001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1" name="Group 7222">
          <a:extLst>
            <a:ext uri="{FF2B5EF4-FFF2-40B4-BE49-F238E27FC236}">
              <a16:creationId xmlns:a16="http://schemas.microsoft.com/office/drawing/2014/main" id="{00000000-0008-0000-0F00-0000499C3E00}"/>
            </a:ext>
          </a:extLst>
        </xdr:cNvPr>
        <xdr:cNvGrpSpPr>
          <a:grpSpLocks/>
        </xdr:cNvGrpSpPr>
      </xdr:nvGrpSpPr>
      <xdr:grpSpPr bwMode="auto">
        <a:xfrm>
          <a:off x="4700588" y="10096500"/>
          <a:ext cx="266700" cy="0"/>
          <a:chOff x="466" y="3952"/>
          <a:chExt cx="28" cy="16"/>
        </a:xfrm>
      </xdr:grpSpPr>
      <xdr:sp macro="" textlink="">
        <xdr:nvSpPr>
          <xdr:cNvPr id="4103452" name="Line 7223">
            <a:extLst>
              <a:ext uri="{FF2B5EF4-FFF2-40B4-BE49-F238E27FC236}">
                <a16:creationId xmlns:a16="http://schemas.microsoft.com/office/drawing/2014/main" id="{00000000-0008-0000-0F00-00001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3" name="Line 7224">
            <a:extLst>
              <a:ext uri="{FF2B5EF4-FFF2-40B4-BE49-F238E27FC236}">
                <a16:creationId xmlns:a16="http://schemas.microsoft.com/office/drawing/2014/main" id="{00000000-0008-0000-0F00-00001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2" name="Group 7225">
          <a:extLst>
            <a:ext uri="{FF2B5EF4-FFF2-40B4-BE49-F238E27FC236}">
              <a16:creationId xmlns:a16="http://schemas.microsoft.com/office/drawing/2014/main" id="{00000000-0008-0000-0F00-00004A9C3E00}"/>
            </a:ext>
          </a:extLst>
        </xdr:cNvPr>
        <xdr:cNvGrpSpPr>
          <a:grpSpLocks/>
        </xdr:cNvGrpSpPr>
      </xdr:nvGrpSpPr>
      <xdr:grpSpPr bwMode="auto">
        <a:xfrm>
          <a:off x="4117181" y="10096500"/>
          <a:ext cx="228600" cy="0"/>
          <a:chOff x="466" y="3952"/>
          <a:chExt cx="28" cy="16"/>
        </a:xfrm>
      </xdr:grpSpPr>
      <xdr:sp macro="" textlink="">
        <xdr:nvSpPr>
          <xdr:cNvPr id="4103450" name="Line 7226">
            <a:extLst>
              <a:ext uri="{FF2B5EF4-FFF2-40B4-BE49-F238E27FC236}">
                <a16:creationId xmlns:a16="http://schemas.microsoft.com/office/drawing/2014/main" id="{00000000-0008-0000-0F00-00001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51" name="Line 7227">
            <a:extLst>
              <a:ext uri="{FF2B5EF4-FFF2-40B4-BE49-F238E27FC236}">
                <a16:creationId xmlns:a16="http://schemas.microsoft.com/office/drawing/2014/main" id="{00000000-0008-0000-0F00-00001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3" name="Group 7228">
          <a:extLst>
            <a:ext uri="{FF2B5EF4-FFF2-40B4-BE49-F238E27FC236}">
              <a16:creationId xmlns:a16="http://schemas.microsoft.com/office/drawing/2014/main" id="{00000000-0008-0000-0F00-00004B9C3E00}"/>
            </a:ext>
          </a:extLst>
        </xdr:cNvPr>
        <xdr:cNvGrpSpPr>
          <a:grpSpLocks/>
        </xdr:cNvGrpSpPr>
      </xdr:nvGrpSpPr>
      <xdr:grpSpPr bwMode="auto">
        <a:xfrm>
          <a:off x="4117181" y="10096500"/>
          <a:ext cx="228600" cy="0"/>
          <a:chOff x="466" y="3952"/>
          <a:chExt cx="28" cy="16"/>
        </a:xfrm>
      </xdr:grpSpPr>
      <xdr:sp macro="" textlink="">
        <xdr:nvSpPr>
          <xdr:cNvPr id="4103448" name="Line 7229">
            <a:extLst>
              <a:ext uri="{FF2B5EF4-FFF2-40B4-BE49-F238E27FC236}">
                <a16:creationId xmlns:a16="http://schemas.microsoft.com/office/drawing/2014/main" id="{00000000-0008-0000-0F00-00001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9" name="Line 7230">
            <a:extLst>
              <a:ext uri="{FF2B5EF4-FFF2-40B4-BE49-F238E27FC236}">
                <a16:creationId xmlns:a16="http://schemas.microsoft.com/office/drawing/2014/main" id="{00000000-0008-0000-0F00-00001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4" name="Group 7231">
          <a:extLst>
            <a:ext uri="{FF2B5EF4-FFF2-40B4-BE49-F238E27FC236}">
              <a16:creationId xmlns:a16="http://schemas.microsoft.com/office/drawing/2014/main" id="{00000000-0008-0000-0F00-00004C9C3E00}"/>
            </a:ext>
          </a:extLst>
        </xdr:cNvPr>
        <xdr:cNvGrpSpPr>
          <a:grpSpLocks/>
        </xdr:cNvGrpSpPr>
      </xdr:nvGrpSpPr>
      <xdr:grpSpPr bwMode="auto">
        <a:xfrm>
          <a:off x="4117181" y="10096500"/>
          <a:ext cx="228600" cy="0"/>
          <a:chOff x="466" y="3952"/>
          <a:chExt cx="28" cy="16"/>
        </a:xfrm>
      </xdr:grpSpPr>
      <xdr:sp macro="" textlink="">
        <xdr:nvSpPr>
          <xdr:cNvPr id="4103446" name="Line 7232">
            <a:extLst>
              <a:ext uri="{FF2B5EF4-FFF2-40B4-BE49-F238E27FC236}">
                <a16:creationId xmlns:a16="http://schemas.microsoft.com/office/drawing/2014/main" id="{00000000-0008-0000-0F00-00001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7" name="Line 7233">
            <a:extLst>
              <a:ext uri="{FF2B5EF4-FFF2-40B4-BE49-F238E27FC236}">
                <a16:creationId xmlns:a16="http://schemas.microsoft.com/office/drawing/2014/main" id="{00000000-0008-0000-0F00-00001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5" name="Group 7234">
          <a:extLst>
            <a:ext uri="{FF2B5EF4-FFF2-40B4-BE49-F238E27FC236}">
              <a16:creationId xmlns:a16="http://schemas.microsoft.com/office/drawing/2014/main" id="{00000000-0008-0000-0F00-00004D9C3E00}"/>
            </a:ext>
          </a:extLst>
        </xdr:cNvPr>
        <xdr:cNvGrpSpPr>
          <a:grpSpLocks/>
        </xdr:cNvGrpSpPr>
      </xdr:nvGrpSpPr>
      <xdr:grpSpPr bwMode="auto">
        <a:xfrm>
          <a:off x="4117181" y="10096500"/>
          <a:ext cx="228600" cy="0"/>
          <a:chOff x="466" y="3952"/>
          <a:chExt cx="28" cy="16"/>
        </a:xfrm>
      </xdr:grpSpPr>
      <xdr:sp macro="" textlink="">
        <xdr:nvSpPr>
          <xdr:cNvPr id="4103444" name="Line 7235">
            <a:extLst>
              <a:ext uri="{FF2B5EF4-FFF2-40B4-BE49-F238E27FC236}">
                <a16:creationId xmlns:a16="http://schemas.microsoft.com/office/drawing/2014/main" id="{00000000-0008-0000-0F00-00001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5" name="Line 7236">
            <a:extLst>
              <a:ext uri="{FF2B5EF4-FFF2-40B4-BE49-F238E27FC236}">
                <a16:creationId xmlns:a16="http://schemas.microsoft.com/office/drawing/2014/main" id="{00000000-0008-0000-0F00-00001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46" name="Group 7237">
          <a:extLst>
            <a:ext uri="{FF2B5EF4-FFF2-40B4-BE49-F238E27FC236}">
              <a16:creationId xmlns:a16="http://schemas.microsoft.com/office/drawing/2014/main" id="{00000000-0008-0000-0F00-00004E9C3E00}"/>
            </a:ext>
          </a:extLst>
        </xdr:cNvPr>
        <xdr:cNvGrpSpPr>
          <a:grpSpLocks/>
        </xdr:cNvGrpSpPr>
      </xdr:nvGrpSpPr>
      <xdr:grpSpPr bwMode="auto">
        <a:xfrm>
          <a:off x="4117181" y="10096500"/>
          <a:ext cx="228600" cy="0"/>
          <a:chOff x="466" y="3952"/>
          <a:chExt cx="28" cy="16"/>
        </a:xfrm>
      </xdr:grpSpPr>
      <xdr:sp macro="" textlink="">
        <xdr:nvSpPr>
          <xdr:cNvPr id="4103442" name="Line 7238">
            <a:extLst>
              <a:ext uri="{FF2B5EF4-FFF2-40B4-BE49-F238E27FC236}">
                <a16:creationId xmlns:a16="http://schemas.microsoft.com/office/drawing/2014/main" id="{00000000-0008-0000-0F00-00001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3" name="Line 7239">
            <a:extLst>
              <a:ext uri="{FF2B5EF4-FFF2-40B4-BE49-F238E27FC236}">
                <a16:creationId xmlns:a16="http://schemas.microsoft.com/office/drawing/2014/main" id="{00000000-0008-0000-0F00-00001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7" name="Group 7240">
          <a:extLst>
            <a:ext uri="{FF2B5EF4-FFF2-40B4-BE49-F238E27FC236}">
              <a16:creationId xmlns:a16="http://schemas.microsoft.com/office/drawing/2014/main" id="{00000000-0008-0000-0F00-00004F9C3E00}"/>
            </a:ext>
          </a:extLst>
        </xdr:cNvPr>
        <xdr:cNvGrpSpPr>
          <a:grpSpLocks/>
        </xdr:cNvGrpSpPr>
      </xdr:nvGrpSpPr>
      <xdr:grpSpPr bwMode="auto">
        <a:xfrm>
          <a:off x="4700588" y="10096500"/>
          <a:ext cx="266700" cy="0"/>
          <a:chOff x="466" y="3952"/>
          <a:chExt cx="28" cy="16"/>
        </a:xfrm>
      </xdr:grpSpPr>
      <xdr:sp macro="" textlink="">
        <xdr:nvSpPr>
          <xdr:cNvPr id="4103440" name="Line 7241">
            <a:extLst>
              <a:ext uri="{FF2B5EF4-FFF2-40B4-BE49-F238E27FC236}">
                <a16:creationId xmlns:a16="http://schemas.microsoft.com/office/drawing/2014/main" id="{00000000-0008-0000-0F00-00001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41" name="Line 7242">
            <a:extLst>
              <a:ext uri="{FF2B5EF4-FFF2-40B4-BE49-F238E27FC236}">
                <a16:creationId xmlns:a16="http://schemas.microsoft.com/office/drawing/2014/main" id="{00000000-0008-0000-0F00-00001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8" name="Group 7243">
          <a:extLst>
            <a:ext uri="{FF2B5EF4-FFF2-40B4-BE49-F238E27FC236}">
              <a16:creationId xmlns:a16="http://schemas.microsoft.com/office/drawing/2014/main" id="{00000000-0008-0000-0F00-0000509C3E00}"/>
            </a:ext>
          </a:extLst>
        </xdr:cNvPr>
        <xdr:cNvGrpSpPr>
          <a:grpSpLocks/>
        </xdr:cNvGrpSpPr>
      </xdr:nvGrpSpPr>
      <xdr:grpSpPr bwMode="auto">
        <a:xfrm>
          <a:off x="4700588" y="10096500"/>
          <a:ext cx="266700" cy="0"/>
          <a:chOff x="466" y="3952"/>
          <a:chExt cx="28" cy="16"/>
        </a:xfrm>
      </xdr:grpSpPr>
      <xdr:sp macro="" textlink="">
        <xdr:nvSpPr>
          <xdr:cNvPr id="4103438" name="Line 7244">
            <a:extLst>
              <a:ext uri="{FF2B5EF4-FFF2-40B4-BE49-F238E27FC236}">
                <a16:creationId xmlns:a16="http://schemas.microsoft.com/office/drawing/2014/main" id="{00000000-0008-0000-0F00-00000E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9" name="Line 7245">
            <a:extLst>
              <a:ext uri="{FF2B5EF4-FFF2-40B4-BE49-F238E27FC236}">
                <a16:creationId xmlns:a16="http://schemas.microsoft.com/office/drawing/2014/main" id="{00000000-0008-0000-0F00-00000F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49" name="Group 7246">
          <a:extLst>
            <a:ext uri="{FF2B5EF4-FFF2-40B4-BE49-F238E27FC236}">
              <a16:creationId xmlns:a16="http://schemas.microsoft.com/office/drawing/2014/main" id="{00000000-0008-0000-0F00-0000519C3E00}"/>
            </a:ext>
          </a:extLst>
        </xdr:cNvPr>
        <xdr:cNvGrpSpPr>
          <a:grpSpLocks/>
        </xdr:cNvGrpSpPr>
      </xdr:nvGrpSpPr>
      <xdr:grpSpPr bwMode="auto">
        <a:xfrm>
          <a:off x="4700588" y="10096500"/>
          <a:ext cx="266700" cy="0"/>
          <a:chOff x="466" y="3952"/>
          <a:chExt cx="28" cy="16"/>
        </a:xfrm>
      </xdr:grpSpPr>
      <xdr:sp macro="" textlink="">
        <xdr:nvSpPr>
          <xdr:cNvPr id="4103436" name="Line 7247">
            <a:extLst>
              <a:ext uri="{FF2B5EF4-FFF2-40B4-BE49-F238E27FC236}">
                <a16:creationId xmlns:a16="http://schemas.microsoft.com/office/drawing/2014/main" id="{00000000-0008-0000-0F00-00000C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7" name="Line 7248">
            <a:extLst>
              <a:ext uri="{FF2B5EF4-FFF2-40B4-BE49-F238E27FC236}">
                <a16:creationId xmlns:a16="http://schemas.microsoft.com/office/drawing/2014/main" id="{00000000-0008-0000-0F00-00000D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0" name="Group 7249">
          <a:extLst>
            <a:ext uri="{FF2B5EF4-FFF2-40B4-BE49-F238E27FC236}">
              <a16:creationId xmlns:a16="http://schemas.microsoft.com/office/drawing/2014/main" id="{00000000-0008-0000-0F00-0000529C3E00}"/>
            </a:ext>
          </a:extLst>
        </xdr:cNvPr>
        <xdr:cNvGrpSpPr>
          <a:grpSpLocks/>
        </xdr:cNvGrpSpPr>
      </xdr:nvGrpSpPr>
      <xdr:grpSpPr bwMode="auto">
        <a:xfrm>
          <a:off x="4700588" y="10096500"/>
          <a:ext cx="266700" cy="0"/>
          <a:chOff x="466" y="3952"/>
          <a:chExt cx="28" cy="16"/>
        </a:xfrm>
      </xdr:grpSpPr>
      <xdr:sp macro="" textlink="">
        <xdr:nvSpPr>
          <xdr:cNvPr id="4103434" name="Line 7250">
            <a:extLst>
              <a:ext uri="{FF2B5EF4-FFF2-40B4-BE49-F238E27FC236}">
                <a16:creationId xmlns:a16="http://schemas.microsoft.com/office/drawing/2014/main" id="{00000000-0008-0000-0F00-00000A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5" name="Line 7251">
            <a:extLst>
              <a:ext uri="{FF2B5EF4-FFF2-40B4-BE49-F238E27FC236}">
                <a16:creationId xmlns:a16="http://schemas.microsoft.com/office/drawing/2014/main" id="{00000000-0008-0000-0F00-00000B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1" name="Group 7252">
          <a:extLst>
            <a:ext uri="{FF2B5EF4-FFF2-40B4-BE49-F238E27FC236}">
              <a16:creationId xmlns:a16="http://schemas.microsoft.com/office/drawing/2014/main" id="{00000000-0008-0000-0F00-0000539C3E00}"/>
            </a:ext>
          </a:extLst>
        </xdr:cNvPr>
        <xdr:cNvGrpSpPr>
          <a:grpSpLocks/>
        </xdr:cNvGrpSpPr>
      </xdr:nvGrpSpPr>
      <xdr:grpSpPr bwMode="auto">
        <a:xfrm>
          <a:off x="4700588" y="10096500"/>
          <a:ext cx="266700" cy="0"/>
          <a:chOff x="466" y="3952"/>
          <a:chExt cx="28" cy="16"/>
        </a:xfrm>
      </xdr:grpSpPr>
      <xdr:sp macro="" textlink="">
        <xdr:nvSpPr>
          <xdr:cNvPr id="4103432" name="Line 7253">
            <a:extLst>
              <a:ext uri="{FF2B5EF4-FFF2-40B4-BE49-F238E27FC236}">
                <a16:creationId xmlns:a16="http://schemas.microsoft.com/office/drawing/2014/main" id="{00000000-0008-0000-0F00-000008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3" name="Line 7254">
            <a:extLst>
              <a:ext uri="{FF2B5EF4-FFF2-40B4-BE49-F238E27FC236}">
                <a16:creationId xmlns:a16="http://schemas.microsoft.com/office/drawing/2014/main" id="{00000000-0008-0000-0F00-000009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2" name="Group 7255">
          <a:extLst>
            <a:ext uri="{FF2B5EF4-FFF2-40B4-BE49-F238E27FC236}">
              <a16:creationId xmlns:a16="http://schemas.microsoft.com/office/drawing/2014/main" id="{00000000-0008-0000-0F00-0000549C3E00}"/>
            </a:ext>
          </a:extLst>
        </xdr:cNvPr>
        <xdr:cNvGrpSpPr>
          <a:grpSpLocks/>
        </xdr:cNvGrpSpPr>
      </xdr:nvGrpSpPr>
      <xdr:grpSpPr bwMode="auto">
        <a:xfrm>
          <a:off x="4117181" y="10096500"/>
          <a:ext cx="228600" cy="0"/>
          <a:chOff x="466" y="3952"/>
          <a:chExt cx="28" cy="16"/>
        </a:xfrm>
      </xdr:grpSpPr>
      <xdr:sp macro="" textlink="">
        <xdr:nvSpPr>
          <xdr:cNvPr id="4103430" name="Line 7256">
            <a:extLst>
              <a:ext uri="{FF2B5EF4-FFF2-40B4-BE49-F238E27FC236}">
                <a16:creationId xmlns:a16="http://schemas.microsoft.com/office/drawing/2014/main" id="{00000000-0008-0000-0F00-000006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31" name="Line 7257">
            <a:extLst>
              <a:ext uri="{FF2B5EF4-FFF2-40B4-BE49-F238E27FC236}">
                <a16:creationId xmlns:a16="http://schemas.microsoft.com/office/drawing/2014/main" id="{00000000-0008-0000-0F00-000007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53" name="Group 7258">
          <a:extLst>
            <a:ext uri="{FF2B5EF4-FFF2-40B4-BE49-F238E27FC236}">
              <a16:creationId xmlns:a16="http://schemas.microsoft.com/office/drawing/2014/main" id="{00000000-0008-0000-0F00-0000559C3E00}"/>
            </a:ext>
          </a:extLst>
        </xdr:cNvPr>
        <xdr:cNvGrpSpPr>
          <a:grpSpLocks/>
        </xdr:cNvGrpSpPr>
      </xdr:nvGrpSpPr>
      <xdr:grpSpPr bwMode="auto">
        <a:xfrm>
          <a:off x="4117181" y="10096500"/>
          <a:ext cx="228600" cy="0"/>
          <a:chOff x="466" y="3952"/>
          <a:chExt cx="28" cy="16"/>
        </a:xfrm>
      </xdr:grpSpPr>
      <xdr:sp macro="" textlink="">
        <xdr:nvSpPr>
          <xdr:cNvPr id="4103428" name="Line 7259">
            <a:extLst>
              <a:ext uri="{FF2B5EF4-FFF2-40B4-BE49-F238E27FC236}">
                <a16:creationId xmlns:a16="http://schemas.microsoft.com/office/drawing/2014/main" id="{00000000-0008-0000-0F00-000004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9" name="Line 7260">
            <a:extLst>
              <a:ext uri="{FF2B5EF4-FFF2-40B4-BE49-F238E27FC236}">
                <a16:creationId xmlns:a16="http://schemas.microsoft.com/office/drawing/2014/main" id="{00000000-0008-0000-0F00-000005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4" name="Group 7261">
          <a:extLst>
            <a:ext uri="{FF2B5EF4-FFF2-40B4-BE49-F238E27FC236}">
              <a16:creationId xmlns:a16="http://schemas.microsoft.com/office/drawing/2014/main" id="{00000000-0008-0000-0F00-0000569C3E00}"/>
            </a:ext>
          </a:extLst>
        </xdr:cNvPr>
        <xdr:cNvGrpSpPr>
          <a:grpSpLocks/>
        </xdr:cNvGrpSpPr>
      </xdr:nvGrpSpPr>
      <xdr:grpSpPr bwMode="auto">
        <a:xfrm>
          <a:off x="4700588" y="10096500"/>
          <a:ext cx="266700" cy="0"/>
          <a:chOff x="466" y="3952"/>
          <a:chExt cx="28" cy="16"/>
        </a:xfrm>
      </xdr:grpSpPr>
      <xdr:sp macro="" textlink="">
        <xdr:nvSpPr>
          <xdr:cNvPr id="4103426" name="Line 7262">
            <a:extLst>
              <a:ext uri="{FF2B5EF4-FFF2-40B4-BE49-F238E27FC236}">
                <a16:creationId xmlns:a16="http://schemas.microsoft.com/office/drawing/2014/main" id="{00000000-0008-0000-0F00-000002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7" name="Line 7263">
            <a:extLst>
              <a:ext uri="{FF2B5EF4-FFF2-40B4-BE49-F238E27FC236}">
                <a16:creationId xmlns:a16="http://schemas.microsoft.com/office/drawing/2014/main" id="{00000000-0008-0000-0F00-000003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5" name="Group 7264">
          <a:extLst>
            <a:ext uri="{FF2B5EF4-FFF2-40B4-BE49-F238E27FC236}">
              <a16:creationId xmlns:a16="http://schemas.microsoft.com/office/drawing/2014/main" id="{00000000-0008-0000-0F00-0000579C3E00}"/>
            </a:ext>
          </a:extLst>
        </xdr:cNvPr>
        <xdr:cNvGrpSpPr>
          <a:grpSpLocks/>
        </xdr:cNvGrpSpPr>
      </xdr:nvGrpSpPr>
      <xdr:grpSpPr bwMode="auto">
        <a:xfrm>
          <a:off x="4700588" y="10096500"/>
          <a:ext cx="266700" cy="0"/>
          <a:chOff x="466" y="3952"/>
          <a:chExt cx="28" cy="16"/>
        </a:xfrm>
      </xdr:grpSpPr>
      <xdr:sp macro="" textlink="">
        <xdr:nvSpPr>
          <xdr:cNvPr id="4103424" name="Line 7265">
            <a:extLst>
              <a:ext uri="{FF2B5EF4-FFF2-40B4-BE49-F238E27FC236}">
                <a16:creationId xmlns:a16="http://schemas.microsoft.com/office/drawing/2014/main" id="{00000000-0008-0000-0F00-0000009D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5" name="Line 7266">
            <a:extLst>
              <a:ext uri="{FF2B5EF4-FFF2-40B4-BE49-F238E27FC236}">
                <a16:creationId xmlns:a16="http://schemas.microsoft.com/office/drawing/2014/main" id="{00000000-0008-0000-0F00-0000019D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56" name="Group 7267">
          <a:extLst>
            <a:ext uri="{FF2B5EF4-FFF2-40B4-BE49-F238E27FC236}">
              <a16:creationId xmlns:a16="http://schemas.microsoft.com/office/drawing/2014/main" id="{00000000-0008-0000-0F00-0000589C3E00}"/>
            </a:ext>
          </a:extLst>
        </xdr:cNvPr>
        <xdr:cNvGrpSpPr>
          <a:grpSpLocks/>
        </xdr:cNvGrpSpPr>
      </xdr:nvGrpSpPr>
      <xdr:grpSpPr bwMode="auto">
        <a:xfrm>
          <a:off x="4117181" y="10096500"/>
          <a:ext cx="240507" cy="0"/>
          <a:chOff x="466" y="3952"/>
          <a:chExt cx="28" cy="16"/>
        </a:xfrm>
      </xdr:grpSpPr>
      <xdr:sp macro="" textlink="">
        <xdr:nvSpPr>
          <xdr:cNvPr id="4103422" name="Line 7268">
            <a:extLst>
              <a:ext uri="{FF2B5EF4-FFF2-40B4-BE49-F238E27FC236}">
                <a16:creationId xmlns:a16="http://schemas.microsoft.com/office/drawing/2014/main" id="{00000000-0008-0000-0F00-0000F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3" name="Line 7269">
            <a:extLst>
              <a:ext uri="{FF2B5EF4-FFF2-40B4-BE49-F238E27FC236}">
                <a16:creationId xmlns:a16="http://schemas.microsoft.com/office/drawing/2014/main" id="{00000000-0008-0000-0F00-0000F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257" name="Group 7270">
          <a:extLst>
            <a:ext uri="{FF2B5EF4-FFF2-40B4-BE49-F238E27FC236}">
              <a16:creationId xmlns:a16="http://schemas.microsoft.com/office/drawing/2014/main" id="{00000000-0008-0000-0F00-0000599C3E00}"/>
            </a:ext>
          </a:extLst>
        </xdr:cNvPr>
        <xdr:cNvGrpSpPr>
          <a:grpSpLocks/>
        </xdr:cNvGrpSpPr>
      </xdr:nvGrpSpPr>
      <xdr:grpSpPr bwMode="auto">
        <a:xfrm>
          <a:off x="5486400" y="10096500"/>
          <a:ext cx="228600" cy="0"/>
          <a:chOff x="466" y="3952"/>
          <a:chExt cx="28" cy="16"/>
        </a:xfrm>
      </xdr:grpSpPr>
      <xdr:sp macro="" textlink="">
        <xdr:nvSpPr>
          <xdr:cNvPr id="4103420" name="Line 7271">
            <a:extLst>
              <a:ext uri="{FF2B5EF4-FFF2-40B4-BE49-F238E27FC236}">
                <a16:creationId xmlns:a16="http://schemas.microsoft.com/office/drawing/2014/main" id="{00000000-0008-0000-0F00-0000F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21" name="Line 7272">
            <a:extLst>
              <a:ext uri="{FF2B5EF4-FFF2-40B4-BE49-F238E27FC236}">
                <a16:creationId xmlns:a16="http://schemas.microsoft.com/office/drawing/2014/main" id="{00000000-0008-0000-0F00-0000F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8" name="Group 7273">
          <a:extLst>
            <a:ext uri="{FF2B5EF4-FFF2-40B4-BE49-F238E27FC236}">
              <a16:creationId xmlns:a16="http://schemas.microsoft.com/office/drawing/2014/main" id="{00000000-0008-0000-0F00-00005A9C3E00}"/>
            </a:ext>
          </a:extLst>
        </xdr:cNvPr>
        <xdr:cNvGrpSpPr>
          <a:grpSpLocks/>
        </xdr:cNvGrpSpPr>
      </xdr:nvGrpSpPr>
      <xdr:grpSpPr bwMode="auto">
        <a:xfrm>
          <a:off x="4700588" y="10096500"/>
          <a:ext cx="266700" cy="0"/>
          <a:chOff x="466" y="3952"/>
          <a:chExt cx="28" cy="16"/>
        </a:xfrm>
      </xdr:grpSpPr>
      <xdr:sp macro="" textlink="">
        <xdr:nvSpPr>
          <xdr:cNvPr id="4103418" name="Line 7274">
            <a:extLst>
              <a:ext uri="{FF2B5EF4-FFF2-40B4-BE49-F238E27FC236}">
                <a16:creationId xmlns:a16="http://schemas.microsoft.com/office/drawing/2014/main" id="{00000000-0008-0000-0F00-0000F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9" name="Line 7275">
            <a:extLst>
              <a:ext uri="{FF2B5EF4-FFF2-40B4-BE49-F238E27FC236}">
                <a16:creationId xmlns:a16="http://schemas.microsoft.com/office/drawing/2014/main" id="{00000000-0008-0000-0F00-0000F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59" name="Group 7276">
          <a:extLst>
            <a:ext uri="{FF2B5EF4-FFF2-40B4-BE49-F238E27FC236}">
              <a16:creationId xmlns:a16="http://schemas.microsoft.com/office/drawing/2014/main" id="{00000000-0008-0000-0F00-00005B9C3E00}"/>
            </a:ext>
          </a:extLst>
        </xdr:cNvPr>
        <xdr:cNvGrpSpPr>
          <a:grpSpLocks/>
        </xdr:cNvGrpSpPr>
      </xdr:nvGrpSpPr>
      <xdr:grpSpPr bwMode="auto">
        <a:xfrm>
          <a:off x="4700588" y="10096500"/>
          <a:ext cx="266700" cy="0"/>
          <a:chOff x="466" y="3952"/>
          <a:chExt cx="28" cy="16"/>
        </a:xfrm>
      </xdr:grpSpPr>
      <xdr:sp macro="" textlink="">
        <xdr:nvSpPr>
          <xdr:cNvPr id="4103416" name="Line 7277">
            <a:extLst>
              <a:ext uri="{FF2B5EF4-FFF2-40B4-BE49-F238E27FC236}">
                <a16:creationId xmlns:a16="http://schemas.microsoft.com/office/drawing/2014/main" id="{00000000-0008-0000-0F00-0000F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7" name="Line 7278">
            <a:extLst>
              <a:ext uri="{FF2B5EF4-FFF2-40B4-BE49-F238E27FC236}">
                <a16:creationId xmlns:a16="http://schemas.microsoft.com/office/drawing/2014/main" id="{00000000-0008-0000-0F00-0000F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0" name="Group 7279">
          <a:extLst>
            <a:ext uri="{FF2B5EF4-FFF2-40B4-BE49-F238E27FC236}">
              <a16:creationId xmlns:a16="http://schemas.microsoft.com/office/drawing/2014/main" id="{00000000-0008-0000-0F00-00005C9C3E00}"/>
            </a:ext>
          </a:extLst>
        </xdr:cNvPr>
        <xdr:cNvGrpSpPr>
          <a:grpSpLocks/>
        </xdr:cNvGrpSpPr>
      </xdr:nvGrpSpPr>
      <xdr:grpSpPr bwMode="auto">
        <a:xfrm>
          <a:off x="4700588" y="10096500"/>
          <a:ext cx="266700" cy="0"/>
          <a:chOff x="466" y="3952"/>
          <a:chExt cx="28" cy="16"/>
        </a:xfrm>
      </xdr:grpSpPr>
      <xdr:sp macro="" textlink="">
        <xdr:nvSpPr>
          <xdr:cNvPr id="4103414" name="Line 7280">
            <a:extLst>
              <a:ext uri="{FF2B5EF4-FFF2-40B4-BE49-F238E27FC236}">
                <a16:creationId xmlns:a16="http://schemas.microsoft.com/office/drawing/2014/main" id="{00000000-0008-0000-0F00-0000F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5" name="Line 7281">
            <a:extLst>
              <a:ext uri="{FF2B5EF4-FFF2-40B4-BE49-F238E27FC236}">
                <a16:creationId xmlns:a16="http://schemas.microsoft.com/office/drawing/2014/main" id="{00000000-0008-0000-0F00-0000F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1" name="Group 7282">
          <a:extLst>
            <a:ext uri="{FF2B5EF4-FFF2-40B4-BE49-F238E27FC236}">
              <a16:creationId xmlns:a16="http://schemas.microsoft.com/office/drawing/2014/main" id="{00000000-0008-0000-0F00-00005D9C3E00}"/>
            </a:ext>
          </a:extLst>
        </xdr:cNvPr>
        <xdr:cNvGrpSpPr>
          <a:grpSpLocks/>
        </xdr:cNvGrpSpPr>
      </xdr:nvGrpSpPr>
      <xdr:grpSpPr bwMode="auto">
        <a:xfrm>
          <a:off x="4700588" y="10096500"/>
          <a:ext cx="266700" cy="0"/>
          <a:chOff x="466" y="3952"/>
          <a:chExt cx="28" cy="16"/>
        </a:xfrm>
      </xdr:grpSpPr>
      <xdr:sp macro="" textlink="">
        <xdr:nvSpPr>
          <xdr:cNvPr id="4103412" name="Line 7283">
            <a:extLst>
              <a:ext uri="{FF2B5EF4-FFF2-40B4-BE49-F238E27FC236}">
                <a16:creationId xmlns:a16="http://schemas.microsoft.com/office/drawing/2014/main" id="{00000000-0008-0000-0F00-0000F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3" name="Line 7284">
            <a:extLst>
              <a:ext uri="{FF2B5EF4-FFF2-40B4-BE49-F238E27FC236}">
                <a16:creationId xmlns:a16="http://schemas.microsoft.com/office/drawing/2014/main" id="{00000000-0008-0000-0F00-0000F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62" name="Group 7285">
          <a:extLst>
            <a:ext uri="{FF2B5EF4-FFF2-40B4-BE49-F238E27FC236}">
              <a16:creationId xmlns:a16="http://schemas.microsoft.com/office/drawing/2014/main" id="{00000000-0008-0000-0F00-00005E9C3E00}"/>
            </a:ext>
          </a:extLst>
        </xdr:cNvPr>
        <xdr:cNvGrpSpPr>
          <a:grpSpLocks/>
        </xdr:cNvGrpSpPr>
      </xdr:nvGrpSpPr>
      <xdr:grpSpPr bwMode="auto">
        <a:xfrm>
          <a:off x="4700588" y="10096500"/>
          <a:ext cx="266700" cy="0"/>
          <a:chOff x="466" y="3952"/>
          <a:chExt cx="28" cy="16"/>
        </a:xfrm>
      </xdr:grpSpPr>
      <xdr:sp macro="" textlink="">
        <xdr:nvSpPr>
          <xdr:cNvPr id="4103410" name="Line 7286">
            <a:extLst>
              <a:ext uri="{FF2B5EF4-FFF2-40B4-BE49-F238E27FC236}">
                <a16:creationId xmlns:a16="http://schemas.microsoft.com/office/drawing/2014/main" id="{00000000-0008-0000-0F00-0000F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11" name="Line 7287">
            <a:extLst>
              <a:ext uri="{FF2B5EF4-FFF2-40B4-BE49-F238E27FC236}">
                <a16:creationId xmlns:a16="http://schemas.microsoft.com/office/drawing/2014/main" id="{00000000-0008-0000-0F00-0000F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263" name="Group 7288">
          <a:extLst>
            <a:ext uri="{FF2B5EF4-FFF2-40B4-BE49-F238E27FC236}">
              <a16:creationId xmlns:a16="http://schemas.microsoft.com/office/drawing/2014/main" id="{00000000-0008-0000-0F00-00005F9C3E00}"/>
            </a:ext>
          </a:extLst>
        </xdr:cNvPr>
        <xdr:cNvGrpSpPr>
          <a:grpSpLocks/>
        </xdr:cNvGrpSpPr>
      </xdr:nvGrpSpPr>
      <xdr:grpSpPr bwMode="auto">
        <a:xfrm>
          <a:off x="4576763" y="10096500"/>
          <a:ext cx="228600" cy="0"/>
          <a:chOff x="466" y="3952"/>
          <a:chExt cx="28" cy="16"/>
        </a:xfrm>
      </xdr:grpSpPr>
      <xdr:sp macro="" textlink="">
        <xdr:nvSpPr>
          <xdr:cNvPr id="4103408" name="Line 7289">
            <a:extLst>
              <a:ext uri="{FF2B5EF4-FFF2-40B4-BE49-F238E27FC236}">
                <a16:creationId xmlns:a16="http://schemas.microsoft.com/office/drawing/2014/main" id="{00000000-0008-0000-0F00-0000F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9" name="Line 7290">
            <a:extLst>
              <a:ext uri="{FF2B5EF4-FFF2-40B4-BE49-F238E27FC236}">
                <a16:creationId xmlns:a16="http://schemas.microsoft.com/office/drawing/2014/main" id="{00000000-0008-0000-0F00-0000F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4" name="Group 7291">
          <a:extLst>
            <a:ext uri="{FF2B5EF4-FFF2-40B4-BE49-F238E27FC236}">
              <a16:creationId xmlns:a16="http://schemas.microsoft.com/office/drawing/2014/main" id="{00000000-0008-0000-0F00-0000609C3E00}"/>
            </a:ext>
          </a:extLst>
        </xdr:cNvPr>
        <xdr:cNvGrpSpPr>
          <a:grpSpLocks/>
        </xdr:cNvGrpSpPr>
      </xdr:nvGrpSpPr>
      <xdr:grpSpPr bwMode="auto">
        <a:xfrm>
          <a:off x="4117181" y="10096500"/>
          <a:ext cx="240507" cy="0"/>
          <a:chOff x="466" y="3952"/>
          <a:chExt cx="28" cy="16"/>
        </a:xfrm>
      </xdr:grpSpPr>
      <xdr:sp macro="" textlink="">
        <xdr:nvSpPr>
          <xdr:cNvPr id="4103406" name="Line 7292">
            <a:extLst>
              <a:ext uri="{FF2B5EF4-FFF2-40B4-BE49-F238E27FC236}">
                <a16:creationId xmlns:a16="http://schemas.microsoft.com/office/drawing/2014/main" id="{00000000-0008-0000-0F00-0000E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7" name="Line 7293">
            <a:extLst>
              <a:ext uri="{FF2B5EF4-FFF2-40B4-BE49-F238E27FC236}">
                <a16:creationId xmlns:a16="http://schemas.microsoft.com/office/drawing/2014/main" id="{00000000-0008-0000-0F00-0000E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5" name="Group 7294">
          <a:extLst>
            <a:ext uri="{FF2B5EF4-FFF2-40B4-BE49-F238E27FC236}">
              <a16:creationId xmlns:a16="http://schemas.microsoft.com/office/drawing/2014/main" id="{00000000-0008-0000-0F00-0000619C3E00}"/>
            </a:ext>
          </a:extLst>
        </xdr:cNvPr>
        <xdr:cNvGrpSpPr>
          <a:grpSpLocks/>
        </xdr:cNvGrpSpPr>
      </xdr:nvGrpSpPr>
      <xdr:grpSpPr bwMode="auto">
        <a:xfrm>
          <a:off x="4117181" y="10096500"/>
          <a:ext cx="240507" cy="0"/>
          <a:chOff x="466" y="3952"/>
          <a:chExt cx="28" cy="16"/>
        </a:xfrm>
      </xdr:grpSpPr>
      <xdr:sp macro="" textlink="">
        <xdr:nvSpPr>
          <xdr:cNvPr id="4103404" name="Line 7295">
            <a:extLst>
              <a:ext uri="{FF2B5EF4-FFF2-40B4-BE49-F238E27FC236}">
                <a16:creationId xmlns:a16="http://schemas.microsoft.com/office/drawing/2014/main" id="{00000000-0008-0000-0F00-0000E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5" name="Line 7296">
            <a:extLst>
              <a:ext uri="{FF2B5EF4-FFF2-40B4-BE49-F238E27FC236}">
                <a16:creationId xmlns:a16="http://schemas.microsoft.com/office/drawing/2014/main" id="{00000000-0008-0000-0F00-0000E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6" name="Group 7297">
          <a:extLst>
            <a:ext uri="{FF2B5EF4-FFF2-40B4-BE49-F238E27FC236}">
              <a16:creationId xmlns:a16="http://schemas.microsoft.com/office/drawing/2014/main" id="{00000000-0008-0000-0F00-0000629C3E00}"/>
            </a:ext>
          </a:extLst>
        </xdr:cNvPr>
        <xdr:cNvGrpSpPr>
          <a:grpSpLocks/>
        </xdr:cNvGrpSpPr>
      </xdr:nvGrpSpPr>
      <xdr:grpSpPr bwMode="auto">
        <a:xfrm>
          <a:off x="4117181" y="10096500"/>
          <a:ext cx="240507" cy="0"/>
          <a:chOff x="466" y="3952"/>
          <a:chExt cx="28" cy="16"/>
        </a:xfrm>
      </xdr:grpSpPr>
      <xdr:sp macro="" textlink="">
        <xdr:nvSpPr>
          <xdr:cNvPr id="4103402" name="Line 7298">
            <a:extLst>
              <a:ext uri="{FF2B5EF4-FFF2-40B4-BE49-F238E27FC236}">
                <a16:creationId xmlns:a16="http://schemas.microsoft.com/office/drawing/2014/main" id="{00000000-0008-0000-0F00-0000E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3" name="Line 7299">
            <a:extLst>
              <a:ext uri="{FF2B5EF4-FFF2-40B4-BE49-F238E27FC236}">
                <a16:creationId xmlns:a16="http://schemas.microsoft.com/office/drawing/2014/main" id="{00000000-0008-0000-0F00-0000E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7" name="Group 7300">
          <a:extLst>
            <a:ext uri="{FF2B5EF4-FFF2-40B4-BE49-F238E27FC236}">
              <a16:creationId xmlns:a16="http://schemas.microsoft.com/office/drawing/2014/main" id="{00000000-0008-0000-0F00-0000639C3E00}"/>
            </a:ext>
          </a:extLst>
        </xdr:cNvPr>
        <xdr:cNvGrpSpPr>
          <a:grpSpLocks/>
        </xdr:cNvGrpSpPr>
      </xdr:nvGrpSpPr>
      <xdr:grpSpPr bwMode="auto">
        <a:xfrm>
          <a:off x="4117181" y="10096500"/>
          <a:ext cx="240507" cy="0"/>
          <a:chOff x="466" y="3952"/>
          <a:chExt cx="28" cy="16"/>
        </a:xfrm>
      </xdr:grpSpPr>
      <xdr:sp macro="" textlink="">
        <xdr:nvSpPr>
          <xdr:cNvPr id="4103400" name="Line 7301">
            <a:extLst>
              <a:ext uri="{FF2B5EF4-FFF2-40B4-BE49-F238E27FC236}">
                <a16:creationId xmlns:a16="http://schemas.microsoft.com/office/drawing/2014/main" id="{00000000-0008-0000-0F00-0000E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401" name="Line 7302">
            <a:extLst>
              <a:ext uri="{FF2B5EF4-FFF2-40B4-BE49-F238E27FC236}">
                <a16:creationId xmlns:a16="http://schemas.microsoft.com/office/drawing/2014/main" id="{00000000-0008-0000-0F00-0000E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8" name="Group 7303">
          <a:extLst>
            <a:ext uri="{FF2B5EF4-FFF2-40B4-BE49-F238E27FC236}">
              <a16:creationId xmlns:a16="http://schemas.microsoft.com/office/drawing/2014/main" id="{00000000-0008-0000-0F00-0000649C3E00}"/>
            </a:ext>
          </a:extLst>
        </xdr:cNvPr>
        <xdr:cNvGrpSpPr>
          <a:grpSpLocks/>
        </xdr:cNvGrpSpPr>
      </xdr:nvGrpSpPr>
      <xdr:grpSpPr bwMode="auto">
        <a:xfrm>
          <a:off x="4117181" y="10096500"/>
          <a:ext cx="240507" cy="0"/>
          <a:chOff x="466" y="3952"/>
          <a:chExt cx="28" cy="16"/>
        </a:xfrm>
      </xdr:grpSpPr>
      <xdr:sp macro="" textlink="">
        <xdr:nvSpPr>
          <xdr:cNvPr id="4103398" name="Line 7304">
            <a:extLst>
              <a:ext uri="{FF2B5EF4-FFF2-40B4-BE49-F238E27FC236}">
                <a16:creationId xmlns:a16="http://schemas.microsoft.com/office/drawing/2014/main" id="{00000000-0008-0000-0F00-0000E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9" name="Line 7305">
            <a:extLst>
              <a:ext uri="{FF2B5EF4-FFF2-40B4-BE49-F238E27FC236}">
                <a16:creationId xmlns:a16="http://schemas.microsoft.com/office/drawing/2014/main" id="{00000000-0008-0000-0F00-0000E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69" name="Group 7306">
          <a:extLst>
            <a:ext uri="{FF2B5EF4-FFF2-40B4-BE49-F238E27FC236}">
              <a16:creationId xmlns:a16="http://schemas.microsoft.com/office/drawing/2014/main" id="{00000000-0008-0000-0F00-0000659C3E00}"/>
            </a:ext>
          </a:extLst>
        </xdr:cNvPr>
        <xdr:cNvGrpSpPr>
          <a:grpSpLocks/>
        </xdr:cNvGrpSpPr>
      </xdr:nvGrpSpPr>
      <xdr:grpSpPr bwMode="auto">
        <a:xfrm>
          <a:off x="4117181" y="10096500"/>
          <a:ext cx="240507" cy="0"/>
          <a:chOff x="466" y="3952"/>
          <a:chExt cx="28" cy="16"/>
        </a:xfrm>
      </xdr:grpSpPr>
      <xdr:sp macro="" textlink="">
        <xdr:nvSpPr>
          <xdr:cNvPr id="4103396" name="Line 7307">
            <a:extLst>
              <a:ext uri="{FF2B5EF4-FFF2-40B4-BE49-F238E27FC236}">
                <a16:creationId xmlns:a16="http://schemas.microsoft.com/office/drawing/2014/main" id="{00000000-0008-0000-0F00-0000E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7" name="Line 7308">
            <a:extLst>
              <a:ext uri="{FF2B5EF4-FFF2-40B4-BE49-F238E27FC236}">
                <a16:creationId xmlns:a16="http://schemas.microsoft.com/office/drawing/2014/main" id="{00000000-0008-0000-0F00-0000E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4103270" name="Group 7309">
          <a:extLst>
            <a:ext uri="{FF2B5EF4-FFF2-40B4-BE49-F238E27FC236}">
              <a16:creationId xmlns:a16="http://schemas.microsoft.com/office/drawing/2014/main" id="{00000000-0008-0000-0F00-0000669C3E00}"/>
            </a:ext>
          </a:extLst>
        </xdr:cNvPr>
        <xdr:cNvGrpSpPr>
          <a:grpSpLocks/>
        </xdr:cNvGrpSpPr>
      </xdr:nvGrpSpPr>
      <xdr:grpSpPr bwMode="auto">
        <a:xfrm>
          <a:off x="3993356" y="10096500"/>
          <a:ext cx="228600" cy="0"/>
          <a:chOff x="466" y="3952"/>
          <a:chExt cx="28" cy="16"/>
        </a:xfrm>
      </xdr:grpSpPr>
      <xdr:sp macro="" textlink="">
        <xdr:nvSpPr>
          <xdr:cNvPr id="4103394" name="Line 7310">
            <a:extLst>
              <a:ext uri="{FF2B5EF4-FFF2-40B4-BE49-F238E27FC236}">
                <a16:creationId xmlns:a16="http://schemas.microsoft.com/office/drawing/2014/main" id="{00000000-0008-0000-0F00-0000E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5" name="Line 7311">
            <a:extLst>
              <a:ext uri="{FF2B5EF4-FFF2-40B4-BE49-F238E27FC236}">
                <a16:creationId xmlns:a16="http://schemas.microsoft.com/office/drawing/2014/main" id="{00000000-0008-0000-0F00-0000E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1" name="Group 7312">
          <a:extLst>
            <a:ext uri="{FF2B5EF4-FFF2-40B4-BE49-F238E27FC236}">
              <a16:creationId xmlns:a16="http://schemas.microsoft.com/office/drawing/2014/main" id="{00000000-0008-0000-0F00-0000679C3E00}"/>
            </a:ext>
          </a:extLst>
        </xdr:cNvPr>
        <xdr:cNvGrpSpPr>
          <a:grpSpLocks/>
        </xdr:cNvGrpSpPr>
      </xdr:nvGrpSpPr>
      <xdr:grpSpPr bwMode="auto">
        <a:xfrm>
          <a:off x="4117181" y="10096500"/>
          <a:ext cx="228600" cy="0"/>
          <a:chOff x="466" y="3952"/>
          <a:chExt cx="28" cy="16"/>
        </a:xfrm>
      </xdr:grpSpPr>
      <xdr:sp macro="" textlink="">
        <xdr:nvSpPr>
          <xdr:cNvPr id="4103392" name="Line 7313">
            <a:extLst>
              <a:ext uri="{FF2B5EF4-FFF2-40B4-BE49-F238E27FC236}">
                <a16:creationId xmlns:a16="http://schemas.microsoft.com/office/drawing/2014/main" id="{00000000-0008-0000-0F00-0000E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3" name="Line 7314">
            <a:extLst>
              <a:ext uri="{FF2B5EF4-FFF2-40B4-BE49-F238E27FC236}">
                <a16:creationId xmlns:a16="http://schemas.microsoft.com/office/drawing/2014/main" id="{00000000-0008-0000-0F00-0000E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2" name="Group 7315">
          <a:extLst>
            <a:ext uri="{FF2B5EF4-FFF2-40B4-BE49-F238E27FC236}">
              <a16:creationId xmlns:a16="http://schemas.microsoft.com/office/drawing/2014/main" id="{00000000-0008-0000-0F00-0000689C3E00}"/>
            </a:ext>
          </a:extLst>
        </xdr:cNvPr>
        <xdr:cNvGrpSpPr>
          <a:grpSpLocks/>
        </xdr:cNvGrpSpPr>
      </xdr:nvGrpSpPr>
      <xdr:grpSpPr bwMode="auto">
        <a:xfrm>
          <a:off x="4117181" y="10096500"/>
          <a:ext cx="228600" cy="0"/>
          <a:chOff x="466" y="3952"/>
          <a:chExt cx="28" cy="16"/>
        </a:xfrm>
      </xdr:grpSpPr>
      <xdr:sp macro="" textlink="">
        <xdr:nvSpPr>
          <xdr:cNvPr id="4103390" name="Line 7316">
            <a:extLst>
              <a:ext uri="{FF2B5EF4-FFF2-40B4-BE49-F238E27FC236}">
                <a16:creationId xmlns:a16="http://schemas.microsoft.com/office/drawing/2014/main" id="{00000000-0008-0000-0F00-0000D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91" name="Line 7317">
            <a:extLst>
              <a:ext uri="{FF2B5EF4-FFF2-40B4-BE49-F238E27FC236}">
                <a16:creationId xmlns:a16="http://schemas.microsoft.com/office/drawing/2014/main" id="{00000000-0008-0000-0F00-0000D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3" name="Group 7318">
          <a:extLst>
            <a:ext uri="{FF2B5EF4-FFF2-40B4-BE49-F238E27FC236}">
              <a16:creationId xmlns:a16="http://schemas.microsoft.com/office/drawing/2014/main" id="{00000000-0008-0000-0F00-0000699C3E00}"/>
            </a:ext>
          </a:extLst>
        </xdr:cNvPr>
        <xdr:cNvGrpSpPr>
          <a:grpSpLocks/>
        </xdr:cNvGrpSpPr>
      </xdr:nvGrpSpPr>
      <xdr:grpSpPr bwMode="auto">
        <a:xfrm>
          <a:off x="4117181" y="10096500"/>
          <a:ext cx="240507" cy="0"/>
          <a:chOff x="466" y="3952"/>
          <a:chExt cx="28" cy="16"/>
        </a:xfrm>
      </xdr:grpSpPr>
      <xdr:sp macro="" textlink="">
        <xdr:nvSpPr>
          <xdr:cNvPr id="4103388" name="Line 7319">
            <a:extLst>
              <a:ext uri="{FF2B5EF4-FFF2-40B4-BE49-F238E27FC236}">
                <a16:creationId xmlns:a16="http://schemas.microsoft.com/office/drawing/2014/main" id="{00000000-0008-0000-0F00-0000D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9" name="Line 7320">
            <a:extLst>
              <a:ext uri="{FF2B5EF4-FFF2-40B4-BE49-F238E27FC236}">
                <a16:creationId xmlns:a16="http://schemas.microsoft.com/office/drawing/2014/main" id="{00000000-0008-0000-0F00-0000D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4" name="Group 7321">
          <a:extLst>
            <a:ext uri="{FF2B5EF4-FFF2-40B4-BE49-F238E27FC236}">
              <a16:creationId xmlns:a16="http://schemas.microsoft.com/office/drawing/2014/main" id="{00000000-0008-0000-0F00-00006A9C3E00}"/>
            </a:ext>
          </a:extLst>
        </xdr:cNvPr>
        <xdr:cNvGrpSpPr>
          <a:grpSpLocks/>
        </xdr:cNvGrpSpPr>
      </xdr:nvGrpSpPr>
      <xdr:grpSpPr bwMode="auto">
        <a:xfrm>
          <a:off x="4117181" y="10096500"/>
          <a:ext cx="228600" cy="0"/>
          <a:chOff x="466" y="3952"/>
          <a:chExt cx="28" cy="16"/>
        </a:xfrm>
      </xdr:grpSpPr>
      <xdr:sp macro="" textlink="">
        <xdr:nvSpPr>
          <xdr:cNvPr id="4103386" name="Line 7322">
            <a:extLst>
              <a:ext uri="{FF2B5EF4-FFF2-40B4-BE49-F238E27FC236}">
                <a16:creationId xmlns:a16="http://schemas.microsoft.com/office/drawing/2014/main" id="{00000000-0008-0000-0F00-0000D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7" name="Line 7323">
            <a:extLst>
              <a:ext uri="{FF2B5EF4-FFF2-40B4-BE49-F238E27FC236}">
                <a16:creationId xmlns:a16="http://schemas.microsoft.com/office/drawing/2014/main" id="{00000000-0008-0000-0F00-0000D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75" name="Group 7324">
          <a:extLst>
            <a:ext uri="{FF2B5EF4-FFF2-40B4-BE49-F238E27FC236}">
              <a16:creationId xmlns:a16="http://schemas.microsoft.com/office/drawing/2014/main" id="{00000000-0008-0000-0F00-00006B9C3E00}"/>
            </a:ext>
          </a:extLst>
        </xdr:cNvPr>
        <xdr:cNvGrpSpPr>
          <a:grpSpLocks/>
        </xdr:cNvGrpSpPr>
      </xdr:nvGrpSpPr>
      <xdr:grpSpPr bwMode="auto">
        <a:xfrm>
          <a:off x="4117181" y="10096500"/>
          <a:ext cx="228600" cy="0"/>
          <a:chOff x="466" y="3952"/>
          <a:chExt cx="28" cy="16"/>
        </a:xfrm>
      </xdr:grpSpPr>
      <xdr:sp macro="" textlink="">
        <xdr:nvSpPr>
          <xdr:cNvPr id="4103384" name="Line 7325">
            <a:extLst>
              <a:ext uri="{FF2B5EF4-FFF2-40B4-BE49-F238E27FC236}">
                <a16:creationId xmlns:a16="http://schemas.microsoft.com/office/drawing/2014/main" id="{00000000-0008-0000-0F00-0000D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5" name="Line 7326">
            <a:extLst>
              <a:ext uri="{FF2B5EF4-FFF2-40B4-BE49-F238E27FC236}">
                <a16:creationId xmlns:a16="http://schemas.microsoft.com/office/drawing/2014/main" id="{00000000-0008-0000-0F00-0000D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4103276" name="Group 7327">
          <a:extLst>
            <a:ext uri="{FF2B5EF4-FFF2-40B4-BE49-F238E27FC236}">
              <a16:creationId xmlns:a16="http://schemas.microsoft.com/office/drawing/2014/main" id="{00000000-0008-0000-0F00-00006C9C3E00}"/>
            </a:ext>
          </a:extLst>
        </xdr:cNvPr>
        <xdr:cNvGrpSpPr>
          <a:grpSpLocks/>
        </xdr:cNvGrpSpPr>
      </xdr:nvGrpSpPr>
      <xdr:grpSpPr bwMode="auto">
        <a:xfrm>
          <a:off x="4117181" y="10096500"/>
          <a:ext cx="240507" cy="0"/>
          <a:chOff x="466" y="3952"/>
          <a:chExt cx="28" cy="16"/>
        </a:xfrm>
      </xdr:grpSpPr>
      <xdr:sp macro="" textlink="">
        <xdr:nvSpPr>
          <xdr:cNvPr id="4103382" name="Line 7328">
            <a:extLst>
              <a:ext uri="{FF2B5EF4-FFF2-40B4-BE49-F238E27FC236}">
                <a16:creationId xmlns:a16="http://schemas.microsoft.com/office/drawing/2014/main" id="{00000000-0008-0000-0F00-0000D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3" name="Line 7329">
            <a:extLst>
              <a:ext uri="{FF2B5EF4-FFF2-40B4-BE49-F238E27FC236}">
                <a16:creationId xmlns:a16="http://schemas.microsoft.com/office/drawing/2014/main" id="{00000000-0008-0000-0F00-0000D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7" name="Group 7330">
          <a:extLst>
            <a:ext uri="{FF2B5EF4-FFF2-40B4-BE49-F238E27FC236}">
              <a16:creationId xmlns:a16="http://schemas.microsoft.com/office/drawing/2014/main" id="{00000000-0008-0000-0F00-00006D9C3E00}"/>
            </a:ext>
          </a:extLst>
        </xdr:cNvPr>
        <xdr:cNvGrpSpPr>
          <a:grpSpLocks/>
        </xdr:cNvGrpSpPr>
      </xdr:nvGrpSpPr>
      <xdr:grpSpPr bwMode="auto">
        <a:xfrm>
          <a:off x="4700588" y="10096500"/>
          <a:ext cx="266700" cy="0"/>
          <a:chOff x="466" y="3952"/>
          <a:chExt cx="28" cy="16"/>
        </a:xfrm>
      </xdr:grpSpPr>
      <xdr:sp macro="" textlink="">
        <xdr:nvSpPr>
          <xdr:cNvPr id="4103380" name="Line 7331">
            <a:extLst>
              <a:ext uri="{FF2B5EF4-FFF2-40B4-BE49-F238E27FC236}">
                <a16:creationId xmlns:a16="http://schemas.microsoft.com/office/drawing/2014/main" id="{00000000-0008-0000-0F00-0000D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81" name="Line 7332">
            <a:extLst>
              <a:ext uri="{FF2B5EF4-FFF2-40B4-BE49-F238E27FC236}">
                <a16:creationId xmlns:a16="http://schemas.microsoft.com/office/drawing/2014/main" id="{00000000-0008-0000-0F00-0000D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8" name="Group 7333">
          <a:extLst>
            <a:ext uri="{FF2B5EF4-FFF2-40B4-BE49-F238E27FC236}">
              <a16:creationId xmlns:a16="http://schemas.microsoft.com/office/drawing/2014/main" id="{00000000-0008-0000-0F00-00006E9C3E00}"/>
            </a:ext>
          </a:extLst>
        </xdr:cNvPr>
        <xdr:cNvGrpSpPr>
          <a:grpSpLocks/>
        </xdr:cNvGrpSpPr>
      </xdr:nvGrpSpPr>
      <xdr:grpSpPr bwMode="auto">
        <a:xfrm>
          <a:off x="4700588" y="10096500"/>
          <a:ext cx="266700" cy="0"/>
          <a:chOff x="466" y="3952"/>
          <a:chExt cx="28" cy="16"/>
        </a:xfrm>
      </xdr:grpSpPr>
      <xdr:sp macro="" textlink="">
        <xdr:nvSpPr>
          <xdr:cNvPr id="4103378" name="Line 7334">
            <a:extLst>
              <a:ext uri="{FF2B5EF4-FFF2-40B4-BE49-F238E27FC236}">
                <a16:creationId xmlns:a16="http://schemas.microsoft.com/office/drawing/2014/main" id="{00000000-0008-0000-0F00-0000D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9" name="Line 7335">
            <a:extLst>
              <a:ext uri="{FF2B5EF4-FFF2-40B4-BE49-F238E27FC236}">
                <a16:creationId xmlns:a16="http://schemas.microsoft.com/office/drawing/2014/main" id="{00000000-0008-0000-0F00-0000D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79" name="Group 7336">
          <a:extLst>
            <a:ext uri="{FF2B5EF4-FFF2-40B4-BE49-F238E27FC236}">
              <a16:creationId xmlns:a16="http://schemas.microsoft.com/office/drawing/2014/main" id="{00000000-0008-0000-0F00-00006F9C3E00}"/>
            </a:ext>
          </a:extLst>
        </xdr:cNvPr>
        <xdr:cNvGrpSpPr>
          <a:grpSpLocks/>
        </xdr:cNvGrpSpPr>
      </xdr:nvGrpSpPr>
      <xdr:grpSpPr bwMode="auto">
        <a:xfrm>
          <a:off x="4700588" y="10096500"/>
          <a:ext cx="266700" cy="0"/>
          <a:chOff x="466" y="3952"/>
          <a:chExt cx="28" cy="16"/>
        </a:xfrm>
      </xdr:grpSpPr>
      <xdr:sp macro="" textlink="">
        <xdr:nvSpPr>
          <xdr:cNvPr id="4103376" name="Line 7337">
            <a:extLst>
              <a:ext uri="{FF2B5EF4-FFF2-40B4-BE49-F238E27FC236}">
                <a16:creationId xmlns:a16="http://schemas.microsoft.com/office/drawing/2014/main" id="{00000000-0008-0000-0F00-0000D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7" name="Line 7338">
            <a:extLst>
              <a:ext uri="{FF2B5EF4-FFF2-40B4-BE49-F238E27FC236}">
                <a16:creationId xmlns:a16="http://schemas.microsoft.com/office/drawing/2014/main" id="{00000000-0008-0000-0F00-0000D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0" name="Group 7339">
          <a:extLst>
            <a:ext uri="{FF2B5EF4-FFF2-40B4-BE49-F238E27FC236}">
              <a16:creationId xmlns:a16="http://schemas.microsoft.com/office/drawing/2014/main" id="{00000000-0008-0000-0F00-0000709C3E00}"/>
            </a:ext>
          </a:extLst>
        </xdr:cNvPr>
        <xdr:cNvGrpSpPr>
          <a:grpSpLocks/>
        </xdr:cNvGrpSpPr>
      </xdr:nvGrpSpPr>
      <xdr:grpSpPr bwMode="auto">
        <a:xfrm>
          <a:off x="5486400" y="10096500"/>
          <a:ext cx="266700" cy="0"/>
          <a:chOff x="466" y="3952"/>
          <a:chExt cx="28" cy="16"/>
        </a:xfrm>
      </xdr:grpSpPr>
      <xdr:sp macro="" textlink="">
        <xdr:nvSpPr>
          <xdr:cNvPr id="4103374" name="Line 7340">
            <a:extLst>
              <a:ext uri="{FF2B5EF4-FFF2-40B4-BE49-F238E27FC236}">
                <a16:creationId xmlns:a16="http://schemas.microsoft.com/office/drawing/2014/main" id="{00000000-0008-0000-0F00-0000C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5" name="Line 7341">
            <a:extLst>
              <a:ext uri="{FF2B5EF4-FFF2-40B4-BE49-F238E27FC236}">
                <a16:creationId xmlns:a16="http://schemas.microsoft.com/office/drawing/2014/main" id="{00000000-0008-0000-0F00-0000C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1" name="Group 7342">
          <a:extLst>
            <a:ext uri="{FF2B5EF4-FFF2-40B4-BE49-F238E27FC236}">
              <a16:creationId xmlns:a16="http://schemas.microsoft.com/office/drawing/2014/main" id="{00000000-0008-0000-0F00-0000719C3E00}"/>
            </a:ext>
          </a:extLst>
        </xdr:cNvPr>
        <xdr:cNvGrpSpPr>
          <a:grpSpLocks/>
        </xdr:cNvGrpSpPr>
      </xdr:nvGrpSpPr>
      <xdr:grpSpPr bwMode="auto">
        <a:xfrm>
          <a:off x="5486400" y="10096500"/>
          <a:ext cx="266700" cy="0"/>
          <a:chOff x="466" y="3952"/>
          <a:chExt cx="28" cy="16"/>
        </a:xfrm>
      </xdr:grpSpPr>
      <xdr:sp macro="" textlink="">
        <xdr:nvSpPr>
          <xdr:cNvPr id="4103372" name="Line 7343">
            <a:extLst>
              <a:ext uri="{FF2B5EF4-FFF2-40B4-BE49-F238E27FC236}">
                <a16:creationId xmlns:a16="http://schemas.microsoft.com/office/drawing/2014/main" id="{00000000-0008-0000-0F00-0000C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3" name="Line 7344">
            <a:extLst>
              <a:ext uri="{FF2B5EF4-FFF2-40B4-BE49-F238E27FC236}">
                <a16:creationId xmlns:a16="http://schemas.microsoft.com/office/drawing/2014/main" id="{00000000-0008-0000-0F00-0000C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2" name="Group 7345">
          <a:extLst>
            <a:ext uri="{FF2B5EF4-FFF2-40B4-BE49-F238E27FC236}">
              <a16:creationId xmlns:a16="http://schemas.microsoft.com/office/drawing/2014/main" id="{00000000-0008-0000-0F00-0000729C3E00}"/>
            </a:ext>
          </a:extLst>
        </xdr:cNvPr>
        <xdr:cNvGrpSpPr>
          <a:grpSpLocks/>
        </xdr:cNvGrpSpPr>
      </xdr:nvGrpSpPr>
      <xdr:grpSpPr bwMode="auto">
        <a:xfrm>
          <a:off x="5486400" y="10096500"/>
          <a:ext cx="266700" cy="0"/>
          <a:chOff x="466" y="3952"/>
          <a:chExt cx="28" cy="16"/>
        </a:xfrm>
      </xdr:grpSpPr>
      <xdr:sp macro="" textlink="">
        <xdr:nvSpPr>
          <xdr:cNvPr id="4103370" name="Line 7346">
            <a:extLst>
              <a:ext uri="{FF2B5EF4-FFF2-40B4-BE49-F238E27FC236}">
                <a16:creationId xmlns:a16="http://schemas.microsoft.com/office/drawing/2014/main" id="{00000000-0008-0000-0F00-0000C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71" name="Line 7347">
            <a:extLst>
              <a:ext uri="{FF2B5EF4-FFF2-40B4-BE49-F238E27FC236}">
                <a16:creationId xmlns:a16="http://schemas.microsoft.com/office/drawing/2014/main" id="{00000000-0008-0000-0F00-0000C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3" name="Group 7348">
          <a:extLst>
            <a:ext uri="{FF2B5EF4-FFF2-40B4-BE49-F238E27FC236}">
              <a16:creationId xmlns:a16="http://schemas.microsoft.com/office/drawing/2014/main" id="{00000000-0008-0000-0F00-0000739C3E00}"/>
            </a:ext>
          </a:extLst>
        </xdr:cNvPr>
        <xdr:cNvGrpSpPr>
          <a:grpSpLocks/>
        </xdr:cNvGrpSpPr>
      </xdr:nvGrpSpPr>
      <xdr:grpSpPr bwMode="auto">
        <a:xfrm>
          <a:off x="5486400" y="10096500"/>
          <a:ext cx="266700" cy="0"/>
          <a:chOff x="466" y="3952"/>
          <a:chExt cx="28" cy="16"/>
        </a:xfrm>
      </xdr:grpSpPr>
      <xdr:sp macro="" textlink="">
        <xdr:nvSpPr>
          <xdr:cNvPr id="4103368" name="Line 7349">
            <a:extLst>
              <a:ext uri="{FF2B5EF4-FFF2-40B4-BE49-F238E27FC236}">
                <a16:creationId xmlns:a16="http://schemas.microsoft.com/office/drawing/2014/main" id="{00000000-0008-0000-0F00-0000C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9" name="Line 7350">
            <a:extLst>
              <a:ext uri="{FF2B5EF4-FFF2-40B4-BE49-F238E27FC236}">
                <a16:creationId xmlns:a16="http://schemas.microsoft.com/office/drawing/2014/main" id="{00000000-0008-0000-0F00-0000C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4103284" name="Group 7351">
          <a:extLst>
            <a:ext uri="{FF2B5EF4-FFF2-40B4-BE49-F238E27FC236}">
              <a16:creationId xmlns:a16="http://schemas.microsoft.com/office/drawing/2014/main" id="{00000000-0008-0000-0F00-0000749C3E00}"/>
            </a:ext>
          </a:extLst>
        </xdr:cNvPr>
        <xdr:cNvGrpSpPr>
          <a:grpSpLocks/>
        </xdr:cNvGrpSpPr>
      </xdr:nvGrpSpPr>
      <xdr:grpSpPr bwMode="auto">
        <a:xfrm>
          <a:off x="5486400" y="10096500"/>
          <a:ext cx="266700" cy="0"/>
          <a:chOff x="466" y="3952"/>
          <a:chExt cx="28" cy="16"/>
        </a:xfrm>
      </xdr:grpSpPr>
      <xdr:sp macro="" textlink="">
        <xdr:nvSpPr>
          <xdr:cNvPr id="4103366" name="Line 7352">
            <a:extLst>
              <a:ext uri="{FF2B5EF4-FFF2-40B4-BE49-F238E27FC236}">
                <a16:creationId xmlns:a16="http://schemas.microsoft.com/office/drawing/2014/main" id="{00000000-0008-0000-0F00-0000C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7" name="Line 7353">
            <a:extLst>
              <a:ext uri="{FF2B5EF4-FFF2-40B4-BE49-F238E27FC236}">
                <a16:creationId xmlns:a16="http://schemas.microsoft.com/office/drawing/2014/main" id="{00000000-0008-0000-0F00-0000C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5" name="Group 7354">
          <a:extLst>
            <a:ext uri="{FF2B5EF4-FFF2-40B4-BE49-F238E27FC236}">
              <a16:creationId xmlns:a16="http://schemas.microsoft.com/office/drawing/2014/main" id="{00000000-0008-0000-0F00-0000759C3E00}"/>
            </a:ext>
          </a:extLst>
        </xdr:cNvPr>
        <xdr:cNvGrpSpPr>
          <a:grpSpLocks/>
        </xdr:cNvGrpSpPr>
      </xdr:nvGrpSpPr>
      <xdr:grpSpPr bwMode="auto">
        <a:xfrm>
          <a:off x="4117181" y="10096500"/>
          <a:ext cx="228600" cy="0"/>
          <a:chOff x="466" y="3952"/>
          <a:chExt cx="28" cy="16"/>
        </a:xfrm>
      </xdr:grpSpPr>
      <xdr:sp macro="" textlink="">
        <xdr:nvSpPr>
          <xdr:cNvPr id="4103364" name="Line 7355">
            <a:extLst>
              <a:ext uri="{FF2B5EF4-FFF2-40B4-BE49-F238E27FC236}">
                <a16:creationId xmlns:a16="http://schemas.microsoft.com/office/drawing/2014/main" id="{00000000-0008-0000-0F00-0000C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5" name="Line 7356">
            <a:extLst>
              <a:ext uri="{FF2B5EF4-FFF2-40B4-BE49-F238E27FC236}">
                <a16:creationId xmlns:a16="http://schemas.microsoft.com/office/drawing/2014/main" id="{00000000-0008-0000-0F00-0000C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6" name="Group 7357">
          <a:extLst>
            <a:ext uri="{FF2B5EF4-FFF2-40B4-BE49-F238E27FC236}">
              <a16:creationId xmlns:a16="http://schemas.microsoft.com/office/drawing/2014/main" id="{00000000-0008-0000-0F00-0000769C3E00}"/>
            </a:ext>
          </a:extLst>
        </xdr:cNvPr>
        <xdr:cNvGrpSpPr>
          <a:grpSpLocks/>
        </xdr:cNvGrpSpPr>
      </xdr:nvGrpSpPr>
      <xdr:grpSpPr bwMode="auto">
        <a:xfrm>
          <a:off x="4700588" y="10096500"/>
          <a:ext cx="266700" cy="0"/>
          <a:chOff x="466" y="3952"/>
          <a:chExt cx="28" cy="16"/>
        </a:xfrm>
      </xdr:grpSpPr>
      <xdr:sp macro="" textlink="">
        <xdr:nvSpPr>
          <xdr:cNvPr id="4103362" name="Line 7358">
            <a:extLst>
              <a:ext uri="{FF2B5EF4-FFF2-40B4-BE49-F238E27FC236}">
                <a16:creationId xmlns:a16="http://schemas.microsoft.com/office/drawing/2014/main" id="{00000000-0008-0000-0F00-0000C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3" name="Line 7359">
            <a:extLst>
              <a:ext uri="{FF2B5EF4-FFF2-40B4-BE49-F238E27FC236}">
                <a16:creationId xmlns:a16="http://schemas.microsoft.com/office/drawing/2014/main" id="{00000000-0008-0000-0F00-0000C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7" name="Group 7360">
          <a:extLst>
            <a:ext uri="{FF2B5EF4-FFF2-40B4-BE49-F238E27FC236}">
              <a16:creationId xmlns:a16="http://schemas.microsoft.com/office/drawing/2014/main" id="{00000000-0008-0000-0F00-0000779C3E00}"/>
            </a:ext>
          </a:extLst>
        </xdr:cNvPr>
        <xdr:cNvGrpSpPr>
          <a:grpSpLocks/>
        </xdr:cNvGrpSpPr>
      </xdr:nvGrpSpPr>
      <xdr:grpSpPr bwMode="auto">
        <a:xfrm>
          <a:off x="4117181" y="10096500"/>
          <a:ext cx="228600" cy="0"/>
          <a:chOff x="466" y="3952"/>
          <a:chExt cx="28" cy="16"/>
        </a:xfrm>
      </xdr:grpSpPr>
      <xdr:sp macro="" textlink="">
        <xdr:nvSpPr>
          <xdr:cNvPr id="4103360" name="Line 7361">
            <a:extLst>
              <a:ext uri="{FF2B5EF4-FFF2-40B4-BE49-F238E27FC236}">
                <a16:creationId xmlns:a16="http://schemas.microsoft.com/office/drawing/2014/main" id="{00000000-0008-0000-0F00-0000C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61" name="Line 7362">
            <a:extLst>
              <a:ext uri="{FF2B5EF4-FFF2-40B4-BE49-F238E27FC236}">
                <a16:creationId xmlns:a16="http://schemas.microsoft.com/office/drawing/2014/main" id="{00000000-0008-0000-0F00-0000C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88" name="Group 7363">
          <a:extLst>
            <a:ext uri="{FF2B5EF4-FFF2-40B4-BE49-F238E27FC236}">
              <a16:creationId xmlns:a16="http://schemas.microsoft.com/office/drawing/2014/main" id="{00000000-0008-0000-0F00-0000789C3E00}"/>
            </a:ext>
          </a:extLst>
        </xdr:cNvPr>
        <xdr:cNvGrpSpPr>
          <a:grpSpLocks/>
        </xdr:cNvGrpSpPr>
      </xdr:nvGrpSpPr>
      <xdr:grpSpPr bwMode="auto">
        <a:xfrm>
          <a:off x="4700588" y="10096500"/>
          <a:ext cx="266700" cy="0"/>
          <a:chOff x="466" y="3952"/>
          <a:chExt cx="28" cy="16"/>
        </a:xfrm>
      </xdr:grpSpPr>
      <xdr:sp macro="" textlink="">
        <xdr:nvSpPr>
          <xdr:cNvPr id="4103358" name="Line 7364">
            <a:extLst>
              <a:ext uri="{FF2B5EF4-FFF2-40B4-BE49-F238E27FC236}">
                <a16:creationId xmlns:a16="http://schemas.microsoft.com/office/drawing/2014/main" id="{00000000-0008-0000-0F00-0000B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9" name="Line 7365">
            <a:extLst>
              <a:ext uri="{FF2B5EF4-FFF2-40B4-BE49-F238E27FC236}">
                <a16:creationId xmlns:a16="http://schemas.microsoft.com/office/drawing/2014/main" id="{00000000-0008-0000-0F00-0000B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89" name="Group 7366">
          <a:extLst>
            <a:ext uri="{FF2B5EF4-FFF2-40B4-BE49-F238E27FC236}">
              <a16:creationId xmlns:a16="http://schemas.microsoft.com/office/drawing/2014/main" id="{00000000-0008-0000-0F00-0000799C3E00}"/>
            </a:ext>
          </a:extLst>
        </xdr:cNvPr>
        <xdr:cNvGrpSpPr>
          <a:grpSpLocks/>
        </xdr:cNvGrpSpPr>
      </xdr:nvGrpSpPr>
      <xdr:grpSpPr bwMode="auto">
        <a:xfrm>
          <a:off x="4117181" y="10096500"/>
          <a:ext cx="228600" cy="0"/>
          <a:chOff x="466" y="3952"/>
          <a:chExt cx="28" cy="16"/>
        </a:xfrm>
      </xdr:grpSpPr>
      <xdr:sp macro="" textlink="">
        <xdr:nvSpPr>
          <xdr:cNvPr id="4103356" name="Line 7367">
            <a:extLst>
              <a:ext uri="{FF2B5EF4-FFF2-40B4-BE49-F238E27FC236}">
                <a16:creationId xmlns:a16="http://schemas.microsoft.com/office/drawing/2014/main" id="{00000000-0008-0000-0F00-0000B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7" name="Line 7368">
            <a:extLst>
              <a:ext uri="{FF2B5EF4-FFF2-40B4-BE49-F238E27FC236}">
                <a16:creationId xmlns:a16="http://schemas.microsoft.com/office/drawing/2014/main" id="{00000000-0008-0000-0F00-0000B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0" name="Group 7369">
          <a:extLst>
            <a:ext uri="{FF2B5EF4-FFF2-40B4-BE49-F238E27FC236}">
              <a16:creationId xmlns:a16="http://schemas.microsoft.com/office/drawing/2014/main" id="{00000000-0008-0000-0F00-00007A9C3E00}"/>
            </a:ext>
          </a:extLst>
        </xdr:cNvPr>
        <xdr:cNvGrpSpPr>
          <a:grpSpLocks/>
        </xdr:cNvGrpSpPr>
      </xdr:nvGrpSpPr>
      <xdr:grpSpPr bwMode="auto">
        <a:xfrm>
          <a:off x="4700588" y="10096500"/>
          <a:ext cx="266700" cy="0"/>
          <a:chOff x="466" y="3952"/>
          <a:chExt cx="28" cy="16"/>
        </a:xfrm>
      </xdr:grpSpPr>
      <xdr:sp macro="" textlink="">
        <xdr:nvSpPr>
          <xdr:cNvPr id="4103354" name="Line 7370">
            <a:extLst>
              <a:ext uri="{FF2B5EF4-FFF2-40B4-BE49-F238E27FC236}">
                <a16:creationId xmlns:a16="http://schemas.microsoft.com/office/drawing/2014/main" id="{00000000-0008-0000-0F00-0000B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5" name="Line 7371">
            <a:extLst>
              <a:ext uri="{FF2B5EF4-FFF2-40B4-BE49-F238E27FC236}">
                <a16:creationId xmlns:a16="http://schemas.microsoft.com/office/drawing/2014/main" id="{00000000-0008-0000-0F00-0000B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1" name="Group 7372">
          <a:extLst>
            <a:ext uri="{FF2B5EF4-FFF2-40B4-BE49-F238E27FC236}">
              <a16:creationId xmlns:a16="http://schemas.microsoft.com/office/drawing/2014/main" id="{00000000-0008-0000-0F00-00007B9C3E00}"/>
            </a:ext>
          </a:extLst>
        </xdr:cNvPr>
        <xdr:cNvGrpSpPr>
          <a:grpSpLocks/>
        </xdr:cNvGrpSpPr>
      </xdr:nvGrpSpPr>
      <xdr:grpSpPr bwMode="auto">
        <a:xfrm>
          <a:off x="4117181" y="10096500"/>
          <a:ext cx="228600" cy="0"/>
          <a:chOff x="466" y="3952"/>
          <a:chExt cx="28" cy="16"/>
        </a:xfrm>
      </xdr:grpSpPr>
      <xdr:sp macro="" textlink="">
        <xdr:nvSpPr>
          <xdr:cNvPr id="4103352" name="Line 7373">
            <a:extLst>
              <a:ext uri="{FF2B5EF4-FFF2-40B4-BE49-F238E27FC236}">
                <a16:creationId xmlns:a16="http://schemas.microsoft.com/office/drawing/2014/main" id="{00000000-0008-0000-0F00-0000B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3" name="Line 7374">
            <a:extLst>
              <a:ext uri="{FF2B5EF4-FFF2-40B4-BE49-F238E27FC236}">
                <a16:creationId xmlns:a16="http://schemas.microsoft.com/office/drawing/2014/main" id="{00000000-0008-0000-0F00-0000B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2" name="Group 7375">
          <a:extLst>
            <a:ext uri="{FF2B5EF4-FFF2-40B4-BE49-F238E27FC236}">
              <a16:creationId xmlns:a16="http://schemas.microsoft.com/office/drawing/2014/main" id="{00000000-0008-0000-0F00-00007C9C3E00}"/>
            </a:ext>
          </a:extLst>
        </xdr:cNvPr>
        <xdr:cNvGrpSpPr>
          <a:grpSpLocks/>
        </xdr:cNvGrpSpPr>
      </xdr:nvGrpSpPr>
      <xdr:grpSpPr bwMode="auto">
        <a:xfrm>
          <a:off x="4700588" y="10096500"/>
          <a:ext cx="266700" cy="0"/>
          <a:chOff x="466" y="3952"/>
          <a:chExt cx="28" cy="16"/>
        </a:xfrm>
      </xdr:grpSpPr>
      <xdr:sp macro="" textlink="">
        <xdr:nvSpPr>
          <xdr:cNvPr id="4103350" name="Line 7376">
            <a:extLst>
              <a:ext uri="{FF2B5EF4-FFF2-40B4-BE49-F238E27FC236}">
                <a16:creationId xmlns:a16="http://schemas.microsoft.com/office/drawing/2014/main" id="{00000000-0008-0000-0F00-0000B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51" name="Line 7377">
            <a:extLst>
              <a:ext uri="{FF2B5EF4-FFF2-40B4-BE49-F238E27FC236}">
                <a16:creationId xmlns:a16="http://schemas.microsoft.com/office/drawing/2014/main" id="{00000000-0008-0000-0F00-0000B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3" name="Group 7378">
          <a:extLst>
            <a:ext uri="{FF2B5EF4-FFF2-40B4-BE49-F238E27FC236}">
              <a16:creationId xmlns:a16="http://schemas.microsoft.com/office/drawing/2014/main" id="{00000000-0008-0000-0F00-00007D9C3E00}"/>
            </a:ext>
          </a:extLst>
        </xdr:cNvPr>
        <xdr:cNvGrpSpPr>
          <a:grpSpLocks/>
        </xdr:cNvGrpSpPr>
      </xdr:nvGrpSpPr>
      <xdr:grpSpPr bwMode="auto">
        <a:xfrm>
          <a:off x="4117181" y="10096500"/>
          <a:ext cx="228600" cy="0"/>
          <a:chOff x="466" y="3952"/>
          <a:chExt cx="28" cy="16"/>
        </a:xfrm>
      </xdr:grpSpPr>
      <xdr:sp macro="" textlink="">
        <xdr:nvSpPr>
          <xdr:cNvPr id="4103348" name="Line 7379">
            <a:extLst>
              <a:ext uri="{FF2B5EF4-FFF2-40B4-BE49-F238E27FC236}">
                <a16:creationId xmlns:a16="http://schemas.microsoft.com/office/drawing/2014/main" id="{00000000-0008-0000-0F00-0000B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9" name="Line 7380">
            <a:extLst>
              <a:ext uri="{FF2B5EF4-FFF2-40B4-BE49-F238E27FC236}">
                <a16:creationId xmlns:a16="http://schemas.microsoft.com/office/drawing/2014/main" id="{00000000-0008-0000-0F00-0000B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4" name="Group 7381">
          <a:extLst>
            <a:ext uri="{FF2B5EF4-FFF2-40B4-BE49-F238E27FC236}">
              <a16:creationId xmlns:a16="http://schemas.microsoft.com/office/drawing/2014/main" id="{00000000-0008-0000-0F00-00007E9C3E00}"/>
            </a:ext>
          </a:extLst>
        </xdr:cNvPr>
        <xdr:cNvGrpSpPr>
          <a:grpSpLocks/>
        </xdr:cNvGrpSpPr>
      </xdr:nvGrpSpPr>
      <xdr:grpSpPr bwMode="auto">
        <a:xfrm>
          <a:off x="4117181" y="10096500"/>
          <a:ext cx="228600" cy="0"/>
          <a:chOff x="466" y="3952"/>
          <a:chExt cx="28" cy="16"/>
        </a:xfrm>
      </xdr:grpSpPr>
      <xdr:sp macro="" textlink="">
        <xdr:nvSpPr>
          <xdr:cNvPr id="4103346" name="Line 7382">
            <a:extLst>
              <a:ext uri="{FF2B5EF4-FFF2-40B4-BE49-F238E27FC236}">
                <a16:creationId xmlns:a16="http://schemas.microsoft.com/office/drawing/2014/main" id="{00000000-0008-0000-0F00-0000B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7" name="Line 7383">
            <a:extLst>
              <a:ext uri="{FF2B5EF4-FFF2-40B4-BE49-F238E27FC236}">
                <a16:creationId xmlns:a16="http://schemas.microsoft.com/office/drawing/2014/main" id="{00000000-0008-0000-0F00-0000B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5" name="Group 7384">
          <a:extLst>
            <a:ext uri="{FF2B5EF4-FFF2-40B4-BE49-F238E27FC236}">
              <a16:creationId xmlns:a16="http://schemas.microsoft.com/office/drawing/2014/main" id="{00000000-0008-0000-0F00-00007F9C3E00}"/>
            </a:ext>
          </a:extLst>
        </xdr:cNvPr>
        <xdr:cNvGrpSpPr>
          <a:grpSpLocks/>
        </xdr:cNvGrpSpPr>
      </xdr:nvGrpSpPr>
      <xdr:grpSpPr bwMode="auto">
        <a:xfrm>
          <a:off x="4117181" y="10096500"/>
          <a:ext cx="228600" cy="0"/>
          <a:chOff x="466" y="3952"/>
          <a:chExt cx="28" cy="16"/>
        </a:xfrm>
      </xdr:grpSpPr>
      <xdr:sp macro="" textlink="">
        <xdr:nvSpPr>
          <xdr:cNvPr id="4103344" name="Line 7385">
            <a:extLst>
              <a:ext uri="{FF2B5EF4-FFF2-40B4-BE49-F238E27FC236}">
                <a16:creationId xmlns:a16="http://schemas.microsoft.com/office/drawing/2014/main" id="{00000000-0008-0000-0F00-0000B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5" name="Line 7386">
            <a:extLst>
              <a:ext uri="{FF2B5EF4-FFF2-40B4-BE49-F238E27FC236}">
                <a16:creationId xmlns:a16="http://schemas.microsoft.com/office/drawing/2014/main" id="{00000000-0008-0000-0F00-0000B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6" name="Group 7387">
          <a:extLst>
            <a:ext uri="{FF2B5EF4-FFF2-40B4-BE49-F238E27FC236}">
              <a16:creationId xmlns:a16="http://schemas.microsoft.com/office/drawing/2014/main" id="{00000000-0008-0000-0F00-0000809C3E00}"/>
            </a:ext>
          </a:extLst>
        </xdr:cNvPr>
        <xdr:cNvGrpSpPr>
          <a:grpSpLocks/>
        </xdr:cNvGrpSpPr>
      </xdr:nvGrpSpPr>
      <xdr:grpSpPr bwMode="auto">
        <a:xfrm>
          <a:off x="4117181" y="10096500"/>
          <a:ext cx="228600" cy="0"/>
          <a:chOff x="466" y="3952"/>
          <a:chExt cx="28" cy="16"/>
        </a:xfrm>
      </xdr:grpSpPr>
      <xdr:sp macro="" textlink="">
        <xdr:nvSpPr>
          <xdr:cNvPr id="4103342" name="Line 7388">
            <a:extLst>
              <a:ext uri="{FF2B5EF4-FFF2-40B4-BE49-F238E27FC236}">
                <a16:creationId xmlns:a16="http://schemas.microsoft.com/office/drawing/2014/main" id="{00000000-0008-0000-0F00-0000A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3" name="Line 7389">
            <a:extLst>
              <a:ext uri="{FF2B5EF4-FFF2-40B4-BE49-F238E27FC236}">
                <a16:creationId xmlns:a16="http://schemas.microsoft.com/office/drawing/2014/main" id="{00000000-0008-0000-0F00-0000A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297" name="Group 7390">
          <a:extLst>
            <a:ext uri="{FF2B5EF4-FFF2-40B4-BE49-F238E27FC236}">
              <a16:creationId xmlns:a16="http://schemas.microsoft.com/office/drawing/2014/main" id="{00000000-0008-0000-0F00-0000819C3E00}"/>
            </a:ext>
          </a:extLst>
        </xdr:cNvPr>
        <xdr:cNvGrpSpPr>
          <a:grpSpLocks/>
        </xdr:cNvGrpSpPr>
      </xdr:nvGrpSpPr>
      <xdr:grpSpPr bwMode="auto">
        <a:xfrm>
          <a:off x="4117181" y="10096500"/>
          <a:ext cx="228600" cy="0"/>
          <a:chOff x="466" y="3952"/>
          <a:chExt cx="28" cy="16"/>
        </a:xfrm>
      </xdr:grpSpPr>
      <xdr:sp macro="" textlink="">
        <xdr:nvSpPr>
          <xdr:cNvPr id="4103340" name="Line 7391">
            <a:extLst>
              <a:ext uri="{FF2B5EF4-FFF2-40B4-BE49-F238E27FC236}">
                <a16:creationId xmlns:a16="http://schemas.microsoft.com/office/drawing/2014/main" id="{00000000-0008-0000-0F00-0000A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41" name="Line 7392">
            <a:extLst>
              <a:ext uri="{FF2B5EF4-FFF2-40B4-BE49-F238E27FC236}">
                <a16:creationId xmlns:a16="http://schemas.microsoft.com/office/drawing/2014/main" id="{00000000-0008-0000-0F00-0000A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8" name="Group 7393">
          <a:extLst>
            <a:ext uri="{FF2B5EF4-FFF2-40B4-BE49-F238E27FC236}">
              <a16:creationId xmlns:a16="http://schemas.microsoft.com/office/drawing/2014/main" id="{00000000-0008-0000-0F00-0000829C3E00}"/>
            </a:ext>
          </a:extLst>
        </xdr:cNvPr>
        <xdr:cNvGrpSpPr>
          <a:grpSpLocks/>
        </xdr:cNvGrpSpPr>
      </xdr:nvGrpSpPr>
      <xdr:grpSpPr bwMode="auto">
        <a:xfrm>
          <a:off x="4700588" y="10096500"/>
          <a:ext cx="266700" cy="0"/>
          <a:chOff x="466" y="3952"/>
          <a:chExt cx="28" cy="16"/>
        </a:xfrm>
      </xdr:grpSpPr>
      <xdr:sp macro="" textlink="">
        <xdr:nvSpPr>
          <xdr:cNvPr id="4103338" name="Line 7394">
            <a:extLst>
              <a:ext uri="{FF2B5EF4-FFF2-40B4-BE49-F238E27FC236}">
                <a16:creationId xmlns:a16="http://schemas.microsoft.com/office/drawing/2014/main" id="{00000000-0008-0000-0F00-0000A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9" name="Line 7395">
            <a:extLst>
              <a:ext uri="{FF2B5EF4-FFF2-40B4-BE49-F238E27FC236}">
                <a16:creationId xmlns:a16="http://schemas.microsoft.com/office/drawing/2014/main" id="{00000000-0008-0000-0F00-0000A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299" name="Group 7396">
          <a:extLst>
            <a:ext uri="{FF2B5EF4-FFF2-40B4-BE49-F238E27FC236}">
              <a16:creationId xmlns:a16="http://schemas.microsoft.com/office/drawing/2014/main" id="{00000000-0008-0000-0F00-0000839C3E00}"/>
            </a:ext>
          </a:extLst>
        </xdr:cNvPr>
        <xdr:cNvGrpSpPr>
          <a:grpSpLocks/>
        </xdr:cNvGrpSpPr>
      </xdr:nvGrpSpPr>
      <xdr:grpSpPr bwMode="auto">
        <a:xfrm>
          <a:off x="4700588" y="10096500"/>
          <a:ext cx="266700" cy="0"/>
          <a:chOff x="466" y="3952"/>
          <a:chExt cx="28" cy="16"/>
        </a:xfrm>
      </xdr:grpSpPr>
      <xdr:sp macro="" textlink="">
        <xdr:nvSpPr>
          <xdr:cNvPr id="4103336" name="Line 7397">
            <a:extLst>
              <a:ext uri="{FF2B5EF4-FFF2-40B4-BE49-F238E27FC236}">
                <a16:creationId xmlns:a16="http://schemas.microsoft.com/office/drawing/2014/main" id="{00000000-0008-0000-0F00-0000A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7" name="Line 7398">
            <a:extLst>
              <a:ext uri="{FF2B5EF4-FFF2-40B4-BE49-F238E27FC236}">
                <a16:creationId xmlns:a16="http://schemas.microsoft.com/office/drawing/2014/main" id="{00000000-0008-0000-0F00-0000A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0" name="Group 7399">
          <a:extLst>
            <a:ext uri="{FF2B5EF4-FFF2-40B4-BE49-F238E27FC236}">
              <a16:creationId xmlns:a16="http://schemas.microsoft.com/office/drawing/2014/main" id="{00000000-0008-0000-0F00-0000849C3E00}"/>
            </a:ext>
          </a:extLst>
        </xdr:cNvPr>
        <xdr:cNvGrpSpPr>
          <a:grpSpLocks/>
        </xdr:cNvGrpSpPr>
      </xdr:nvGrpSpPr>
      <xdr:grpSpPr bwMode="auto">
        <a:xfrm>
          <a:off x="4700588" y="10096500"/>
          <a:ext cx="266700" cy="0"/>
          <a:chOff x="466" y="3952"/>
          <a:chExt cx="28" cy="16"/>
        </a:xfrm>
      </xdr:grpSpPr>
      <xdr:sp macro="" textlink="">
        <xdr:nvSpPr>
          <xdr:cNvPr id="4103334" name="Line 7400">
            <a:extLst>
              <a:ext uri="{FF2B5EF4-FFF2-40B4-BE49-F238E27FC236}">
                <a16:creationId xmlns:a16="http://schemas.microsoft.com/office/drawing/2014/main" id="{00000000-0008-0000-0F00-0000A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5" name="Line 7401">
            <a:extLst>
              <a:ext uri="{FF2B5EF4-FFF2-40B4-BE49-F238E27FC236}">
                <a16:creationId xmlns:a16="http://schemas.microsoft.com/office/drawing/2014/main" id="{00000000-0008-0000-0F00-0000A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1" name="Group 7402">
          <a:extLst>
            <a:ext uri="{FF2B5EF4-FFF2-40B4-BE49-F238E27FC236}">
              <a16:creationId xmlns:a16="http://schemas.microsoft.com/office/drawing/2014/main" id="{00000000-0008-0000-0F00-0000859C3E00}"/>
            </a:ext>
          </a:extLst>
        </xdr:cNvPr>
        <xdr:cNvGrpSpPr>
          <a:grpSpLocks/>
        </xdr:cNvGrpSpPr>
      </xdr:nvGrpSpPr>
      <xdr:grpSpPr bwMode="auto">
        <a:xfrm>
          <a:off x="4700588" y="10096500"/>
          <a:ext cx="266700" cy="0"/>
          <a:chOff x="466" y="3952"/>
          <a:chExt cx="28" cy="16"/>
        </a:xfrm>
      </xdr:grpSpPr>
      <xdr:sp macro="" textlink="">
        <xdr:nvSpPr>
          <xdr:cNvPr id="4103332" name="Line 7403">
            <a:extLst>
              <a:ext uri="{FF2B5EF4-FFF2-40B4-BE49-F238E27FC236}">
                <a16:creationId xmlns:a16="http://schemas.microsoft.com/office/drawing/2014/main" id="{00000000-0008-0000-0F00-0000A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3" name="Line 7404">
            <a:extLst>
              <a:ext uri="{FF2B5EF4-FFF2-40B4-BE49-F238E27FC236}">
                <a16:creationId xmlns:a16="http://schemas.microsoft.com/office/drawing/2014/main" id="{00000000-0008-0000-0F00-0000A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2" name="Group 7405">
          <a:extLst>
            <a:ext uri="{FF2B5EF4-FFF2-40B4-BE49-F238E27FC236}">
              <a16:creationId xmlns:a16="http://schemas.microsoft.com/office/drawing/2014/main" id="{00000000-0008-0000-0F00-0000869C3E00}"/>
            </a:ext>
          </a:extLst>
        </xdr:cNvPr>
        <xdr:cNvGrpSpPr>
          <a:grpSpLocks/>
        </xdr:cNvGrpSpPr>
      </xdr:nvGrpSpPr>
      <xdr:grpSpPr bwMode="auto">
        <a:xfrm>
          <a:off x="4700588" y="10096500"/>
          <a:ext cx="266700" cy="0"/>
          <a:chOff x="466" y="3952"/>
          <a:chExt cx="28" cy="16"/>
        </a:xfrm>
      </xdr:grpSpPr>
      <xdr:sp macro="" textlink="">
        <xdr:nvSpPr>
          <xdr:cNvPr id="4103330" name="Line 7406">
            <a:extLst>
              <a:ext uri="{FF2B5EF4-FFF2-40B4-BE49-F238E27FC236}">
                <a16:creationId xmlns:a16="http://schemas.microsoft.com/office/drawing/2014/main" id="{00000000-0008-0000-0F00-0000A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31" name="Line 7407">
            <a:extLst>
              <a:ext uri="{FF2B5EF4-FFF2-40B4-BE49-F238E27FC236}">
                <a16:creationId xmlns:a16="http://schemas.microsoft.com/office/drawing/2014/main" id="{00000000-0008-0000-0F00-0000A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4103303" name="Group 7408">
          <a:extLst>
            <a:ext uri="{FF2B5EF4-FFF2-40B4-BE49-F238E27FC236}">
              <a16:creationId xmlns:a16="http://schemas.microsoft.com/office/drawing/2014/main" id="{00000000-0008-0000-0F00-0000879C3E00}"/>
            </a:ext>
          </a:extLst>
        </xdr:cNvPr>
        <xdr:cNvGrpSpPr>
          <a:grpSpLocks/>
        </xdr:cNvGrpSpPr>
      </xdr:nvGrpSpPr>
      <xdr:grpSpPr bwMode="auto">
        <a:xfrm>
          <a:off x="4117181" y="10096500"/>
          <a:ext cx="228600" cy="0"/>
          <a:chOff x="466" y="3952"/>
          <a:chExt cx="28" cy="16"/>
        </a:xfrm>
      </xdr:grpSpPr>
      <xdr:sp macro="" textlink="">
        <xdr:nvSpPr>
          <xdr:cNvPr id="4103328" name="Line 7409">
            <a:extLst>
              <a:ext uri="{FF2B5EF4-FFF2-40B4-BE49-F238E27FC236}">
                <a16:creationId xmlns:a16="http://schemas.microsoft.com/office/drawing/2014/main" id="{00000000-0008-0000-0F00-0000A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9" name="Line 7410">
            <a:extLst>
              <a:ext uri="{FF2B5EF4-FFF2-40B4-BE49-F238E27FC236}">
                <a16:creationId xmlns:a16="http://schemas.microsoft.com/office/drawing/2014/main" id="{00000000-0008-0000-0F00-0000A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4" name="Group 7414">
          <a:extLst>
            <a:ext uri="{FF2B5EF4-FFF2-40B4-BE49-F238E27FC236}">
              <a16:creationId xmlns:a16="http://schemas.microsoft.com/office/drawing/2014/main" id="{00000000-0008-0000-0F00-0000889C3E00}"/>
            </a:ext>
          </a:extLst>
        </xdr:cNvPr>
        <xdr:cNvGrpSpPr>
          <a:grpSpLocks/>
        </xdr:cNvGrpSpPr>
      </xdr:nvGrpSpPr>
      <xdr:grpSpPr bwMode="auto">
        <a:xfrm>
          <a:off x="4700588" y="10096500"/>
          <a:ext cx="266700" cy="0"/>
          <a:chOff x="466" y="3952"/>
          <a:chExt cx="28" cy="16"/>
        </a:xfrm>
      </xdr:grpSpPr>
      <xdr:sp macro="" textlink="">
        <xdr:nvSpPr>
          <xdr:cNvPr id="4103326" name="Line 7415">
            <a:extLst>
              <a:ext uri="{FF2B5EF4-FFF2-40B4-BE49-F238E27FC236}">
                <a16:creationId xmlns:a16="http://schemas.microsoft.com/office/drawing/2014/main" id="{00000000-0008-0000-0F00-00009E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7" name="Line 7416">
            <a:extLst>
              <a:ext uri="{FF2B5EF4-FFF2-40B4-BE49-F238E27FC236}">
                <a16:creationId xmlns:a16="http://schemas.microsoft.com/office/drawing/2014/main" id="{00000000-0008-0000-0F00-00009F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5" name="Group 7417">
          <a:extLst>
            <a:ext uri="{FF2B5EF4-FFF2-40B4-BE49-F238E27FC236}">
              <a16:creationId xmlns:a16="http://schemas.microsoft.com/office/drawing/2014/main" id="{00000000-0008-0000-0F00-0000899C3E00}"/>
            </a:ext>
          </a:extLst>
        </xdr:cNvPr>
        <xdr:cNvGrpSpPr>
          <a:grpSpLocks/>
        </xdr:cNvGrpSpPr>
      </xdr:nvGrpSpPr>
      <xdr:grpSpPr bwMode="auto">
        <a:xfrm>
          <a:off x="4700588" y="10096500"/>
          <a:ext cx="266700" cy="0"/>
          <a:chOff x="466" y="3952"/>
          <a:chExt cx="28" cy="16"/>
        </a:xfrm>
      </xdr:grpSpPr>
      <xdr:sp macro="" textlink="">
        <xdr:nvSpPr>
          <xdr:cNvPr id="4103324" name="Line 7418">
            <a:extLst>
              <a:ext uri="{FF2B5EF4-FFF2-40B4-BE49-F238E27FC236}">
                <a16:creationId xmlns:a16="http://schemas.microsoft.com/office/drawing/2014/main" id="{00000000-0008-0000-0F00-00009C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5" name="Line 7419">
            <a:extLst>
              <a:ext uri="{FF2B5EF4-FFF2-40B4-BE49-F238E27FC236}">
                <a16:creationId xmlns:a16="http://schemas.microsoft.com/office/drawing/2014/main" id="{00000000-0008-0000-0F00-00009D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4103306" name="Group 7420">
          <a:extLst>
            <a:ext uri="{FF2B5EF4-FFF2-40B4-BE49-F238E27FC236}">
              <a16:creationId xmlns:a16="http://schemas.microsoft.com/office/drawing/2014/main" id="{00000000-0008-0000-0F00-00008A9C3E00}"/>
            </a:ext>
          </a:extLst>
        </xdr:cNvPr>
        <xdr:cNvGrpSpPr>
          <a:grpSpLocks/>
        </xdr:cNvGrpSpPr>
      </xdr:nvGrpSpPr>
      <xdr:grpSpPr bwMode="auto">
        <a:xfrm>
          <a:off x="5486400" y="10096500"/>
          <a:ext cx="228600" cy="0"/>
          <a:chOff x="466" y="3952"/>
          <a:chExt cx="28" cy="16"/>
        </a:xfrm>
      </xdr:grpSpPr>
      <xdr:sp macro="" textlink="">
        <xdr:nvSpPr>
          <xdr:cNvPr id="4103322" name="Line 7421">
            <a:extLst>
              <a:ext uri="{FF2B5EF4-FFF2-40B4-BE49-F238E27FC236}">
                <a16:creationId xmlns:a16="http://schemas.microsoft.com/office/drawing/2014/main" id="{00000000-0008-0000-0F00-00009A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3" name="Line 7422">
            <a:extLst>
              <a:ext uri="{FF2B5EF4-FFF2-40B4-BE49-F238E27FC236}">
                <a16:creationId xmlns:a16="http://schemas.microsoft.com/office/drawing/2014/main" id="{00000000-0008-0000-0F00-00009B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7" name="Group 7423">
          <a:extLst>
            <a:ext uri="{FF2B5EF4-FFF2-40B4-BE49-F238E27FC236}">
              <a16:creationId xmlns:a16="http://schemas.microsoft.com/office/drawing/2014/main" id="{00000000-0008-0000-0F00-00008B9C3E00}"/>
            </a:ext>
          </a:extLst>
        </xdr:cNvPr>
        <xdr:cNvGrpSpPr>
          <a:grpSpLocks/>
        </xdr:cNvGrpSpPr>
      </xdr:nvGrpSpPr>
      <xdr:grpSpPr bwMode="auto">
        <a:xfrm>
          <a:off x="4700588" y="10096500"/>
          <a:ext cx="266700" cy="0"/>
          <a:chOff x="466" y="3952"/>
          <a:chExt cx="28" cy="16"/>
        </a:xfrm>
      </xdr:grpSpPr>
      <xdr:sp macro="" textlink="">
        <xdr:nvSpPr>
          <xdr:cNvPr id="4103320" name="Line 7424">
            <a:extLst>
              <a:ext uri="{FF2B5EF4-FFF2-40B4-BE49-F238E27FC236}">
                <a16:creationId xmlns:a16="http://schemas.microsoft.com/office/drawing/2014/main" id="{00000000-0008-0000-0F00-000098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21" name="Line 7425">
            <a:extLst>
              <a:ext uri="{FF2B5EF4-FFF2-40B4-BE49-F238E27FC236}">
                <a16:creationId xmlns:a16="http://schemas.microsoft.com/office/drawing/2014/main" id="{00000000-0008-0000-0F00-000099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8" name="Group 7426">
          <a:extLst>
            <a:ext uri="{FF2B5EF4-FFF2-40B4-BE49-F238E27FC236}">
              <a16:creationId xmlns:a16="http://schemas.microsoft.com/office/drawing/2014/main" id="{00000000-0008-0000-0F00-00008C9C3E00}"/>
            </a:ext>
          </a:extLst>
        </xdr:cNvPr>
        <xdr:cNvGrpSpPr>
          <a:grpSpLocks/>
        </xdr:cNvGrpSpPr>
      </xdr:nvGrpSpPr>
      <xdr:grpSpPr bwMode="auto">
        <a:xfrm>
          <a:off x="4700588" y="10096500"/>
          <a:ext cx="266700" cy="0"/>
          <a:chOff x="466" y="3952"/>
          <a:chExt cx="28" cy="16"/>
        </a:xfrm>
      </xdr:grpSpPr>
      <xdr:sp macro="" textlink="">
        <xdr:nvSpPr>
          <xdr:cNvPr id="4103318" name="Line 7427">
            <a:extLst>
              <a:ext uri="{FF2B5EF4-FFF2-40B4-BE49-F238E27FC236}">
                <a16:creationId xmlns:a16="http://schemas.microsoft.com/office/drawing/2014/main" id="{00000000-0008-0000-0F00-000096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9" name="Line 7428">
            <a:extLst>
              <a:ext uri="{FF2B5EF4-FFF2-40B4-BE49-F238E27FC236}">
                <a16:creationId xmlns:a16="http://schemas.microsoft.com/office/drawing/2014/main" id="{00000000-0008-0000-0F00-000097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09" name="Group 7429">
          <a:extLst>
            <a:ext uri="{FF2B5EF4-FFF2-40B4-BE49-F238E27FC236}">
              <a16:creationId xmlns:a16="http://schemas.microsoft.com/office/drawing/2014/main" id="{00000000-0008-0000-0F00-00008D9C3E00}"/>
            </a:ext>
          </a:extLst>
        </xdr:cNvPr>
        <xdr:cNvGrpSpPr>
          <a:grpSpLocks/>
        </xdr:cNvGrpSpPr>
      </xdr:nvGrpSpPr>
      <xdr:grpSpPr bwMode="auto">
        <a:xfrm>
          <a:off x="4700588" y="10096500"/>
          <a:ext cx="266700" cy="0"/>
          <a:chOff x="466" y="3952"/>
          <a:chExt cx="28" cy="16"/>
        </a:xfrm>
      </xdr:grpSpPr>
      <xdr:sp macro="" textlink="">
        <xdr:nvSpPr>
          <xdr:cNvPr id="4103316" name="Line 7430">
            <a:extLst>
              <a:ext uri="{FF2B5EF4-FFF2-40B4-BE49-F238E27FC236}">
                <a16:creationId xmlns:a16="http://schemas.microsoft.com/office/drawing/2014/main" id="{00000000-0008-0000-0F00-000094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7" name="Line 7431">
            <a:extLst>
              <a:ext uri="{FF2B5EF4-FFF2-40B4-BE49-F238E27FC236}">
                <a16:creationId xmlns:a16="http://schemas.microsoft.com/office/drawing/2014/main" id="{00000000-0008-0000-0F00-000095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4103310" name="Group 7432">
          <a:extLst>
            <a:ext uri="{FF2B5EF4-FFF2-40B4-BE49-F238E27FC236}">
              <a16:creationId xmlns:a16="http://schemas.microsoft.com/office/drawing/2014/main" id="{00000000-0008-0000-0F00-00008E9C3E00}"/>
            </a:ext>
          </a:extLst>
        </xdr:cNvPr>
        <xdr:cNvGrpSpPr>
          <a:grpSpLocks/>
        </xdr:cNvGrpSpPr>
      </xdr:nvGrpSpPr>
      <xdr:grpSpPr bwMode="auto">
        <a:xfrm>
          <a:off x="4700588" y="10096500"/>
          <a:ext cx="266700" cy="0"/>
          <a:chOff x="466" y="3952"/>
          <a:chExt cx="28" cy="16"/>
        </a:xfrm>
      </xdr:grpSpPr>
      <xdr:sp macro="" textlink="">
        <xdr:nvSpPr>
          <xdr:cNvPr id="4103314" name="Line 7433">
            <a:extLst>
              <a:ext uri="{FF2B5EF4-FFF2-40B4-BE49-F238E27FC236}">
                <a16:creationId xmlns:a16="http://schemas.microsoft.com/office/drawing/2014/main" id="{00000000-0008-0000-0F00-000092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5" name="Line 7434">
            <a:extLst>
              <a:ext uri="{FF2B5EF4-FFF2-40B4-BE49-F238E27FC236}">
                <a16:creationId xmlns:a16="http://schemas.microsoft.com/office/drawing/2014/main" id="{00000000-0008-0000-0F00-000093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4103311" name="Group 7435">
          <a:extLst>
            <a:ext uri="{FF2B5EF4-FFF2-40B4-BE49-F238E27FC236}">
              <a16:creationId xmlns:a16="http://schemas.microsoft.com/office/drawing/2014/main" id="{00000000-0008-0000-0F00-00008F9C3E00}"/>
            </a:ext>
          </a:extLst>
        </xdr:cNvPr>
        <xdr:cNvGrpSpPr>
          <a:grpSpLocks/>
        </xdr:cNvGrpSpPr>
      </xdr:nvGrpSpPr>
      <xdr:grpSpPr bwMode="auto">
        <a:xfrm>
          <a:off x="4576763" y="10096500"/>
          <a:ext cx="228600" cy="0"/>
          <a:chOff x="466" y="3952"/>
          <a:chExt cx="28" cy="16"/>
        </a:xfrm>
      </xdr:grpSpPr>
      <xdr:sp macro="" textlink="">
        <xdr:nvSpPr>
          <xdr:cNvPr id="4103312" name="Line 7436">
            <a:extLst>
              <a:ext uri="{FF2B5EF4-FFF2-40B4-BE49-F238E27FC236}">
                <a16:creationId xmlns:a16="http://schemas.microsoft.com/office/drawing/2014/main" id="{00000000-0008-0000-0F00-0000909C3E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03313" name="Line 7437">
            <a:extLst>
              <a:ext uri="{FF2B5EF4-FFF2-40B4-BE49-F238E27FC236}">
                <a16:creationId xmlns:a16="http://schemas.microsoft.com/office/drawing/2014/main" id="{00000000-0008-0000-0F00-0000919C3E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2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036743" name="Group 10">
          <a:hlinkClick xmlns:r="http://schemas.openxmlformats.org/officeDocument/2006/relationships" r:id="rId1" tooltip="Back to Cover Page"/>
          <a:extLst>
            <a:ext uri="{FF2B5EF4-FFF2-40B4-BE49-F238E27FC236}">
              <a16:creationId xmlns:a16="http://schemas.microsoft.com/office/drawing/2014/main" id="{00000000-0008-0000-1300-000087983D00}"/>
            </a:ext>
          </a:extLst>
        </xdr:cNvPr>
        <xdr:cNvGrpSpPr>
          <a:grpSpLocks/>
        </xdr:cNvGrpSpPr>
      </xdr:nvGrpSpPr>
      <xdr:grpSpPr bwMode="auto">
        <a:xfrm>
          <a:off x="7086600" y="104775"/>
          <a:ext cx="1123950" cy="733425"/>
          <a:chOff x="744" y="11"/>
          <a:chExt cx="113" cy="74"/>
        </a:xfrm>
      </xdr:grpSpPr>
      <xdr:sp macro="" textlink="">
        <xdr:nvSpPr>
          <xdr:cNvPr id="4036744" name="AutoShape 7">
            <a:extLst>
              <a:ext uri="{FF2B5EF4-FFF2-40B4-BE49-F238E27FC236}">
                <a16:creationId xmlns:a16="http://schemas.microsoft.com/office/drawing/2014/main" id="{00000000-0008-0000-1300-000088983D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300-000008400000}"/>
              </a:ext>
            </a:extLst>
          </xdr:cNvPr>
          <xdr:cNvSpPr txBox="1">
            <a:spLocks noChangeArrowheads="1"/>
          </xdr:cNvSpPr>
        </xdr:nvSpPr>
        <xdr:spPr bwMode="auto">
          <a:xfrm>
            <a:off x="6915150" y="14245218605942"/>
            <a:ext cx="0" cy="41"/>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019380" name="Group 1">
          <a:hlinkClick xmlns:r="http://schemas.openxmlformats.org/officeDocument/2006/relationships" r:id="rId1" tooltip="Click to Proceed"/>
          <a:extLst>
            <a:ext uri="{FF2B5EF4-FFF2-40B4-BE49-F238E27FC236}">
              <a16:creationId xmlns:a16="http://schemas.microsoft.com/office/drawing/2014/main" id="{00000000-0008-0000-0200-0000B4543D00}"/>
            </a:ext>
          </a:extLst>
        </xdr:cNvPr>
        <xdr:cNvGrpSpPr>
          <a:grpSpLocks/>
        </xdr:cNvGrpSpPr>
      </xdr:nvGrpSpPr>
      <xdr:grpSpPr bwMode="auto">
        <a:xfrm>
          <a:off x="7105650" y="57150"/>
          <a:ext cx="1209675" cy="771525"/>
          <a:chOff x="804" y="5"/>
          <a:chExt cx="116" cy="73"/>
        </a:xfrm>
      </xdr:grpSpPr>
      <xdr:sp macro="" textlink="">
        <xdr:nvSpPr>
          <xdr:cNvPr id="4019382" name="AutoShape 2">
            <a:extLst>
              <a:ext uri="{FF2B5EF4-FFF2-40B4-BE49-F238E27FC236}">
                <a16:creationId xmlns:a16="http://schemas.microsoft.com/office/drawing/2014/main" id="{00000000-0008-0000-0200-0000B65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52</xdr:row>
      <xdr:rowOff>0</xdr:rowOff>
    </xdr:from>
    <xdr:to>
      <xdr:col>2</xdr:col>
      <xdr:colOff>4981575</xdr:colOff>
      <xdr:row>52</xdr:row>
      <xdr:rowOff>0</xdr:rowOff>
    </xdr:to>
    <xdr:pic>
      <xdr:nvPicPr>
        <xdr:cNvPr id="4019381" name="Picture 4">
          <a:extLst>
            <a:ext uri="{FF2B5EF4-FFF2-40B4-BE49-F238E27FC236}">
              <a16:creationId xmlns:a16="http://schemas.microsoft.com/office/drawing/2014/main" id="{00000000-0008-0000-0200-0000B5543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640175"/>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3575547" name="Group 6">
          <a:hlinkClick xmlns:r="http://schemas.openxmlformats.org/officeDocument/2006/relationships" r:id="rId1" tooltip="Click for Sch-1"/>
          <a:extLst>
            <a:ext uri="{FF2B5EF4-FFF2-40B4-BE49-F238E27FC236}">
              <a16:creationId xmlns:a16="http://schemas.microsoft.com/office/drawing/2014/main" id="{00000000-0008-0000-0300-0000FB8E3600}"/>
            </a:ext>
          </a:extLst>
        </xdr:cNvPr>
        <xdr:cNvGrpSpPr>
          <a:grpSpLocks/>
        </xdr:cNvGrpSpPr>
      </xdr:nvGrpSpPr>
      <xdr:grpSpPr bwMode="auto">
        <a:xfrm>
          <a:off x="7572375" y="47625"/>
          <a:ext cx="1266825" cy="828675"/>
          <a:chOff x="804" y="5"/>
          <a:chExt cx="116" cy="73"/>
        </a:xfrm>
      </xdr:grpSpPr>
      <xdr:sp macro="" textlink="">
        <xdr:nvSpPr>
          <xdr:cNvPr id="3575548" name="AutoShape 2">
            <a:extLst>
              <a:ext uri="{FF2B5EF4-FFF2-40B4-BE49-F238E27FC236}">
                <a16:creationId xmlns:a16="http://schemas.microsoft.com/office/drawing/2014/main" id="{00000000-0008-0000-0300-0000FC8E36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819" y="23"/>
            <a:ext cx="99"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3911001" name="Group 38">
          <a:hlinkClick xmlns:r="http://schemas.openxmlformats.org/officeDocument/2006/relationships" r:id="rId1" tooltip="Click for Sch-2"/>
          <a:extLst>
            <a:ext uri="{FF2B5EF4-FFF2-40B4-BE49-F238E27FC236}">
              <a16:creationId xmlns:a16="http://schemas.microsoft.com/office/drawing/2014/main" id="{00000000-0008-0000-0400-000059AD3B00}"/>
            </a:ext>
          </a:extLst>
        </xdr:cNvPr>
        <xdr:cNvGrpSpPr>
          <a:grpSpLocks/>
        </xdr:cNvGrpSpPr>
      </xdr:nvGrpSpPr>
      <xdr:grpSpPr bwMode="auto">
        <a:xfrm>
          <a:off x="17093293" y="28575"/>
          <a:ext cx="1114425" cy="646339"/>
          <a:chOff x="804" y="5"/>
          <a:chExt cx="116" cy="73"/>
        </a:xfrm>
      </xdr:grpSpPr>
      <xdr:sp macro="" textlink="">
        <xdr:nvSpPr>
          <xdr:cNvPr id="3911002" name="AutoShape 39">
            <a:extLst>
              <a:ext uri="{FF2B5EF4-FFF2-40B4-BE49-F238E27FC236}">
                <a16:creationId xmlns:a16="http://schemas.microsoft.com/office/drawing/2014/main" id="{00000000-0008-0000-0400-00005AAD3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4030325" y="-1975770129"/>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020359" name="Group 38">
          <a:hlinkClick xmlns:r="http://schemas.openxmlformats.org/officeDocument/2006/relationships" r:id="rId1" tooltip="Click for Sch-2"/>
          <a:extLst>
            <a:ext uri="{FF2B5EF4-FFF2-40B4-BE49-F238E27FC236}">
              <a16:creationId xmlns:a16="http://schemas.microsoft.com/office/drawing/2014/main" id="{00000000-0008-0000-0500-000087583D00}"/>
            </a:ext>
          </a:extLst>
        </xdr:cNvPr>
        <xdr:cNvGrpSpPr>
          <a:grpSpLocks/>
        </xdr:cNvGrpSpPr>
      </xdr:nvGrpSpPr>
      <xdr:grpSpPr bwMode="auto">
        <a:xfrm>
          <a:off x="8220075" y="28575"/>
          <a:ext cx="1114425" cy="638175"/>
          <a:chOff x="804" y="5"/>
          <a:chExt cx="116" cy="73"/>
        </a:xfrm>
      </xdr:grpSpPr>
      <xdr:sp macro="" textlink="">
        <xdr:nvSpPr>
          <xdr:cNvPr id="4020360" name="AutoShape 39">
            <a:extLst>
              <a:ext uri="{FF2B5EF4-FFF2-40B4-BE49-F238E27FC236}">
                <a16:creationId xmlns:a16="http://schemas.microsoft.com/office/drawing/2014/main" id="{00000000-0008-0000-0500-0000885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3</xdr:row>
      <xdr:rowOff>257175</xdr:rowOff>
    </xdr:to>
    <xdr:grpSp>
      <xdr:nvGrpSpPr>
        <xdr:cNvPr id="4021384" name="Group 1">
          <a:hlinkClick xmlns:r="http://schemas.openxmlformats.org/officeDocument/2006/relationships" r:id="rId1" tooltip="Click for Sch-3"/>
          <a:extLst>
            <a:ext uri="{FF2B5EF4-FFF2-40B4-BE49-F238E27FC236}">
              <a16:creationId xmlns:a16="http://schemas.microsoft.com/office/drawing/2014/main" id="{00000000-0008-0000-0600-0000885C3D00}"/>
            </a:ext>
          </a:extLst>
        </xdr:cNvPr>
        <xdr:cNvGrpSpPr>
          <a:grpSpLocks/>
        </xdr:cNvGrpSpPr>
      </xdr:nvGrpSpPr>
      <xdr:grpSpPr bwMode="auto">
        <a:xfrm>
          <a:off x="10088033" y="19050"/>
          <a:ext cx="1109134" cy="851958"/>
          <a:chOff x="804" y="5"/>
          <a:chExt cx="116" cy="73"/>
        </a:xfrm>
      </xdr:grpSpPr>
      <xdr:sp macro="" textlink="">
        <xdr:nvSpPr>
          <xdr:cNvPr id="4021385" name="AutoShape 2">
            <a:extLst>
              <a:ext uri="{FF2B5EF4-FFF2-40B4-BE49-F238E27FC236}">
                <a16:creationId xmlns:a16="http://schemas.microsoft.com/office/drawing/2014/main" id="{00000000-0008-0000-0600-0000895C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1106150" y="-1748919093"/>
            <a:ext cx="0" cy="41"/>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2407" name="Group 1">
          <a:hlinkClick xmlns:r="http://schemas.openxmlformats.org/officeDocument/2006/relationships" r:id="rId1" tooltip="Click for Sch-3"/>
          <a:extLst>
            <a:ext uri="{FF2B5EF4-FFF2-40B4-BE49-F238E27FC236}">
              <a16:creationId xmlns:a16="http://schemas.microsoft.com/office/drawing/2014/main" id="{00000000-0008-0000-0800-000087603D00}"/>
            </a:ext>
          </a:extLst>
        </xdr:cNvPr>
        <xdr:cNvGrpSpPr>
          <a:grpSpLocks/>
        </xdr:cNvGrpSpPr>
      </xdr:nvGrpSpPr>
      <xdr:grpSpPr bwMode="auto">
        <a:xfrm>
          <a:off x="7636669" y="19050"/>
          <a:ext cx="1114425" cy="654844"/>
          <a:chOff x="804" y="5"/>
          <a:chExt cx="116" cy="73"/>
        </a:xfrm>
      </xdr:grpSpPr>
      <xdr:sp macro="" textlink="">
        <xdr:nvSpPr>
          <xdr:cNvPr id="4022408" name="AutoShape 2">
            <a:extLst>
              <a:ext uri="{FF2B5EF4-FFF2-40B4-BE49-F238E27FC236}">
                <a16:creationId xmlns:a16="http://schemas.microsoft.com/office/drawing/2014/main" id="{00000000-0008-0000-0800-00008860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023431" name="Group 1">
          <a:hlinkClick xmlns:r="http://schemas.openxmlformats.org/officeDocument/2006/relationships" r:id="rId1" tooltip="Click for Sch-4"/>
          <a:extLst>
            <a:ext uri="{FF2B5EF4-FFF2-40B4-BE49-F238E27FC236}">
              <a16:creationId xmlns:a16="http://schemas.microsoft.com/office/drawing/2014/main" id="{00000000-0008-0000-0900-000087643D00}"/>
            </a:ext>
          </a:extLst>
        </xdr:cNvPr>
        <xdr:cNvGrpSpPr>
          <a:grpSpLocks/>
        </xdr:cNvGrpSpPr>
      </xdr:nvGrpSpPr>
      <xdr:grpSpPr bwMode="auto">
        <a:xfrm>
          <a:off x="7650956" y="19050"/>
          <a:ext cx="1109663" cy="666750"/>
          <a:chOff x="804" y="5"/>
          <a:chExt cx="116" cy="73"/>
        </a:xfrm>
      </xdr:grpSpPr>
      <xdr:sp macro="" textlink="">
        <xdr:nvSpPr>
          <xdr:cNvPr id="4023432" name="AutoShape 2">
            <a:extLst>
              <a:ext uri="{FF2B5EF4-FFF2-40B4-BE49-F238E27FC236}">
                <a16:creationId xmlns:a16="http://schemas.microsoft.com/office/drawing/2014/main" id="{00000000-0008-0000-0900-00008864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024455" name="Group 1">
          <a:hlinkClick xmlns:r="http://schemas.openxmlformats.org/officeDocument/2006/relationships" r:id="rId1" tooltip="Click for Sch-5"/>
          <a:extLst>
            <a:ext uri="{FF2B5EF4-FFF2-40B4-BE49-F238E27FC236}">
              <a16:creationId xmlns:a16="http://schemas.microsoft.com/office/drawing/2014/main" id="{00000000-0008-0000-0A00-000087683D00}"/>
            </a:ext>
          </a:extLst>
        </xdr:cNvPr>
        <xdr:cNvGrpSpPr>
          <a:grpSpLocks/>
        </xdr:cNvGrpSpPr>
      </xdr:nvGrpSpPr>
      <xdr:grpSpPr bwMode="auto">
        <a:xfrm>
          <a:off x="8724900" y="19050"/>
          <a:ext cx="1104900" cy="695325"/>
          <a:chOff x="804" y="5"/>
          <a:chExt cx="116" cy="73"/>
        </a:xfrm>
      </xdr:grpSpPr>
      <xdr:sp macro="" textlink="">
        <xdr:nvSpPr>
          <xdr:cNvPr id="4024456" name="AutoShape 2">
            <a:extLst>
              <a:ext uri="{FF2B5EF4-FFF2-40B4-BE49-F238E27FC236}">
                <a16:creationId xmlns:a16="http://schemas.microsoft.com/office/drawing/2014/main" id="{00000000-0008-0000-0A00-000088683D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A00-0000033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9.0.12\l\Shiv%20Kumar\SSK\C&amp;M\open%20tender\S&amp;I\WC-2131-Biometric&amp;%20access%20control\Bid%20documents-WC-2131\Vol-III\Second%20envelope-wc-2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Sch-1"/>
      <sheetName val="Sch-1 dis"/>
      <sheetName val="Sch-2"/>
      <sheetName val="Sch-2 Dis"/>
      <sheetName val="Sch-3 "/>
      <sheetName val="Sch-3 Dis"/>
      <sheetName val="Sch-4"/>
      <sheetName val="Sch-5"/>
      <sheetName val="Sch-5 Dis"/>
      <sheetName val="Sch-6"/>
      <sheetName val="Sch-6 After Discount"/>
      <sheetName val="Sch-7"/>
      <sheetName val="Sch-7 Dis"/>
      <sheetName val="Discount"/>
      <sheetName val="Octroi"/>
      <sheetName val="Entry Tax"/>
      <sheetName val="Other Taxes &amp; Duties"/>
      <sheetName val="Bid Form 2nd Envelope"/>
      <sheetName val="Q &amp; C (2)"/>
      <sheetName val="Q &amp; C"/>
      <sheetName val="N to W"/>
      <sheetName val="Sheet1"/>
      <sheetName val="Sheet3"/>
    </sheetNames>
    <sheetDataSet>
      <sheetData sheetId="0"/>
      <sheetData sheetId="1"/>
      <sheetData sheetId="2"/>
      <sheetData sheetId="3"/>
      <sheetData sheetId="4">
        <row r="7">
          <cell r="A7" t="str">
            <v>Bidder’s Name and Address (Sole Bidder) :</v>
          </cell>
        </row>
        <row r="8">
          <cell r="A8" t="str">
            <v/>
          </cell>
        </row>
        <row r="9">
          <cell r="C9" t="str">
            <v/>
          </cell>
        </row>
        <row r="10">
          <cell r="C10" t="str">
            <v/>
          </cell>
        </row>
        <row r="11">
          <cell r="C11" t="str">
            <v/>
          </cell>
        </row>
        <row r="12">
          <cell r="C12" t="str">
            <v/>
          </cell>
        </row>
      </sheetData>
      <sheetData sheetId="5"/>
      <sheetData sheetId="6"/>
      <sheetData sheetId="7"/>
      <sheetData sheetId="8"/>
      <sheetData sheetId="9"/>
      <sheetData sheetId="10"/>
      <sheetData sheetId="11"/>
      <sheetData sheetId="12"/>
      <sheetData sheetId="13">
        <row r="14">
          <cell r="D14">
            <v>0</v>
          </cell>
        </row>
        <row r="16">
          <cell r="D16">
            <v>0</v>
          </cell>
        </row>
        <row r="18">
          <cell r="D18">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drawing" Target="../drawings/drawing9.xml"/><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drawing" Target="../drawings/drawing11.xml"/><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60.bin"/><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3" Type="http://schemas.openxmlformats.org/officeDocument/2006/relationships/printerSettings" Target="../printerSettings/printerSettings255.bin"/><Relationship Id="rId21" Type="http://schemas.openxmlformats.org/officeDocument/2006/relationships/printerSettings" Target="../printerSettings/printerSettings273.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printerSettings" Target="../printerSettings/printerSettings272.bin"/><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18" Type="http://schemas.openxmlformats.org/officeDocument/2006/relationships/printerSettings" Target="../printerSettings/printerSettings291.bin"/><Relationship Id="rId3" Type="http://schemas.openxmlformats.org/officeDocument/2006/relationships/printerSettings" Target="../printerSettings/printerSettings276.bin"/><Relationship Id="rId21" Type="http://schemas.openxmlformats.org/officeDocument/2006/relationships/printerSettings" Target="../printerSettings/printerSettings294.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printerSettings" Target="../printerSettings/printerSettings290.bin"/><Relationship Id="rId25" Type="http://schemas.openxmlformats.org/officeDocument/2006/relationships/drawing" Target="../drawings/drawing13.xml"/><Relationship Id="rId2" Type="http://schemas.openxmlformats.org/officeDocument/2006/relationships/printerSettings" Target="../printerSettings/printerSettings275.bin"/><Relationship Id="rId16" Type="http://schemas.openxmlformats.org/officeDocument/2006/relationships/printerSettings" Target="../printerSettings/printerSettings289.bin"/><Relationship Id="rId20" Type="http://schemas.openxmlformats.org/officeDocument/2006/relationships/printerSettings" Target="../printerSettings/printerSettings293.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24" Type="http://schemas.openxmlformats.org/officeDocument/2006/relationships/printerSettings" Target="../printerSettings/printerSettings297.bin"/><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23" Type="http://schemas.openxmlformats.org/officeDocument/2006/relationships/printerSettings" Target="../printerSettings/printerSettings296.bin"/><Relationship Id="rId10" Type="http://schemas.openxmlformats.org/officeDocument/2006/relationships/printerSettings" Target="../printerSettings/printerSettings283.bin"/><Relationship Id="rId19" Type="http://schemas.openxmlformats.org/officeDocument/2006/relationships/printerSettings" Target="../printerSettings/printerSettings292.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 Id="rId22" Type="http://schemas.openxmlformats.org/officeDocument/2006/relationships/printerSettings" Target="../printerSettings/printerSettings29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05.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 Type="http://schemas.openxmlformats.org/officeDocument/2006/relationships/printerSettings" Target="../printerSettings/printerSettings300.bin"/><Relationship Id="rId21" Type="http://schemas.openxmlformats.org/officeDocument/2006/relationships/printerSettings" Target="../printerSettings/printerSettings318.bin"/><Relationship Id="rId7" Type="http://schemas.openxmlformats.org/officeDocument/2006/relationships/printerSettings" Target="../printerSettings/printerSettings304.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5" Type="http://schemas.openxmlformats.org/officeDocument/2006/relationships/drawing" Target="../drawings/drawing14.xml"/><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0" Type="http://schemas.openxmlformats.org/officeDocument/2006/relationships/printerSettings" Target="../printerSettings/printerSettings317.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24" Type="http://schemas.openxmlformats.org/officeDocument/2006/relationships/printerSettings" Target="../printerSettings/printerSettings321.bin"/><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23" Type="http://schemas.openxmlformats.org/officeDocument/2006/relationships/printerSettings" Target="../printerSettings/printerSettings320.bin"/><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 Id="rId22" Type="http://schemas.openxmlformats.org/officeDocument/2006/relationships/printerSettings" Target="../printerSettings/printerSettings31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29.bin"/><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3" Type="http://schemas.openxmlformats.org/officeDocument/2006/relationships/printerSettings" Target="../printerSettings/printerSettings324.bin"/><Relationship Id="rId21" Type="http://schemas.openxmlformats.org/officeDocument/2006/relationships/printerSettings" Target="../printerSettings/printerSettings342.bin"/><Relationship Id="rId7" Type="http://schemas.openxmlformats.org/officeDocument/2006/relationships/printerSettings" Target="../printerSettings/printerSettings328.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50.bin"/><Relationship Id="rId13" Type="http://schemas.openxmlformats.org/officeDocument/2006/relationships/printerSettings" Target="../printerSettings/printerSettings355.bin"/><Relationship Id="rId18" Type="http://schemas.openxmlformats.org/officeDocument/2006/relationships/printerSettings" Target="../printerSettings/printerSettings360.bin"/><Relationship Id="rId3" Type="http://schemas.openxmlformats.org/officeDocument/2006/relationships/printerSettings" Target="../printerSettings/printerSettings345.bin"/><Relationship Id="rId21" Type="http://schemas.openxmlformats.org/officeDocument/2006/relationships/printerSettings" Target="../printerSettings/printerSettings363.bin"/><Relationship Id="rId7" Type="http://schemas.openxmlformats.org/officeDocument/2006/relationships/printerSettings" Target="../printerSettings/printerSettings349.bin"/><Relationship Id="rId12" Type="http://schemas.openxmlformats.org/officeDocument/2006/relationships/printerSettings" Target="../printerSettings/printerSettings354.bin"/><Relationship Id="rId17" Type="http://schemas.openxmlformats.org/officeDocument/2006/relationships/printerSettings" Target="../printerSettings/printerSettings359.bin"/><Relationship Id="rId2" Type="http://schemas.openxmlformats.org/officeDocument/2006/relationships/printerSettings" Target="../printerSettings/printerSettings344.bin"/><Relationship Id="rId16" Type="http://schemas.openxmlformats.org/officeDocument/2006/relationships/printerSettings" Target="../printerSettings/printerSettings358.bin"/><Relationship Id="rId20" Type="http://schemas.openxmlformats.org/officeDocument/2006/relationships/printerSettings" Target="../printerSettings/printerSettings362.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printerSettings" Target="../printerSettings/printerSettings353.bin"/><Relationship Id="rId5" Type="http://schemas.openxmlformats.org/officeDocument/2006/relationships/printerSettings" Target="../printerSettings/printerSettings347.bin"/><Relationship Id="rId15" Type="http://schemas.openxmlformats.org/officeDocument/2006/relationships/printerSettings" Target="../printerSettings/printerSettings357.bin"/><Relationship Id="rId10" Type="http://schemas.openxmlformats.org/officeDocument/2006/relationships/printerSettings" Target="../printerSettings/printerSettings352.bin"/><Relationship Id="rId19" Type="http://schemas.openxmlformats.org/officeDocument/2006/relationships/printerSettings" Target="../printerSettings/printerSettings361.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 Id="rId14" Type="http://schemas.openxmlformats.org/officeDocument/2006/relationships/printerSettings" Target="../printerSettings/printerSettings356.bin"/><Relationship Id="rId22"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21" Type="http://schemas.openxmlformats.org/officeDocument/2006/relationships/printerSettings" Target="../printerSettings/printerSettings41.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5" Type="http://schemas.openxmlformats.org/officeDocument/2006/relationships/drawing" Target="../drawings/drawing1.xml"/><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24" Type="http://schemas.openxmlformats.org/officeDocument/2006/relationships/printerSettings" Target="../printerSettings/printerSettings44.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23" Type="http://schemas.openxmlformats.org/officeDocument/2006/relationships/printerSettings" Target="../printerSettings/printerSettings43.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 Id="rId22"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92.bin"/><Relationship Id="rId13" Type="http://schemas.openxmlformats.org/officeDocument/2006/relationships/printerSettings" Target="../printerSettings/printerSettings397.bin"/><Relationship Id="rId18" Type="http://schemas.openxmlformats.org/officeDocument/2006/relationships/printerSettings" Target="../printerSettings/printerSettings402.bin"/><Relationship Id="rId3" Type="http://schemas.openxmlformats.org/officeDocument/2006/relationships/printerSettings" Target="../printerSettings/printerSettings387.bin"/><Relationship Id="rId21" Type="http://schemas.openxmlformats.org/officeDocument/2006/relationships/printerSettings" Target="../printerSettings/printerSettings405.bin"/><Relationship Id="rId7" Type="http://schemas.openxmlformats.org/officeDocument/2006/relationships/printerSettings" Target="../printerSettings/printerSettings391.bin"/><Relationship Id="rId12" Type="http://schemas.openxmlformats.org/officeDocument/2006/relationships/printerSettings" Target="../printerSettings/printerSettings396.bin"/><Relationship Id="rId17" Type="http://schemas.openxmlformats.org/officeDocument/2006/relationships/printerSettings" Target="../printerSettings/printerSettings401.bin"/><Relationship Id="rId2" Type="http://schemas.openxmlformats.org/officeDocument/2006/relationships/printerSettings" Target="../printerSettings/printerSettings386.bin"/><Relationship Id="rId16" Type="http://schemas.openxmlformats.org/officeDocument/2006/relationships/printerSettings" Target="../printerSettings/printerSettings400.bin"/><Relationship Id="rId20" Type="http://schemas.openxmlformats.org/officeDocument/2006/relationships/printerSettings" Target="../printerSettings/printerSettings404.bin"/><Relationship Id="rId1" Type="http://schemas.openxmlformats.org/officeDocument/2006/relationships/printerSettings" Target="../printerSettings/printerSettings385.bin"/><Relationship Id="rId6" Type="http://schemas.openxmlformats.org/officeDocument/2006/relationships/printerSettings" Target="../printerSettings/printerSettings390.bin"/><Relationship Id="rId11" Type="http://schemas.openxmlformats.org/officeDocument/2006/relationships/printerSettings" Target="../printerSettings/printerSettings395.bin"/><Relationship Id="rId5" Type="http://schemas.openxmlformats.org/officeDocument/2006/relationships/printerSettings" Target="../printerSettings/printerSettings389.bin"/><Relationship Id="rId15" Type="http://schemas.openxmlformats.org/officeDocument/2006/relationships/printerSettings" Target="../printerSettings/printerSettings399.bin"/><Relationship Id="rId10" Type="http://schemas.openxmlformats.org/officeDocument/2006/relationships/printerSettings" Target="../printerSettings/printerSettings394.bin"/><Relationship Id="rId19" Type="http://schemas.openxmlformats.org/officeDocument/2006/relationships/printerSettings" Target="../printerSettings/printerSettings403.bin"/><Relationship Id="rId4" Type="http://schemas.openxmlformats.org/officeDocument/2006/relationships/printerSettings" Target="../printerSettings/printerSettings388.bin"/><Relationship Id="rId9" Type="http://schemas.openxmlformats.org/officeDocument/2006/relationships/printerSettings" Target="../printerSettings/printerSettings393.bin"/><Relationship Id="rId14" Type="http://schemas.openxmlformats.org/officeDocument/2006/relationships/printerSettings" Target="../printerSettings/printerSettings398.bin"/><Relationship Id="rId22"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13.bin"/><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3" Type="http://schemas.openxmlformats.org/officeDocument/2006/relationships/printerSettings" Target="../printerSettings/printerSettings408.bin"/><Relationship Id="rId21" Type="http://schemas.openxmlformats.org/officeDocument/2006/relationships/printerSettings" Target="../printerSettings/printerSettings426.bin"/><Relationship Id="rId7" Type="http://schemas.openxmlformats.org/officeDocument/2006/relationships/printerSettings" Target="../printerSettings/printerSettings412.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drawing" Target="../drawings/drawing19.xml"/><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0" Type="http://schemas.openxmlformats.org/officeDocument/2006/relationships/printerSettings" Target="../printerSettings/printerSettings425.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5" Type="http://schemas.openxmlformats.org/officeDocument/2006/relationships/printerSettings" Target="../printerSettings/printerSettings410.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21" Type="http://schemas.openxmlformats.org/officeDocument/2006/relationships/printerSettings" Target="../printerSettings/printerSettings470.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printerSettings" Target="../printerSettings/printerSettings473.bin"/><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2.bin"/><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3" Type="http://schemas.openxmlformats.org/officeDocument/2006/relationships/printerSettings" Target="../printerSettings/printerSettings47.bin"/><Relationship Id="rId21" Type="http://schemas.openxmlformats.org/officeDocument/2006/relationships/printerSettings" Target="../printerSettings/printerSettings65.bin"/><Relationship Id="rId7" Type="http://schemas.openxmlformats.org/officeDocument/2006/relationships/printerSettings" Target="../printerSettings/printerSettings51.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0" Type="http://schemas.openxmlformats.org/officeDocument/2006/relationships/printerSettings" Target="../printerSettings/printerSettings64.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drawing" Target="../drawings/drawing2.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5.bin"/><Relationship Id="rId13" Type="http://schemas.openxmlformats.org/officeDocument/2006/relationships/printerSettings" Target="../printerSettings/printerSettings80.bin"/><Relationship Id="rId18" Type="http://schemas.openxmlformats.org/officeDocument/2006/relationships/printerSettings" Target="../printerSettings/printerSettings85.bin"/><Relationship Id="rId3" Type="http://schemas.openxmlformats.org/officeDocument/2006/relationships/printerSettings" Target="../printerSettings/printerSettings70.bin"/><Relationship Id="rId21" Type="http://schemas.openxmlformats.org/officeDocument/2006/relationships/printerSettings" Target="../printerSettings/printerSettings88.bin"/><Relationship Id="rId7" Type="http://schemas.openxmlformats.org/officeDocument/2006/relationships/printerSettings" Target="../printerSettings/printerSettings74.bin"/><Relationship Id="rId12" Type="http://schemas.openxmlformats.org/officeDocument/2006/relationships/printerSettings" Target="../printerSettings/printerSettings79.bin"/><Relationship Id="rId17" Type="http://schemas.openxmlformats.org/officeDocument/2006/relationships/printerSettings" Target="../printerSettings/printerSettings84.bin"/><Relationship Id="rId25" Type="http://schemas.openxmlformats.org/officeDocument/2006/relationships/drawing" Target="../drawings/drawing3.xml"/><Relationship Id="rId2" Type="http://schemas.openxmlformats.org/officeDocument/2006/relationships/printerSettings" Target="../printerSettings/printerSettings69.bin"/><Relationship Id="rId16" Type="http://schemas.openxmlformats.org/officeDocument/2006/relationships/printerSettings" Target="../printerSettings/printerSettings83.bin"/><Relationship Id="rId20" Type="http://schemas.openxmlformats.org/officeDocument/2006/relationships/printerSettings" Target="../printerSettings/printerSettings87.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11" Type="http://schemas.openxmlformats.org/officeDocument/2006/relationships/printerSettings" Target="../printerSettings/printerSettings78.bin"/><Relationship Id="rId24" Type="http://schemas.openxmlformats.org/officeDocument/2006/relationships/printerSettings" Target="../printerSettings/printerSettings91.bin"/><Relationship Id="rId5" Type="http://schemas.openxmlformats.org/officeDocument/2006/relationships/printerSettings" Target="../printerSettings/printerSettings72.bin"/><Relationship Id="rId15" Type="http://schemas.openxmlformats.org/officeDocument/2006/relationships/printerSettings" Target="../printerSettings/printerSettings82.bin"/><Relationship Id="rId23" Type="http://schemas.openxmlformats.org/officeDocument/2006/relationships/printerSettings" Target="../printerSettings/printerSettings90.bin"/><Relationship Id="rId10" Type="http://schemas.openxmlformats.org/officeDocument/2006/relationships/printerSettings" Target="../printerSettings/printerSettings77.bin"/><Relationship Id="rId19" Type="http://schemas.openxmlformats.org/officeDocument/2006/relationships/printerSettings" Target="../printerSettings/printerSettings86.bin"/><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 Id="rId14" Type="http://schemas.openxmlformats.org/officeDocument/2006/relationships/printerSettings" Target="../printerSettings/printerSettings81.bin"/><Relationship Id="rId22" Type="http://schemas.openxmlformats.org/officeDocument/2006/relationships/printerSettings" Target="../printerSettings/printerSettings8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drawing" Target="../drawings/drawing4.xml"/><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13" Type="http://schemas.openxmlformats.org/officeDocument/2006/relationships/printerSettings" Target="../printerSettings/printerSettings149.bin"/><Relationship Id="rId18" Type="http://schemas.openxmlformats.org/officeDocument/2006/relationships/printerSettings" Target="../printerSettings/printerSettings154.bin"/><Relationship Id="rId3" Type="http://schemas.openxmlformats.org/officeDocument/2006/relationships/printerSettings" Target="../printerSettings/printerSettings139.bin"/><Relationship Id="rId21" Type="http://schemas.openxmlformats.org/officeDocument/2006/relationships/printerSettings" Target="../printerSettings/printerSettings157.bin"/><Relationship Id="rId7" Type="http://schemas.openxmlformats.org/officeDocument/2006/relationships/printerSettings" Target="../printerSettings/printerSettings143.bin"/><Relationship Id="rId12" Type="http://schemas.openxmlformats.org/officeDocument/2006/relationships/printerSettings" Target="../printerSettings/printerSettings148.bin"/><Relationship Id="rId17" Type="http://schemas.openxmlformats.org/officeDocument/2006/relationships/printerSettings" Target="../printerSettings/printerSettings153.bin"/><Relationship Id="rId25" Type="http://schemas.openxmlformats.org/officeDocument/2006/relationships/drawing" Target="../drawings/drawing6.xml"/><Relationship Id="rId2" Type="http://schemas.openxmlformats.org/officeDocument/2006/relationships/printerSettings" Target="../printerSettings/printerSettings138.bin"/><Relationship Id="rId16" Type="http://schemas.openxmlformats.org/officeDocument/2006/relationships/printerSettings" Target="../printerSettings/printerSettings152.bin"/><Relationship Id="rId20" Type="http://schemas.openxmlformats.org/officeDocument/2006/relationships/printerSettings" Target="../printerSettings/printerSettings156.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11" Type="http://schemas.openxmlformats.org/officeDocument/2006/relationships/printerSettings" Target="../printerSettings/printerSettings147.bin"/><Relationship Id="rId24" Type="http://schemas.openxmlformats.org/officeDocument/2006/relationships/printerSettings" Target="../printerSettings/printerSettings160.bin"/><Relationship Id="rId5" Type="http://schemas.openxmlformats.org/officeDocument/2006/relationships/printerSettings" Target="../printerSettings/printerSettings141.bin"/><Relationship Id="rId15" Type="http://schemas.openxmlformats.org/officeDocument/2006/relationships/printerSettings" Target="../printerSettings/printerSettings151.bin"/><Relationship Id="rId23" Type="http://schemas.openxmlformats.org/officeDocument/2006/relationships/printerSettings" Target="../printerSettings/printerSettings159.bin"/><Relationship Id="rId10" Type="http://schemas.openxmlformats.org/officeDocument/2006/relationships/printerSettings" Target="../printerSettings/printerSettings146.bin"/><Relationship Id="rId19" Type="http://schemas.openxmlformats.org/officeDocument/2006/relationships/printerSettings" Target="../printerSettings/printerSettings155.bin"/><Relationship Id="rId4" Type="http://schemas.openxmlformats.org/officeDocument/2006/relationships/printerSettings" Target="../printerSettings/printerSettings140.bin"/><Relationship Id="rId9" Type="http://schemas.openxmlformats.org/officeDocument/2006/relationships/printerSettings" Target="../printerSettings/printerSettings145.bin"/><Relationship Id="rId14" Type="http://schemas.openxmlformats.org/officeDocument/2006/relationships/printerSettings" Target="../printerSettings/printerSettings150.bin"/><Relationship Id="rId22" Type="http://schemas.openxmlformats.org/officeDocument/2006/relationships/printerSettings" Target="../printerSettings/printerSettings15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6"/>
  <sheetViews>
    <sheetView zoomScaleNormal="100" workbookViewId="0">
      <selection activeCell="B8" sqref="B8"/>
    </sheetView>
  </sheetViews>
  <sheetFormatPr defaultRowHeight="16.5"/>
  <cols>
    <col min="1" max="1" width="18" customWidth="1"/>
    <col min="2" max="2" width="71.875" customWidth="1"/>
  </cols>
  <sheetData>
    <row r="1" spans="1:8" ht="53.25" customHeight="1">
      <c r="A1" s="263" t="s">
        <v>0</v>
      </c>
      <c r="B1" s="1094" t="s">
        <v>1258</v>
      </c>
      <c r="C1" s="1094"/>
      <c r="D1" s="1094"/>
      <c r="E1" s="1094"/>
      <c r="F1" s="1094"/>
      <c r="G1" s="1094"/>
      <c r="H1" s="1094"/>
    </row>
    <row r="2" spans="1:8" ht="19.5">
      <c r="B2" s="686"/>
      <c r="C2" s="687"/>
      <c r="D2" s="687"/>
      <c r="E2" s="687"/>
      <c r="F2" s="687"/>
      <c r="G2" s="687"/>
      <c r="H2" s="687"/>
    </row>
    <row r="3" spans="1:8" ht="19.5">
      <c r="A3" t="s">
        <v>1</v>
      </c>
      <c r="B3" s="688" t="s">
        <v>2</v>
      </c>
      <c r="C3" s="687"/>
      <c r="D3" s="687"/>
      <c r="E3" s="687"/>
      <c r="F3" s="687"/>
      <c r="G3" s="687"/>
      <c r="H3" s="687"/>
    </row>
    <row r="4" spans="1:8" ht="19.5">
      <c r="B4" s="687"/>
      <c r="C4" s="687"/>
      <c r="D4" s="687"/>
      <c r="E4" s="687"/>
      <c r="F4" s="687"/>
      <c r="G4" s="687"/>
      <c r="H4" s="687"/>
    </row>
    <row r="5" spans="1:8" ht="19.5">
      <c r="A5" t="s">
        <v>3</v>
      </c>
      <c r="B5" s="1095" t="s">
        <v>1282</v>
      </c>
      <c r="C5" s="1096"/>
      <c r="D5" s="1096"/>
      <c r="E5" s="1096"/>
      <c r="F5" s="1096"/>
      <c r="G5" s="1096"/>
      <c r="H5" s="1096"/>
    </row>
    <row r="6" spans="1:8" ht="19.5">
      <c r="B6" s="687"/>
      <c r="C6" s="687"/>
      <c r="D6" s="687"/>
      <c r="E6" s="687"/>
      <c r="F6" s="687"/>
      <c r="G6" s="687"/>
      <c r="H6" s="687"/>
    </row>
  </sheetData>
  <customSheetViews>
    <customSheetView guid="{B48B8B4C-A880-453D-8729-90D004BEF0DB}" state="hidden">
      <selection activeCell="B9" sqref="B9"/>
      <pageMargins left="0" right="0" top="0" bottom="0" header="0" footer="0"/>
      <pageSetup orientation="portrait" r:id="rId1"/>
      <headerFooter alignWithMargins="0"/>
    </customSheetView>
    <customSheetView guid="{7043F04C-1FA3-449D-BEB8-4AC08DF68A5A}" state="hidden">
      <selection activeCell="B10" sqref="B10"/>
      <pageMargins left="0" right="0" top="0" bottom="0" header="0" footer="0"/>
      <pageSetup orientation="portrait" r:id="rId2"/>
      <headerFooter alignWithMargins="0"/>
    </customSheetView>
    <customSheetView guid="{D0757F9E-DF41-4B40-A5E5-F4F8FDD8D61D}" state="hidden">
      <selection activeCell="B5" sqref="B5:H5"/>
      <pageMargins left="0" right="0" top="0" bottom="0" header="0" footer="0"/>
      <pageSetup orientation="portrait" r:id="rId3"/>
      <headerFooter alignWithMargins="0"/>
    </customSheetView>
    <customSheetView guid="{E81F0721-C35D-4189-B675-E46A21339863}" state="hidden">
      <selection activeCell="B11" sqref="B11"/>
      <pageMargins left="0" right="0" top="0" bottom="0" header="0" footer="0"/>
      <pageSetup orientation="portrait" r:id="rId4"/>
      <headerFooter alignWithMargins="0"/>
    </customSheetView>
    <customSheetView guid="{223BC0FC-814D-40F0-9795-CE82A16FF3A5}" state="hidden">
      <selection activeCell="B10" sqref="B10"/>
      <pageMargins left="0" right="0" top="0" bottom="0" header="0" footer="0"/>
      <pageSetup orientation="portrait" r:id="rId5"/>
      <headerFooter alignWithMargins="0"/>
    </customSheetView>
    <customSheetView guid="{D53177B2-31EC-4222-B97A-A37DCFD9E45B}" state="hidden">
      <selection activeCell="B1" sqref="B1:H1"/>
      <pageMargins left="0" right="0" top="0" bottom="0" header="0" footer="0"/>
      <pageSetup orientation="portrait" r:id="rId6"/>
      <headerFooter alignWithMargins="0"/>
    </customSheetView>
    <customSheetView guid="{B3CE7B10-A914-4559-A6DA-AED8C22AFD6D}" state="hidden">
      <selection activeCell="B7" sqref="B7"/>
      <pageMargins left="0" right="0" top="0" bottom="0" header="0" footer="0"/>
      <pageSetup orientation="portrait" r:id="rId7"/>
      <headerFooter alignWithMargins="0"/>
    </customSheetView>
    <customSheetView guid="{7487ED9F-BBED-4B2A-9631-22F1A430946B}" state="hidden">
      <selection activeCell="B2" sqref="B2"/>
      <pageMargins left="0" right="0" top="0" bottom="0" header="0" footer="0"/>
      <pageSetup orientation="portrait" r:id="rId8"/>
      <headerFooter alignWithMargins="0"/>
    </customSheetView>
    <customSheetView guid="{A7DBDDEF-9245-44C6-9EBF-032DB6E1C0A2}" state="hidden">
      <selection activeCell="B8" sqref="B8"/>
      <pageMargins left="0" right="0" top="0" bottom="0" header="0" footer="0"/>
      <pageSetup orientation="portrait" r:id="rId9"/>
      <headerFooter alignWithMargins="0"/>
    </customSheetView>
    <customSheetView guid="{E9F4E142-7D26-464D-BECA-4F3806DB1FE1}" state="hidden">
      <selection activeCell="B10" sqref="B10"/>
      <pageMargins left="0" right="0" top="0" bottom="0" header="0" footer="0"/>
      <pageSetup orientation="portrait" r:id="rId10"/>
      <headerFooter alignWithMargins="0"/>
    </customSheetView>
    <customSheetView guid="{27A45B7A-04F2-4516-B80B-5ED0825D4ED3}" state="hidden">
      <selection activeCell="B1" sqref="B1"/>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4F65FF32-EC61-4022-A399-2986D7B6B8B3}" state="hidden" showRuler="0">
      <selection activeCell="B2" sqref="B2"/>
      <pageMargins left="0" right="0" top="0" bottom="0" header="0" footer="0"/>
      <headerFooter alignWithMargins="0"/>
    </customSheetView>
    <customSheetView guid="{ECE9294F-C910-4036-88BC-B1F2176FB06B}" state="hidden">
      <selection activeCell="B8" sqref="B8"/>
      <pageMargins left="0" right="0" top="0" bottom="0" header="0" footer="0"/>
      <pageSetup orientation="portrait" r:id="rId11"/>
      <headerFooter alignWithMargins="0"/>
    </customSheetView>
    <customSheetView guid="{B23AD343-29DA-4CE0-BD10-47BF44F3782F}" state="hidden">
      <selection activeCell="B10" sqref="B10"/>
      <pageMargins left="0" right="0" top="0" bottom="0" header="0" footer="0"/>
      <pageSetup orientation="portrait" r:id="rId12"/>
      <headerFooter alignWithMargins="0"/>
    </customSheetView>
    <customSheetView guid="{4AA1107B-A795-4744-B566-827168772C7A}" state="hidden">
      <selection activeCell="B2" sqref="B2"/>
      <pageMargins left="0" right="0" top="0" bottom="0" header="0" footer="0"/>
      <pageSetup orientation="portrait" r:id="rId13"/>
      <headerFooter alignWithMargins="0"/>
    </customSheetView>
    <customSheetView guid="{EE46BCD1-F715-4FA9-A5FC-1B125AD601E0}" state="hidden">
      <selection activeCell="B5" sqref="B5:H5"/>
      <pageMargins left="0" right="0" top="0" bottom="0" header="0" footer="0"/>
      <pageSetup orientation="portrait" r:id="rId14"/>
      <headerFooter alignWithMargins="0"/>
    </customSheetView>
    <customSheetView guid="{E97134B6-5E8D-4951-8DA0-73D065532361}" state="hidden">
      <selection activeCell="B1" sqref="B1:H1"/>
      <pageMargins left="0" right="0" top="0" bottom="0" header="0" footer="0"/>
      <pageSetup orientation="portrait" r:id="rId15"/>
      <headerFooter alignWithMargins="0"/>
    </customSheetView>
    <customSheetView guid="{B835C05C-B615-4DCB-982D-4519616B3CD8}" state="hidden">
      <selection activeCell="B11" sqref="B11"/>
      <pageMargins left="0" right="0" top="0" bottom="0" header="0" footer="0"/>
      <pageSetup orientation="portrait" r:id="rId16"/>
      <headerFooter alignWithMargins="0"/>
    </customSheetView>
    <customSheetView guid="{17F5C48B-526E-48D2-9F97-823D578F9893}" state="hidden">
      <selection activeCell="B15" sqref="B15:B16"/>
      <pageMargins left="0" right="0" top="0" bottom="0" header="0" footer="0"/>
      <pageSetup orientation="portrait" r:id="rId17"/>
      <headerFooter alignWithMargins="0"/>
    </customSheetView>
    <customSheetView guid="{7F1A5DE7-1043-4C11-AB2C-CC6BC6A0F482}" state="hidden">
      <selection activeCell="B4" sqref="B4"/>
      <pageMargins left="0" right="0" top="0" bottom="0" header="0" footer="0"/>
      <pageSetup orientation="portrait" r:id="rId18"/>
      <headerFooter alignWithMargins="0"/>
    </customSheetView>
    <customSheetView guid="{75D87FDD-0292-4E5A-8E8F-63018B009393}" state="hidden">
      <selection activeCell="B9" sqref="B9"/>
      <pageMargins left="0" right="0" top="0" bottom="0" header="0" footer="0"/>
      <pageSetup orientation="portrait" r:id="rId19"/>
      <headerFooter alignWithMargins="0"/>
    </customSheetView>
  </customSheetViews>
  <mergeCells count="2">
    <mergeCell ref="B1:H1"/>
    <mergeCell ref="B5:H5"/>
  </mergeCells>
  <phoneticPr fontId="28" type="noConversion"/>
  <pageMargins left="0.75" right="0.75" top="1" bottom="1" header="0.5" footer="0.5"/>
  <pageSetup orientation="portrait" r:id="rId20"/>
  <headerFooter alignWithMargins="0">
    <oddHeader>&amp;C&amp;"Calibri"&amp;12&amp;KFF0000 डेटा वर्गीकरण : प्रतिबंधित/RESTRICTED&amp;1#_x000D_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indexed="11"/>
  </sheetPr>
  <dimension ref="A1:H21"/>
  <sheetViews>
    <sheetView view="pageBreakPreview" topLeftCell="A10" zoomScaleNormal="100" zoomScaleSheetLayoutView="100" workbookViewId="0">
      <selection activeCell="L13" sqref="L13"/>
    </sheetView>
  </sheetViews>
  <sheetFormatPr defaultColWidth="9" defaultRowHeight="13.5"/>
  <cols>
    <col min="1" max="1" width="11.375" style="92" customWidth="1"/>
    <col min="2" max="2" width="49.5" style="92" customWidth="1"/>
    <col min="3" max="3" width="7.625" style="92" customWidth="1"/>
    <col min="4" max="4" width="7.875" style="92" customWidth="1"/>
    <col min="5" max="5" width="17.625" style="92" customWidth="1"/>
    <col min="6" max="6" width="17" style="92" customWidth="1"/>
    <col min="7" max="8" width="9" style="80"/>
    <col min="9" max="16384" width="9" style="81"/>
  </cols>
  <sheetData>
    <row r="1" spans="1:6" ht="18" customHeight="1">
      <c r="A1" s="75" t="str">
        <f>Cover!B3</f>
        <v>NR3/NT/W-CIVIL/DOM/K00/25/09879 (Rfx No.5002004724)</v>
      </c>
      <c r="B1" s="76"/>
      <c r="C1" s="77"/>
      <c r="D1" s="77"/>
      <c r="E1" s="78"/>
      <c r="F1" s="79" t="s">
        <v>181</v>
      </c>
    </row>
    <row r="2" spans="1:6" ht="18" customHeight="1">
      <c r="A2" s="64"/>
      <c r="B2" s="82"/>
      <c r="C2" s="83"/>
      <c r="D2" s="83"/>
      <c r="E2" s="32"/>
      <c r="F2" s="32"/>
    </row>
    <row r="3" spans="1:6" ht="93.75" customHeight="1">
      <c r="A3" s="1206" t="str">
        <f>Cover!$B$2</f>
        <v>Extension of residential quarters 2 nos C type &amp; 2 nos B2 type quarters over the existing C type &amp; B2 type at 400/220 KV Shahjahanpur &amp; 765/400 KV Sohawal Substation</v>
      </c>
      <c r="B3" s="1206"/>
      <c r="C3" s="1206"/>
      <c r="D3" s="1206"/>
      <c r="E3" s="1206"/>
      <c r="F3" s="1206"/>
    </row>
    <row r="4" spans="1:6" ht="21.95" customHeight="1">
      <c r="A4" s="1207" t="s">
        <v>182</v>
      </c>
      <c r="B4" s="1207"/>
      <c r="C4" s="1207"/>
      <c r="D4" s="1207"/>
      <c r="E4" s="1207"/>
      <c r="F4" s="1207"/>
    </row>
    <row r="5" spans="1:6" ht="18" customHeight="1">
      <c r="A5" s="84"/>
      <c r="B5" s="85"/>
      <c r="C5" s="84"/>
      <c r="D5" s="84"/>
      <c r="E5" s="84"/>
      <c r="F5" s="84"/>
    </row>
    <row r="6" spans="1:6" ht="18" customHeight="1">
      <c r="A6" s="29" t="str">
        <f>'Sch-1'!A7</f>
        <v>Bidder’s Name and Address (Bidder) :</v>
      </c>
      <c r="B6" s="30"/>
      <c r="C6" s="30"/>
      <c r="D6" s="30"/>
      <c r="E6" s="60" t="s">
        <v>79</v>
      </c>
      <c r="F6" s="32"/>
    </row>
    <row r="7" spans="1:6" ht="36" customHeight="1">
      <c r="A7" s="1203" t="str">
        <f>'Sch-1'!A8</f>
        <v/>
      </c>
      <c r="B7" s="1203"/>
      <c r="C7" s="1203"/>
      <c r="D7" s="1203"/>
      <c r="E7" s="59" t="str">
        <f>'Sch-1'!M8</f>
        <v>Sr.GM , Contracts &amp; Materials Department,</v>
      </c>
      <c r="F7" s="32"/>
    </row>
    <row r="8" spans="1:6" ht="18" customHeight="1">
      <c r="A8" s="29" t="s">
        <v>81</v>
      </c>
      <c r="B8" s="1204" t="str">
        <f>IF('Sch-1'!G9=0, "", 'Sch-1'!G9)</f>
        <v/>
      </c>
      <c r="C8" s="1204"/>
      <c r="D8" s="1204"/>
      <c r="E8" s="59" t="str">
        <f>'Sch-1'!M9</f>
        <v>Power Grid Corporation of India Ltd.,</v>
      </c>
      <c r="F8" s="32"/>
    </row>
    <row r="9" spans="1:6" ht="18" customHeight="1">
      <c r="A9" s="29" t="s">
        <v>83</v>
      </c>
      <c r="B9" s="1204" t="str">
        <f>IF('Sch-1'!G10=0, "", 'Sch-1'!G10)</f>
        <v/>
      </c>
      <c r="C9" s="1204"/>
      <c r="D9" s="1204"/>
      <c r="E9" s="59" t="str">
        <f>'Sch-1'!M10</f>
        <v>SRTS-II, RHQ</v>
      </c>
      <c r="F9" s="32"/>
    </row>
    <row r="10" spans="1:6" ht="18" customHeight="1">
      <c r="A10" s="30"/>
      <c r="B10" s="1204" t="str">
        <f>IF('Sch-1'!G11=0, "", 'Sch-1'!G11)</f>
        <v/>
      </c>
      <c r="C10" s="1204"/>
      <c r="D10" s="1204"/>
      <c r="E10" s="59" t="str">
        <f>'Sch-1'!M11</f>
        <v>Singanayakanahalli</v>
      </c>
      <c r="F10" s="32"/>
    </row>
    <row r="11" spans="1:6" ht="18" customHeight="1">
      <c r="A11" s="30"/>
      <c r="B11" s="1204" t="str">
        <f>IF('Sch-1'!G12=0, "", 'Sch-1'!G12)</f>
        <v/>
      </c>
      <c r="C11" s="1204"/>
      <c r="D11" s="1204"/>
      <c r="E11" s="59" t="str">
        <f>'Sch-1'!M12</f>
        <v>Bengaluru-560064</v>
      </c>
      <c r="F11" s="32"/>
    </row>
    <row r="12" spans="1:6" ht="18" customHeight="1">
      <c r="A12" s="31"/>
      <c r="B12" s="168"/>
      <c r="C12" s="168"/>
      <c r="D12" s="168"/>
      <c r="E12" s="30"/>
      <c r="F12" s="32"/>
    </row>
    <row r="13" spans="1:6" ht="26.25" customHeight="1">
      <c r="A13" s="86"/>
      <c r="B13" s="87"/>
      <c r="C13" s="86"/>
      <c r="D13" s="86"/>
      <c r="E13" s="86"/>
      <c r="F13" s="86"/>
    </row>
    <row r="14" spans="1:6" ht="27.75" customHeight="1">
      <c r="A14" s="88" t="s">
        <v>183</v>
      </c>
      <c r="B14" s="87"/>
      <c r="C14" s="86"/>
      <c r="D14" s="86"/>
      <c r="E14" s="86"/>
      <c r="F14" s="86"/>
    </row>
    <row r="15" spans="1:6" ht="19.5" customHeight="1">
      <c r="A15" s="583"/>
      <c r="B15" s="584"/>
      <c r="C15" s="458"/>
      <c r="D15" s="459"/>
      <c r="E15" s="453"/>
      <c r="F15" s="452"/>
    </row>
    <row r="16" spans="1:6" ht="16.5">
      <c r="A16" s="583"/>
      <c r="B16" s="585"/>
      <c r="C16" s="458"/>
      <c r="D16" s="459"/>
      <c r="E16" s="453"/>
      <c r="F16" s="452"/>
    </row>
    <row r="17" spans="1:6" ht="21" customHeight="1">
      <c r="A17" s="583"/>
      <c r="B17" s="585"/>
      <c r="C17" s="458"/>
      <c r="D17" s="459"/>
      <c r="E17" s="453"/>
      <c r="F17" s="452"/>
    </row>
    <row r="18" spans="1:6" ht="33.6" customHeight="1">
      <c r="A18" s="461"/>
      <c r="B18" s="462" t="s">
        <v>184</v>
      </c>
      <c r="C18" s="462"/>
      <c r="D18" s="462"/>
      <c r="E18" s="462"/>
      <c r="F18" s="464">
        <f>SUM(F16:F17)</f>
        <v>0</v>
      </c>
    </row>
    <row r="19" spans="1:6" ht="33.6" customHeight="1">
      <c r="A19" s="89" t="s">
        <v>118</v>
      </c>
      <c r="B19" s="102" t="s">
        <v>185</v>
      </c>
      <c r="C19" s="1205" t="s">
        <v>120</v>
      </c>
      <c r="D19" s="1205"/>
      <c r="E19" s="679" t="s">
        <v>7</v>
      </c>
      <c r="F19" s="679"/>
    </row>
    <row r="20" spans="1:6" ht="33.6" customHeight="1">
      <c r="A20" s="83" t="s">
        <v>119</v>
      </c>
      <c r="B20" s="82" t="s">
        <v>7</v>
      </c>
      <c r="C20" s="1205" t="s">
        <v>121</v>
      </c>
      <c r="D20" s="1205"/>
      <c r="E20" s="292" t="s">
        <v>7</v>
      </c>
      <c r="F20" s="292"/>
    </row>
    <row r="21" spans="1:6" ht="33.6" customHeight="1">
      <c r="A21" s="83"/>
      <c r="B21" s="82"/>
      <c r="C21" s="32"/>
      <c r="D21" s="83"/>
      <c r="E21" s="173"/>
      <c r="F21" s="91"/>
    </row>
  </sheetData>
  <customSheetViews>
    <customSheetView guid="{B48B8B4C-A880-453D-8729-90D004BEF0DB}" showPageBreaks="1" printArea="1" state="hidden" view="pageBreakPreview">
      <selection activeCell="L13" sqref="L13"/>
      <pageMargins left="0" right="0" top="0" bottom="0" header="0" footer="0"/>
      <pageSetup scale="95" orientation="landscape" r:id="rId1"/>
      <headerFooter alignWithMargins="0">
        <oddFooter>&amp;R&amp;"Book Antiqua,Bold"&amp;10Schedule-4/ Page &amp;P of &amp;N</oddFooter>
      </headerFooter>
    </customSheetView>
    <customSheetView guid="{7043F04C-1FA3-449D-BEB8-4AC08DF68A5A}" showPageBreaks="1" printArea="1" state="hidden" view="pageBreakPreview">
      <selection activeCell="B18" sqref="B18"/>
      <pageMargins left="0" right="0" top="0" bottom="0" header="0" footer="0"/>
      <pageSetup scale="95" orientation="landscape" r:id="rId2"/>
      <headerFooter alignWithMargins="0">
        <oddFooter>&amp;R&amp;"Book Antiqua,Bold"&amp;10Schedule-4/ Page &amp;P of &amp;N</oddFooter>
      </headerFooter>
    </customSheetView>
    <customSheetView guid="{D0757F9E-DF41-4B40-A5E5-F4F8FDD8D61D}" showPageBreaks="1" printArea="1" view="pageBreakPreview" topLeftCell="A7">
      <selection activeCell="B18" sqref="B18"/>
      <pageMargins left="0" right="0" top="0" bottom="0" header="0" footer="0"/>
      <pageSetup scale="95" orientation="landscape" r:id="rId3"/>
      <headerFooter alignWithMargins="0">
        <oddFooter>&amp;R&amp;"Book Antiqua,Bold"&amp;10Schedule-4/ Page &amp;P of &amp;N</oddFooter>
      </headerFooter>
    </customSheetView>
    <customSheetView guid="{E81F0721-C35D-4189-B675-E46A21339863}" topLeftCell="A4">
      <selection activeCell="G14" sqref="G14"/>
      <pageMargins left="0" right="0" top="0" bottom="0" header="0" footer="0"/>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2"/>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3"/>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19"/>
      <headerFooter alignWithMargins="0">
        <oddFooter>&amp;R&amp;"Book Antiqua,Bold"&amp;10Schedule-4/ Page &amp;P of &amp;N</oddFooter>
      </headerFooter>
    </customSheetView>
    <customSheetView guid="{B835C05C-B615-4DCB-982D-4519616B3CD8}" topLeftCell="A4">
      <selection activeCell="G14" sqref="G14"/>
      <pageMargins left="0" right="0" top="0" bottom="0" header="0" footer="0"/>
      <pageSetup scale="95" orientation="portrait" r:id="rId20"/>
      <headerFooter alignWithMargins="0">
        <oddFooter>&amp;R&amp;"Book Antiqua,Bold"&amp;10Schedule-4/ Page &amp;P of &amp;N</oddFooter>
      </headerFooter>
    </customSheetView>
    <customSheetView guid="{17F5C48B-526E-48D2-9F97-823D578F9893}" showPageBreaks="1" printArea="1" view="pageBreakPreview" topLeftCell="A7">
      <selection activeCell="E26" sqref="E26"/>
      <pageMargins left="0" right="0" top="0" bottom="0" header="0" footer="0"/>
      <pageSetup scale="95" orientation="landscape" r:id="rId21"/>
      <headerFooter alignWithMargins="0">
        <oddFooter>&amp;R&amp;"Book Antiqua,Bold"&amp;10Schedule-4/ Page &amp;P of &amp;N</oddFooter>
      </headerFooter>
    </customSheetView>
    <customSheetView guid="{7F1A5DE7-1043-4C11-AB2C-CC6BC6A0F482}" showPageBreaks="1" printArea="1" view="pageBreakPreview" topLeftCell="A16">
      <selection activeCell="B18" sqref="B18"/>
      <pageMargins left="0" right="0" top="0" bottom="0" header="0" footer="0"/>
      <pageSetup scale="95" orientation="landscape" r:id="rId22"/>
      <headerFooter alignWithMargins="0">
        <oddFooter>&amp;R&amp;"Book Antiqua,Bold"&amp;10Schedule-4/ Page &amp;P of &amp;N</oddFooter>
      </headerFooter>
    </customSheetView>
    <customSheetView guid="{75D87FDD-0292-4E5A-8E8F-63018B009393}" showPageBreaks="1" printArea="1" state="hidden" view="pageBreakPreview">
      <selection activeCell="L13" sqref="L13"/>
      <pageMargins left="0" right="0" top="0" bottom="0" header="0" footer="0"/>
      <pageSetup scale="95" orientation="landscape" r:id="rId23"/>
      <headerFooter alignWithMargins="0">
        <oddFooter>&amp;R&amp;"Book Antiqua,Bold"&amp;10Schedule-4/ Page &amp;P of &amp;N</oddFooter>
      </headerFooter>
    </customSheetView>
  </customSheetViews>
  <mergeCells count="9">
    <mergeCell ref="C19:D19"/>
    <mergeCell ref="C20:D20"/>
    <mergeCell ref="A3:F3"/>
    <mergeCell ref="A4:F4"/>
    <mergeCell ref="B8:D8"/>
    <mergeCell ref="B9:D9"/>
    <mergeCell ref="B10:D10"/>
    <mergeCell ref="B11:D11"/>
    <mergeCell ref="A7:D7"/>
  </mergeCells>
  <phoneticPr fontId="4" type="noConversion"/>
  <conditionalFormatting sqref="E15:E17">
    <cfRule type="expression" dxfId="16" priority="1" stopIfTrue="1">
      <formula>D15&gt;0</formula>
    </cfRule>
  </conditionalFormatting>
  <dataValidations count="1">
    <dataValidation type="decimal" operator="greaterThan" allowBlank="1" showInputMessage="1" showErrorMessage="1" error="Enter only Numeric Value greater than zero or leave the cell blank !" sqref="E15:E17" xr:uid="{00000000-0002-0000-0A00-000000000000}">
      <formula1>0</formula1>
    </dataValidation>
  </dataValidations>
  <pageMargins left="0.72" right="0.51" top="0.52" bottom="1" header="0.33" footer="0.5"/>
  <pageSetup scale="95" orientation="landscape" r:id="rId24"/>
  <headerFooter alignWithMargins="0">
    <oddHeader>&amp;C&amp;"Calibri"&amp;12&amp;KFF0000 डेटा वर्गीकरण : प्रतिबंधित/RESTRICTED&amp;1#_x000D_</oddHeader>
    <oddFooter>&amp;R&amp;"Book Antiqua,Bold"&amp;10Schedule-4/ Page &amp;P of &amp;N</oddFooter>
  </headerFooter>
  <drawing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56234-4E10-4127-AA2C-7BC057501B45}">
  <sheetPr>
    <tabColor indexed="10"/>
    <pageSetUpPr fitToPage="1"/>
  </sheetPr>
  <dimension ref="A1:AY194"/>
  <sheetViews>
    <sheetView view="pageBreakPreview" zoomScale="55" zoomScaleNormal="100" zoomScaleSheetLayoutView="55" workbookViewId="0">
      <selection activeCell="A6" sqref="A6:M11"/>
    </sheetView>
  </sheetViews>
  <sheetFormatPr defaultColWidth="9" defaultRowHeight="15.75"/>
  <cols>
    <col min="1" max="1" width="8.625" style="795" customWidth="1"/>
    <col min="2" max="2" width="10.375" style="795" customWidth="1"/>
    <col min="3" max="3" width="10.5" style="795" customWidth="1"/>
    <col min="4" max="4" width="17" style="834" customWidth="1"/>
    <col min="5" max="5" width="9.875" style="795" customWidth="1"/>
    <col min="6" max="8" width="17.5" style="795" customWidth="1"/>
    <col min="9" max="9" width="67.875" style="586" customWidth="1"/>
    <col min="10" max="10" width="9.875" style="565" bestFit="1" customWidth="1"/>
    <col min="11" max="11" width="11.625" style="564" bestFit="1" customWidth="1"/>
    <col min="12" max="12" width="17.5" style="564" customWidth="1"/>
    <col min="13" max="13" width="16" style="565" customWidth="1"/>
    <col min="14" max="14" width="17.75" style="826" customWidth="1"/>
    <col min="15" max="15" width="10.5" style="599" customWidth="1"/>
    <col min="16" max="16" width="22.125" style="599" customWidth="1"/>
    <col min="17" max="17" width="10.25" style="599" customWidth="1"/>
    <col min="18" max="28" width="9" style="599" customWidth="1"/>
    <col min="29" max="33" width="9" style="599"/>
    <col min="34" max="34" width="9" style="599" hidden="1" customWidth="1"/>
    <col min="35" max="36" width="17.625" style="599" hidden="1" customWidth="1"/>
    <col min="37" max="37" width="9" style="599" hidden="1" customWidth="1"/>
    <col min="38" max="38" width="15.5" style="599" hidden="1" customWidth="1"/>
    <col min="39" max="39" width="15.375" style="599" hidden="1" customWidth="1"/>
    <col min="40" max="51" width="9" style="599"/>
    <col min="52" max="16384" width="9" style="600"/>
  </cols>
  <sheetData>
    <row r="1" spans="1:39" ht="16.5">
      <c r="A1" s="806" t="str">
        <f>Basic!B5</f>
        <v>NR3/NT/W-CIVIL/DOM/K00/25/09879 (Rfx No.5002004724)</v>
      </c>
      <c r="B1" s="806"/>
      <c r="C1" s="806"/>
      <c r="D1" s="832"/>
      <c r="E1" s="793"/>
      <c r="F1" s="793"/>
      <c r="G1" s="793"/>
      <c r="H1" s="793"/>
      <c r="I1" s="558"/>
      <c r="J1" s="559"/>
      <c r="K1" s="559"/>
      <c r="L1" s="559"/>
      <c r="M1" s="542" t="s">
        <v>77</v>
      </c>
    </row>
    <row r="2" spans="1:39">
      <c r="A2" s="794"/>
      <c r="B2" s="794"/>
      <c r="C2" s="794"/>
      <c r="D2" s="833"/>
      <c r="E2" s="794"/>
      <c r="F2" s="794"/>
      <c r="G2" s="794"/>
      <c r="H2" s="794"/>
      <c r="I2" s="560"/>
      <c r="J2" s="548"/>
      <c r="K2" s="548"/>
      <c r="L2" s="548"/>
      <c r="M2" s="546"/>
    </row>
    <row r="3" spans="1:39" ht="16.5">
      <c r="A3" s="1209" t="str">
        <f>Basic!B1</f>
        <v>Extension of residential quarters 2 nos C type &amp; 2 nos B2 type quarters over the existing C type &amp; B2 type at 400/220 KV Shahjahanpur &amp; 765/400 KV Sohawal Substation</v>
      </c>
      <c r="B3" s="1209"/>
      <c r="C3" s="1209"/>
      <c r="D3" s="1209"/>
      <c r="E3" s="1209"/>
      <c r="F3" s="1209"/>
      <c r="G3" s="1209"/>
      <c r="H3" s="1209"/>
      <c r="I3" s="1209"/>
      <c r="J3" s="1209"/>
      <c r="K3" s="1209"/>
      <c r="L3" s="1209"/>
      <c r="M3" s="1209"/>
      <c r="AH3" s="748" t="s">
        <v>155</v>
      </c>
      <c r="AJ3" s="749">
        <f>IF(ISERROR(#REF!/('[1]Sch-6'!D14+'[1]Sch-6'!D16+'[1]Sch-6'!D18)),0,#REF!/( '[1]Sch-6'!D14+'[1]Sch-6'!D16+'[1]Sch-6'!D18))</f>
        <v>0</v>
      </c>
    </row>
    <row r="4" spans="1:39" ht="16.5">
      <c r="A4" s="1172" t="s">
        <v>182</v>
      </c>
      <c r="B4" s="1172"/>
      <c r="C4" s="1172"/>
      <c r="D4" s="1172"/>
      <c r="E4" s="1172"/>
      <c r="F4" s="1172"/>
      <c r="G4" s="1172"/>
      <c r="H4" s="1172"/>
      <c r="I4" s="1172"/>
      <c r="J4" s="1172"/>
      <c r="K4" s="1172"/>
      <c r="L4" s="1172"/>
      <c r="M4" s="1172"/>
      <c r="AH4" s="748" t="s">
        <v>157</v>
      </c>
      <c r="AJ4" s="749" t="e">
        <f>#REF!</f>
        <v>#REF!</v>
      </c>
    </row>
    <row r="5" spans="1:39">
      <c r="AH5" s="748" t="s">
        <v>168</v>
      </c>
      <c r="AJ5" s="749">
        <f>IF(ISERROR(#REF!/#REF!),0,#REF! /#REF!)</f>
        <v>0</v>
      </c>
    </row>
    <row r="6" spans="1:39" ht="16.5">
      <c r="A6" s="807" t="str">
        <f>'[1]Sch-1'!A7</f>
        <v>Bidder’s Name and Address (Sole Bidder) :</v>
      </c>
      <c r="B6" s="807"/>
      <c r="C6" s="807"/>
      <c r="D6" s="835"/>
      <c r="E6" s="796"/>
      <c r="F6" s="796"/>
      <c r="G6" s="796"/>
      <c r="H6" s="796"/>
      <c r="I6" s="587"/>
      <c r="J6" s="550"/>
      <c r="K6" s="566"/>
      <c r="L6" s="823" t="s">
        <v>79</v>
      </c>
      <c r="M6" s="546"/>
      <c r="AH6" s="748" t="s">
        <v>169</v>
      </c>
      <c r="AJ6" s="749" t="e">
        <f>#REF!</f>
        <v>#REF!</v>
      </c>
    </row>
    <row r="7" spans="1:39" ht="16.5">
      <c r="A7" s="1210" t="str">
        <f>'[1]Sch-1'!A8</f>
        <v/>
      </c>
      <c r="B7" s="1210"/>
      <c r="C7" s="1210"/>
      <c r="D7" s="1210"/>
      <c r="E7" s="1210"/>
      <c r="F7" s="1210"/>
      <c r="G7" s="1210"/>
      <c r="H7" s="1210"/>
      <c r="I7" s="1210"/>
      <c r="J7" s="1210"/>
      <c r="K7" s="1210"/>
      <c r="L7" s="566" t="s">
        <v>186</v>
      </c>
      <c r="M7" s="546"/>
      <c r="AH7" s="748" t="s">
        <v>160</v>
      </c>
      <c r="AJ7" s="749" t="e">
        <f>SUM(AJ3:AJ6)</f>
        <v>#REF!</v>
      </c>
    </row>
    <row r="8" spans="1:39" ht="16.5">
      <c r="A8" s="807" t="s">
        <v>81</v>
      </c>
      <c r="B8" s="807"/>
      <c r="C8" s="807"/>
      <c r="D8" s="1208" t="str">
        <f>IF('[1]Sch-1'!C9=0, "", '[1]Sch-1'!C9)</f>
        <v/>
      </c>
      <c r="E8" s="1208"/>
      <c r="F8" s="1208"/>
      <c r="G8" s="927"/>
      <c r="H8" s="927"/>
      <c r="L8" s="566" t="s">
        <v>187</v>
      </c>
      <c r="M8" s="546"/>
    </row>
    <row r="9" spans="1:39" ht="16.5">
      <c r="A9" s="807" t="s">
        <v>83</v>
      </c>
      <c r="B9" s="807"/>
      <c r="C9" s="807"/>
      <c r="D9" s="1208" t="str">
        <f>IF('[1]Sch-1'!C10=0, "", '[1]Sch-1'!C10)</f>
        <v/>
      </c>
      <c r="E9" s="1208"/>
      <c r="F9" s="1208"/>
      <c r="G9" s="927"/>
      <c r="H9" s="927"/>
      <c r="L9" s="566" t="s">
        <v>188</v>
      </c>
      <c r="M9" s="546"/>
    </row>
    <row r="10" spans="1:39">
      <c r="A10" s="797"/>
      <c r="B10" s="797"/>
      <c r="C10" s="797"/>
      <c r="D10" s="1208" t="str">
        <f>IF('[1]Sch-1'!C11=0, "", '[1]Sch-1'!C11)</f>
        <v/>
      </c>
      <c r="E10" s="1208"/>
      <c r="F10" s="1208"/>
      <c r="G10" s="927"/>
      <c r="H10" s="927"/>
      <c r="L10" s="566" t="s">
        <v>189</v>
      </c>
      <c r="M10" s="546"/>
      <c r="AH10" s="748" t="s">
        <v>170</v>
      </c>
      <c r="AJ10" s="749" t="e">
        <f>'[1]Sch-1'!#REF!</f>
        <v>#REF!</v>
      </c>
    </row>
    <row r="11" spans="1:39">
      <c r="A11" s="797"/>
      <c r="B11" s="797"/>
      <c r="C11" s="797"/>
      <c r="D11" s="1208" t="str">
        <f>IF('[1]Sch-1'!C12=0, "", '[1]Sch-1'!C12)</f>
        <v/>
      </c>
      <c r="E11" s="1208"/>
      <c r="F11" s="1208"/>
      <c r="G11" s="927"/>
      <c r="H11" s="927"/>
      <c r="L11" s="566" t="s">
        <v>190</v>
      </c>
      <c r="M11" s="546"/>
      <c r="AH11" s="748"/>
      <c r="AJ11" s="749"/>
    </row>
    <row r="12" spans="1:39">
      <c r="A12" s="797"/>
      <c r="B12" s="797"/>
      <c r="C12" s="797"/>
      <c r="D12" s="836"/>
      <c r="E12" s="797"/>
      <c r="F12" s="797"/>
      <c r="G12" s="797"/>
      <c r="H12" s="797"/>
      <c r="I12" s="841"/>
      <c r="J12" s="811"/>
      <c r="K12" s="817"/>
      <c r="L12" s="566"/>
      <c r="M12" s="546"/>
      <c r="AH12" s="748"/>
      <c r="AJ12" s="749"/>
    </row>
    <row r="13" spans="1:39" ht="16.5">
      <c r="A13" s="1212"/>
      <c r="B13" s="1212"/>
      <c r="C13" s="1212"/>
      <c r="D13" s="1212"/>
      <c r="E13" s="1212"/>
      <c r="F13" s="1212"/>
      <c r="G13" s="1212"/>
      <c r="H13" s="1212"/>
      <c r="I13" s="1212"/>
      <c r="J13" s="1212"/>
      <c r="K13" s="1212"/>
      <c r="L13" s="1212"/>
      <c r="M13" s="1212"/>
      <c r="R13" s="750"/>
      <c r="S13" s="750"/>
      <c r="T13" s="750"/>
      <c r="U13" s="750"/>
      <c r="AI13" s="1213" t="s">
        <v>162</v>
      </c>
      <c r="AJ13" s="1213"/>
      <c r="AK13" s="598" t="s">
        <v>142</v>
      </c>
      <c r="AL13" s="1213" t="s">
        <v>163</v>
      </c>
      <c r="AM13" s="1213"/>
    </row>
    <row r="14" spans="1:39" ht="16.5">
      <c r="A14" s="797"/>
      <c r="B14" s="797"/>
      <c r="C14" s="797"/>
      <c r="D14" s="837"/>
      <c r="E14" s="798"/>
      <c r="F14" s="798"/>
      <c r="G14" s="798"/>
      <c r="H14" s="798"/>
      <c r="I14" s="798"/>
      <c r="J14" s="798"/>
      <c r="K14" s="798"/>
      <c r="L14" s="1214" t="s">
        <v>88</v>
      </c>
      <c r="M14" s="1214"/>
      <c r="R14" s="750"/>
      <c r="S14" s="750"/>
      <c r="T14" s="750"/>
      <c r="U14" s="750"/>
      <c r="AI14" s="791"/>
      <c r="AJ14" s="791"/>
      <c r="AK14" s="598"/>
      <c r="AL14" s="791"/>
      <c r="AM14" s="791"/>
    </row>
    <row r="15" spans="1:39" ht="99">
      <c r="A15" s="799" t="s">
        <v>89</v>
      </c>
      <c r="B15" s="799" t="s">
        <v>191</v>
      </c>
      <c r="C15" s="808" t="s">
        <v>192</v>
      </c>
      <c r="D15" s="838" t="s">
        <v>193</v>
      </c>
      <c r="E15" s="808" t="s">
        <v>96</v>
      </c>
      <c r="F15" s="808" t="s">
        <v>194</v>
      </c>
      <c r="G15" s="808"/>
      <c r="H15" s="808" t="s">
        <v>195</v>
      </c>
      <c r="I15" s="668" t="s">
        <v>147</v>
      </c>
      <c r="J15" s="667" t="s">
        <v>99</v>
      </c>
      <c r="K15" s="667" t="s">
        <v>148</v>
      </c>
      <c r="L15" s="668" t="s">
        <v>196</v>
      </c>
      <c r="M15" s="668" t="s">
        <v>197</v>
      </c>
      <c r="N15" s="859" t="s">
        <v>198</v>
      </c>
      <c r="R15" s="750"/>
      <c r="S15" s="750"/>
      <c r="T15" s="750"/>
      <c r="U15" s="750"/>
      <c r="AI15" s="751" t="s">
        <v>171</v>
      </c>
      <c r="AJ15" s="751" t="s">
        <v>172</v>
      </c>
      <c r="AK15" s="598"/>
      <c r="AL15" s="751" t="s">
        <v>171</v>
      </c>
      <c r="AM15" s="751" t="s">
        <v>172</v>
      </c>
    </row>
    <row r="16" spans="1:39" ht="16.5">
      <c r="A16" s="800">
        <v>1</v>
      </c>
      <c r="B16" s="800"/>
      <c r="C16" s="808">
        <v>2</v>
      </c>
      <c r="D16" s="838">
        <v>3</v>
      </c>
      <c r="E16" s="808">
        <v>4</v>
      </c>
      <c r="F16" s="808">
        <v>5</v>
      </c>
      <c r="G16" s="808"/>
      <c r="H16" s="808"/>
      <c r="I16" s="812">
        <v>6</v>
      </c>
      <c r="J16" s="812">
        <v>7</v>
      </c>
      <c r="K16" s="812">
        <v>8</v>
      </c>
      <c r="L16" s="812">
        <v>9</v>
      </c>
      <c r="M16" s="854" t="s">
        <v>199</v>
      </c>
      <c r="N16" s="848">
        <v>11</v>
      </c>
      <c r="R16" s="750"/>
      <c r="S16" s="750"/>
      <c r="T16" s="750"/>
      <c r="U16" s="750"/>
      <c r="AI16" s="628">
        <v>5</v>
      </c>
      <c r="AJ16" s="628" t="s">
        <v>136</v>
      </c>
      <c r="AK16" s="598"/>
      <c r="AL16" s="628">
        <v>5</v>
      </c>
      <c r="AM16" s="628" t="s">
        <v>136</v>
      </c>
    </row>
    <row r="17" spans="1:21" s="752" customFormat="1" ht="48.75" customHeight="1">
      <c r="A17" s="801" t="s">
        <v>200</v>
      </c>
      <c r="B17" s="801"/>
      <c r="C17" s="801"/>
      <c r="D17" s="839"/>
      <c r="E17" s="801"/>
      <c r="F17" s="801" t="s">
        <v>201</v>
      </c>
      <c r="G17" s="801"/>
      <c r="H17" s="801"/>
      <c r="I17" s="1215" t="s">
        <v>202</v>
      </c>
      <c r="J17" s="1215"/>
      <c r="K17" s="1215"/>
      <c r="L17" s="1215"/>
      <c r="M17" s="1215"/>
      <c r="N17" s="1215"/>
      <c r="O17" s="1215"/>
      <c r="P17" s="1215"/>
      <c r="Q17" s="1215"/>
      <c r="R17" s="753"/>
      <c r="S17" s="753"/>
      <c r="T17" s="753"/>
      <c r="U17" s="753"/>
    </row>
    <row r="18" spans="1:21" s="752" customFormat="1" ht="36" customHeight="1">
      <c r="A18" s="801"/>
      <c r="B18" s="801"/>
      <c r="C18" s="801"/>
      <c r="D18" s="839"/>
      <c r="E18" s="801"/>
      <c r="F18" s="801"/>
      <c r="G18" s="801"/>
      <c r="H18" s="801"/>
      <c r="I18" s="842" t="s">
        <v>203</v>
      </c>
      <c r="J18" s="813"/>
      <c r="K18" s="818"/>
      <c r="L18" s="824"/>
      <c r="M18" s="855"/>
      <c r="N18" s="849"/>
      <c r="P18" s="846"/>
      <c r="Q18" s="846"/>
      <c r="R18" s="753"/>
      <c r="S18" s="753"/>
      <c r="T18" s="753"/>
      <c r="U18" s="753"/>
    </row>
    <row r="19" spans="1:21" s="557" customFormat="1" ht="96" customHeight="1">
      <c r="A19" s="887">
        <v>1</v>
      </c>
      <c r="B19" s="887" t="s">
        <v>204</v>
      </c>
      <c r="C19" s="803">
        <v>995413</v>
      </c>
      <c r="D19" s="809"/>
      <c r="E19" s="831">
        <v>0.18</v>
      </c>
      <c r="F19" s="828" t="s">
        <v>205</v>
      </c>
      <c r="G19" s="828"/>
      <c r="H19" s="828"/>
      <c r="I19" s="954" t="s">
        <v>206</v>
      </c>
      <c r="J19" s="887" t="s">
        <v>207</v>
      </c>
      <c r="K19" s="819">
        <v>14200</v>
      </c>
      <c r="L19" s="822"/>
      <c r="M19" s="856" t="str">
        <f>IF(L19=0, "Included", IF(ISERROR(K19*L19), L19, K19*L19))</f>
        <v>Included</v>
      </c>
      <c r="N19" s="850">
        <f>P19</f>
        <v>0</v>
      </c>
      <c r="O19" s="847">
        <f>IF(M19="Included",0,M19)</f>
        <v>0</v>
      </c>
      <c r="P19" s="847">
        <f>IF(E19="confirmed",(O19*D19),(O19*E19))</f>
        <v>0</v>
      </c>
      <c r="R19" s="754"/>
      <c r="S19" s="754"/>
      <c r="T19" s="754"/>
      <c r="U19" s="754"/>
    </row>
    <row r="20" spans="1:21" s="557" customFormat="1" ht="56.25" customHeight="1">
      <c r="A20" s="887">
        <v>2</v>
      </c>
      <c r="B20" s="887" t="s">
        <v>208</v>
      </c>
      <c r="C20" s="803">
        <v>995413</v>
      </c>
      <c r="D20" s="809"/>
      <c r="E20" s="831">
        <v>0.18</v>
      </c>
      <c r="F20" s="828" t="s">
        <v>205</v>
      </c>
      <c r="G20" s="828"/>
      <c r="H20" s="828"/>
      <c r="I20" s="899" t="s">
        <v>209</v>
      </c>
      <c r="J20" s="887" t="s">
        <v>207</v>
      </c>
      <c r="K20" s="819">
        <v>1490</v>
      </c>
      <c r="L20" s="822"/>
      <c r="M20" s="856" t="str">
        <f t="shared" ref="M20:M145" si="0">IF(L20=0, "Included", IF(ISERROR(K20*L20), L20, K20*L20))</f>
        <v>Included</v>
      </c>
      <c r="N20" s="850">
        <f t="shared" ref="N20:N173" si="1">P20</f>
        <v>0</v>
      </c>
      <c r="O20" s="847">
        <f t="shared" ref="O20:O173" si="2">IF(M20="Included",0,M20)</f>
        <v>0</v>
      </c>
      <c r="P20" s="847">
        <f t="shared" ref="P20:P173" si="3">IF(E20="confirmed",(O20*D20),(O20*E20))</f>
        <v>0</v>
      </c>
      <c r="R20" s="754"/>
      <c r="S20" s="754"/>
      <c r="T20" s="754"/>
      <c r="U20" s="754"/>
    </row>
    <row r="21" spans="1:21" s="557" customFormat="1" ht="64.5" customHeight="1">
      <c r="A21" s="887">
        <v>3</v>
      </c>
      <c r="B21" s="887" t="s">
        <v>210</v>
      </c>
      <c r="C21" s="803">
        <v>995413</v>
      </c>
      <c r="D21" s="809"/>
      <c r="E21" s="831">
        <v>0.18</v>
      </c>
      <c r="F21" s="828" t="s">
        <v>205</v>
      </c>
      <c r="G21" s="828"/>
      <c r="H21" s="828"/>
      <c r="I21" s="899" t="s">
        <v>211</v>
      </c>
      <c r="J21" s="887" t="s">
        <v>207</v>
      </c>
      <c r="K21" s="819">
        <v>160</v>
      </c>
      <c r="L21" s="822"/>
      <c r="M21" s="856" t="str">
        <f t="shared" si="0"/>
        <v>Included</v>
      </c>
      <c r="N21" s="850">
        <f t="shared" si="1"/>
        <v>0</v>
      </c>
      <c r="O21" s="847">
        <f t="shared" si="2"/>
        <v>0</v>
      </c>
      <c r="P21" s="847">
        <f t="shared" si="3"/>
        <v>0</v>
      </c>
      <c r="R21" s="754"/>
      <c r="S21" s="754"/>
      <c r="T21" s="754"/>
      <c r="U21" s="754"/>
    </row>
    <row r="22" spans="1:21" s="557" customFormat="1" ht="153.75" customHeight="1">
      <c r="A22" s="887" t="s">
        <v>212</v>
      </c>
      <c r="B22" s="887" t="s">
        <v>213</v>
      </c>
      <c r="C22" s="803">
        <v>995413</v>
      </c>
      <c r="D22" s="809"/>
      <c r="E22" s="831">
        <v>0.18</v>
      </c>
      <c r="F22" s="828" t="s">
        <v>205</v>
      </c>
      <c r="G22" s="828"/>
      <c r="H22" s="828"/>
      <c r="I22" s="899" t="s">
        <v>214</v>
      </c>
      <c r="J22" s="887" t="s">
        <v>207</v>
      </c>
      <c r="K22" s="819">
        <v>1500</v>
      </c>
      <c r="L22" s="822"/>
      <c r="M22" s="856" t="str">
        <f t="shared" si="0"/>
        <v>Included</v>
      </c>
      <c r="N22" s="850">
        <f t="shared" si="1"/>
        <v>0</v>
      </c>
      <c r="O22" s="847">
        <f t="shared" si="2"/>
        <v>0</v>
      </c>
      <c r="P22" s="847">
        <f t="shared" si="3"/>
        <v>0</v>
      </c>
      <c r="R22" s="754"/>
      <c r="S22" s="754"/>
      <c r="T22" s="754"/>
      <c r="U22" s="754"/>
    </row>
    <row r="23" spans="1:21" s="557" customFormat="1" ht="127.5" customHeight="1">
      <c r="A23" s="887">
        <v>5</v>
      </c>
      <c r="B23" s="887" t="s">
        <v>215</v>
      </c>
      <c r="C23" s="803">
        <v>995413</v>
      </c>
      <c r="D23" s="809"/>
      <c r="E23" s="831">
        <v>0.18</v>
      </c>
      <c r="F23" s="828" t="s">
        <v>205</v>
      </c>
      <c r="G23" s="828"/>
      <c r="H23" s="828"/>
      <c r="I23" s="899" t="s">
        <v>216</v>
      </c>
      <c r="J23" s="887" t="s">
        <v>207</v>
      </c>
      <c r="K23" s="819">
        <v>160</v>
      </c>
      <c r="L23" s="822"/>
      <c r="M23" s="856" t="str">
        <f t="shared" si="0"/>
        <v>Included</v>
      </c>
      <c r="N23" s="850">
        <f t="shared" si="1"/>
        <v>0</v>
      </c>
      <c r="O23" s="847">
        <f t="shared" si="2"/>
        <v>0</v>
      </c>
      <c r="P23" s="847">
        <f t="shared" si="3"/>
        <v>0</v>
      </c>
      <c r="R23" s="754"/>
      <c r="S23" s="754"/>
      <c r="T23" s="754"/>
      <c r="U23" s="754"/>
    </row>
    <row r="24" spans="1:21" s="557" customFormat="1" ht="140.25" customHeight="1">
      <c r="A24" s="887">
        <v>6</v>
      </c>
      <c r="B24" s="887">
        <v>8.31</v>
      </c>
      <c r="C24" s="803">
        <v>995413</v>
      </c>
      <c r="D24" s="809"/>
      <c r="E24" s="831">
        <v>0.18</v>
      </c>
      <c r="F24" s="828" t="s">
        <v>205</v>
      </c>
      <c r="G24" s="828"/>
      <c r="H24" s="828"/>
      <c r="I24" s="900" t="s">
        <v>217</v>
      </c>
      <c r="J24" s="887" t="s">
        <v>207</v>
      </c>
      <c r="K24" s="819">
        <v>760</v>
      </c>
      <c r="L24" s="822"/>
      <c r="M24" s="856" t="str">
        <f t="shared" si="0"/>
        <v>Included</v>
      </c>
      <c r="N24" s="850">
        <f t="shared" si="1"/>
        <v>0</v>
      </c>
      <c r="O24" s="847">
        <f t="shared" si="2"/>
        <v>0</v>
      </c>
      <c r="P24" s="847">
        <f t="shared" si="3"/>
        <v>0</v>
      </c>
      <c r="R24" s="754"/>
      <c r="S24" s="754"/>
      <c r="T24" s="754"/>
      <c r="U24" s="754"/>
    </row>
    <row r="25" spans="1:21" s="914" customFormat="1" ht="96" customHeight="1">
      <c r="A25" s="903">
        <v>7</v>
      </c>
      <c r="B25" s="903" t="s">
        <v>218</v>
      </c>
      <c r="C25" s="904">
        <v>995413</v>
      </c>
      <c r="D25" s="905"/>
      <c r="E25" s="906">
        <v>0.18</v>
      </c>
      <c r="F25" s="907" t="s">
        <v>205</v>
      </c>
      <c r="G25" s="907"/>
      <c r="H25" s="907"/>
      <c r="I25" s="908" t="s">
        <v>219</v>
      </c>
      <c r="J25" s="903" t="s">
        <v>207</v>
      </c>
      <c r="K25" s="909">
        <v>105</v>
      </c>
      <c r="L25" s="910"/>
      <c r="M25" s="911" t="str">
        <f t="shared" si="0"/>
        <v>Included</v>
      </c>
      <c r="N25" s="912">
        <f t="shared" si="1"/>
        <v>0</v>
      </c>
      <c r="O25" s="913">
        <f t="shared" si="2"/>
        <v>0</v>
      </c>
      <c r="P25" s="913">
        <f t="shared" si="3"/>
        <v>0</v>
      </c>
      <c r="R25" s="915"/>
      <c r="S25" s="915"/>
      <c r="T25" s="915"/>
      <c r="U25" s="915"/>
    </row>
    <row r="26" spans="1:21" s="557" customFormat="1" ht="129" customHeight="1">
      <c r="A26" s="887">
        <v>8</v>
      </c>
      <c r="B26" s="887" t="s">
        <v>220</v>
      </c>
      <c r="C26" s="803">
        <v>995413</v>
      </c>
      <c r="D26" s="809"/>
      <c r="E26" s="831">
        <v>0.18</v>
      </c>
      <c r="F26" s="828" t="s">
        <v>205</v>
      </c>
      <c r="G26" s="828"/>
      <c r="H26" s="828"/>
      <c r="I26" s="899" t="s">
        <v>221</v>
      </c>
      <c r="J26" s="887" t="s">
        <v>207</v>
      </c>
      <c r="K26" s="819">
        <v>900</v>
      </c>
      <c r="L26" s="822"/>
      <c r="M26" s="856" t="str">
        <f t="shared" si="0"/>
        <v>Included</v>
      </c>
      <c r="N26" s="850">
        <f t="shared" si="1"/>
        <v>0</v>
      </c>
      <c r="O26" s="847">
        <f t="shared" si="2"/>
        <v>0</v>
      </c>
      <c r="P26" s="847">
        <f t="shared" si="3"/>
        <v>0</v>
      </c>
      <c r="R26" s="754"/>
      <c r="S26" s="754"/>
      <c r="T26" s="754"/>
      <c r="U26" s="754"/>
    </row>
    <row r="27" spans="1:21" s="557" customFormat="1" ht="93.75" customHeight="1">
      <c r="A27" s="887">
        <v>9</v>
      </c>
      <c r="B27" s="887" t="s">
        <v>222</v>
      </c>
      <c r="C27" s="803">
        <v>995413</v>
      </c>
      <c r="D27" s="809"/>
      <c r="E27" s="831">
        <v>0.18</v>
      </c>
      <c r="F27" s="828" t="s">
        <v>205</v>
      </c>
      <c r="G27" s="828"/>
      <c r="H27" s="828"/>
      <c r="I27" s="899" t="s">
        <v>223</v>
      </c>
      <c r="J27" s="887" t="s">
        <v>224</v>
      </c>
      <c r="K27" s="819">
        <v>500</v>
      </c>
      <c r="L27" s="822"/>
      <c r="M27" s="856" t="str">
        <f t="shared" si="0"/>
        <v>Included</v>
      </c>
      <c r="N27" s="850">
        <f t="shared" si="1"/>
        <v>0</v>
      </c>
      <c r="O27" s="847">
        <f t="shared" si="2"/>
        <v>0</v>
      </c>
      <c r="P27" s="847">
        <f t="shared" si="3"/>
        <v>0</v>
      </c>
      <c r="R27" s="754"/>
      <c r="S27" s="754"/>
      <c r="T27" s="754"/>
      <c r="U27" s="754"/>
    </row>
    <row r="28" spans="1:21" s="557" customFormat="1" ht="85.5" customHeight="1">
      <c r="A28" s="887">
        <v>10</v>
      </c>
      <c r="B28" s="887" t="s">
        <v>225</v>
      </c>
      <c r="C28" s="803">
        <v>995413</v>
      </c>
      <c r="D28" s="809"/>
      <c r="E28" s="831">
        <v>0.18</v>
      </c>
      <c r="F28" s="828" t="s">
        <v>205</v>
      </c>
      <c r="G28" s="828"/>
      <c r="H28" s="828"/>
      <c r="I28" s="902" t="s">
        <v>226</v>
      </c>
      <c r="J28" s="887" t="s">
        <v>207</v>
      </c>
      <c r="K28" s="819">
        <v>8100</v>
      </c>
      <c r="L28" s="822"/>
      <c r="M28" s="856"/>
      <c r="N28" s="850"/>
      <c r="O28" s="847">
        <f t="shared" si="2"/>
        <v>0</v>
      </c>
      <c r="P28" s="847">
        <f t="shared" si="3"/>
        <v>0</v>
      </c>
      <c r="R28" s="754"/>
      <c r="S28" s="754"/>
      <c r="T28" s="754"/>
      <c r="U28" s="754"/>
    </row>
    <row r="29" spans="1:21" s="557" customFormat="1" ht="70.5" customHeight="1">
      <c r="A29" s="887">
        <v>11</v>
      </c>
      <c r="B29" s="887" t="s">
        <v>227</v>
      </c>
      <c r="C29" s="803">
        <v>995413</v>
      </c>
      <c r="D29" s="809"/>
      <c r="E29" s="831">
        <v>0.18</v>
      </c>
      <c r="F29" s="828" t="s">
        <v>205</v>
      </c>
      <c r="G29" s="828"/>
      <c r="H29" s="828"/>
      <c r="I29" s="902" t="s">
        <v>228</v>
      </c>
      <c r="J29" s="887" t="s">
        <v>207</v>
      </c>
      <c r="K29" s="819">
        <v>15500</v>
      </c>
      <c r="L29" s="822"/>
      <c r="M29" s="856" t="str">
        <f t="shared" ref="M29:M37" si="4">IF(L29=0, "Included", IF(ISERROR(K29*L29), L29, K29*L29))</f>
        <v>Included</v>
      </c>
      <c r="N29" s="850">
        <f>P29</f>
        <v>0</v>
      </c>
      <c r="O29" s="847">
        <f>IF(M29="Included",0,M29)</f>
        <v>0</v>
      </c>
      <c r="P29" s="847">
        <f>IF(E29="confirmed",(O29*D29),(O29*E29))</f>
        <v>0</v>
      </c>
      <c r="R29" s="754"/>
      <c r="S29" s="754"/>
      <c r="T29" s="754"/>
      <c r="U29" s="754"/>
    </row>
    <row r="30" spans="1:21" s="557" customFormat="1" ht="80.25" customHeight="1">
      <c r="A30" s="887">
        <v>12</v>
      </c>
      <c r="B30" s="887" t="s">
        <v>229</v>
      </c>
      <c r="C30" s="803">
        <v>995413</v>
      </c>
      <c r="D30" s="809"/>
      <c r="E30" s="831">
        <v>0.18</v>
      </c>
      <c r="F30" s="828" t="s">
        <v>205</v>
      </c>
      <c r="G30" s="828"/>
      <c r="H30" s="828"/>
      <c r="I30" s="899" t="s">
        <v>230</v>
      </c>
      <c r="J30" s="887" t="s">
        <v>207</v>
      </c>
      <c r="K30" s="819">
        <v>9900</v>
      </c>
      <c r="L30" s="822"/>
      <c r="M30" s="856" t="str">
        <f t="shared" si="4"/>
        <v>Included</v>
      </c>
      <c r="N30" s="850">
        <f t="shared" ref="N30:N37" si="5">P30</f>
        <v>0</v>
      </c>
      <c r="O30" s="847">
        <f t="shared" ref="O30:O38" si="6">IF(M30="Included",0,M30)</f>
        <v>0</v>
      </c>
      <c r="P30" s="847">
        <f t="shared" ref="P30:P38" si="7">IF(E30="confirmed",(O30*D30),(O30*E30))</f>
        <v>0</v>
      </c>
      <c r="R30" s="754"/>
      <c r="S30" s="754"/>
      <c r="T30" s="754"/>
      <c r="U30" s="754"/>
    </row>
    <row r="31" spans="1:21" s="557" customFormat="1" ht="87.75" customHeight="1">
      <c r="A31" s="887">
        <v>13</v>
      </c>
      <c r="B31" s="887" t="s">
        <v>231</v>
      </c>
      <c r="C31" s="803">
        <v>995413</v>
      </c>
      <c r="D31" s="809"/>
      <c r="E31" s="831">
        <v>0.18</v>
      </c>
      <c r="F31" s="828" t="s">
        <v>205</v>
      </c>
      <c r="G31" s="828"/>
      <c r="H31" s="828"/>
      <c r="I31" s="899" t="s">
        <v>232</v>
      </c>
      <c r="J31" s="887" t="s">
        <v>207</v>
      </c>
      <c r="K31" s="819">
        <v>5600</v>
      </c>
      <c r="L31" s="822"/>
      <c r="M31" s="856" t="str">
        <f t="shared" si="4"/>
        <v>Included</v>
      </c>
      <c r="N31" s="850">
        <f t="shared" si="5"/>
        <v>0</v>
      </c>
      <c r="O31" s="847">
        <f t="shared" si="6"/>
        <v>0</v>
      </c>
      <c r="P31" s="847">
        <f t="shared" si="7"/>
        <v>0</v>
      </c>
      <c r="R31" s="754"/>
      <c r="S31" s="754"/>
      <c r="T31" s="754"/>
      <c r="U31" s="754"/>
    </row>
    <row r="32" spans="1:21" s="557" customFormat="1" ht="80.25" customHeight="1">
      <c r="A32" s="887">
        <v>14</v>
      </c>
      <c r="B32" s="887" t="s">
        <v>233</v>
      </c>
      <c r="C32" s="803">
        <v>995413</v>
      </c>
      <c r="D32" s="809"/>
      <c r="E32" s="831">
        <v>0.18</v>
      </c>
      <c r="F32" s="828" t="s">
        <v>205</v>
      </c>
      <c r="G32" s="828"/>
      <c r="H32" s="828"/>
      <c r="I32" s="899" t="s">
        <v>234</v>
      </c>
      <c r="J32" s="887" t="s">
        <v>207</v>
      </c>
      <c r="K32" s="819">
        <v>630</v>
      </c>
      <c r="L32" s="822"/>
      <c r="M32" s="856" t="str">
        <f t="shared" si="4"/>
        <v>Included</v>
      </c>
      <c r="N32" s="850">
        <f t="shared" si="5"/>
        <v>0</v>
      </c>
      <c r="O32" s="847">
        <f t="shared" si="6"/>
        <v>0</v>
      </c>
      <c r="P32" s="847">
        <f t="shared" si="7"/>
        <v>0</v>
      </c>
      <c r="R32" s="754"/>
      <c r="S32" s="754"/>
      <c r="T32" s="754"/>
      <c r="U32" s="754"/>
    </row>
    <row r="33" spans="1:21" s="557" customFormat="1" ht="50.25" customHeight="1">
      <c r="A33" s="887">
        <v>15</v>
      </c>
      <c r="B33" s="928" t="s">
        <v>235</v>
      </c>
      <c r="C33" s="803">
        <v>995413</v>
      </c>
      <c r="D33" s="809"/>
      <c r="E33" s="831">
        <v>0.18</v>
      </c>
      <c r="F33" s="828" t="s">
        <v>205</v>
      </c>
      <c r="G33" s="828"/>
      <c r="H33" s="828"/>
      <c r="I33" s="899" t="s">
        <v>236</v>
      </c>
      <c r="J33" s="887" t="s">
        <v>207</v>
      </c>
      <c r="K33" s="819">
        <v>780</v>
      </c>
      <c r="L33" s="822"/>
      <c r="M33" s="856" t="str">
        <f t="shared" si="4"/>
        <v>Included</v>
      </c>
      <c r="N33" s="850">
        <f t="shared" si="5"/>
        <v>0</v>
      </c>
      <c r="O33" s="847">
        <f t="shared" si="6"/>
        <v>0</v>
      </c>
      <c r="P33" s="847">
        <f t="shared" si="7"/>
        <v>0</v>
      </c>
      <c r="R33" s="754"/>
      <c r="S33" s="754"/>
      <c r="T33" s="754"/>
      <c r="U33" s="754"/>
    </row>
    <row r="34" spans="1:21" s="557" customFormat="1" ht="335.25" customHeight="1">
      <c r="A34" s="887">
        <v>16</v>
      </c>
      <c r="B34" s="928" t="s">
        <v>237</v>
      </c>
      <c r="C34" s="803">
        <v>995413</v>
      </c>
      <c r="D34" s="809"/>
      <c r="E34" s="831">
        <v>0.18</v>
      </c>
      <c r="F34" s="828" t="s">
        <v>205</v>
      </c>
      <c r="G34" s="828"/>
      <c r="H34" s="828"/>
      <c r="I34" s="902" t="s">
        <v>238</v>
      </c>
      <c r="J34" s="887" t="s">
        <v>207</v>
      </c>
      <c r="K34" s="819">
        <v>180</v>
      </c>
      <c r="L34" s="822"/>
      <c r="M34" s="856" t="str">
        <f t="shared" si="4"/>
        <v>Included</v>
      </c>
      <c r="N34" s="850">
        <f t="shared" si="5"/>
        <v>0</v>
      </c>
      <c r="O34" s="847">
        <f t="shared" si="6"/>
        <v>0</v>
      </c>
      <c r="P34" s="847">
        <f t="shared" si="7"/>
        <v>0</v>
      </c>
      <c r="R34" s="754"/>
      <c r="S34" s="754"/>
      <c r="T34" s="754"/>
      <c r="U34" s="754"/>
    </row>
    <row r="35" spans="1:21" s="557" customFormat="1" ht="106.5" customHeight="1">
      <c r="A35" s="887">
        <v>17</v>
      </c>
      <c r="B35" s="887" t="s">
        <v>239</v>
      </c>
      <c r="C35" s="803">
        <v>995413</v>
      </c>
      <c r="D35" s="809"/>
      <c r="E35" s="831">
        <v>0.18</v>
      </c>
      <c r="F35" s="828" t="s">
        <v>205</v>
      </c>
      <c r="G35" s="828"/>
      <c r="H35" s="828"/>
      <c r="I35" s="899" t="s">
        <v>240</v>
      </c>
      <c r="J35" s="887" t="s">
        <v>207</v>
      </c>
      <c r="K35" s="819">
        <v>200</v>
      </c>
      <c r="L35" s="822"/>
      <c r="M35" s="856" t="str">
        <f t="shared" si="4"/>
        <v>Included</v>
      </c>
      <c r="N35" s="850">
        <f t="shared" si="5"/>
        <v>0</v>
      </c>
      <c r="O35" s="847">
        <f t="shared" si="6"/>
        <v>0</v>
      </c>
      <c r="P35" s="847">
        <f t="shared" si="7"/>
        <v>0</v>
      </c>
      <c r="R35" s="754"/>
      <c r="S35" s="754"/>
      <c r="T35" s="754"/>
      <c r="U35" s="754"/>
    </row>
    <row r="36" spans="1:21" s="557" customFormat="1" ht="60" customHeight="1">
      <c r="A36" s="887">
        <v>18</v>
      </c>
      <c r="B36" s="887">
        <v>9.1199999999999992</v>
      </c>
      <c r="C36" s="803">
        <v>995413</v>
      </c>
      <c r="D36" s="809"/>
      <c r="E36" s="831">
        <v>0.18</v>
      </c>
      <c r="F36" s="828" t="s">
        <v>205</v>
      </c>
      <c r="G36" s="828"/>
      <c r="H36" s="828"/>
      <c r="I36" s="901" t="s">
        <v>241</v>
      </c>
      <c r="J36" s="887" t="s">
        <v>207</v>
      </c>
      <c r="K36" s="819">
        <v>200</v>
      </c>
      <c r="L36" s="822"/>
      <c r="M36" s="856" t="str">
        <f t="shared" si="4"/>
        <v>Included</v>
      </c>
      <c r="N36" s="850">
        <f t="shared" si="5"/>
        <v>0</v>
      </c>
      <c r="O36" s="847">
        <f t="shared" si="6"/>
        <v>0</v>
      </c>
      <c r="P36" s="847">
        <f t="shared" si="7"/>
        <v>0</v>
      </c>
      <c r="R36" s="754"/>
      <c r="S36" s="754"/>
      <c r="T36" s="754"/>
      <c r="U36" s="754"/>
    </row>
    <row r="37" spans="1:21" s="557" customFormat="1" ht="72.75" customHeight="1">
      <c r="A37" s="887">
        <v>19</v>
      </c>
      <c r="B37" s="887" t="s">
        <v>242</v>
      </c>
      <c r="C37" s="803">
        <v>995413</v>
      </c>
      <c r="D37" s="809"/>
      <c r="E37" s="831">
        <v>0.18</v>
      </c>
      <c r="F37" s="828" t="s">
        <v>205</v>
      </c>
      <c r="G37" s="828"/>
      <c r="H37" s="828"/>
      <c r="I37" s="899" t="s">
        <v>243</v>
      </c>
      <c r="J37" s="887" t="s">
        <v>207</v>
      </c>
      <c r="K37" s="819">
        <v>90</v>
      </c>
      <c r="L37" s="822"/>
      <c r="M37" s="856" t="str">
        <f t="shared" si="4"/>
        <v>Included</v>
      </c>
      <c r="N37" s="850">
        <f t="shared" si="5"/>
        <v>0</v>
      </c>
      <c r="O37" s="847">
        <f t="shared" si="6"/>
        <v>0</v>
      </c>
      <c r="P37" s="847">
        <f t="shared" si="7"/>
        <v>0</v>
      </c>
      <c r="R37" s="754"/>
      <c r="S37" s="754"/>
      <c r="T37" s="754"/>
      <c r="U37" s="754"/>
    </row>
    <row r="38" spans="1:21" s="557" customFormat="1" ht="71.25" customHeight="1">
      <c r="A38" s="887">
        <v>20</v>
      </c>
      <c r="B38" s="887" t="s">
        <v>244</v>
      </c>
      <c r="C38" s="803">
        <v>995413</v>
      </c>
      <c r="D38" s="809"/>
      <c r="E38" s="831">
        <v>0.18</v>
      </c>
      <c r="F38" s="828" t="s">
        <v>205</v>
      </c>
      <c r="G38" s="828"/>
      <c r="H38" s="828"/>
      <c r="I38" s="899" t="s">
        <v>245</v>
      </c>
      <c r="J38" s="887" t="s">
        <v>246</v>
      </c>
      <c r="K38" s="819">
        <v>875</v>
      </c>
      <c r="L38" s="822"/>
      <c r="M38" s="856"/>
      <c r="N38" s="850"/>
      <c r="O38" s="847">
        <f t="shared" si="6"/>
        <v>0</v>
      </c>
      <c r="P38" s="847">
        <f t="shared" si="7"/>
        <v>0</v>
      </c>
      <c r="R38" s="754"/>
      <c r="S38" s="754"/>
      <c r="T38" s="754"/>
      <c r="U38" s="754"/>
    </row>
    <row r="39" spans="1:21" s="557" customFormat="1" ht="124.5" customHeight="1">
      <c r="A39" s="887">
        <v>21</v>
      </c>
      <c r="B39" s="928" t="s">
        <v>247</v>
      </c>
      <c r="C39" s="803">
        <v>995413</v>
      </c>
      <c r="D39" s="809"/>
      <c r="E39" s="831">
        <v>0.18</v>
      </c>
      <c r="F39" s="828" t="s">
        <v>205</v>
      </c>
      <c r="G39" s="828"/>
      <c r="H39" s="828"/>
      <c r="I39" s="899" t="s">
        <v>248</v>
      </c>
      <c r="J39" s="887" t="s">
        <v>246</v>
      </c>
      <c r="K39" s="819">
        <v>115</v>
      </c>
      <c r="L39" s="822"/>
      <c r="M39" s="856" t="str">
        <f t="shared" ref="M39:M47" si="8">IF(L39=0, "Included", IF(ISERROR(K39*L39), L39, K39*L39))</f>
        <v>Included</v>
      </c>
      <c r="N39" s="850">
        <f>P39</f>
        <v>0</v>
      </c>
      <c r="O39" s="847">
        <f>IF(M39="Included",0,M39)</f>
        <v>0</v>
      </c>
      <c r="P39" s="847">
        <f>IF(E39="confirmed",(O39*D39),(O39*E39))</f>
        <v>0</v>
      </c>
      <c r="R39" s="754"/>
      <c r="S39" s="754"/>
      <c r="T39" s="754"/>
      <c r="U39" s="754"/>
    </row>
    <row r="40" spans="1:21" s="557" customFormat="1" ht="72" customHeight="1">
      <c r="A40" s="887">
        <v>22</v>
      </c>
      <c r="B40" s="887" t="s">
        <v>249</v>
      </c>
      <c r="C40" s="803">
        <v>995413</v>
      </c>
      <c r="D40" s="809"/>
      <c r="E40" s="831">
        <v>0.18</v>
      </c>
      <c r="F40" s="828" t="s">
        <v>205</v>
      </c>
      <c r="G40" s="828"/>
      <c r="H40" s="828"/>
      <c r="I40" s="899" t="s">
        <v>250</v>
      </c>
      <c r="J40" s="887" t="s">
        <v>251</v>
      </c>
      <c r="K40" s="819">
        <v>40</v>
      </c>
      <c r="L40" s="822"/>
      <c r="M40" s="856" t="str">
        <f t="shared" si="8"/>
        <v>Included</v>
      </c>
      <c r="N40" s="850">
        <f t="shared" ref="N40:N47" si="9">P40</f>
        <v>0</v>
      </c>
      <c r="O40" s="847">
        <f t="shared" ref="O40:O48" si="10">IF(M40="Included",0,M40)</f>
        <v>0</v>
      </c>
      <c r="P40" s="847">
        <f t="shared" ref="P40:P48" si="11">IF(E40="confirmed",(O40*D40),(O40*E40))</f>
        <v>0</v>
      </c>
      <c r="R40" s="754"/>
      <c r="S40" s="754"/>
      <c r="T40" s="754"/>
      <c r="U40" s="754"/>
    </row>
    <row r="41" spans="1:21" s="557" customFormat="1" ht="80.25" customHeight="1">
      <c r="A41" s="887">
        <v>23</v>
      </c>
      <c r="B41" s="887" t="s">
        <v>252</v>
      </c>
      <c r="C41" s="803">
        <v>995413</v>
      </c>
      <c r="D41" s="809"/>
      <c r="E41" s="831">
        <v>0.18</v>
      </c>
      <c r="F41" s="828" t="s">
        <v>205</v>
      </c>
      <c r="G41" s="828"/>
      <c r="H41" s="828"/>
      <c r="I41" s="902" t="s">
        <v>253</v>
      </c>
      <c r="J41" s="887" t="s">
        <v>251</v>
      </c>
      <c r="K41" s="819">
        <v>18</v>
      </c>
      <c r="L41" s="822"/>
      <c r="M41" s="856" t="str">
        <f t="shared" si="8"/>
        <v>Included</v>
      </c>
      <c r="N41" s="850">
        <f t="shared" si="9"/>
        <v>0</v>
      </c>
      <c r="O41" s="847">
        <f t="shared" si="10"/>
        <v>0</v>
      </c>
      <c r="P41" s="847">
        <f t="shared" si="11"/>
        <v>0</v>
      </c>
      <c r="R41" s="754"/>
      <c r="S41" s="754"/>
      <c r="T41" s="754"/>
      <c r="U41" s="754"/>
    </row>
    <row r="42" spans="1:21" s="557" customFormat="1" ht="64.5" customHeight="1">
      <c r="A42" s="887">
        <v>24</v>
      </c>
      <c r="B42" s="887" t="s">
        <v>254</v>
      </c>
      <c r="C42" s="803">
        <v>995413</v>
      </c>
      <c r="D42" s="809"/>
      <c r="E42" s="831">
        <v>0.18</v>
      </c>
      <c r="F42" s="828" t="s">
        <v>205</v>
      </c>
      <c r="G42" s="828"/>
      <c r="H42" s="828"/>
      <c r="I42" s="902" t="s">
        <v>255</v>
      </c>
      <c r="J42" s="887" t="s">
        <v>251</v>
      </c>
      <c r="K42" s="819">
        <v>26</v>
      </c>
      <c r="L42" s="822"/>
      <c r="M42" s="856" t="str">
        <f t="shared" si="8"/>
        <v>Included</v>
      </c>
      <c r="N42" s="850">
        <f t="shared" si="9"/>
        <v>0</v>
      </c>
      <c r="O42" s="847">
        <f t="shared" si="10"/>
        <v>0</v>
      </c>
      <c r="P42" s="847">
        <f t="shared" si="11"/>
        <v>0</v>
      </c>
      <c r="R42" s="754"/>
      <c r="S42" s="754"/>
      <c r="T42" s="754"/>
      <c r="U42" s="754"/>
    </row>
    <row r="43" spans="1:21" s="557" customFormat="1" ht="132" customHeight="1">
      <c r="A43" s="887">
        <v>25</v>
      </c>
      <c r="B43" s="928" t="s">
        <v>256</v>
      </c>
      <c r="C43" s="803">
        <v>995413</v>
      </c>
      <c r="D43" s="809"/>
      <c r="E43" s="831">
        <v>0.18</v>
      </c>
      <c r="F43" s="828" t="s">
        <v>205</v>
      </c>
      <c r="G43" s="828"/>
      <c r="H43" s="828"/>
      <c r="I43" s="899" t="s">
        <v>257</v>
      </c>
      <c r="J43" s="887" t="s">
        <v>207</v>
      </c>
      <c r="K43" s="819">
        <v>420</v>
      </c>
      <c r="L43" s="822"/>
      <c r="M43" s="856" t="str">
        <f t="shared" si="8"/>
        <v>Included</v>
      </c>
      <c r="N43" s="850">
        <f t="shared" si="9"/>
        <v>0</v>
      </c>
      <c r="O43" s="847">
        <f t="shared" si="10"/>
        <v>0</v>
      </c>
      <c r="P43" s="847">
        <f t="shared" si="11"/>
        <v>0</v>
      </c>
      <c r="R43" s="754"/>
      <c r="S43" s="754"/>
      <c r="T43" s="754"/>
      <c r="U43" s="754"/>
    </row>
    <row r="44" spans="1:21" s="557" customFormat="1" ht="54" customHeight="1">
      <c r="A44" s="887">
        <v>26</v>
      </c>
      <c r="B44" s="887">
        <v>8.4</v>
      </c>
      <c r="C44" s="803">
        <v>995413</v>
      </c>
      <c r="D44" s="809"/>
      <c r="E44" s="831">
        <v>0.18</v>
      </c>
      <c r="F44" s="828" t="s">
        <v>205</v>
      </c>
      <c r="G44" s="828"/>
      <c r="H44" s="828"/>
      <c r="I44" s="899" t="s">
        <v>258</v>
      </c>
      <c r="J44" s="887" t="s">
        <v>246</v>
      </c>
      <c r="K44" s="819">
        <v>200</v>
      </c>
      <c r="L44" s="822"/>
      <c r="M44" s="856" t="str">
        <f t="shared" si="8"/>
        <v>Included</v>
      </c>
      <c r="N44" s="850">
        <f t="shared" si="9"/>
        <v>0</v>
      </c>
      <c r="O44" s="847">
        <f t="shared" si="10"/>
        <v>0</v>
      </c>
      <c r="P44" s="847">
        <f t="shared" si="11"/>
        <v>0</v>
      </c>
      <c r="R44" s="754"/>
      <c r="S44" s="754"/>
      <c r="T44" s="754"/>
      <c r="U44" s="754"/>
    </row>
    <row r="45" spans="1:21" s="557" customFormat="1" ht="106.5" customHeight="1">
      <c r="A45" s="887">
        <v>27</v>
      </c>
      <c r="B45" s="887">
        <v>8.5</v>
      </c>
      <c r="C45" s="803">
        <v>995413</v>
      </c>
      <c r="D45" s="809"/>
      <c r="E45" s="831">
        <v>0.18</v>
      </c>
      <c r="F45" s="828" t="s">
        <v>205</v>
      </c>
      <c r="G45" s="828"/>
      <c r="H45" s="828"/>
      <c r="I45" s="899" t="s">
        <v>259</v>
      </c>
      <c r="J45" s="887" t="s">
        <v>224</v>
      </c>
      <c r="K45" s="819">
        <v>80</v>
      </c>
      <c r="L45" s="822"/>
      <c r="M45" s="856" t="str">
        <f t="shared" si="8"/>
        <v>Included</v>
      </c>
      <c r="N45" s="850">
        <f t="shared" si="9"/>
        <v>0</v>
      </c>
      <c r="O45" s="847">
        <f t="shared" si="10"/>
        <v>0</v>
      </c>
      <c r="P45" s="847">
        <f t="shared" si="11"/>
        <v>0</v>
      </c>
      <c r="R45" s="754"/>
      <c r="S45" s="754"/>
      <c r="T45" s="754"/>
      <c r="U45" s="754"/>
    </row>
    <row r="46" spans="1:21" s="557" customFormat="1" ht="81" customHeight="1">
      <c r="A46" s="887">
        <v>28</v>
      </c>
      <c r="B46" s="887" t="s">
        <v>260</v>
      </c>
      <c r="C46" s="803">
        <v>995413</v>
      </c>
      <c r="D46" s="809"/>
      <c r="E46" s="831">
        <v>0.18</v>
      </c>
      <c r="F46" s="828" t="s">
        <v>205</v>
      </c>
      <c r="G46" s="828"/>
      <c r="H46" s="828"/>
      <c r="I46" s="899" t="s">
        <v>261</v>
      </c>
      <c r="J46" s="887" t="s">
        <v>262</v>
      </c>
      <c r="K46" s="819">
        <v>1250</v>
      </c>
      <c r="L46" s="822"/>
      <c r="M46" s="856" t="str">
        <f t="shared" si="8"/>
        <v>Included</v>
      </c>
      <c r="N46" s="850">
        <f t="shared" si="9"/>
        <v>0</v>
      </c>
      <c r="O46" s="847">
        <f t="shared" si="10"/>
        <v>0</v>
      </c>
      <c r="P46" s="847">
        <f t="shared" si="11"/>
        <v>0</v>
      </c>
      <c r="R46" s="754"/>
      <c r="S46" s="754"/>
      <c r="T46" s="754"/>
      <c r="U46" s="754"/>
    </row>
    <row r="47" spans="1:21" s="557" customFormat="1" ht="102.75" customHeight="1">
      <c r="A47" s="887">
        <v>29</v>
      </c>
      <c r="B47" s="887" t="s">
        <v>263</v>
      </c>
      <c r="C47" s="803">
        <v>995413</v>
      </c>
      <c r="D47" s="809"/>
      <c r="E47" s="831">
        <v>0.18</v>
      </c>
      <c r="F47" s="828" t="s">
        <v>205</v>
      </c>
      <c r="G47" s="828"/>
      <c r="H47" s="828"/>
      <c r="I47" s="899" t="s">
        <v>264</v>
      </c>
      <c r="J47" s="887" t="s">
        <v>207</v>
      </c>
      <c r="K47" s="819">
        <v>170</v>
      </c>
      <c r="L47" s="822"/>
      <c r="M47" s="856" t="str">
        <f t="shared" si="8"/>
        <v>Included</v>
      </c>
      <c r="N47" s="850">
        <f t="shared" si="9"/>
        <v>0</v>
      </c>
      <c r="O47" s="847">
        <f t="shared" si="10"/>
        <v>0</v>
      </c>
      <c r="P47" s="847">
        <f t="shared" si="11"/>
        <v>0</v>
      </c>
      <c r="R47" s="754"/>
      <c r="S47" s="754"/>
      <c r="T47" s="754"/>
      <c r="U47" s="754"/>
    </row>
    <row r="48" spans="1:21" s="557" customFormat="1" ht="57.75" customHeight="1">
      <c r="A48" s="887">
        <v>30</v>
      </c>
      <c r="B48" s="887">
        <v>9.23</v>
      </c>
      <c r="C48" s="803">
        <v>995413</v>
      </c>
      <c r="D48" s="809"/>
      <c r="E48" s="831">
        <v>0.18</v>
      </c>
      <c r="F48" s="828" t="s">
        <v>205</v>
      </c>
      <c r="G48" s="828"/>
      <c r="H48" s="828"/>
      <c r="I48" s="899" t="s">
        <v>265</v>
      </c>
      <c r="J48" s="887" t="s">
        <v>207</v>
      </c>
      <c r="K48" s="819">
        <v>170</v>
      </c>
      <c r="L48" s="822"/>
      <c r="M48" s="856"/>
      <c r="N48" s="850"/>
      <c r="O48" s="847">
        <f t="shared" si="10"/>
        <v>0</v>
      </c>
      <c r="P48" s="847">
        <f t="shared" si="11"/>
        <v>0</v>
      </c>
      <c r="R48" s="754"/>
      <c r="S48" s="754"/>
      <c r="T48" s="754"/>
      <c r="U48" s="754"/>
    </row>
    <row r="49" spans="1:21" s="557" customFormat="1" ht="61.5" customHeight="1">
      <c r="A49" s="887">
        <v>31</v>
      </c>
      <c r="B49" s="887" t="s">
        <v>266</v>
      </c>
      <c r="C49" s="803">
        <v>995413</v>
      </c>
      <c r="D49" s="809"/>
      <c r="E49" s="831">
        <v>0.18</v>
      </c>
      <c r="F49" s="828" t="s">
        <v>205</v>
      </c>
      <c r="G49" s="828"/>
      <c r="H49" s="828"/>
      <c r="I49" s="899" t="s">
        <v>267</v>
      </c>
      <c r="J49" s="887" t="s">
        <v>224</v>
      </c>
      <c r="K49" s="819">
        <v>90</v>
      </c>
      <c r="L49" s="822"/>
      <c r="M49" s="856" t="str">
        <f t="shared" ref="M49:M57" si="12">IF(L49=0, "Included", IF(ISERROR(K49*L49), L49, K49*L49))</f>
        <v>Included</v>
      </c>
      <c r="N49" s="850">
        <f>P49</f>
        <v>0</v>
      </c>
      <c r="O49" s="847">
        <f>IF(M49="Included",0,M49)</f>
        <v>0</v>
      </c>
      <c r="P49" s="847">
        <f>IF(E49="confirmed",(O49*D49),(O49*E49))</f>
        <v>0</v>
      </c>
      <c r="R49" s="754"/>
      <c r="S49" s="754"/>
      <c r="T49" s="754"/>
      <c r="U49" s="754"/>
    </row>
    <row r="50" spans="1:21" s="557" customFormat="1" ht="56.25" customHeight="1">
      <c r="A50" s="887">
        <v>32</v>
      </c>
      <c r="B50" s="887" t="s">
        <v>268</v>
      </c>
      <c r="C50" s="803">
        <v>995413</v>
      </c>
      <c r="D50" s="809"/>
      <c r="E50" s="831">
        <v>0.18</v>
      </c>
      <c r="F50" s="828" t="s">
        <v>205</v>
      </c>
      <c r="G50" s="828"/>
      <c r="H50" s="828"/>
      <c r="I50" s="899" t="s">
        <v>269</v>
      </c>
      <c r="J50" s="887" t="s">
        <v>224</v>
      </c>
      <c r="K50" s="819">
        <v>130</v>
      </c>
      <c r="L50" s="822"/>
      <c r="M50" s="856" t="str">
        <f t="shared" si="12"/>
        <v>Included</v>
      </c>
      <c r="N50" s="850">
        <f t="shared" ref="N50:N57" si="13">P50</f>
        <v>0</v>
      </c>
      <c r="O50" s="847">
        <f t="shared" ref="O50:O58" si="14">IF(M50="Included",0,M50)</f>
        <v>0</v>
      </c>
      <c r="P50" s="847">
        <f t="shared" ref="P50:P58" si="15">IF(E50="confirmed",(O50*D50),(O50*E50))</f>
        <v>0</v>
      </c>
      <c r="R50" s="754"/>
      <c r="S50" s="754"/>
      <c r="T50" s="754"/>
      <c r="U50" s="754"/>
    </row>
    <row r="51" spans="1:21" s="557" customFormat="1" ht="73.5" customHeight="1">
      <c r="A51" s="887">
        <v>33</v>
      </c>
      <c r="B51" s="887" t="s">
        <v>270</v>
      </c>
      <c r="C51" s="803">
        <v>995413</v>
      </c>
      <c r="D51" s="809"/>
      <c r="E51" s="831">
        <v>0.18</v>
      </c>
      <c r="F51" s="828" t="s">
        <v>205</v>
      </c>
      <c r="G51" s="828"/>
      <c r="H51" s="828"/>
      <c r="I51" s="899" t="s">
        <v>271</v>
      </c>
      <c r="J51" s="887" t="s">
        <v>224</v>
      </c>
      <c r="K51" s="819">
        <v>90</v>
      </c>
      <c r="L51" s="822"/>
      <c r="M51" s="856" t="str">
        <f t="shared" si="12"/>
        <v>Included</v>
      </c>
      <c r="N51" s="850">
        <f t="shared" si="13"/>
        <v>0</v>
      </c>
      <c r="O51" s="847">
        <f t="shared" si="14"/>
        <v>0</v>
      </c>
      <c r="P51" s="847">
        <f t="shared" si="15"/>
        <v>0</v>
      </c>
      <c r="R51" s="754"/>
      <c r="S51" s="754"/>
      <c r="T51" s="754"/>
      <c r="U51" s="754"/>
    </row>
    <row r="52" spans="1:21" s="557" customFormat="1" ht="49.5" customHeight="1">
      <c r="A52" s="887">
        <v>34</v>
      </c>
      <c r="B52" s="887" t="s">
        <v>272</v>
      </c>
      <c r="C52" s="803">
        <v>995413</v>
      </c>
      <c r="D52" s="809"/>
      <c r="E52" s="831">
        <v>0.18</v>
      </c>
      <c r="F52" s="828" t="s">
        <v>205</v>
      </c>
      <c r="G52" s="828"/>
      <c r="H52" s="828"/>
      <c r="I52" s="899" t="s">
        <v>273</v>
      </c>
      <c r="J52" s="887" t="s">
        <v>224</v>
      </c>
      <c r="K52" s="819">
        <v>355</v>
      </c>
      <c r="L52" s="822"/>
      <c r="M52" s="856" t="str">
        <f t="shared" si="12"/>
        <v>Included</v>
      </c>
      <c r="N52" s="850">
        <f t="shared" si="13"/>
        <v>0</v>
      </c>
      <c r="O52" s="847">
        <f t="shared" si="14"/>
        <v>0</v>
      </c>
      <c r="P52" s="847">
        <f t="shared" si="15"/>
        <v>0</v>
      </c>
      <c r="R52" s="754"/>
      <c r="S52" s="754"/>
      <c r="T52" s="754"/>
      <c r="U52" s="754"/>
    </row>
    <row r="53" spans="1:21" s="557" customFormat="1" ht="58.5" customHeight="1">
      <c r="A53" s="887">
        <v>35</v>
      </c>
      <c r="B53" s="887" t="s">
        <v>274</v>
      </c>
      <c r="C53" s="803">
        <v>995413</v>
      </c>
      <c r="D53" s="809"/>
      <c r="E53" s="831">
        <v>0.18</v>
      </c>
      <c r="F53" s="828" t="s">
        <v>205</v>
      </c>
      <c r="G53" s="828"/>
      <c r="H53" s="828"/>
      <c r="I53" s="899" t="s">
        <v>275</v>
      </c>
      <c r="J53" s="887" t="s">
        <v>224</v>
      </c>
      <c r="K53" s="819">
        <v>90</v>
      </c>
      <c r="L53" s="822"/>
      <c r="M53" s="856" t="str">
        <f t="shared" si="12"/>
        <v>Included</v>
      </c>
      <c r="N53" s="850">
        <f t="shared" si="13"/>
        <v>0</v>
      </c>
      <c r="O53" s="847">
        <f t="shared" si="14"/>
        <v>0</v>
      </c>
      <c r="P53" s="847">
        <f t="shared" si="15"/>
        <v>0</v>
      </c>
      <c r="R53" s="754"/>
      <c r="S53" s="754"/>
      <c r="T53" s="754"/>
      <c r="U53" s="754"/>
    </row>
    <row r="54" spans="1:21" s="557" customFormat="1" ht="45.75" customHeight="1">
      <c r="A54" s="887">
        <v>36</v>
      </c>
      <c r="B54" s="887" t="s">
        <v>276</v>
      </c>
      <c r="C54" s="803">
        <v>995413</v>
      </c>
      <c r="D54" s="809"/>
      <c r="E54" s="831">
        <v>0.18</v>
      </c>
      <c r="F54" s="828" t="s">
        <v>205</v>
      </c>
      <c r="G54" s="828"/>
      <c r="H54" s="828"/>
      <c r="I54" s="899" t="s">
        <v>277</v>
      </c>
      <c r="J54" s="887" t="s">
        <v>224</v>
      </c>
      <c r="K54" s="819">
        <v>90</v>
      </c>
      <c r="L54" s="822"/>
      <c r="M54" s="856" t="str">
        <f t="shared" si="12"/>
        <v>Included</v>
      </c>
      <c r="N54" s="850">
        <f t="shared" si="13"/>
        <v>0</v>
      </c>
      <c r="O54" s="847">
        <f t="shared" si="14"/>
        <v>0</v>
      </c>
      <c r="P54" s="847">
        <f t="shared" si="15"/>
        <v>0</v>
      </c>
      <c r="R54" s="754"/>
      <c r="S54" s="754"/>
      <c r="T54" s="754"/>
      <c r="U54" s="754"/>
    </row>
    <row r="55" spans="1:21" s="557" customFormat="1" ht="93.75" customHeight="1">
      <c r="A55" s="887">
        <v>37</v>
      </c>
      <c r="B55" s="887" t="s">
        <v>278</v>
      </c>
      <c r="C55" s="803">
        <v>995413</v>
      </c>
      <c r="D55" s="809"/>
      <c r="E55" s="831">
        <v>0.18</v>
      </c>
      <c r="F55" s="828" t="s">
        <v>205</v>
      </c>
      <c r="G55" s="828"/>
      <c r="H55" s="828"/>
      <c r="I55" s="899" t="s">
        <v>279</v>
      </c>
      <c r="J55" s="887" t="s">
        <v>207</v>
      </c>
      <c r="K55" s="819">
        <v>170</v>
      </c>
      <c r="L55" s="822"/>
      <c r="M55" s="856" t="str">
        <f t="shared" si="12"/>
        <v>Included</v>
      </c>
      <c r="N55" s="850">
        <f t="shared" si="13"/>
        <v>0</v>
      </c>
      <c r="O55" s="847">
        <f t="shared" si="14"/>
        <v>0</v>
      </c>
      <c r="P55" s="847">
        <f t="shared" si="15"/>
        <v>0</v>
      </c>
      <c r="R55" s="754"/>
      <c r="S55" s="754"/>
      <c r="T55" s="754"/>
      <c r="U55" s="754"/>
    </row>
    <row r="56" spans="1:21" s="557" customFormat="1" ht="160.5" customHeight="1">
      <c r="A56" s="887">
        <v>38</v>
      </c>
      <c r="B56" s="887" t="s">
        <v>280</v>
      </c>
      <c r="C56" s="803">
        <v>995413</v>
      </c>
      <c r="D56" s="809"/>
      <c r="E56" s="831">
        <v>0.18</v>
      </c>
      <c r="F56" s="828" t="s">
        <v>205</v>
      </c>
      <c r="G56" s="828"/>
      <c r="H56" s="828"/>
      <c r="I56" s="899" t="s">
        <v>281</v>
      </c>
      <c r="J56" s="887" t="s">
        <v>246</v>
      </c>
      <c r="K56" s="819">
        <v>260</v>
      </c>
      <c r="L56" s="822"/>
      <c r="M56" s="856" t="str">
        <f t="shared" si="12"/>
        <v>Included</v>
      </c>
      <c r="N56" s="850">
        <f t="shared" si="13"/>
        <v>0</v>
      </c>
      <c r="O56" s="847">
        <f t="shared" si="14"/>
        <v>0</v>
      </c>
      <c r="P56" s="847">
        <f t="shared" si="15"/>
        <v>0</v>
      </c>
      <c r="R56" s="754"/>
      <c r="S56" s="754"/>
      <c r="T56" s="754"/>
      <c r="U56" s="754"/>
    </row>
    <row r="57" spans="1:21" s="557" customFormat="1" ht="255" customHeight="1">
      <c r="A57" s="887">
        <v>39</v>
      </c>
      <c r="B57" s="887" t="s">
        <v>282</v>
      </c>
      <c r="C57" s="803">
        <v>995413</v>
      </c>
      <c r="D57" s="809"/>
      <c r="E57" s="831">
        <v>0.18</v>
      </c>
      <c r="F57" s="828" t="s">
        <v>205</v>
      </c>
      <c r="G57" s="828"/>
      <c r="H57" s="828"/>
      <c r="I57" s="899" t="s">
        <v>283</v>
      </c>
      <c r="J57" s="887" t="s">
        <v>207</v>
      </c>
      <c r="K57" s="819">
        <v>90</v>
      </c>
      <c r="L57" s="822"/>
      <c r="M57" s="856" t="str">
        <f t="shared" si="12"/>
        <v>Included</v>
      </c>
      <c r="N57" s="850">
        <f t="shared" si="13"/>
        <v>0</v>
      </c>
      <c r="O57" s="847">
        <f t="shared" si="14"/>
        <v>0</v>
      </c>
      <c r="P57" s="847">
        <f t="shared" si="15"/>
        <v>0</v>
      </c>
      <c r="R57" s="754"/>
      <c r="S57" s="754"/>
      <c r="T57" s="754"/>
      <c r="U57" s="754"/>
    </row>
    <row r="58" spans="1:21" s="557" customFormat="1" ht="91.5" customHeight="1">
      <c r="A58" s="887">
        <v>40</v>
      </c>
      <c r="B58" s="887">
        <v>9.5299999999999994</v>
      </c>
      <c r="C58" s="803">
        <v>995413</v>
      </c>
      <c r="D58" s="809"/>
      <c r="E58" s="831">
        <v>0.18</v>
      </c>
      <c r="F58" s="828" t="s">
        <v>205</v>
      </c>
      <c r="G58" s="828"/>
      <c r="H58" s="828"/>
      <c r="I58" s="899" t="s">
        <v>284</v>
      </c>
      <c r="J58" s="887" t="s">
        <v>224</v>
      </c>
      <c r="K58" s="819">
        <v>715</v>
      </c>
      <c r="L58" s="822"/>
      <c r="M58" s="856"/>
      <c r="N58" s="850"/>
      <c r="O58" s="847">
        <f t="shared" si="14"/>
        <v>0</v>
      </c>
      <c r="P58" s="847">
        <f t="shared" si="15"/>
        <v>0</v>
      </c>
      <c r="R58" s="754"/>
      <c r="S58" s="754"/>
      <c r="T58" s="754"/>
      <c r="U58" s="754"/>
    </row>
    <row r="59" spans="1:21" s="557" customFormat="1" ht="75.75" customHeight="1">
      <c r="A59" s="887">
        <v>41</v>
      </c>
      <c r="B59" s="887" t="s">
        <v>285</v>
      </c>
      <c r="C59" s="803">
        <v>995413</v>
      </c>
      <c r="D59" s="809"/>
      <c r="E59" s="831">
        <v>0.18</v>
      </c>
      <c r="F59" s="828" t="s">
        <v>205</v>
      </c>
      <c r="G59" s="828"/>
      <c r="H59" s="828"/>
      <c r="I59" s="899" t="s">
        <v>286</v>
      </c>
      <c r="J59" s="887" t="s">
        <v>246</v>
      </c>
      <c r="K59" s="819">
        <v>170</v>
      </c>
      <c r="L59" s="822"/>
      <c r="M59" s="856" t="str">
        <f t="shared" ref="M59:M67" si="16">IF(L59=0, "Included", IF(ISERROR(K59*L59), L59, K59*L59))</f>
        <v>Included</v>
      </c>
      <c r="N59" s="850">
        <f>P59</f>
        <v>0</v>
      </c>
      <c r="O59" s="847">
        <f>IF(M59="Included",0,M59)</f>
        <v>0</v>
      </c>
      <c r="P59" s="847">
        <f>IF(E59="confirmed",(O59*D59),(O59*E59))</f>
        <v>0</v>
      </c>
      <c r="R59" s="754"/>
      <c r="S59" s="754"/>
      <c r="T59" s="754"/>
      <c r="U59" s="754"/>
    </row>
    <row r="60" spans="1:21" s="557" customFormat="1" ht="56.25" customHeight="1">
      <c r="A60" s="887">
        <v>42</v>
      </c>
      <c r="B60" s="887" t="s">
        <v>287</v>
      </c>
      <c r="C60" s="803">
        <v>995413</v>
      </c>
      <c r="D60" s="809"/>
      <c r="E60" s="831">
        <v>0.18</v>
      </c>
      <c r="F60" s="828" t="s">
        <v>205</v>
      </c>
      <c r="G60" s="828"/>
      <c r="H60" s="828"/>
      <c r="I60" s="899" t="s">
        <v>288</v>
      </c>
      <c r="J60" s="887" t="s">
        <v>246</v>
      </c>
      <c r="K60" s="819">
        <v>150</v>
      </c>
      <c r="L60" s="822"/>
      <c r="M60" s="856" t="str">
        <f t="shared" si="16"/>
        <v>Included</v>
      </c>
      <c r="N60" s="850">
        <f t="shared" ref="N60:N67" si="17">P60</f>
        <v>0</v>
      </c>
      <c r="O60" s="847">
        <f t="shared" ref="O60:O68" si="18">IF(M60="Included",0,M60)</f>
        <v>0</v>
      </c>
      <c r="P60" s="847">
        <f t="shared" ref="P60:P68" si="19">IF(E60="confirmed",(O60*D60),(O60*E60))</f>
        <v>0</v>
      </c>
      <c r="R60" s="754"/>
      <c r="S60" s="754"/>
      <c r="T60" s="754"/>
      <c r="U60" s="754"/>
    </row>
    <row r="61" spans="1:21" s="557" customFormat="1" ht="74.25" customHeight="1">
      <c r="A61" s="887">
        <v>43</v>
      </c>
      <c r="B61" s="887" t="s">
        <v>289</v>
      </c>
      <c r="C61" s="803">
        <v>995413</v>
      </c>
      <c r="D61" s="809"/>
      <c r="E61" s="831">
        <v>0.18</v>
      </c>
      <c r="F61" s="828" t="s">
        <v>205</v>
      </c>
      <c r="G61" s="828"/>
      <c r="H61" s="828"/>
      <c r="I61" s="899" t="s">
        <v>290</v>
      </c>
      <c r="J61" s="887" t="s">
        <v>224</v>
      </c>
      <c r="K61" s="819">
        <v>70</v>
      </c>
      <c r="L61" s="822"/>
      <c r="M61" s="856" t="str">
        <f t="shared" si="16"/>
        <v>Included</v>
      </c>
      <c r="N61" s="850">
        <f t="shared" si="17"/>
        <v>0</v>
      </c>
      <c r="O61" s="847">
        <f t="shared" si="18"/>
        <v>0</v>
      </c>
      <c r="P61" s="847">
        <f t="shared" si="19"/>
        <v>0</v>
      </c>
      <c r="R61" s="754"/>
      <c r="S61" s="754"/>
      <c r="T61" s="754"/>
      <c r="U61" s="754"/>
    </row>
    <row r="62" spans="1:21" s="557" customFormat="1" ht="94.5" customHeight="1">
      <c r="A62" s="887">
        <v>44</v>
      </c>
      <c r="B62" s="887" t="s">
        <v>291</v>
      </c>
      <c r="C62" s="803">
        <v>995413</v>
      </c>
      <c r="D62" s="809"/>
      <c r="E62" s="831">
        <v>0.18</v>
      </c>
      <c r="F62" s="828" t="s">
        <v>205</v>
      </c>
      <c r="G62" s="828"/>
      <c r="H62" s="828"/>
      <c r="I62" s="899" t="s">
        <v>292</v>
      </c>
      <c r="J62" s="887" t="s">
        <v>224</v>
      </c>
      <c r="K62" s="819">
        <v>140</v>
      </c>
      <c r="L62" s="822"/>
      <c r="M62" s="856" t="str">
        <f t="shared" si="16"/>
        <v>Included</v>
      </c>
      <c r="N62" s="850">
        <f t="shared" si="17"/>
        <v>0</v>
      </c>
      <c r="O62" s="847">
        <f t="shared" si="18"/>
        <v>0</v>
      </c>
      <c r="P62" s="847">
        <f t="shared" si="19"/>
        <v>0</v>
      </c>
      <c r="R62" s="754"/>
      <c r="S62" s="754"/>
      <c r="T62" s="754"/>
      <c r="U62" s="754"/>
    </row>
    <row r="63" spans="1:21" s="557" customFormat="1" ht="79.5" customHeight="1">
      <c r="A63" s="887">
        <v>45</v>
      </c>
      <c r="B63" s="887" t="s">
        <v>293</v>
      </c>
      <c r="C63" s="803">
        <v>995413</v>
      </c>
      <c r="D63" s="809"/>
      <c r="E63" s="831">
        <v>0.18</v>
      </c>
      <c r="F63" s="828" t="s">
        <v>205</v>
      </c>
      <c r="G63" s="828"/>
      <c r="H63" s="828"/>
      <c r="I63" s="899" t="s">
        <v>294</v>
      </c>
      <c r="J63" s="887" t="s">
        <v>224</v>
      </c>
      <c r="K63" s="819">
        <v>55</v>
      </c>
      <c r="L63" s="822"/>
      <c r="M63" s="856" t="str">
        <f t="shared" si="16"/>
        <v>Included</v>
      </c>
      <c r="N63" s="850">
        <f t="shared" si="17"/>
        <v>0</v>
      </c>
      <c r="O63" s="847">
        <f t="shared" si="18"/>
        <v>0</v>
      </c>
      <c r="P63" s="847">
        <f t="shared" si="19"/>
        <v>0</v>
      </c>
      <c r="R63" s="754"/>
      <c r="S63" s="754"/>
      <c r="T63" s="754"/>
      <c r="U63" s="754"/>
    </row>
    <row r="64" spans="1:21" s="557" customFormat="1" ht="98.25" customHeight="1">
      <c r="A64" s="887">
        <v>46</v>
      </c>
      <c r="B64" s="887" t="s">
        <v>295</v>
      </c>
      <c r="C64" s="803">
        <v>995413</v>
      </c>
      <c r="D64" s="809"/>
      <c r="E64" s="831">
        <v>0.18</v>
      </c>
      <c r="F64" s="828" t="s">
        <v>205</v>
      </c>
      <c r="G64" s="828"/>
      <c r="H64" s="828"/>
      <c r="I64" s="899" t="s">
        <v>296</v>
      </c>
      <c r="J64" s="887" t="s">
        <v>224</v>
      </c>
      <c r="K64" s="819">
        <v>55</v>
      </c>
      <c r="L64" s="822"/>
      <c r="M64" s="856" t="str">
        <f t="shared" si="16"/>
        <v>Included</v>
      </c>
      <c r="N64" s="850">
        <f t="shared" si="17"/>
        <v>0</v>
      </c>
      <c r="O64" s="847">
        <f t="shared" si="18"/>
        <v>0</v>
      </c>
      <c r="P64" s="847">
        <f t="shared" si="19"/>
        <v>0</v>
      </c>
      <c r="R64" s="754"/>
      <c r="S64" s="754"/>
      <c r="T64" s="754"/>
      <c r="U64" s="754"/>
    </row>
    <row r="65" spans="1:21" s="557" customFormat="1" ht="83.25" customHeight="1">
      <c r="A65" s="887">
        <v>47</v>
      </c>
      <c r="B65" s="887" t="s">
        <v>297</v>
      </c>
      <c r="C65" s="803">
        <v>995413</v>
      </c>
      <c r="D65" s="809"/>
      <c r="E65" s="831">
        <v>0.18</v>
      </c>
      <c r="F65" s="828" t="s">
        <v>205</v>
      </c>
      <c r="G65" s="828"/>
      <c r="H65" s="828"/>
      <c r="I65" s="899" t="s">
        <v>298</v>
      </c>
      <c r="J65" s="887" t="s">
        <v>224</v>
      </c>
      <c r="K65" s="819">
        <v>55</v>
      </c>
      <c r="L65" s="822"/>
      <c r="M65" s="856" t="str">
        <f t="shared" si="16"/>
        <v>Included</v>
      </c>
      <c r="N65" s="850">
        <f t="shared" si="17"/>
        <v>0</v>
      </c>
      <c r="O65" s="847">
        <f t="shared" si="18"/>
        <v>0</v>
      </c>
      <c r="P65" s="847">
        <f t="shared" si="19"/>
        <v>0</v>
      </c>
      <c r="R65" s="754"/>
      <c r="S65" s="754"/>
      <c r="T65" s="754"/>
      <c r="U65" s="754"/>
    </row>
    <row r="66" spans="1:21" s="557" customFormat="1" ht="87.75" customHeight="1">
      <c r="A66" s="887">
        <v>48</v>
      </c>
      <c r="B66" s="887">
        <v>9.1029999999999998</v>
      </c>
      <c r="C66" s="803">
        <v>995413</v>
      </c>
      <c r="D66" s="809"/>
      <c r="E66" s="831">
        <v>0.18</v>
      </c>
      <c r="F66" s="828" t="s">
        <v>205</v>
      </c>
      <c r="G66" s="828"/>
      <c r="H66" s="828"/>
      <c r="I66" s="899" t="s">
        <v>299</v>
      </c>
      <c r="J66" s="887" t="s">
        <v>224</v>
      </c>
      <c r="K66" s="819">
        <v>140</v>
      </c>
      <c r="L66" s="822"/>
      <c r="M66" s="856" t="str">
        <f t="shared" si="16"/>
        <v>Included</v>
      </c>
      <c r="N66" s="850">
        <f t="shared" si="17"/>
        <v>0</v>
      </c>
      <c r="O66" s="847">
        <f t="shared" si="18"/>
        <v>0</v>
      </c>
      <c r="P66" s="847">
        <f t="shared" si="19"/>
        <v>0</v>
      </c>
      <c r="R66" s="754"/>
      <c r="S66" s="754"/>
      <c r="T66" s="754"/>
      <c r="U66" s="754"/>
    </row>
    <row r="67" spans="1:21" s="557" customFormat="1" ht="153" customHeight="1">
      <c r="A67" s="887">
        <v>49</v>
      </c>
      <c r="B67" s="887" t="s">
        <v>300</v>
      </c>
      <c r="C67" s="803">
        <v>995413</v>
      </c>
      <c r="D67" s="809"/>
      <c r="E67" s="831">
        <v>0.18</v>
      </c>
      <c r="F67" s="828" t="s">
        <v>205</v>
      </c>
      <c r="G67" s="828"/>
      <c r="H67" s="828"/>
      <c r="I67" s="899" t="s">
        <v>301</v>
      </c>
      <c r="J67" s="887" t="s">
        <v>246</v>
      </c>
      <c r="K67" s="819">
        <v>450</v>
      </c>
      <c r="L67" s="822"/>
      <c r="M67" s="856" t="str">
        <f t="shared" si="16"/>
        <v>Included</v>
      </c>
      <c r="N67" s="850">
        <f t="shared" si="17"/>
        <v>0</v>
      </c>
      <c r="O67" s="847">
        <f t="shared" si="18"/>
        <v>0</v>
      </c>
      <c r="P67" s="847">
        <f t="shared" si="19"/>
        <v>0</v>
      </c>
      <c r="R67" s="754"/>
      <c r="S67" s="754"/>
      <c r="T67" s="754"/>
      <c r="U67" s="754"/>
    </row>
    <row r="68" spans="1:21" s="557" customFormat="1" ht="69" customHeight="1">
      <c r="A68" s="887">
        <v>50</v>
      </c>
      <c r="B68" s="887">
        <v>10.1</v>
      </c>
      <c r="C68" s="803">
        <v>995413</v>
      </c>
      <c r="D68" s="809"/>
      <c r="E68" s="831">
        <v>0.18</v>
      </c>
      <c r="F68" s="828" t="s">
        <v>205</v>
      </c>
      <c r="G68" s="828"/>
      <c r="H68" s="828"/>
      <c r="I68" s="899" t="s">
        <v>302</v>
      </c>
      <c r="J68" s="887" t="s">
        <v>262</v>
      </c>
      <c r="K68" s="819">
        <v>900</v>
      </c>
      <c r="L68" s="822"/>
      <c r="M68" s="856"/>
      <c r="N68" s="850"/>
      <c r="O68" s="847">
        <f t="shared" si="18"/>
        <v>0</v>
      </c>
      <c r="P68" s="847">
        <f t="shared" si="19"/>
        <v>0</v>
      </c>
      <c r="R68" s="754"/>
      <c r="S68" s="754"/>
      <c r="T68" s="754"/>
      <c r="U68" s="754"/>
    </row>
    <row r="69" spans="1:21" s="557" customFormat="1" ht="68.25" customHeight="1">
      <c r="A69" s="887">
        <v>51</v>
      </c>
      <c r="B69" s="887" t="s">
        <v>303</v>
      </c>
      <c r="C69" s="803">
        <v>995413</v>
      </c>
      <c r="D69" s="809"/>
      <c r="E69" s="831">
        <v>0.18</v>
      </c>
      <c r="F69" s="828" t="s">
        <v>205</v>
      </c>
      <c r="G69" s="828"/>
      <c r="H69" s="828"/>
      <c r="I69" s="899" t="s">
        <v>304</v>
      </c>
      <c r="J69" s="887" t="s">
        <v>246</v>
      </c>
      <c r="K69" s="819">
        <v>115</v>
      </c>
      <c r="L69" s="822"/>
      <c r="M69" s="856" t="str">
        <f t="shared" ref="M69:M77" si="20">IF(L69=0, "Included", IF(ISERROR(K69*L69), L69, K69*L69))</f>
        <v>Included</v>
      </c>
      <c r="N69" s="850">
        <f>P69</f>
        <v>0</v>
      </c>
      <c r="O69" s="847">
        <f>IF(M69="Included",0,M69)</f>
        <v>0</v>
      </c>
      <c r="P69" s="847">
        <f>IF(E69="confirmed",(O69*D69),(O69*E69))</f>
        <v>0</v>
      </c>
      <c r="R69" s="754"/>
      <c r="S69" s="754"/>
      <c r="T69" s="754"/>
      <c r="U69" s="754"/>
    </row>
    <row r="70" spans="1:21" s="557" customFormat="1" ht="74.25" customHeight="1">
      <c r="A70" s="887">
        <v>52</v>
      </c>
      <c r="B70" s="887" t="s">
        <v>305</v>
      </c>
      <c r="C70" s="803">
        <v>995413</v>
      </c>
      <c r="D70" s="809"/>
      <c r="E70" s="831">
        <v>0.18</v>
      </c>
      <c r="F70" s="828" t="s">
        <v>205</v>
      </c>
      <c r="G70" s="828"/>
      <c r="H70" s="828"/>
      <c r="I70" s="899" t="s">
        <v>306</v>
      </c>
      <c r="J70" s="887" t="s">
        <v>224</v>
      </c>
      <c r="K70" s="819">
        <v>15</v>
      </c>
      <c r="L70" s="822"/>
      <c r="M70" s="856" t="str">
        <f t="shared" si="20"/>
        <v>Included</v>
      </c>
      <c r="N70" s="850">
        <f t="shared" ref="N70:N77" si="21">P70</f>
        <v>0</v>
      </c>
      <c r="O70" s="847">
        <f t="shared" ref="O70:O78" si="22">IF(M70="Included",0,M70)</f>
        <v>0</v>
      </c>
      <c r="P70" s="847">
        <f t="shared" ref="P70:P78" si="23">IF(E70="confirmed",(O70*D70),(O70*E70))</f>
        <v>0</v>
      </c>
      <c r="R70" s="754"/>
      <c r="S70" s="754"/>
      <c r="T70" s="754"/>
      <c r="U70" s="754"/>
    </row>
    <row r="71" spans="1:21" s="557" customFormat="1" ht="82.5" customHeight="1">
      <c r="A71" s="887">
        <v>53</v>
      </c>
      <c r="B71" s="887" t="s">
        <v>307</v>
      </c>
      <c r="C71" s="803">
        <v>995413</v>
      </c>
      <c r="D71" s="809"/>
      <c r="E71" s="831">
        <v>0.18</v>
      </c>
      <c r="F71" s="828" t="s">
        <v>205</v>
      </c>
      <c r="G71" s="828"/>
      <c r="H71" s="828"/>
      <c r="I71" s="899" t="s">
        <v>308</v>
      </c>
      <c r="J71" s="887" t="s">
        <v>224</v>
      </c>
      <c r="K71" s="819">
        <v>45</v>
      </c>
      <c r="L71" s="822"/>
      <c r="M71" s="856" t="str">
        <f t="shared" si="20"/>
        <v>Included</v>
      </c>
      <c r="N71" s="850">
        <f t="shared" si="21"/>
        <v>0</v>
      </c>
      <c r="O71" s="847">
        <f t="shared" si="22"/>
        <v>0</v>
      </c>
      <c r="P71" s="847">
        <f t="shared" si="23"/>
        <v>0</v>
      </c>
      <c r="R71" s="754"/>
      <c r="S71" s="754"/>
      <c r="T71" s="754"/>
      <c r="U71" s="754"/>
    </row>
    <row r="72" spans="1:21" s="557" customFormat="1" ht="55.5" customHeight="1">
      <c r="A72" s="887">
        <v>54</v>
      </c>
      <c r="B72" s="887" t="s">
        <v>309</v>
      </c>
      <c r="C72" s="803">
        <v>995413</v>
      </c>
      <c r="D72" s="809"/>
      <c r="E72" s="831">
        <v>0.18</v>
      </c>
      <c r="F72" s="828" t="s">
        <v>205</v>
      </c>
      <c r="G72" s="828"/>
      <c r="H72" s="828"/>
      <c r="I72" s="899" t="s">
        <v>310</v>
      </c>
      <c r="J72" s="887" t="s">
        <v>207</v>
      </c>
      <c r="K72" s="819">
        <v>250</v>
      </c>
      <c r="L72" s="822"/>
      <c r="M72" s="856" t="str">
        <f t="shared" si="20"/>
        <v>Included</v>
      </c>
      <c r="N72" s="850">
        <f t="shared" si="21"/>
        <v>0</v>
      </c>
      <c r="O72" s="847">
        <f t="shared" si="22"/>
        <v>0</v>
      </c>
      <c r="P72" s="847">
        <f t="shared" si="23"/>
        <v>0</v>
      </c>
      <c r="R72" s="754"/>
      <c r="S72" s="754"/>
      <c r="T72" s="754"/>
      <c r="U72" s="754"/>
    </row>
    <row r="73" spans="1:21" s="557" customFormat="1" ht="57" customHeight="1">
      <c r="A73" s="887">
        <v>55</v>
      </c>
      <c r="B73" s="887" t="s">
        <v>311</v>
      </c>
      <c r="C73" s="803">
        <v>995413</v>
      </c>
      <c r="D73" s="809"/>
      <c r="E73" s="831">
        <v>0.18</v>
      </c>
      <c r="F73" s="828" t="s">
        <v>205</v>
      </c>
      <c r="G73" s="828"/>
      <c r="H73" s="828"/>
      <c r="I73" s="899" t="s">
        <v>312</v>
      </c>
      <c r="J73" s="887" t="s">
        <v>224</v>
      </c>
      <c r="K73" s="819">
        <v>41</v>
      </c>
      <c r="L73" s="822"/>
      <c r="M73" s="856" t="str">
        <f t="shared" si="20"/>
        <v>Included</v>
      </c>
      <c r="N73" s="850">
        <f t="shared" si="21"/>
        <v>0</v>
      </c>
      <c r="O73" s="847">
        <f t="shared" si="22"/>
        <v>0</v>
      </c>
      <c r="P73" s="847">
        <f t="shared" si="23"/>
        <v>0</v>
      </c>
      <c r="R73" s="754"/>
      <c r="S73" s="754"/>
      <c r="T73" s="754"/>
      <c r="U73" s="754"/>
    </row>
    <row r="74" spans="1:21" s="557" customFormat="1" ht="64.5" customHeight="1">
      <c r="A74" s="887">
        <v>56</v>
      </c>
      <c r="B74" s="887" t="s">
        <v>313</v>
      </c>
      <c r="C74" s="803">
        <v>995413</v>
      </c>
      <c r="D74" s="809"/>
      <c r="E74" s="831">
        <v>0.18</v>
      </c>
      <c r="F74" s="828" t="s">
        <v>205</v>
      </c>
      <c r="G74" s="828"/>
      <c r="H74" s="828"/>
      <c r="I74" s="899" t="s">
        <v>314</v>
      </c>
      <c r="J74" s="887" t="s">
        <v>246</v>
      </c>
      <c r="K74" s="819">
        <v>600</v>
      </c>
      <c r="L74" s="822"/>
      <c r="M74" s="856" t="str">
        <f t="shared" si="20"/>
        <v>Included</v>
      </c>
      <c r="N74" s="850">
        <f t="shared" si="21"/>
        <v>0</v>
      </c>
      <c r="O74" s="847">
        <f t="shared" si="22"/>
        <v>0</v>
      </c>
      <c r="P74" s="847">
        <f t="shared" si="23"/>
        <v>0</v>
      </c>
      <c r="R74" s="754"/>
      <c r="S74" s="754"/>
      <c r="T74" s="754"/>
      <c r="U74" s="754"/>
    </row>
    <row r="75" spans="1:21" s="557" customFormat="1" ht="71.25" customHeight="1">
      <c r="A75" s="887">
        <v>57</v>
      </c>
      <c r="B75" s="887">
        <v>14.79</v>
      </c>
      <c r="C75" s="803">
        <v>995413</v>
      </c>
      <c r="D75" s="809"/>
      <c r="E75" s="831">
        <v>0.18</v>
      </c>
      <c r="F75" s="828" t="s">
        <v>205</v>
      </c>
      <c r="G75" s="828"/>
      <c r="H75" s="828"/>
      <c r="I75" s="899" t="s">
        <v>315</v>
      </c>
      <c r="J75" s="887" t="s">
        <v>224</v>
      </c>
      <c r="K75" s="819">
        <v>19</v>
      </c>
      <c r="L75" s="822"/>
      <c r="M75" s="856" t="str">
        <f t="shared" si="20"/>
        <v>Included</v>
      </c>
      <c r="N75" s="850">
        <f t="shared" si="21"/>
        <v>0</v>
      </c>
      <c r="O75" s="847">
        <f t="shared" si="22"/>
        <v>0</v>
      </c>
      <c r="P75" s="847">
        <f t="shared" si="23"/>
        <v>0</v>
      </c>
      <c r="R75" s="754"/>
      <c r="S75" s="754"/>
      <c r="T75" s="754"/>
      <c r="U75" s="754"/>
    </row>
    <row r="76" spans="1:21" s="557" customFormat="1" ht="63" customHeight="1">
      <c r="A76" s="887">
        <v>58</v>
      </c>
      <c r="B76" s="887" t="s">
        <v>316</v>
      </c>
      <c r="C76" s="803">
        <v>995413</v>
      </c>
      <c r="D76" s="809"/>
      <c r="E76" s="831">
        <v>0.18</v>
      </c>
      <c r="F76" s="828" t="s">
        <v>205</v>
      </c>
      <c r="G76" s="828"/>
      <c r="H76" s="828"/>
      <c r="I76" s="899" t="s">
        <v>317</v>
      </c>
      <c r="J76" s="887" t="s">
        <v>262</v>
      </c>
      <c r="K76" s="819">
        <v>600</v>
      </c>
      <c r="L76" s="822"/>
      <c r="M76" s="856" t="str">
        <f t="shared" si="20"/>
        <v>Included</v>
      </c>
      <c r="N76" s="850">
        <f t="shared" si="21"/>
        <v>0</v>
      </c>
      <c r="O76" s="847">
        <f t="shared" si="22"/>
        <v>0</v>
      </c>
      <c r="P76" s="847">
        <f t="shared" si="23"/>
        <v>0</v>
      </c>
      <c r="R76" s="754"/>
      <c r="S76" s="754"/>
      <c r="T76" s="754"/>
      <c r="U76" s="754"/>
    </row>
    <row r="77" spans="1:21" s="557" customFormat="1" ht="81" customHeight="1">
      <c r="A77" s="887">
        <v>59</v>
      </c>
      <c r="B77" s="887" t="s">
        <v>318</v>
      </c>
      <c r="C77" s="803">
        <v>995413</v>
      </c>
      <c r="D77" s="809"/>
      <c r="E77" s="831">
        <v>0.18</v>
      </c>
      <c r="F77" s="828" t="s">
        <v>205</v>
      </c>
      <c r="G77" s="828"/>
      <c r="H77" s="828"/>
      <c r="I77" s="899" t="s">
        <v>319</v>
      </c>
      <c r="J77" s="887" t="s">
        <v>251</v>
      </c>
      <c r="K77" s="819">
        <v>40</v>
      </c>
      <c r="L77" s="822"/>
      <c r="M77" s="856" t="str">
        <f t="shared" si="20"/>
        <v>Included</v>
      </c>
      <c r="N77" s="850">
        <f t="shared" si="21"/>
        <v>0</v>
      </c>
      <c r="O77" s="847">
        <f t="shared" si="22"/>
        <v>0</v>
      </c>
      <c r="P77" s="847">
        <f t="shared" si="23"/>
        <v>0</v>
      </c>
      <c r="R77" s="754"/>
      <c r="S77" s="754"/>
      <c r="T77" s="754"/>
      <c r="U77" s="754"/>
    </row>
    <row r="78" spans="1:21" s="557" customFormat="1" ht="90" customHeight="1">
      <c r="A78" s="887">
        <v>60</v>
      </c>
      <c r="B78" s="887" t="s">
        <v>320</v>
      </c>
      <c r="C78" s="803">
        <v>995413</v>
      </c>
      <c r="D78" s="809"/>
      <c r="E78" s="831">
        <v>0.18</v>
      </c>
      <c r="F78" s="828" t="s">
        <v>205</v>
      </c>
      <c r="G78" s="828"/>
      <c r="H78" s="828"/>
      <c r="I78" s="899" t="s">
        <v>321</v>
      </c>
      <c r="J78" s="887" t="s">
        <v>224</v>
      </c>
      <c r="K78" s="819">
        <v>40</v>
      </c>
      <c r="L78" s="822"/>
      <c r="M78" s="856"/>
      <c r="N78" s="850"/>
      <c r="O78" s="847">
        <f t="shared" si="22"/>
        <v>0</v>
      </c>
      <c r="P78" s="847">
        <f t="shared" si="23"/>
        <v>0</v>
      </c>
      <c r="R78" s="754"/>
      <c r="S78" s="754"/>
      <c r="T78" s="754"/>
      <c r="U78" s="754"/>
    </row>
    <row r="79" spans="1:21" s="557" customFormat="1" ht="57.75" customHeight="1">
      <c r="A79" s="887">
        <v>61</v>
      </c>
      <c r="B79" s="887" t="s">
        <v>322</v>
      </c>
      <c r="C79" s="803">
        <v>995413</v>
      </c>
      <c r="D79" s="809"/>
      <c r="E79" s="831">
        <v>0.18</v>
      </c>
      <c r="F79" s="828" t="s">
        <v>205</v>
      </c>
      <c r="G79" s="828"/>
      <c r="H79" s="828"/>
      <c r="I79" s="899" t="s">
        <v>323</v>
      </c>
      <c r="J79" s="887" t="s">
        <v>207</v>
      </c>
      <c r="K79" s="819">
        <v>70</v>
      </c>
      <c r="L79" s="822"/>
      <c r="M79" s="856" t="str">
        <f t="shared" ref="M79:M92" si="24">IF(L79=0, "Included", IF(ISERROR(K79*L79), L79, K79*L79))</f>
        <v>Included</v>
      </c>
      <c r="N79" s="850">
        <f>P79</f>
        <v>0</v>
      </c>
      <c r="O79" s="847">
        <f>IF(M79="Included",0,M79)</f>
        <v>0</v>
      </c>
      <c r="P79" s="847">
        <f>IF(E79="confirmed",(O79*D79),(O79*E79))</f>
        <v>0</v>
      </c>
      <c r="R79" s="754"/>
      <c r="S79" s="754"/>
      <c r="T79" s="754"/>
      <c r="U79" s="754"/>
    </row>
    <row r="80" spans="1:21" s="557" customFormat="1" ht="66.75" customHeight="1">
      <c r="A80" s="887">
        <v>62</v>
      </c>
      <c r="B80" s="928" t="s">
        <v>324</v>
      </c>
      <c r="C80" s="803">
        <v>995413</v>
      </c>
      <c r="D80" s="809"/>
      <c r="E80" s="831">
        <v>0.18</v>
      </c>
      <c r="F80" s="828" t="s">
        <v>205</v>
      </c>
      <c r="G80" s="828"/>
      <c r="H80" s="828"/>
      <c r="I80" s="899" t="s">
        <v>325</v>
      </c>
      <c r="J80" s="887" t="s">
        <v>246</v>
      </c>
      <c r="K80" s="819">
        <v>120</v>
      </c>
      <c r="L80" s="822"/>
      <c r="M80" s="856" t="str">
        <f t="shared" si="24"/>
        <v>Included</v>
      </c>
      <c r="N80" s="850">
        <f t="shared" ref="N80:N83" si="25">P80</f>
        <v>0</v>
      </c>
      <c r="O80" s="847">
        <f t="shared" ref="O80:O83" si="26">IF(M80="Included",0,M80)</f>
        <v>0</v>
      </c>
      <c r="P80" s="847">
        <f t="shared" ref="P80:P83" si="27">IF(E80="confirmed",(O80*D80),(O80*E80))</f>
        <v>0</v>
      </c>
      <c r="R80" s="754"/>
      <c r="S80" s="754"/>
      <c r="T80" s="754"/>
      <c r="U80" s="754"/>
    </row>
    <row r="81" spans="1:21" s="557" customFormat="1" ht="82.5">
      <c r="A81" s="887">
        <v>63</v>
      </c>
      <c r="B81" s="887" t="s">
        <v>326</v>
      </c>
      <c r="C81" s="803">
        <v>995413</v>
      </c>
      <c r="D81" s="809"/>
      <c r="E81" s="831">
        <v>0.18</v>
      </c>
      <c r="F81" s="828" t="s">
        <v>205</v>
      </c>
      <c r="G81" s="828"/>
      <c r="H81" s="828"/>
      <c r="I81" s="899" t="s">
        <v>327</v>
      </c>
      <c r="J81" s="887" t="s">
        <v>251</v>
      </c>
      <c r="K81" s="819">
        <v>100</v>
      </c>
      <c r="L81" s="822"/>
      <c r="M81" s="856" t="str">
        <f t="shared" si="24"/>
        <v>Included</v>
      </c>
      <c r="N81" s="850">
        <f t="shared" si="25"/>
        <v>0</v>
      </c>
      <c r="O81" s="847">
        <f t="shared" si="26"/>
        <v>0</v>
      </c>
      <c r="P81" s="847">
        <f t="shared" si="27"/>
        <v>0</v>
      </c>
      <c r="R81" s="754"/>
      <c r="S81" s="754"/>
      <c r="T81" s="754"/>
      <c r="U81" s="754"/>
    </row>
    <row r="82" spans="1:21" s="557" customFormat="1" ht="140.25" customHeight="1">
      <c r="A82" s="887">
        <v>64</v>
      </c>
      <c r="B82" s="887" t="s">
        <v>328</v>
      </c>
      <c r="C82" s="803">
        <v>995413</v>
      </c>
      <c r="D82" s="809"/>
      <c r="E82" s="831">
        <v>0.18</v>
      </c>
      <c r="F82" s="828" t="s">
        <v>205</v>
      </c>
      <c r="G82" s="828"/>
      <c r="H82" s="828"/>
      <c r="I82" s="899" t="s">
        <v>329</v>
      </c>
      <c r="J82" s="887" t="s">
        <v>246</v>
      </c>
      <c r="K82" s="819">
        <v>120</v>
      </c>
      <c r="L82" s="822"/>
      <c r="M82" s="856" t="str">
        <f t="shared" si="24"/>
        <v>Included</v>
      </c>
      <c r="N82" s="850">
        <f t="shared" si="25"/>
        <v>0</v>
      </c>
      <c r="O82" s="847">
        <f t="shared" si="26"/>
        <v>0</v>
      </c>
      <c r="P82" s="847">
        <f t="shared" si="27"/>
        <v>0</v>
      </c>
      <c r="R82" s="754"/>
      <c r="S82" s="754"/>
      <c r="T82" s="754"/>
      <c r="U82" s="754"/>
    </row>
    <row r="83" spans="1:21" s="557" customFormat="1" ht="137.25" customHeight="1">
      <c r="A83" s="936">
        <v>65</v>
      </c>
      <c r="B83" s="936" t="s">
        <v>330</v>
      </c>
      <c r="C83" s="937">
        <v>995413</v>
      </c>
      <c r="D83" s="938"/>
      <c r="E83" s="939">
        <v>0.18</v>
      </c>
      <c r="F83" s="940" t="s">
        <v>205</v>
      </c>
      <c r="G83" s="940"/>
      <c r="H83" s="940"/>
      <c r="I83" s="941" t="s">
        <v>331</v>
      </c>
      <c r="J83" s="936" t="s">
        <v>246</v>
      </c>
      <c r="K83" s="819">
        <v>200</v>
      </c>
      <c r="L83" s="822"/>
      <c r="M83" s="856" t="str">
        <f t="shared" si="24"/>
        <v>Included</v>
      </c>
      <c r="N83" s="850">
        <f t="shared" si="25"/>
        <v>0</v>
      </c>
      <c r="O83" s="847">
        <f t="shared" si="26"/>
        <v>0</v>
      </c>
      <c r="P83" s="847">
        <f t="shared" si="27"/>
        <v>0</v>
      </c>
      <c r="R83" s="754"/>
      <c r="S83" s="754"/>
      <c r="T83" s="754"/>
      <c r="U83" s="754"/>
    </row>
    <row r="84" spans="1:21" s="557" customFormat="1" ht="134.25" customHeight="1">
      <c r="A84" s="929">
        <v>66</v>
      </c>
      <c r="B84" s="929" t="s">
        <v>332</v>
      </c>
      <c r="C84" s="930">
        <v>995413</v>
      </c>
      <c r="D84" s="931"/>
      <c r="E84" s="932">
        <v>0.18</v>
      </c>
      <c r="F84" s="933" t="s">
        <v>205</v>
      </c>
      <c r="G84" s="933"/>
      <c r="H84" s="933"/>
      <c r="I84" s="934" t="s">
        <v>333</v>
      </c>
      <c r="J84" s="929" t="s">
        <v>246</v>
      </c>
      <c r="K84" s="935">
        <v>200</v>
      </c>
      <c r="L84" s="822"/>
      <c r="M84" s="856" t="str">
        <f t="shared" si="24"/>
        <v>Included</v>
      </c>
      <c r="N84" s="850">
        <f>P84</f>
        <v>0</v>
      </c>
      <c r="O84" s="847">
        <f>IF(M84="Included",0,M84)</f>
        <v>0</v>
      </c>
      <c r="P84" s="847">
        <f>IF(E84="confirmed",(O84*D84),(O84*E84))</f>
        <v>0</v>
      </c>
      <c r="R84" s="754"/>
      <c r="S84" s="754"/>
      <c r="T84" s="754"/>
      <c r="U84" s="754"/>
    </row>
    <row r="85" spans="1:21" s="557" customFormat="1" ht="141" customHeight="1">
      <c r="A85" s="929">
        <v>67</v>
      </c>
      <c r="B85" s="929" t="s">
        <v>334</v>
      </c>
      <c r="C85" s="930">
        <v>995413</v>
      </c>
      <c r="D85" s="931"/>
      <c r="E85" s="932">
        <v>0.18</v>
      </c>
      <c r="F85" s="933" t="s">
        <v>205</v>
      </c>
      <c r="G85" s="933"/>
      <c r="H85" s="933"/>
      <c r="I85" s="934" t="s">
        <v>335</v>
      </c>
      <c r="J85" s="929" t="s">
        <v>246</v>
      </c>
      <c r="K85" s="935">
        <v>100</v>
      </c>
      <c r="L85" s="822"/>
      <c r="M85" s="856" t="str">
        <f t="shared" si="24"/>
        <v>Included</v>
      </c>
      <c r="N85" s="850">
        <f t="shared" ref="N85:N92" si="28">P85</f>
        <v>0</v>
      </c>
      <c r="O85" s="847">
        <f t="shared" ref="O85:O93" si="29">IF(M85="Included",0,M85)</f>
        <v>0</v>
      </c>
      <c r="P85" s="847">
        <f t="shared" ref="P85:P93" si="30">IF(E85="confirmed",(O85*D85),(O85*E85))</f>
        <v>0</v>
      </c>
      <c r="R85" s="754"/>
      <c r="S85" s="754"/>
      <c r="T85" s="754"/>
      <c r="U85" s="754"/>
    </row>
    <row r="86" spans="1:21" s="557" customFormat="1" ht="130.5" customHeight="1">
      <c r="A86" s="942">
        <v>68</v>
      </c>
      <c r="B86" s="942" t="s">
        <v>336</v>
      </c>
      <c r="C86" s="943">
        <v>995413</v>
      </c>
      <c r="D86" s="944"/>
      <c r="E86" s="945">
        <v>0.18</v>
      </c>
      <c r="F86" s="946" t="s">
        <v>205</v>
      </c>
      <c r="G86" s="946"/>
      <c r="H86" s="946"/>
      <c r="I86" s="955" t="s">
        <v>337</v>
      </c>
      <c r="J86" s="942" t="s">
        <v>246</v>
      </c>
      <c r="K86" s="819">
        <v>100</v>
      </c>
      <c r="L86" s="822"/>
      <c r="M86" s="856" t="str">
        <f t="shared" si="24"/>
        <v>Included</v>
      </c>
      <c r="N86" s="850">
        <f t="shared" si="28"/>
        <v>0</v>
      </c>
      <c r="O86" s="847">
        <f t="shared" si="29"/>
        <v>0</v>
      </c>
      <c r="P86" s="847">
        <f t="shared" si="30"/>
        <v>0</v>
      </c>
      <c r="R86" s="754"/>
      <c r="S86" s="754"/>
      <c r="T86" s="754"/>
      <c r="U86" s="754"/>
    </row>
    <row r="87" spans="1:21" s="557" customFormat="1" ht="130.5" customHeight="1">
      <c r="A87" s="887">
        <v>69</v>
      </c>
      <c r="B87" s="887" t="s">
        <v>338</v>
      </c>
      <c r="C87" s="803">
        <v>995413</v>
      </c>
      <c r="D87" s="809"/>
      <c r="E87" s="831">
        <v>0.18</v>
      </c>
      <c r="F87" s="828" t="s">
        <v>205</v>
      </c>
      <c r="G87" s="828"/>
      <c r="H87" s="828"/>
      <c r="I87" s="954" t="s">
        <v>339</v>
      </c>
      <c r="J87" s="887" t="s">
        <v>246</v>
      </c>
      <c r="K87" s="819">
        <v>200</v>
      </c>
      <c r="L87" s="822"/>
      <c r="M87" s="856" t="str">
        <f t="shared" si="24"/>
        <v>Included</v>
      </c>
      <c r="N87" s="850">
        <f t="shared" si="28"/>
        <v>0</v>
      </c>
      <c r="O87" s="847">
        <f t="shared" si="29"/>
        <v>0</v>
      </c>
      <c r="P87" s="847">
        <f t="shared" si="30"/>
        <v>0</v>
      </c>
      <c r="R87" s="754"/>
      <c r="S87" s="754"/>
      <c r="T87" s="754"/>
      <c r="U87" s="754"/>
    </row>
    <row r="88" spans="1:21" s="557" customFormat="1" ht="54.75" customHeight="1">
      <c r="A88" s="887">
        <v>70</v>
      </c>
      <c r="B88" s="887" t="s">
        <v>340</v>
      </c>
      <c r="C88" s="803">
        <v>995413</v>
      </c>
      <c r="D88" s="809"/>
      <c r="E88" s="831">
        <v>0.18</v>
      </c>
      <c r="F88" s="828" t="s">
        <v>205</v>
      </c>
      <c r="G88" s="828"/>
      <c r="H88" s="828"/>
      <c r="I88" s="899" t="s">
        <v>341</v>
      </c>
      <c r="J88" s="887" t="s">
        <v>224</v>
      </c>
      <c r="K88" s="819">
        <v>51</v>
      </c>
      <c r="L88" s="822"/>
      <c r="M88" s="856" t="str">
        <f t="shared" si="24"/>
        <v>Included</v>
      </c>
      <c r="N88" s="850">
        <f t="shared" si="28"/>
        <v>0</v>
      </c>
      <c r="O88" s="847">
        <f t="shared" si="29"/>
        <v>0</v>
      </c>
      <c r="P88" s="847">
        <f t="shared" si="30"/>
        <v>0</v>
      </c>
      <c r="R88" s="754"/>
      <c r="S88" s="754"/>
      <c r="T88" s="754"/>
      <c r="U88" s="754"/>
    </row>
    <row r="89" spans="1:21" s="557" customFormat="1" ht="87" customHeight="1">
      <c r="A89" s="887">
        <v>71</v>
      </c>
      <c r="B89" s="887">
        <v>18.48</v>
      </c>
      <c r="C89" s="803">
        <v>995413</v>
      </c>
      <c r="D89" s="809"/>
      <c r="E89" s="831">
        <v>0.18</v>
      </c>
      <c r="F89" s="828" t="s">
        <v>205</v>
      </c>
      <c r="G89" s="828"/>
      <c r="H89" s="828"/>
      <c r="I89" s="899" t="s">
        <v>342</v>
      </c>
      <c r="J89" s="887" t="s">
        <v>343</v>
      </c>
      <c r="K89" s="819">
        <v>28500</v>
      </c>
      <c r="L89" s="822"/>
      <c r="M89" s="856" t="str">
        <f t="shared" si="24"/>
        <v>Included</v>
      </c>
      <c r="N89" s="850">
        <f t="shared" si="28"/>
        <v>0</v>
      </c>
      <c r="O89" s="847">
        <f t="shared" si="29"/>
        <v>0</v>
      </c>
      <c r="P89" s="847">
        <f t="shared" si="30"/>
        <v>0</v>
      </c>
      <c r="R89" s="754"/>
      <c r="S89" s="754"/>
      <c r="T89" s="754"/>
      <c r="U89" s="754"/>
    </row>
    <row r="90" spans="1:21" s="557" customFormat="1" ht="64.5" customHeight="1">
      <c r="A90" s="887">
        <v>72</v>
      </c>
      <c r="B90" s="887" t="s">
        <v>344</v>
      </c>
      <c r="C90" s="803">
        <v>995413</v>
      </c>
      <c r="D90" s="809"/>
      <c r="E90" s="831">
        <v>0.18</v>
      </c>
      <c r="F90" s="828" t="s">
        <v>205</v>
      </c>
      <c r="G90" s="828"/>
      <c r="H90" s="828"/>
      <c r="I90" s="899" t="s">
        <v>345</v>
      </c>
      <c r="J90" s="887" t="s">
        <v>224</v>
      </c>
      <c r="K90" s="819">
        <v>19</v>
      </c>
      <c r="L90" s="822"/>
      <c r="M90" s="856" t="str">
        <f t="shared" si="24"/>
        <v>Included</v>
      </c>
      <c r="N90" s="850">
        <f t="shared" si="28"/>
        <v>0</v>
      </c>
      <c r="O90" s="847">
        <f t="shared" si="29"/>
        <v>0</v>
      </c>
      <c r="P90" s="847">
        <f t="shared" si="30"/>
        <v>0</v>
      </c>
      <c r="R90" s="754"/>
      <c r="S90" s="754"/>
      <c r="T90" s="754"/>
      <c r="U90" s="754"/>
    </row>
    <row r="91" spans="1:21" s="557" customFormat="1" ht="84.75" customHeight="1">
      <c r="A91" s="887">
        <v>73</v>
      </c>
      <c r="B91" s="887" t="s">
        <v>346</v>
      </c>
      <c r="C91" s="803">
        <v>995413</v>
      </c>
      <c r="D91" s="809"/>
      <c r="E91" s="831">
        <v>0.18</v>
      </c>
      <c r="F91" s="828" t="s">
        <v>205</v>
      </c>
      <c r="G91" s="828"/>
      <c r="H91" s="828"/>
      <c r="I91" s="899" t="s">
        <v>347</v>
      </c>
      <c r="J91" s="887" t="s">
        <v>224</v>
      </c>
      <c r="K91" s="819">
        <v>19</v>
      </c>
      <c r="L91" s="822"/>
      <c r="M91" s="856" t="str">
        <f t="shared" si="24"/>
        <v>Included</v>
      </c>
      <c r="N91" s="850">
        <f t="shared" si="28"/>
        <v>0</v>
      </c>
      <c r="O91" s="847">
        <f t="shared" si="29"/>
        <v>0</v>
      </c>
      <c r="P91" s="847">
        <f t="shared" si="30"/>
        <v>0</v>
      </c>
      <c r="R91" s="754"/>
      <c r="S91" s="754"/>
      <c r="T91" s="754"/>
      <c r="U91" s="754"/>
    </row>
    <row r="92" spans="1:21" s="557" customFormat="1" ht="94.5" customHeight="1">
      <c r="A92" s="887">
        <v>74</v>
      </c>
      <c r="B92" s="887" t="s">
        <v>348</v>
      </c>
      <c r="C92" s="803">
        <v>995413</v>
      </c>
      <c r="D92" s="809"/>
      <c r="E92" s="831">
        <v>0.18</v>
      </c>
      <c r="F92" s="828" t="s">
        <v>205</v>
      </c>
      <c r="G92" s="828"/>
      <c r="H92" s="828"/>
      <c r="I92" s="899" t="s">
        <v>349</v>
      </c>
      <c r="J92" s="887" t="s">
        <v>224</v>
      </c>
      <c r="K92" s="819">
        <v>19</v>
      </c>
      <c r="L92" s="822"/>
      <c r="M92" s="856" t="str">
        <f t="shared" si="24"/>
        <v>Included</v>
      </c>
      <c r="N92" s="850">
        <f t="shared" si="28"/>
        <v>0</v>
      </c>
      <c r="O92" s="847">
        <f t="shared" si="29"/>
        <v>0</v>
      </c>
      <c r="P92" s="847">
        <f t="shared" si="30"/>
        <v>0</v>
      </c>
      <c r="R92" s="754"/>
      <c r="S92" s="754"/>
      <c r="T92" s="754"/>
      <c r="U92" s="754"/>
    </row>
    <row r="93" spans="1:21" s="557" customFormat="1" ht="53.25" customHeight="1">
      <c r="A93" s="887">
        <v>75</v>
      </c>
      <c r="B93" s="887" t="s">
        <v>350</v>
      </c>
      <c r="C93" s="803">
        <v>995413</v>
      </c>
      <c r="D93" s="809"/>
      <c r="E93" s="831">
        <v>0.18</v>
      </c>
      <c r="F93" s="828" t="s">
        <v>205</v>
      </c>
      <c r="G93" s="828"/>
      <c r="H93" s="828"/>
      <c r="I93" s="899" t="s">
        <v>351</v>
      </c>
      <c r="J93" s="887" t="s">
        <v>224</v>
      </c>
      <c r="K93" s="819">
        <v>19</v>
      </c>
      <c r="L93" s="822"/>
      <c r="M93" s="856"/>
      <c r="N93" s="850"/>
      <c r="O93" s="847">
        <f t="shared" si="29"/>
        <v>0</v>
      </c>
      <c r="P93" s="847">
        <f t="shared" si="30"/>
        <v>0</v>
      </c>
      <c r="R93" s="754"/>
      <c r="S93" s="754"/>
      <c r="T93" s="754"/>
      <c r="U93" s="754"/>
    </row>
    <row r="94" spans="1:21" s="557" customFormat="1" ht="61.5" customHeight="1">
      <c r="A94" s="887">
        <v>76</v>
      </c>
      <c r="B94" s="887" t="s">
        <v>352</v>
      </c>
      <c r="C94" s="803">
        <v>995413</v>
      </c>
      <c r="D94" s="809"/>
      <c r="E94" s="831">
        <v>0.18</v>
      </c>
      <c r="F94" s="828" t="s">
        <v>205</v>
      </c>
      <c r="G94" s="828"/>
      <c r="H94" s="828"/>
      <c r="I94" s="899" t="s">
        <v>353</v>
      </c>
      <c r="J94" s="887" t="s">
        <v>224</v>
      </c>
      <c r="K94" s="819">
        <v>19</v>
      </c>
      <c r="L94" s="822"/>
      <c r="M94" s="856" t="str">
        <f t="shared" ref="M94:M102" si="31">IF(L94=0, "Included", IF(ISERROR(K94*L94), L94, K94*L94))</f>
        <v>Included</v>
      </c>
      <c r="N94" s="850">
        <f>P94</f>
        <v>0</v>
      </c>
      <c r="O94" s="847">
        <f>IF(M94="Included",0,M94)</f>
        <v>0</v>
      </c>
      <c r="P94" s="847">
        <f>IF(E94="confirmed",(O94*D94),(O94*E94))</f>
        <v>0</v>
      </c>
      <c r="R94" s="754"/>
      <c r="S94" s="754"/>
      <c r="T94" s="754"/>
      <c r="U94" s="754"/>
    </row>
    <row r="95" spans="1:21" s="557" customFormat="1" ht="56.25" customHeight="1">
      <c r="A95" s="887">
        <v>77</v>
      </c>
      <c r="B95" s="887" t="s">
        <v>354</v>
      </c>
      <c r="C95" s="803">
        <v>995413</v>
      </c>
      <c r="D95" s="809"/>
      <c r="E95" s="831">
        <v>0.18</v>
      </c>
      <c r="F95" s="828" t="s">
        <v>205</v>
      </c>
      <c r="G95" s="828"/>
      <c r="H95" s="828"/>
      <c r="I95" s="899" t="s">
        <v>355</v>
      </c>
      <c r="J95" s="887" t="s">
        <v>224</v>
      </c>
      <c r="K95" s="819">
        <v>19</v>
      </c>
      <c r="L95" s="822"/>
      <c r="M95" s="856" t="str">
        <f t="shared" si="31"/>
        <v>Included</v>
      </c>
      <c r="N95" s="850">
        <f t="shared" ref="N95:N102" si="32">P95</f>
        <v>0</v>
      </c>
      <c r="O95" s="847">
        <f t="shared" ref="O95:O103" si="33">IF(M95="Included",0,M95)</f>
        <v>0</v>
      </c>
      <c r="P95" s="847">
        <f t="shared" ref="P95:P103" si="34">IF(E95="confirmed",(O95*D95),(O95*E95))</f>
        <v>0</v>
      </c>
      <c r="R95" s="754"/>
      <c r="S95" s="754"/>
      <c r="T95" s="754"/>
      <c r="U95" s="754"/>
    </row>
    <row r="96" spans="1:21" s="557" customFormat="1" ht="112.5" customHeight="1">
      <c r="A96" s="887">
        <v>78</v>
      </c>
      <c r="B96" s="887" t="s">
        <v>356</v>
      </c>
      <c r="C96" s="803">
        <v>995413</v>
      </c>
      <c r="D96" s="809"/>
      <c r="E96" s="831">
        <v>0.18</v>
      </c>
      <c r="F96" s="828" t="s">
        <v>205</v>
      </c>
      <c r="G96" s="828"/>
      <c r="H96" s="828"/>
      <c r="I96" s="899" t="s">
        <v>357</v>
      </c>
      <c r="J96" s="887" t="s">
        <v>224</v>
      </c>
      <c r="K96" s="819">
        <v>21</v>
      </c>
      <c r="L96" s="822"/>
      <c r="M96" s="856" t="str">
        <f t="shared" si="31"/>
        <v>Included</v>
      </c>
      <c r="N96" s="850">
        <f t="shared" si="32"/>
        <v>0</v>
      </c>
      <c r="O96" s="847">
        <f t="shared" si="33"/>
        <v>0</v>
      </c>
      <c r="P96" s="847">
        <f t="shared" si="34"/>
        <v>0</v>
      </c>
      <c r="R96" s="754"/>
      <c r="S96" s="754"/>
      <c r="T96" s="754"/>
      <c r="U96" s="754"/>
    </row>
    <row r="97" spans="1:21" s="557" customFormat="1" ht="219" customHeight="1">
      <c r="A97" s="887">
        <v>79</v>
      </c>
      <c r="B97" s="887" t="s">
        <v>358</v>
      </c>
      <c r="C97" s="803">
        <v>995413</v>
      </c>
      <c r="D97" s="809"/>
      <c r="E97" s="831">
        <v>0.18</v>
      </c>
      <c r="F97" s="828" t="s">
        <v>205</v>
      </c>
      <c r="G97" s="828"/>
      <c r="H97" s="828"/>
      <c r="I97" s="899" t="s">
        <v>359</v>
      </c>
      <c r="J97" s="887" t="s">
        <v>224</v>
      </c>
      <c r="K97" s="819">
        <v>21</v>
      </c>
      <c r="L97" s="822"/>
      <c r="M97" s="856" t="str">
        <f t="shared" si="31"/>
        <v>Included</v>
      </c>
      <c r="N97" s="850">
        <f t="shared" si="32"/>
        <v>0</v>
      </c>
      <c r="O97" s="847">
        <f t="shared" si="33"/>
        <v>0</v>
      </c>
      <c r="P97" s="847">
        <f t="shared" si="34"/>
        <v>0</v>
      </c>
      <c r="R97" s="754"/>
      <c r="S97" s="754"/>
      <c r="T97" s="754"/>
      <c r="U97" s="754"/>
    </row>
    <row r="98" spans="1:21" s="557" customFormat="1" ht="63.75" customHeight="1">
      <c r="A98" s="887">
        <v>80</v>
      </c>
      <c r="B98" s="887" t="s">
        <v>360</v>
      </c>
      <c r="C98" s="803">
        <v>995413</v>
      </c>
      <c r="D98" s="809"/>
      <c r="E98" s="831">
        <v>0.18</v>
      </c>
      <c r="F98" s="828" t="s">
        <v>205</v>
      </c>
      <c r="G98" s="828"/>
      <c r="H98" s="828"/>
      <c r="I98" s="899" t="s">
        <v>361</v>
      </c>
      <c r="J98" s="887" t="s">
        <v>246</v>
      </c>
      <c r="K98" s="819">
        <v>10</v>
      </c>
      <c r="L98" s="822"/>
      <c r="M98" s="856" t="str">
        <f t="shared" si="31"/>
        <v>Included</v>
      </c>
      <c r="N98" s="850">
        <f t="shared" si="32"/>
        <v>0</v>
      </c>
      <c r="O98" s="847">
        <f t="shared" si="33"/>
        <v>0</v>
      </c>
      <c r="P98" s="847">
        <f t="shared" si="34"/>
        <v>0</v>
      </c>
      <c r="R98" s="754"/>
      <c r="S98" s="754"/>
      <c r="T98" s="754"/>
      <c r="U98" s="754"/>
    </row>
    <row r="99" spans="1:21" s="557" customFormat="1" ht="189.75" customHeight="1">
      <c r="A99" s="887">
        <v>81</v>
      </c>
      <c r="B99" s="928" t="s">
        <v>362</v>
      </c>
      <c r="C99" s="803">
        <v>995413</v>
      </c>
      <c r="D99" s="809"/>
      <c r="E99" s="831">
        <v>0.18</v>
      </c>
      <c r="F99" s="828" t="s">
        <v>205</v>
      </c>
      <c r="G99" s="828"/>
      <c r="H99" s="828"/>
      <c r="I99" s="899" t="s">
        <v>363</v>
      </c>
      <c r="J99" s="887" t="s">
        <v>262</v>
      </c>
      <c r="K99" s="819">
        <v>200</v>
      </c>
      <c r="L99" s="822"/>
      <c r="M99" s="856" t="str">
        <f t="shared" si="31"/>
        <v>Included</v>
      </c>
      <c r="N99" s="850">
        <f t="shared" si="32"/>
        <v>0</v>
      </c>
      <c r="O99" s="847">
        <f t="shared" si="33"/>
        <v>0</v>
      </c>
      <c r="P99" s="847">
        <f t="shared" si="34"/>
        <v>0</v>
      </c>
      <c r="R99" s="754"/>
      <c r="S99" s="754"/>
      <c r="T99" s="754"/>
      <c r="U99" s="754"/>
    </row>
    <row r="100" spans="1:21" s="557" customFormat="1" ht="69.75" customHeight="1">
      <c r="A100" s="887">
        <v>82</v>
      </c>
      <c r="B100" s="887" t="s">
        <v>364</v>
      </c>
      <c r="C100" s="803">
        <v>995413</v>
      </c>
      <c r="D100" s="809"/>
      <c r="E100" s="831">
        <v>0.18</v>
      </c>
      <c r="F100" s="828" t="s">
        <v>205</v>
      </c>
      <c r="G100" s="828"/>
      <c r="H100" s="828"/>
      <c r="I100" s="899" t="s">
        <v>365</v>
      </c>
      <c r="J100" s="887" t="s">
        <v>207</v>
      </c>
      <c r="K100" s="819">
        <v>20</v>
      </c>
      <c r="L100" s="822"/>
      <c r="M100" s="856" t="str">
        <f t="shared" si="31"/>
        <v>Included</v>
      </c>
      <c r="N100" s="850">
        <f t="shared" si="32"/>
        <v>0</v>
      </c>
      <c r="O100" s="847">
        <f t="shared" si="33"/>
        <v>0</v>
      </c>
      <c r="P100" s="847">
        <f t="shared" si="34"/>
        <v>0</v>
      </c>
      <c r="R100" s="754"/>
      <c r="S100" s="754"/>
      <c r="T100" s="754"/>
      <c r="U100" s="754"/>
    </row>
    <row r="101" spans="1:21" s="914" customFormat="1" ht="134.25" customHeight="1">
      <c r="A101" s="903">
        <v>83</v>
      </c>
      <c r="B101" s="903" t="s">
        <v>366</v>
      </c>
      <c r="C101" s="904">
        <v>995413</v>
      </c>
      <c r="D101" s="905"/>
      <c r="E101" s="906">
        <v>0.18</v>
      </c>
      <c r="F101" s="907" t="s">
        <v>205</v>
      </c>
      <c r="G101" s="907"/>
      <c r="H101" s="907"/>
      <c r="I101" s="908" t="s">
        <v>367</v>
      </c>
      <c r="J101" s="903" t="s">
        <v>207</v>
      </c>
      <c r="K101" s="909">
        <v>350</v>
      </c>
      <c r="L101" s="910"/>
      <c r="M101" s="911" t="str">
        <f t="shared" si="31"/>
        <v>Included</v>
      </c>
      <c r="N101" s="912">
        <f t="shared" si="32"/>
        <v>0</v>
      </c>
      <c r="O101" s="913">
        <f t="shared" si="33"/>
        <v>0</v>
      </c>
      <c r="P101" s="913">
        <f t="shared" si="34"/>
        <v>0</v>
      </c>
      <c r="R101" s="915"/>
      <c r="S101" s="915"/>
      <c r="T101" s="915"/>
      <c r="U101" s="915"/>
    </row>
    <row r="102" spans="1:21" s="557" customFormat="1" ht="60" customHeight="1">
      <c r="A102" s="887">
        <v>84</v>
      </c>
      <c r="B102" s="887" t="s">
        <v>368</v>
      </c>
      <c r="C102" s="803">
        <v>995413</v>
      </c>
      <c r="D102" s="809"/>
      <c r="E102" s="831">
        <v>0.18</v>
      </c>
      <c r="F102" s="828" t="s">
        <v>205</v>
      </c>
      <c r="G102" s="828"/>
      <c r="H102" s="828"/>
      <c r="I102" s="916" t="s">
        <v>369</v>
      </c>
      <c r="J102" s="887" t="s">
        <v>224</v>
      </c>
      <c r="K102" s="819">
        <v>300</v>
      </c>
      <c r="L102" s="822"/>
      <c r="M102" s="856" t="str">
        <f t="shared" si="31"/>
        <v>Included</v>
      </c>
      <c r="N102" s="850">
        <f t="shared" si="32"/>
        <v>0</v>
      </c>
      <c r="O102" s="847">
        <f t="shared" si="33"/>
        <v>0</v>
      </c>
      <c r="P102" s="847">
        <f t="shared" si="34"/>
        <v>0</v>
      </c>
      <c r="R102" s="754"/>
      <c r="S102" s="754"/>
      <c r="T102" s="754"/>
      <c r="U102" s="754"/>
    </row>
    <row r="103" spans="1:21" s="557" customFormat="1" ht="66">
      <c r="A103" s="887">
        <v>85</v>
      </c>
      <c r="B103" s="887">
        <v>9.1709999999999994</v>
      </c>
      <c r="C103" s="803">
        <v>995413</v>
      </c>
      <c r="D103" s="809"/>
      <c r="E103" s="831">
        <v>0.18</v>
      </c>
      <c r="F103" s="828" t="s">
        <v>205</v>
      </c>
      <c r="G103" s="828"/>
      <c r="H103" s="828"/>
      <c r="I103" s="916" t="s">
        <v>370</v>
      </c>
      <c r="J103" s="887" t="s">
        <v>224</v>
      </c>
      <c r="K103" s="819">
        <v>300</v>
      </c>
      <c r="L103" s="822"/>
      <c r="M103" s="856"/>
      <c r="N103" s="850"/>
      <c r="O103" s="847">
        <f t="shared" si="33"/>
        <v>0</v>
      </c>
      <c r="P103" s="847">
        <f t="shared" si="34"/>
        <v>0</v>
      </c>
      <c r="R103" s="754"/>
      <c r="S103" s="754"/>
      <c r="T103" s="754"/>
      <c r="U103" s="754"/>
    </row>
    <row r="104" spans="1:21" s="557" customFormat="1" ht="61.5" customHeight="1">
      <c r="A104" s="887">
        <v>86</v>
      </c>
      <c r="B104" s="887">
        <v>9.1720000000000006</v>
      </c>
      <c r="C104" s="803">
        <v>995413</v>
      </c>
      <c r="D104" s="809"/>
      <c r="E104" s="831">
        <v>0.18</v>
      </c>
      <c r="F104" s="828" t="s">
        <v>205</v>
      </c>
      <c r="G104" s="828"/>
      <c r="H104" s="828"/>
      <c r="I104" s="917" t="s">
        <v>371</v>
      </c>
      <c r="J104" s="887" t="s">
        <v>372</v>
      </c>
      <c r="K104" s="819">
        <v>475</v>
      </c>
      <c r="L104" s="822"/>
      <c r="M104" s="856" t="str">
        <f t="shared" ref="M104:M112" si="35">IF(L104=0, "Included", IF(ISERROR(K104*L104), L104, K104*L104))</f>
        <v>Included</v>
      </c>
      <c r="N104" s="850">
        <f>P104</f>
        <v>0</v>
      </c>
      <c r="O104" s="847">
        <f>IF(M104="Included",0,M104)</f>
        <v>0</v>
      </c>
      <c r="P104" s="847">
        <f>IF(E104="confirmed",(O104*D104),(O104*E104))</f>
        <v>0</v>
      </c>
      <c r="R104" s="754"/>
      <c r="S104" s="754"/>
      <c r="T104" s="754"/>
      <c r="U104" s="754"/>
    </row>
    <row r="105" spans="1:21" s="557" customFormat="1" ht="56.25" customHeight="1">
      <c r="A105" s="887">
        <v>87</v>
      </c>
      <c r="B105" s="887" t="s">
        <v>373</v>
      </c>
      <c r="C105" s="803">
        <v>995413</v>
      </c>
      <c r="D105" s="809"/>
      <c r="E105" s="831">
        <v>0.18</v>
      </c>
      <c r="F105" s="828" t="s">
        <v>205</v>
      </c>
      <c r="G105" s="828"/>
      <c r="H105" s="828"/>
      <c r="I105" s="918" t="s">
        <v>374</v>
      </c>
      <c r="J105" s="887" t="s">
        <v>262</v>
      </c>
      <c r="K105" s="819">
        <v>200</v>
      </c>
      <c r="L105" s="822"/>
      <c r="M105" s="856" t="str">
        <f t="shared" si="35"/>
        <v>Included</v>
      </c>
      <c r="N105" s="850">
        <f t="shared" ref="N105:N112" si="36">P105</f>
        <v>0</v>
      </c>
      <c r="O105" s="847">
        <f t="shared" ref="O105:O113" si="37">IF(M105="Included",0,M105)</f>
        <v>0</v>
      </c>
      <c r="P105" s="847">
        <f t="shared" ref="P105:P113" si="38">IF(E105="confirmed",(O105*D105),(O105*E105))</f>
        <v>0</v>
      </c>
      <c r="R105" s="754"/>
      <c r="S105" s="754"/>
      <c r="T105" s="754"/>
      <c r="U105" s="754"/>
    </row>
    <row r="106" spans="1:21" s="557" customFormat="1" ht="165">
      <c r="A106" s="887">
        <v>88</v>
      </c>
      <c r="B106" s="887" t="s">
        <v>375</v>
      </c>
      <c r="C106" s="803">
        <v>995413</v>
      </c>
      <c r="D106" s="809"/>
      <c r="E106" s="831">
        <v>0.18</v>
      </c>
      <c r="F106" s="828" t="s">
        <v>205</v>
      </c>
      <c r="G106" s="828"/>
      <c r="H106" s="828"/>
      <c r="I106" s="916" t="s">
        <v>376</v>
      </c>
      <c r="J106" s="887" t="s">
        <v>207</v>
      </c>
      <c r="K106" s="819">
        <v>1370</v>
      </c>
      <c r="L106" s="822"/>
      <c r="M106" s="856" t="str">
        <f t="shared" si="35"/>
        <v>Included</v>
      </c>
      <c r="N106" s="850">
        <f t="shared" si="36"/>
        <v>0</v>
      </c>
      <c r="O106" s="847">
        <f t="shared" si="37"/>
        <v>0</v>
      </c>
      <c r="P106" s="847">
        <f t="shared" si="38"/>
        <v>0</v>
      </c>
      <c r="R106" s="754"/>
      <c r="S106" s="754"/>
      <c r="T106" s="754"/>
      <c r="U106" s="754"/>
    </row>
    <row r="107" spans="1:21" s="557" customFormat="1" ht="44.25" customHeight="1">
      <c r="A107" s="887">
        <v>89</v>
      </c>
      <c r="B107" s="887" t="s">
        <v>377</v>
      </c>
      <c r="C107" s="803">
        <v>995413</v>
      </c>
      <c r="D107" s="809"/>
      <c r="E107" s="831">
        <v>0.18</v>
      </c>
      <c r="F107" s="828" t="s">
        <v>205</v>
      </c>
      <c r="G107" s="828"/>
      <c r="H107" s="828"/>
      <c r="I107" s="888" t="s">
        <v>378</v>
      </c>
      <c r="J107" s="887" t="s">
        <v>251</v>
      </c>
      <c r="K107" s="819">
        <v>10</v>
      </c>
      <c r="L107" s="822"/>
      <c r="M107" s="856" t="str">
        <f t="shared" si="35"/>
        <v>Included</v>
      </c>
      <c r="N107" s="850">
        <f t="shared" si="36"/>
        <v>0</v>
      </c>
      <c r="O107" s="847">
        <f t="shared" si="37"/>
        <v>0</v>
      </c>
      <c r="P107" s="847">
        <f t="shared" si="38"/>
        <v>0</v>
      </c>
      <c r="R107" s="754"/>
      <c r="S107" s="754"/>
      <c r="T107" s="754"/>
      <c r="U107" s="754"/>
    </row>
    <row r="108" spans="1:21" s="557" customFormat="1" ht="39.75" customHeight="1">
      <c r="A108" s="887">
        <v>90</v>
      </c>
      <c r="B108" s="887" t="s">
        <v>379</v>
      </c>
      <c r="C108" s="803">
        <v>995413</v>
      </c>
      <c r="D108" s="809"/>
      <c r="E108" s="831">
        <v>0.18</v>
      </c>
      <c r="F108" s="828" t="s">
        <v>205</v>
      </c>
      <c r="G108" s="828"/>
      <c r="H108" s="828"/>
      <c r="I108" s="888" t="s">
        <v>380</v>
      </c>
      <c r="J108" s="887" t="s">
        <v>262</v>
      </c>
      <c r="K108" s="819">
        <v>400</v>
      </c>
      <c r="L108" s="822"/>
      <c r="M108" s="856" t="str">
        <f t="shared" si="35"/>
        <v>Included</v>
      </c>
      <c r="N108" s="850">
        <f t="shared" si="36"/>
        <v>0</v>
      </c>
      <c r="O108" s="847">
        <f t="shared" si="37"/>
        <v>0</v>
      </c>
      <c r="P108" s="847">
        <f t="shared" si="38"/>
        <v>0</v>
      </c>
      <c r="R108" s="754"/>
      <c r="S108" s="754"/>
      <c r="T108" s="754"/>
      <c r="U108" s="754"/>
    </row>
    <row r="109" spans="1:21" s="557" customFormat="1" ht="45.75" customHeight="1">
      <c r="A109" s="887">
        <v>91</v>
      </c>
      <c r="B109" s="887" t="s">
        <v>381</v>
      </c>
      <c r="C109" s="803">
        <v>995413</v>
      </c>
      <c r="D109" s="809"/>
      <c r="E109" s="831">
        <v>0.18</v>
      </c>
      <c r="F109" s="828" t="s">
        <v>205</v>
      </c>
      <c r="G109" s="828"/>
      <c r="H109" s="828"/>
      <c r="I109" s="916" t="s">
        <v>382</v>
      </c>
      <c r="J109" s="887" t="s">
        <v>251</v>
      </c>
      <c r="K109" s="819">
        <v>60</v>
      </c>
      <c r="L109" s="822"/>
      <c r="M109" s="856" t="str">
        <f t="shared" si="35"/>
        <v>Included</v>
      </c>
      <c r="N109" s="850">
        <f t="shared" si="36"/>
        <v>0</v>
      </c>
      <c r="O109" s="847">
        <f t="shared" si="37"/>
        <v>0</v>
      </c>
      <c r="P109" s="847">
        <f t="shared" si="38"/>
        <v>0</v>
      </c>
      <c r="R109" s="754"/>
      <c r="S109" s="754"/>
      <c r="T109" s="754"/>
      <c r="U109" s="754"/>
    </row>
    <row r="110" spans="1:21" s="557" customFormat="1" ht="38.25" customHeight="1">
      <c r="A110" s="887">
        <v>92</v>
      </c>
      <c r="B110" s="887">
        <v>2.27</v>
      </c>
      <c r="C110" s="803">
        <v>995413</v>
      </c>
      <c r="D110" s="809"/>
      <c r="E110" s="831">
        <v>0.18</v>
      </c>
      <c r="F110" s="828" t="s">
        <v>205</v>
      </c>
      <c r="G110" s="828"/>
      <c r="H110" s="828"/>
      <c r="I110" s="916" t="s">
        <v>383</v>
      </c>
      <c r="J110" s="887" t="s">
        <v>251</v>
      </c>
      <c r="K110" s="819">
        <v>20</v>
      </c>
      <c r="L110" s="822"/>
      <c r="M110" s="856" t="str">
        <f t="shared" si="35"/>
        <v>Included</v>
      </c>
      <c r="N110" s="850">
        <f t="shared" si="36"/>
        <v>0</v>
      </c>
      <c r="O110" s="847">
        <f t="shared" si="37"/>
        <v>0</v>
      </c>
      <c r="P110" s="847">
        <f t="shared" si="38"/>
        <v>0</v>
      </c>
      <c r="R110" s="754"/>
      <c r="S110" s="754"/>
      <c r="T110" s="754"/>
      <c r="U110" s="754"/>
    </row>
    <row r="111" spans="1:21" s="557" customFormat="1" ht="56.25" customHeight="1">
      <c r="A111" s="887">
        <v>93</v>
      </c>
      <c r="B111" s="887" t="s">
        <v>384</v>
      </c>
      <c r="C111" s="803">
        <v>995413</v>
      </c>
      <c r="D111" s="809"/>
      <c r="E111" s="831">
        <v>0.18</v>
      </c>
      <c r="F111" s="828" t="s">
        <v>205</v>
      </c>
      <c r="G111" s="828"/>
      <c r="H111" s="828"/>
      <c r="I111" s="916" t="s">
        <v>385</v>
      </c>
      <c r="J111" s="887" t="s">
        <v>207</v>
      </c>
      <c r="K111" s="819">
        <v>2000</v>
      </c>
      <c r="L111" s="822"/>
      <c r="M111" s="856" t="str">
        <f t="shared" si="35"/>
        <v>Included</v>
      </c>
      <c r="N111" s="850">
        <f t="shared" si="36"/>
        <v>0</v>
      </c>
      <c r="O111" s="847">
        <f t="shared" si="37"/>
        <v>0</v>
      </c>
      <c r="P111" s="847">
        <f t="shared" si="38"/>
        <v>0</v>
      </c>
      <c r="R111" s="754"/>
      <c r="S111" s="754"/>
      <c r="T111" s="754"/>
      <c r="U111" s="754"/>
    </row>
    <row r="112" spans="1:21" s="557" customFormat="1" ht="105.75" customHeight="1">
      <c r="A112" s="887">
        <v>94</v>
      </c>
      <c r="B112" s="887">
        <v>4.17</v>
      </c>
      <c r="C112" s="803">
        <v>995413</v>
      </c>
      <c r="D112" s="809"/>
      <c r="E112" s="831">
        <v>0.18</v>
      </c>
      <c r="F112" s="828" t="s">
        <v>205</v>
      </c>
      <c r="G112" s="828"/>
      <c r="H112" s="828"/>
      <c r="I112" s="916" t="s">
        <v>386</v>
      </c>
      <c r="J112" s="887" t="s">
        <v>207</v>
      </c>
      <c r="K112" s="819">
        <v>100</v>
      </c>
      <c r="L112" s="822"/>
      <c r="M112" s="856" t="str">
        <f t="shared" si="35"/>
        <v>Included</v>
      </c>
      <c r="N112" s="850">
        <f t="shared" si="36"/>
        <v>0</v>
      </c>
      <c r="O112" s="847">
        <f t="shared" si="37"/>
        <v>0</v>
      </c>
      <c r="P112" s="847">
        <f t="shared" si="38"/>
        <v>0</v>
      </c>
      <c r="R112" s="754"/>
      <c r="S112" s="754"/>
      <c r="T112" s="754"/>
      <c r="U112" s="754"/>
    </row>
    <row r="113" spans="1:21" s="557" customFormat="1" ht="49.5">
      <c r="A113" s="887">
        <v>95</v>
      </c>
      <c r="B113" s="887" t="s">
        <v>387</v>
      </c>
      <c r="C113" s="803">
        <v>995413</v>
      </c>
      <c r="D113" s="809"/>
      <c r="E113" s="831">
        <v>0.18</v>
      </c>
      <c r="F113" s="828" t="s">
        <v>205</v>
      </c>
      <c r="G113" s="828"/>
      <c r="H113" s="828"/>
      <c r="I113" s="916" t="s">
        <v>388</v>
      </c>
      <c r="J113" s="887" t="s">
        <v>207</v>
      </c>
      <c r="K113" s="819">
        <v>40</v>
      </c>
      <c r="L113" s="822"/>
      <c r="M113" s="856"/>
      <c r="N113" s="850"/>
      <c r="O113" s="847">
        <f t="shared" si="37"/>
        <v>0</v>
      </c>
      <c r="P113" s="847">
        <f t="shared" si="38"/>
        <v>0</v>
      </c>
      <c r="R113" s="754"/>
      <c r="S113" s="754"/>
      <c r="T113" s="754"/>
      <c r="U113" s="754"/>
    </row>
    <row r="114" spans="1:21" s="557" customFormat="1" ht="78.75" customHeight="1">
      <c r="A114" s="887">
        <v>96</v>
      </c>
      <c r="B114" s="887" t="s">
        <v>389</v>
      </c>
      <c r="C114" s="803">
        <v>995413</v>
      </c>
      <c r="D114" s="809"/>
      <c r="E114" s="831">
        <v>0.18</v>
      </c>
      <c r="F114" s="828" t="s">
        <v>205</v>
      </c>
      <c r="G114" s="828"/>
      <c r="H114" s="828"/>
      <c r="I114" s="917" t="s">
        <v>390</v>
      </c>
      <c r="J114" s="887" t="s">
        <v>224</v>
      </c>
      <c r="K114" s="819">
        <v>20</v>
      </c>
      <c r="L114" s="822"/>
      <c r="M114" s="856" t="str">
        <f t="shared" ref="M114:M122" si="39">IF(L114=0, "Included", IF(ISERROR(K114*L114), L114, K114*L114))</f>
        <v>Included</v>
      </c>
      <c r="N114" s="850">
        <f>P114</f>
        <v>0</v>
      </c>
      <c r="O114" s="847">
        <f>IF(M114="Included",0,M114)</f>
        <v>0</v>
      </c>
      <c r="P114" s="847">
        <f>IF(E114="confirmed",(O114*D114),(O114*E114))</f>
        <v>0</v>
      </c>
      <c r="R114" s="754"/>
      <c r="S114" s="754"/>
      <c r="T114" s="754"/>
      <c r="U114" s="754"/>
    </row>
    <row r="115" spans="1:21" s="557" customFormat="1" ht="56.25" customHeight="1">
      <c r="A115" s="887">
        <v>97</v>
      </c>
      <c r="B115" s="887" t="s">
        <v>391</v>
      </c>
      <c r="C115" s="803">
        <v>995413</v>
      </c>
      <c r="D115" s="809"/>
      <c r="E115" s="831">
        <v>0.18</v>
      </c>
      <c r="F115" s="828" t="s">
        <v>205</v>
      </c>
      <c r="G115" s="828"/>
      <c r="H115" s="828"/>
      <c r="I115" s="918" t="s">
        <v>392</v>
      </c>
      <c r="J115" s="887" t="s">
        <v>224</v>
      </c>
      <c r="K115" s="819">
        <v>20</v>
      </c>
      <c r="L115" s="822"/>
      <c r="M115" s="856" t="str">
        <f t="shared" si="39"/>
        <v>Included</v>
      </c>
      <c r="N115" s="850">
        <f t="shared" ref="N115:N122" si="40">P115</f>
        <v>0</v>
      </c>
      <c r="O115" s="847">
        <f t="shared" ref="O115:O123" si="41">IF(M115="Included",0,M115)</f>
        <v>0</v>
      </c>
      <c r="P115" s="847">
        <f t="shared" ref="P115:P123" si="42">IF(E115="confirmed",(O115*D115),(O115*E115))</f>
        <v>0</v>
      </c>
      <c r="R115" s="754"/>
      <c r="S115" s="754"/>
      <c r="T115" s="754"/>
      <c r="U115" s="754"/>
    </row>
    <row r="116" spans="1:21" s="557" customFormat="1" ht="99">
      <c r="A116" s="887">
        <v>98</v>
      </c>
      <c r="B116" s="887" t="s">
        <v>393</v>
      </c>
      <c r="C116" s="803">
        <v>995413</v>
      </c>
      <c r="D116" s="809"/>
      <c r="E116" s="831">
        <v>0.18</v>
      </c>
      <c r="F116" s="828" t="s">
        <v>205</v>
      </c>
      <c r="G116" s="828"/>
      <c r="H116" s="828"/>
      <c r="I116" s="916" t="s">
        <v>394</v>
      </c>
      <c r="J116" s="887" t="s">
        <v>224</v>
      </c>
      <c r="K116" s="819">
        <v>38</v>
      </c>
      <c r="L116" s="822"/>
      <c r="M116" s="856" t="str">
        <f t="shared" si="39"/>
        <v>Included</v>
      </c>
      <c r="N116" s="850">
        <f t="shared" si="40"/>
        <v>0</v>
      </c>
      <c r="O116" s="847">
        <f t="shared" si="41"/>
        <v>0</v>
      </c>
      <c r="P116" s="847">
        <f t="shared" si="42"/>
        <v>0</v>
      </c>
      <c r="R116" s="754"/>
      <c r="S116" s="754"/>
      <c r="T116" s="754"/>
      <c r="U116" s="754"/>
    </row>
    <row r="117" spans="1:21" s="557" customFormat="1" ht="44.25" customHeight="1">
      <c r="A117" s="887">
        <v>99</v>
      </c>
      <c r="B117" s="887" t="s">
        <v>395</v>
      </c>
      <c r="C117" s="803">
        <v>995413</v>
      </c>
      <c r="D117" s="809"/>
      <c r="E117" s="831">
        <v>0.18</v>
      </c>
      <c r="F117" s="828" t="s">
        <v>205</v>
      </c>
      <c r="G117" s="828"/>
      <c r="H117" s="828"/>
      <c r="I117" s="888" t="s">
        <v>396</v>
      </c>
      <c r="J117" s="887" t="s">
        <v>224</v>
      </c>
      <c r="K117" s="819">
        <v>19</v>
      </c>
      <c r="L117" s="822"/>
      <c r="M117" s="856" t="str">
        <f t="shared" si="39"/>
        <v>Included</v>
      </c>
      <c r="N117" s="850">
        <f t="shared" si="40"/>
        <v>0</v>
      </c>
      <c r="O117" s="847">
        <f t="shared" si="41"/>
        <v>0</v>
      </c>
      <c r="P117" s="847">
        <f t="shared" si="42"/>
        <v>0</v>
      </c>
      <c r="R117" s="754"/>
      <c r="S117" s="754"/>
      <c r="T117" s="754"/>
      <c r="U117" s="754"/>
    </row>
    <row r="118" spans="1:21" s="557" customFormat="1" ht="39.75" customHeight="1">
      <c r="A118" s="887">
        <v>100</v>
      </c>
      <c r="B118" s="887">
        <v>17.309999999999999</v>
      </c>
      <c r="C118" s="803">
        <v>995413</v>
      </c>
      <c r="D118" s="809"/>
      <c r="E118" s="831">
        <v>0.18</v>
      </c>
      <c r="F118" s="828" t="s">
        <v>205</v>
      </c>
      <c r="G118" s="828"/>
      <c r="H118" s="828"/>
      <c r="I118" s="888" t="s">
        <v>397</v>
      </c>
      <c r="J118" s="887" t="s">
        <v>224</v>
      </c>
      <c r="K118" s="819">
        <v>20</v>
      </c>
      <c r="L118" s="822"/>
      <c r="M118" s="856" t="str">
        <f t="shared" si="39"/>
        <v>Included</v>
      </c>
      <c r="N118" s="850">
        <f t="shared" si="40"/>
        <v>0</v>
      </c>
      <c r="O118" s="847">
        <f t="shared" si="41"/>
        <v>0</v>
      </c>
      <c r="P118" s="847">
        <f t="shared" si="42"/>
        <v>0</v>
      </c>
      <c r="R118" s="754"/>
      <c r="S118" s="754"/>
      <c r="T118" s="754"/>
      <c r="U118" s="754"/>
    </row>
    <row r="119" spans="1:21" s="557" customFormat="1" ht="60.75" customHeight="1">
      <c r="A119" s="887">
        <v>101</v>
      </c>
      <c r="B119" s="887">
        <v>17.329999999999998</v>
      </c>
      <c r="C119" s="803">
        <v>995413</v>
      </c>
      <c r="D119" s="809"/>
      <c r="E119" s="831">
        <v>0.18</v>
      </c>
      <c r="F119" s="828" t="s">
        <v>205</v>
      </c>
      <c r="G119" s="828"/>
      <c r="H119" s="828"/>
      <c r="I119" s="916" t="s">
        <v>398</v>
      </c>
      <c r="J119" s="887" t="s">
        <v>224</v>
      </c>
      <c r="K119" s="819">
        <v>51</v>
      </c>
      <c r="L119" s="822"/>
      <c r="M119" s="856" t="str">
        <f t="shared" si="39"/>
        <v>Included</v>
      </c>
      <c r="N119" s="850">
        <f t="shared" si="40"/>
        <v>0</v>
      </c>
      <c r="O119" s="847">
        <f t="shared" si="41"/>
        <v>0</v>
      </c>
      <c r="P119" s="847">
        <f t="shared" si="42"/>
        <v>0</v>
      </c>
      <c r="R119" s="754"/>
      <c r="S119" s="754"/>
      <c r="T119" s="754"/>
      <c r="U119" s="754"/>
    </row>
    <row r="120" spans="1:21" s="557" customFormat="1" ht="47.25" customHeight="1">
      <c r="A120" s="887">
        <v>102</v>
      </c>
      <c r="B120" s="887" t="s">
        <v>399</v>
      </c>
      <c r="C120" s="803">
        <v>995413</v>
      </c>
      <c r="D120" s="809"/>
      <c r="E120" s="831">
        <v>0.18</v>
      </c>
      <c r="F120" s="828" t="s">
        <v>205</v>
      </c>
      <c r="G120" s="828"/>
      <c r="H120" s="828"/>
      <c r="I120" s="916" t="s">
        <v>400</v>
      </c>
      <c r="J120" s="887" t="s">
        <v>224</v>
      </c>
      <c r="K120" s="819">
        <v>15</v>
      </c>
      <c r="L120" s="822"/>
      <c r="M120" s="856" t="str">
        <f t="shared" si="39"/>
        <v>Included</v>
      </c>
      <c r="N120" s="850">
        <f t="shared" si="40"/>
        <v>0</v>
      </c>
      <c r="O120" s="847">
        <f t="shared" si="41"/>
        <v>0</v>
      </c>
      <c r="P120" s="847">
        <f t="shared" si="42"/>
        <v>0</v>
      </c>
      <c r="R120" s="754"/>
      <c r="S120" s="754"/>
      <c r="T120" s="754"/>
      <c r="U120" s="754"/>
    </row>
    <row r="121" spans="1:21" s="557" customFormat="1" ht="56.25" customHeight="1">
      <c r="A121" s="887">
        <v>103</v>
      </c>
      <c r="B121" s="887" t="s">
        <v>401</v>
      </c>
      <c r="C121" s="803">
        <v>995413</v>
      </c>
      <c r="D121" s="809"/>
      <c r="E121" s="831">
        <v>0.18</v>
      </c>
      <c r="F121" s="828" t="s">
        <v>205</v>
      </c>
      <c r="G121" s="828"/>
      <c r="H121" s="828"/>
      <c r="I121" s="916" t="s">
        <v>402</v>
      </c>
      <c r="J121" s="887" t="s">
        <v>224</v>
      </c>
      <c r="K121" s="819">
        <v>19</v>
      </c>
      <c r="L121" s="822"/>
      <c r="M121" s="856" t="str">
        <f t="shared" si="39"/>
        <v>Included</v>
      </c>
      <c r="N121" s="850">
        <f t="shared" si="40"/>
        <v>0</v>
      </c>
      <c r="O121" s="847">
        <f t="shared" si="41"/>
        <v>0</v>
      </c>
      <c r="P121" s="847">
        <f t="shared" si="42"/>
        <v>0</v>
      </c>
      <c r="R121" s="754"/>
      <c r="S121" s="754"/>
      <c r="T121" s="754"/>
      <c r="U121" s="754"/>
    </row>
    <row r="122" spans="1:21" s="557" customFormat="1" ht="50.25" customHeight="1">
      <c r="A122" s="887">
        <v>104</v>
      </c>
      <c r="B122" s="887" t="s">
        <v>403</v>
      </c>
      <c r="C122" s="803">
        <v>995413</v>
      </c>
      <c r="D122" s="809"/>
      <c r="E122" s="831">
        <v>0.18</v>
      </c>
      <c r="F122" s="828" t="s">
        <v>205</v>
      </c>
      <c r="G122" s="828"/>
      <c r="H122" s="828"/>
      <c r="I122" s="916" t="s">
        <v>404</v>
      </c>
      <c r="J122" s="887" t="s">
        <v>224</v>
      </c>
      <c r="K122" s="819">
        <v>78</v>
      </c>
      <c r="L122" s="822"/>
      <c r="M122" s="856" t="str">
        <f t="shared" si="39"/>
        <v>Included</v>
      </c>
      <c r="N122" s="850">
        <f t="shared" si="40"/>
        <v>0</v>
      </c>
      <c r="O122" s="847">
        <f t="shared" si="41"/>
        <v>0</v>
      </c>
      <c r="P122" s="847">
        <f t="shared" si="42"/>
        <v>0</v>
      </c>
      <c r="R122" s="754"/>
      <c r="S122" s="754"/>
      <c r="T122" s="754"/>
      <c r="U122" s="754"/>
    </row>
    <row r="123" spans="1:21" s="557" customFormat="1" ht="104.25" customHeight="1">
      <c r="A123" s="887">
        <v>105</v>
      </c>
      <c r="B123" s="887" t="s">
        <v>405</v>
      </c>
      <c r="C123" s="803">
        <v>995413</v>
      </c>
      <c r="D123" s="809"/>
      <c r="E123" s="831">
        <v>0.18</v>
      </c>
      <c r="F123" s="828" t="s">
        <v>205</v>
      </c>
      <c r="G123" s="828"/>
      <c r="H123" s="828"/>
      <c r="I123" s="916" t="s">
        <v>406</v>
      </c>
      <c r="J123" s="887" t="s">
        <v>262</v>
      </c>
      <c r="K123" s="819">
        <v>100</v>
      </c>
      <c r="L123" s="822"/>
      <c r="M123" s="856"/>
      <c r="N123" s="850"/>
      <c r="O123" s="847">
        <f t="shared" si="41"/>
        <v>0</v>
      </c>
      <c r="P123" s="847">
        <f t="shared" si="42"/>
        <v>0</v>
      </c>
      <c r="R123" s="754"/>
      <c r="S123" s="754"/>
      <c r="T123" s="754"/>
      <c r="U123" s="754"/>
    </row>
    <row r="124" spans="1:21" s="557" customFormat="1" ht="61.5" customHeight="1">
      <c r="A124" s="887">
        <v>106</v>
      </c>
      <c r="B124" s="887" t="s">
        <v>407</v>
      </c>
      <c r="C124" s="803">
        <v>995413</v>
      </c>
      <c r="D124" s="809"/>
      <c r="E124" s="831">
        <v>0.18</v>
      </c>
      <c r="F124" s="828" t="s">
        <v>205</v>
      </c>
      <c r="G124" s="828"/>
      <c r="H124" s="828"/>
      <c r="I124" s="917" t="s">
        <v>408</v>
      </c>
      <c r="J124" s="887" t="s">
        <v>224</v>
      </c>
      <c r="K124" s="819">
        <v>38</v>
      </c>
      <c r="L124" s="822"/>
      <c r="M124" s="856" t="str">
        <f t="shared" ref="M124:M125" si="43">IF(L124=0, "Included", IF(ISERROR(K124*L124), L124, K124*L124))</f>
        <v>Included</v>
      </c>
      <c r="N124" s="850">
        <f>P124</f>
        <v>0</v>
      </c>
      <c r="O124" s="847">
        <f>IF(M124="Included",0,M124)</f>
        <v>0</v>
      </c>
      <c r="P124" s="847">
        <f>IF(E124="confirmed",(O124*D124),(O124*E124))</f>
        <v>0</v>
      </c>
      <c r="R124" s="754"/>
      <c r="S124" s="754"/>
      <c r="T124" s="754"/>
      <c r="U124" s="754"/>
    </row>
    <row r="125" spans="1:21" s="557" customFormat="1" ht="310.5" customHeight="1">
      <c r="A125" s="887">
        <v>107</v>
      </c>
      <c r="B125" s="928" t="s">
        <v>409</v>
      </c>
      <c r="C125" s="803">
        <v>995413</v>
      </c>
      <c r="D125" s="809"/>
      <c r="E125" s="831">
        <v>0.18</v>
      </c>
      <c r="F125" s="828" t="s">
        <v>205</v>
      </c>
      <c r="G125" s="828"/>
      <c r="H125" s="828"/>
      <c r="I125" s="916" t="s">
        <v>410</v>
      </c>
      <c r="J125" s="887" t="s">
        <v>207</v>
      </c>
      <c r="K125" s="819">
        <v>360</v>
      </c>
      <c r="L125" s="822"/>
      <c r="M125" s="856" t="str">
        <f t="shared" si="43"/>
        <v>Included</v>
      </c>
      <c r="N125" s="850">
        <f t="shared" ref="N125" si="44">P125</f>
        <v>0</v>
      </c>
      <c r="O125" s="847">
        <f t="shared" ref="O125" si="45">IF(M125="Included",0,M125)</f>
        <v>0</v>
      </c>
      <c r="P125" s="847">
        <f t="shared" ref="P125" si="46">IF(E125="confirmed",(O125*D125),(O125*E125))</f>
        <v>0</v>
      </c>
      <c r="R125" s="754"/>
      <c r="S125" s="754"/>
      <c r="T125" s="754"/>
      <c r="U125" s="754"/>
    </row>
    <row r="126" spans="1:21" s="752" customFormat="1" ht="25.5" customHeight="1">
      <c r="A126" s="801"/>
      <c r="B126" s="801"/>
      <c r="C126" s="801"/>
      <c r="D126" s="839"/>
      <c r="E126" s="801"/>
      <c r="F126" s="801"/>
      <c r="G126" s="801"/>
      <c r="H126" s="801"/>
      <c r="I126" s="924" t="s">
        <v>411</v>
      </c>
      <c r="J126" s="813"/>
      <c r="K126" s="818"/>
      <c r="L126" s="824"/>
      <c r="M126" s="855"/>
      <c r="N126" s="849"/>
      <c r="P126" s="846"/>
      <c r="Q126" s="846"/>
      <c r="R126" s="753"/>
      <c r="S126" s="753"/>
      <c r="T126" s="753"/>
      <c r="U126" s="753"/>
    </row>
    <row r="127" spans="1:21" s="557" customFormat="1" ht="98.25" customHeight="1">
      <c r="A127" s="919">
        <v>108</v>
      </c>
      <c r="B127" s="889" t="s">
        <v>412</v>
      </c>
      <c r="C127" s="803">
        <v>995413</v>
      </c>
      <c r="D127" s="809"/>
      <c r="E127" s="831">
        <v>0.18</v>
      </c>
      <c r="F127" s="828" t="s">
        <v>205</v>
      </c>
      <c r="G127" s="828"/>
      <c r="H127" s="828"/>
      <c r="I127" s="895" t="s">
        <v>413</v>
      </c>
      <c r="J127" s="887" t="s">
        <v>246</v>
      </c>
      <c r="K127" s="819">
        <v>100</v>
      </c>
      <c r="L127" s="822"/>
      <c r="M127" s="856" t="str">
        <f t="shared" si="0"/>
        <v>Included</v>
      </c>
      <c r="N127" s="850">
        <f t="shared" si="1"/>
        <v>0</v>
      </c>
      <c r="O127" s="847">
        <f t="shared" si="2"/>
        <v>0</v>
      </c>
      <c r="P127" s="847">
        <f t="shared" si="3"/>
        <v>0</v>
      </c>
      <c r="R127" s="754"/>
      <c r="S127" s="754"/>
      <c r="T127" s="754"/>
      <c r="U127" s="754"/>
    </row>
    <row r="128" spans="1:21" s="557" customFormat="1" ht="137.25" customHeight="1">
      <c r="A128" s="919">
        <v>109</v>
      </c>
      <c r="B128" s="889" t="s">
        <v>414</v>
      </c>
      <c r="C128" s="803">
        <v>995413</v>
      </c>
      <c r="D128" s="809"/>
      <c r="E128" s="831">
        <v>0.18</v>
      </c>
      <c r="F128" s="828" t="s">
        <v>205</v>
      </c>
      <c r="G128" s="828"/>
      <c r="H128" s="828"/>
      <c r="I128" s="898" t="s">
        <v>415</v>
      </c>
      <c r="J128" s="802" t="s">
        <v>246</v>
      </c>
      <c r="K128" s="819">
        <v>100</v>
      </c>
      <c r="L128" s="822"/>
      <c r="M128" s="856" t="str">
        <f t="shared" si="0"/>
        <v>Included</v>
      </c>
      <c r="N128" s="850">
        <f t="shared" si="1"/>
        <v>0</v>
      </c>
      <c r="O128" s="847">
        <f t="shared" si="2"/>
        <v>0</v>
      </c>
      <c r="P128" s="847">
        <f t="shared" si="3"/>
        <v>0</v>
      </c>
      <c r="R128" s="754"/>
      <c r="S128" s="754"/>
      <c r="T128" s="754"/>
      <c r="U128" s="754"/>
    </row>
    <row r="129" spans="1:21" s="557" customFormat="1" ht="128.25" customHeight="1">
      <c r="A129" s="919">
        <v>110</v>
      </c>
      <c r="B129" s="890" t="s">
        <v>416</v>
      </c>
      <c r="C129" s="803">
        <v>995413</v>
      </c>
      <c r="D129" s="809"/>
      <c r="E129" s="831">
        <v>0.18</v>
      </c>
      <c r="F129" s="828" t="s">
        <v>205</v>
      </c>
      <c r="G129" s="828"/>
      <c r="H129" s="828"/>
      <c r="I129" s="896" t="s">
        <v>417</v>
      </c>
      <c r="J129" s="803" t="s">
        <v>246</v>
      </c>
      <c r="K129" s="819">
        <v>100</v>
      </c>
      <c r="L129" s="822"/>
      <c r="M129" s="856" t="str">
        <f t="shared" si="0"/>
        <v>Included</v>
      </c>
      <c r="N129" s="850">
        <f t="shared" si="1"/>
        <v>0</v>
      </c>
      <c r="O129" s="847">
        <f t="shared" si="2"/>
        <v>0</v>
      </c>
      <c r="P129" s="847">
        <f t="shared" si="3"/>
        <v>0</v>
      </c>
      <c r="R129" s="754"/>
      <c r="S129" s="754"/>
      <c r="T129" s="754"/>
      <c r="U129" s="754"/>
    </row>
    <row r="130" spans="1:21" s="557" customFormat="1" ht="122.25" customHeight="1">
      <c r="A130" s="919">
        <v>111</v>
      </c>
      <c r="B130" s="890" t="s">
        <v>418</v>
      </c>
      <c r="C130" s="803">
        <v>995413</v>
      </c>
      <c r="D130" s="809"/>
      <c r="E130" s="831">
        <v>0.18</v>
      </c>
      <c r="F130" s="828" t="s">
        <v>205</v>
      </c>
      <c r="G130" s="828"/>
      <c r="H130" s="828"/>
      <c r="I130" s="897" t="s">
        <v>419</v>
      </c>
      <c r="J130" s="803" t="s">
        <v>246</v>
      </c>
      <c r="K130" s="819">
        <v>60</v>
      </c>
      <c r="L130" s="822"/>
      <c r="M130" s="856" t="str">
        <f t="shared" si="0"/>
        <v>Included</v>
      </c>
      <c r="N130" s="850">
        <f t="shared" si="1"/>
        <v>0</v>
      </c>
      <c r="O130" s="847">
        <f t="shared" si="2"/>
        <v>0</v>
      </c>
      <c r="P130" s="847">
        <f t="shared" si="3"/>
        <v>0</v>
      </c>
      <c r="R130" s="754"/>
      <c r="S130" s="754"/>
      <c r="T130" s="754"/>
      <c r="U130" s="754"/>
    </row>
    <row r="131" spans="1:21" s="557" customFormat="1" ht="35.25" customHeight="1">
      <c r="A131" s="919">
        <v>112</v>
      </c>
      <c r="B131" s="890" t="s">
        <v>420</v>
      </c>
      <c r="C131" s="803">
        <v>995413</v>
      </c>
      <c r="D131" s="809"/>
      <c r="E131" s="831">
        <v>0.18</v>
      </c>
      <c r="F131" s="828" t="s">
        <v>205</v>
      </c>
      <c r="G131" s="828"/>
      <c r="H131" s="828"/>
      <c r="I131" s="920" t="s">
        <v>421</v>
      </c>
      <c r="J131" s="803" t="s">
        <v>207</v>
      </c>
      <c r="K131" s="819">
        <v>90</v>
      </c>
      <c r="L131" s="822"/>
      <c r="M131" s="856" t="str">
        <f t="shared" si="0"/>
        <v>Included</v>
      </c>
      <c r="N131" s="850">
        <f t="shared" si="1"/>
        <v>0</v>
      </c>
      <c r="O131" s="847">
        <f t="shared" si="2"/>
        <v>0</v>
      </c>
      <c r="P131" s="847">
        <f t="shared" si="3"/>
        <v>0</v>
      </c>
      <c r="R131" s="754"/>
      <c r="S131" s="754"/>
      <c r="T131" s="754"/>
      <c r="U131" s="754"/>
    </row>
    <row r="132" spans="1:21" s="557" customFormat="1" ht="150" customHeight="1">
      <c r="A132" s="919">
        <v>113</v>
      </c>
      <c r="B132" s="890" t="s">
        <v>422</v>
      </c>
      <c r="C132" s="803">
        <v>995413</v>
      </c>
      <c r="D132" s="809"/>
      <c r="E132" s="831">
        <v>0.18</v>
      </c>
      <c r="F132" s="828" t="s">
        <v>205</v>
      </c>
      <c r="G132" s="828"/>
      <c r="H132" s="828"/>
      <c r="I132" s="896" t="s">
        <v>423</v>
      </c>
      <c r="J132" s="803" t="s">
        <v>207</v>
      </c>
      <c r="K132" s="819">
        <v>130</v>
      </c>
      <c r="L132" s="822"/>
      <c r="M132" s="856" t="str">
        <f t="shared" si="0"/>
        <v>Included</v>
      </c>
      <c r="N132" s="850">
        <f t="shared" si="1"/>
        <v>0</v>
      </c>
      <c r="O132" s="847">
        <f t="shared" si="2"/>
        <v>0</v>
      </c>
      <c r="P132" s="847">
        <f t="shared" si="3"/>
        <v>0</v>
      </c>
      <c r="R132" s="754"/>
      <c r="S132" s="754"/>
      <c r="T132" s="754"/>
      <c r="U132" s="754"/>
    </row>
    <row r="133" spans="1:21" s="557" customFormat="1" ht="40.5" customHeight="1">
      <c r="A133" s="919">
        <v>114</v>
      </c>
      <c r="B133" s="890" t="s">
        <v>424</v>
      </c>
      <c r="C133" s="803">
        <v>995413</v>
      </c>
      <c r="D133" s="809"/>
      <c r="E133" s="831">
        <v>0.18</v>
      </c>
      <c r="F133" s="828" t="s">
        <v>205</v>
      </c>
      <c r="G133" s="828"/>
      <c r="H133" s="828"/>
      <c r="I133" s="896" t="s">
        <v>425</v>
      </c>
      <c r="J133" s="803" t="s">
        <v>107</v>
      </c>
      <c r="K133" s="819">
        <v>21</v>
      </c>
      <c r="L133" s="822"/>
      <c r="M133" s="856" t="str">
        <f t="shared" si="0"/>
        <v>Included</v>
      </c>
      <c r="N133" s="850">
        <f t="shared" si="1"/>
        <v>0</v>
      </c>
      <c r="O133" s="847">
        <f t="shared" si="2"/>
        <v>0</v>
      </c>
      <c r="P133" s="847">
        <f t="shared" si="3"/>
        <v>0</v>
      </c>
      <c r="R133" s="754"/>
      <c r="S133" s="754"/>
      <c r="T133" s="754"/>
      <c r="U133" s="754"/>
    </row>
    <row r="134" spans="1:21" s="557" customFormat="1" ht="38.25" customHeight="1">
      <c r="A134" s="919">
        <v>115</v>
      </c>
      <c r="B134" s="890" t="s">
        <v>426</v>
      </c>
      <c r="C134" s="803">
        <v>995413</v>
      </c>
      <c r="D134" s="809"/>
      <c r="E134" s="831">
        <v>0.18</v>
      </c>
      <c r="F134" s="828" t="s">
        <v>205</v>
      </c>
      <c r="G134" s="828"/>
      <c r="H134" s="828"/>
      <c r="I134" s="896" t="s">
        <v>427</v>
      </c>
      <c r="J134" s="803" t="s">
        <v>107</v>
      </c>
      <c r="K134" s="819">
        <v>51</v>
      </c>
      <c r="L134" s="822"/>
      <c r="M134" s="856" t="str">
        <f t="shared" si="0"/>
        <v>Included</v>
      </c>
      <c r="N134" s="850">
        <f t="shared" si="1"/>
        <v>0</v>
      </c>
      <c r="O134" s="847">
        <f t="shared" si="2"/>
        <v>0</v>
      </c>
      <c r="P134" s="847">
        <f t="shared" si="3"/>
        <v>0</v>
      </c>
      <c r="R134" s="754"/>
      <c r="S134" s="754"/>
      <c r="T134" s="754"/>
      <c r="U134" s="754"/>
    </row>
    <row r="135" spans="1:21" s="557" customFormat="1" ht="35.25" customHeight="1">
      <c r="A135" s="919">
        <v>116</v>
      </c>
      <c r="B135" s="891" t="s">
        <v>428</v>
      </c>
      <c r="C135" s="803">
        <v>995413</v>
      </c>
      <c r="D135" s="809"/>
      <c r="E135" s="831">
        <v>0.18</v>
      </c>
      <c r="F135" s="828" t="s">
        <v>205</v>
      </c>
      <c r="G135" s="828"/>
      <c r="H135" s="828"/>
      <c r="I135" s="896" t="s">
        <v>429</v>
      </c>
      <c r="J135" s="803" t="s">
        <v>107</v>
      </c>
      <c r="K135" s="819">
        <v>51</v>
      </c>
      <c r="L135" s="822"/>
      <c r="M135" s="856" t="str">
        <f t="shared" si="0"/>
        <v>Included</v>
      </c>
      <c r="N135" s="850">
        <f t="shared" si="1"/>
        <v>0</v>
      </c>
      <c r="O135" s="847">
        <f t="shared" si="2"/>
        <v>0</v>
      </c>
      <c r="P135" s="847">
        <f t="shared" si="3"/>
        <v>0</v>
      </c>
      <c r="R135" s="754"/>
      <c r="S135" s="754"/>
      <c r="T135" s="754"/>
      <c r="U135" s="754"/>
    </row>
    <row r="136" spans="1:21" s="557" customFormat="1" ht="51.75" customHeight="1">
      <c r="A136" s="919">
        <v>117</v>
      </c>
      <c r="B136" s="892" t="s">
        <v>430</v>
      </c>
      <c r="C136" s="803">
        <v>995413</v>
      </c>
      <c r="D136" s="809"/>
      <c r="E136" s="831">
        <v>0.18</v>
      </c>
      <c r="F136" s="828" t="s">
        <v>205</v>
      </c>
      <c r="G136" s="828"/>
      <c r="H136" s="828"/>
      <c r="I136" s="896" t="s">
        <v>431</v>
      </c>
      <c r="J136" s="803" t="s">
        <v>107</v>
      </c>
      <c r="K136" s="819">
        <v>38</v>
      </c>
      <c r="L136" s="822"/>
      <c r="M136" s="856" t="str">
        <f t="shared" si="0"/>
        <v>Included</v>
      </c>
      <c r="N136" s="850">
        <f t="shared" si="1"/>
        <v>0</v>
      </c>
      <c r="O136" s="847">
        <f t="shared" si="2"/>
        <v>0</v>
      </c>
      <c r="P136" s="847">
        <f t="shared" si="3"/>
        <v>0</v>
      </c>
      <c r="R136" s="754"/>
      <c r="S136" s="754"/>
      <c r="T136" s="754"/>
      <c r="U136" s="754"/>
    </row>
    <row r="137" spans="1:21" s="557" customFormat="1" ht="68.25" customHeight="1">
      <c r="A137" s="919">
        <v>118</v>
      </c>
      <c r="B137" s="890" t="s">
        <v>432</v>
      </c>
      <c r="C137" s="803">
        <v>995413</v>
      </c>
      <c r="D137" s="809"/>
      <c r="E137" s="831">
        <v>0.18</v>
      </c>
      <c r="F137" s="828" t="s">
        <v>205</v>
      </c>
      <c r="G137" s="828"/>
      <c r="H137" s="828"/>
      <c r="I137" s="896" t="s">
        <v>433</v>
      </c>
      <c r="J137" s="803" t="s">
        <v>107</v>
      </c>
      <c r="K137" s="819">
        <v>21</v>
      </c>
      <c r="L137" s="822"/>
      <c r="M137" s="856" t="str">
        <f t="shared" si="0"/>
        <v>Included</v>
      </c>
      <c r="N137" s="850">
        <f t="shared" si="1"/>
        <v>0</v>
      </c>
      <c r="O137" s="847">
        <f t="shared" si="2"/>
        <v>0</v>
      </c>
      <c r="P137" s="847">
        <f t="shared" si="3"/>
        <v>0</v>
      </c>
      <c r="R137" s="754"/>
      <c r="S137" s="754"/>
      <c r="T137" s="754"/>
      <c r="U137" s="754"/>
    </row>
    <row r="138" spans="1:21" s="557" customFormat="1" ht="60.75" customHeight="1">
      <c r="A138" s="919">
        <v>119</v>
      </c>
      <c r="B138" s="890" t="s">
        <v>434</v>
      </c>
      <c r="C138" s="803">
        <v>995413</v>
      </c>
      <c r="D138" s="809"/>
      <c r="E138" s="831">
        <v>0.18</v>
      </c>
      <c r="F138" s="828" t="s">
        <v>205</v>
      </c>
      <c r="G138" s="828"/>
      <c r="H138" s="828"/>
      <c r="I138" s="896" t="s">
        <v>435</v>
      </c>
      <c r="J138" s="803" t="s">
        <v>224</v>
      </c>
      <c r="K138" s="819">
        <v>20</v>
      </c>
      <c r="L138" s="822"/>
      <c r="M138" s="856" t="str">
        <f t="shared" si="0"/>
        <v>Included</v>
      </c>
      <c r="N138" s="850">
        <f t="shared" si="1"/>
        <v>0</v>
      </c>
      <c r="O138" s="847">
        <f t="shared" si="2"/>
        <v>0</v>
      </c>
      <c r="P138" s="847">
        <f t="shared" si="3"/>
        <v>0</v>
      </c>
      <c r="R138" s="754"/>
      <c r="S138" s="754"/>
      <c r="T138" s="754"/>
      <c r="U138" s="754"/>
    </row>
    <row r="139" spans="1:21" s="557" customFormat="1" ht="60" customHeight="1">
      <c r="A139" s="919">
        <v>120</v>
      </c>
      <c r="B139" s="890" t="s">
        <v>436</v>
      </c>
      <c r="C139" s="803">
        <v>995413</v>
      </c>
      <c r="D139" s="809"/>
      <c r="E139" s="831">
        <v>0.18</v>
      </c>
      <c r="F139" s="828" t="s">
        <v>205</v>
      </c>
      <c r="G139" s="828"/>
      <c r="H139" s="828"/>
      <c r="I139" s="896" t="s">
        <v>437</v>
      </c>
      <c r="J139" s="803" t="s">
        <v>224</v>
      </c>
      <c r="K139" s="819">
        <v>51</v>
      </c>
      <c r="L139" s="822"/>
      <c r="M139" s="856" t="str">
        <f t="shared" si="0"/>
        <v>Included</v>
      </c>
      <c r="N139" s="850">
        <f t="shared" si="1"/>
        <v>0</v>
      </c>
      <c r="O139" s="847">
        <f t="shared" si="2"/>
        <v>0</v>
      </c>
      <c r="P139" s="847">
        <f t="shared" si="3"/>
        <v>0</v>
      </c>
      <c r="R139" s="754"/>
      <c r="S139" s="754"/>
      <c r="T139" s="754"/>
      <c r="U139" s="754"/>
    </row>
    <row r="140" spans="1:21" s="752" customFormat="1" ht="48.75" customHeight="1">
      <c r="A140" s="801"/>
      <c r="B140" s="801"/>
      <c r="C140" s="801"/>
      <c r="D140" s="839"/>
      <c r="E140" s="801"/>
      <c r="F140" s="801"/>
      <c r="G140" s="801"/>
      <c r="H140" s="801"/>
      <c r="I140" s="1211" t="s">
        <v>438</v>
      </c>
      <c r="J140" s="1211"/>
      <c r="K140" s="1211"/>
      <c r="L140" s="1211"/>
      <c r="M140" s="1211"/>
      <c r="N140" s="1211"/>
      <c r="O140" s="1211"/>
      <c r="P140" s="1211"/>
      <c r="Q140" s="1211"/>
      <c r="R140" s="753"/>
      <c r="S140" s="753"/>
      <c r="T140" s="753"/>
      <c r="U140" s="753"/>
    </row>
    <row r="141" spans="1:21" s="752" customFormat="1" ht="25.5" customHeight="1">
      <c r="A141" s="801"/>
      <c r="B141" s="801"/>
      <c r="C141" s="801"/>
      <c r="D141" s="839"/>
      <c r="E141" s="801"/>
      <c r="F141" s="801"/>
      <c r="G141" s="801"/>
      <c r="H141" s="801"/>
      <c r="I141" s="842" t="s">
        <v>203</v>
      </c>
      <c r="J141" s="813"/>
      <c r="K141" s="818"/>
      <c r="L141" s="824"/>
      <c r="M141" s="855"/>
      <c r="N141" s="849"/>
      <c r="P141" s="846"/>
      <c r="Q141" s="846"/>
      <c r="R141" s="753"/>
      <c r="S141" s="753"/>
      <c r="T141" s="753"/>
      <c r="U141" s="753"/>
    </row>
    <row r="142" spans="1:21" s="557" customFormat="1" ht="117" customHeight="1">
      <c r="A142" s="893">
        <v>1</v>
      </c>
      <c r="B142" s="893" t="s">
        <v>439</v>
      </c>
      <c r="C142" s="803">
        <v>995413</v>
      </c>
      <c r="D142" s="809"/>
      <c r="E142" s="831">
        <v>0.18</v>
      </c>
      <c r="F142" s="828" t="s">
        <v>205</v>
      </c>
      <c r="G142" s="828"/>
      <c r="H142" s="828"/>
      <c r="I142" s="956" t="s">
        <v>440</v>
      </c>
      <c r="J142" s="803" t="s">
        <v>441</v>
      </c>
      <c r="K142" s="819">
        <v>166</v>
      </c>
      <c r="L142" s="822"/>
      <c r="M142" s="856" t="str">
        <f t="shared" si="0"/>
        <v>Included</v>
      </c>
      <c r="N142" s="850">
        <f t="shared" si="1"/>
        <v>0</v>
      </c>
      <c r="O142" s="847">
        <f t="shared" si="2"/>
        <v>0</v>
      </c>
      <c r="P142" s="847">
        <f t="shared" si="3"/>
        <v>0</v>
      </c>
      <c r="R142" s="754"/>
      <c r="S142" s="754"/>
      <c r="T142" s="754"/>
      <c r="U142" s="754"/>
    </row>
    <row r="143" spans="1:21" s="557" customFormat="1" ht="128.25" customHeight="1">
      <c r="A143" s="893">
        <v>2</v>
      </c>
      <c r="B143" s="893" t="s">
        <v>442</v>
      </c>
      <c r="C143" s="803">
        <v>995413</v>
      </c>
      <c r="D143" s="809"/>
      <c r="E143" s="831">
        <v>0.18</v>
      </c>
      <c r="F143" s="828" t="s">
        <v>205</v>
      </c>
      <c r="G143" s="828"/>
      <c r="H143" s="828"/>
      <c r="I143" s="957" t="s">
        <v>443</v>
      </c>
      <c r="J143" s="803" t="s">
        <v>441</v>
      </c>
      <c r="K143" s="819">
        <v>415</v>
      </c>
      <c r="L143" s="822"/>
      <c r="M143" s="856" t="str">
        <f t="shared" si="0"/>
        <v>Included</v>
      </c>
      <c r="N143" s="850">
        <f t="shared" si="1"/>
        <v>0</v>
      </c>
      <c r="O143" s="847">
        <f t="shared" si="2"/>
        <v>0</v>
      </c>
      <c r="P143" s="847">
        <f t="shared" si="3"/>
        <v>0</v>
      </c>
      <c r="R143" s="754"/>
      <c r="S143" s="754"/>
      <c r="T143" s="754"/>
      <c r="U143" s="754"/>
    </row>
    <row r="144" spans="1:21" s="557" customFormat="1" ht="128.25" customHeight="1">
      <c r="A144" s="893">
        <v>3</v>
      </c>
      <c r="B144" s="893" t="s">
        <v>444</v>
      </c>
      <c r="C144" s="803">
        <v>995413</v>
      </c>
      <c r="D144" s="809"/>
      <c r="E144" s="831">
        <v>0.18</v>
      </c>
      <c r="F144" s="828" t="s">
        <v>205</v>
      </c>
      <c r="G144" s="828"/>
      <c r="H144" s="828"/>
      <c r="I144" s="958" t="s">
        <v>445</v>
      </c>
      <c r="J144" s="802" t="s">
        <v>441</v>
      </c>
      <c r="K144" s="819">
        <v>116</v>
      </c>
      <c r="L144" s="822"/>
      <c r="M144" s="856" t="str">
        <f t="shared" si="0"/>
        <v>Included</v>
      </c>
      <c r="N144" s="850">
        <f t="shared" si="1"/>
        <v>0</v>
      </c>
      <c r="O144" s="847">
        <f t="shared" si="2"/>
        <v>0</v>
      </c>
      <c r="P144" s="847">
        <f t="shared" si="3"/>
        <v>0</v>
      </c>
      <c r="R144" s="754"/>
      <c r="S144" s="754"/>
      <c r="T144" s="754"/>
      <c r="U144" s="754"/>
    </row>
    <row r="145" spans="1:21" s="557" customFormat="1" ht="113.25" customHeight="1">
      <c r="A145" s="893">
        <v>4</v>
      </c>
      <c r="B145" s="894" t="s">
        <v>446</v>
      </c>
      <c r="C145" s="803">
        <v>995413</v>
      </c>
      <c r="D145" s="809"/>
      <c r="E145" s="831">
        <v>0.18</v>
      </c>
      <c r="F145" s="828" t="s">
        <v>205</v>
      </c>
      <c r="G145" s="828"/>
      <c r="H145" s="828"/>
      <c r="I145" s="958" t="s">
        <v>447</v>
      </c>
      <c r="J145" s="803" t="s">
        <v>441</v>
      </c>
      <c r="K145" s="819">
        <v>10</v>
      </c>
      <c r="L145" s="822"/>
      <c r="M145" s="856" t="str">
        <f t="shared" si="0"/>
        <v>Included</v>
      </c>
      <c r="N145" s="850">
        <f t="shared" si="1"/>
        <v>0</v>
      </c>
      <c r="O145" s="847">
        <f t="shared" si="2"/>
        <v>0</v>
      </c>
      <c r="P145" s="847">
        <f t="shared" si="3"/>
        <v>0</v>
      </c>
      <c r="R145" s="754"/>
      <c r="S145" s="754"/>
      <c r="T145" s="754"/>
      <c r="U145" s="754"/>
    </row>
    <row r="146" spans="1:21" s="557" customFormat="1" ht="89.25" customHeight="1">
      <c r="A146" s="893">
        <v>5</v>
      </c>
      <c r="B146" s="893">
        <v>1.1100000000000001</v>
      </c>
      <c r="C146" s="803">
        <v>995413</v>
      </c>
      <c r="D146" s="809"/>
      <c r="E146" s="831">
        <v>0.18</v>
      </c>
      <c r="F146" s="828" t="s">
        <v>205</v>
      </c>
      <c r="G146" s="828"/>
      <c r="H146" s="828"/>
      <c r="I146" s="956" t="s">
        <v>448</v>
      </c>
      <c r="J146" s="803" t="s">
        <v>441</v>
      </c>
      <c r="K146" s="819">
        <v>155</v>
      </c>
      <c r="L146" s="822"/>
      <c r="M146" s="856" t="str">
        <f t="shared" ref="M146:M171" si="47">IF(L146=0, "Included", IF(ISERROR(K146*L146), L146, K146*L146))</f>
        <v>Included</v>
      </c>
      <c r="N146" s="850">
        <f t="shared" si="1"/>
        <v>0</v>
      </c>
      <c r="O146" s="847">
        <f t="shared" si="2"/>
        <v>0</v>
      </c>
      <c r="P146" s="847">
        <f t="shared" si="3"/>
        <v>0</v>
      </c>
      <c r="R146" s="754"/>
      <c r="S146" s="754"/>
      <c r="T146" s="754"/>
      <c r="U146" s="754"/>
    </row>
    <row r="147" spans="1:21" s="557" customFormat="1" ht="91.5" customHeight="1">
      <c r="A147" s="893">
        <v>6</v>
      </c>
      <c r="B147" s="893" t="s">
        <v>449</v>
      </c>
      <c r="C147" s="803">
        <v>995413</v>
      </c>
      <c r="D147" s="809"/>
      <c r="E147" s="831">
        <v>0.18</v>
      </c>
      <c r="F147" s="828" t="s">
        <v>205</v>
      </c>
      <c r="G147" s="828"/>
      <c r="H147" s="828"/>
      <c r="I147" s="959" t="s">
        <v>450</v>
      </c>
      <c r="J147" s="803" t="s">
        <v>441</v>
      </c>
      <c r="K147" s="819">
        <v>39</v>
      </c>
      <c r="L147" s="822"/>
      <c r="M147" s="856" t="str">
        <f t="shared" si="47"/>
        <v>Included</v>
      </c>
      <c r="N147" s="850">
        <f t="shared" si="1"/>
        <v>0</v>
      </c>
      <c r="O147" s="847">
        <f t="shared" si="2"/>
        <v>0</v>
      </c>
      <c r="P147" s="847">
        <f t="shared" si="3"/>
        <v>0</v>
      </c>
      <c r="R147" s="754"/>
      <c r="S147" s="754"/>
      <c r="T147" s="754"/>
      <c r="U147" s="754"/>
    </row>
    <row r="148" spans="1:21" s="557" customFormat="1" ht="78" customHeight="1">
      <c r="A148" s="893">
        <v>7</v>
      </c>
      <c r="B148" s="893" t="s">
        <v>451</v>
      </c>
      <c r="C148" s="803">
        <v>995413</v>
      </c>
      <c r="D148" s="809"/>
      <c r="E148" s="831">
        <v>0.18</v>
      </c>
      <c r="F148" s="828" t="s">
        <v>205</v>
      </c>
      <c r="G148" s="828"/>
      <c r="H148" s="828"/>
      <c r="I148" s="958" t="s">
        <v>452</v>
      </c>
      <c r="J148" s="802" t="s">
        <v>453</v>
      </c>
      <c r="K148" s="819">
        <v>3888.2</v>
      </c>
      <c r="L148" s="822"/>
      <c r="M148" s="856" t="str">
        <f t="shared" si="47"/>
        <v>Included</v>
      </c>
      <c r="N148" s="850">
        <f t="shared" si="1"/>
        <v>0</v>
      </c>
      <c r="O148" s="847">
        <f t="shared" si="2"/>
        <v>0</v>
      </c>
      <c r="P148" s="847">
        <f t="shared" si="3"/>
        <v>0</v>
      </c>
      <c r="R148" s="754"/>
      <c r="S148" s="754"/>
      <c r="T148" s="754"/>
      <c r="U148" s="754"/>
    </row>
    <row r="149" spans="1:21" s="557" customFormat="1" ht="74.25" customHeight="1">
      <c r="A149" s="893">
        <v>8</v>
      </c>
      <c r="B149" s="894" t="s">
        <v>454</v>
      </c>
      <c r="C149" s="803">
        <v>995413</v>
      </c>
      <c r="D149" s="809"/>
      <c r="E149" s="831">
        <v>0.18</v>
      </c>
      <c r="F149" s="828" t="s">
        <v>205</v>
      </c>
      <c r="G149" s="828"/>
      <c r="H149" s="828"/>
      <c r="I149" s="958" t="s">
        <v>455</v>
      </c>
      <c r="J149" s="803" t="s">
        <v>453</v>
      </c>
      <c r="K149" s="819">
        <v>3588.2</v>
      </c>
      <c r="L149" s="822"/>
      <c r="M149" s="856" t="str">
        <f t="shared" si="47"/>
        <v>Included</v>
      </c>
      <c r="N149" s="850">
        <f t="shared" si="1"/>
        <v>0</v>
      </c>
      <c r="O149" s="847">
        <f t="shared" si="2"/>
        <v>0</v>
      </c>
      <c r="P149" s="847">
        <f t="shared" si="3"/>
        <v>0</v>
      </c>
      <c r="R149" s="754"/>
      <c r="S149" s="754"/>
      <c r="T149" s="754"/>
      <c r="U149" s="754"/>
    </row>
    <row r="150" spans="1:21" s="557" customFormat="1" ht="66" customHeight="1">
      <c r="A150" s="893">
        <v>9</v>
      </c>
      <c r="B150" s="893" t="s">
        <v>456</v>
      </c>
      <c r="C150" s="803">
        <v>995413</v>
      </c>
      <c r="D150" s="809"/>
      <c r="E150" s="831">
        <v>0.18</v>
      </c>
      <c r="F150" s="828" t="s">
        <v>205</v>
      </c>
      <c r="G150" s="828"/>
      <c r="H150" s="828"/>
      <c r="I150" s="958" t="s">
        <v>457</v>
      </c>
      <c r="J150" s="803" t="s">
        <v>453</v>
      </c>
      <c r="K150" s="819">
        <v>1684</v>
      </c>
      <c r="L150" s="822"/>
      <c r="M150" s="856" t="str">
        <f t="shared" si="47"/>
        <v>Included</v>
      </c>
      <c r="N150" s="850">
        <f t="shared" si="1"/>
        <v>0</v>
      </c>
      <c r="O150" s="847">
        <f t="shared" si="2"/>
        <v>0</v>
      </c>
      <c r="P150" s="847">
        <f t="shared" si="3"/>
        <v>0</v>
      </c>
      <c r="R150" s="754"/>
      <c r="S150" s="754"/>
      <c r="T150" s="754"/>
      <c r="U150" s="754"/>
    </row>
    <row r="151" spans="1:21" s="557" customFormat="1" ht="67.5" customHeight="1">
      <c r="A151" s="893">
        <v>10</v>
      </c>
      <c r="B151" s="893" t="s">
        <v>458</v>
      </c>
      <c r="C151" s="803">
        <v>995413</v>
      </c>
      <c r="D151" s="809"/>
      <c r="E151" s="831">
        <v>0.18</v>
      </c>
      <c r="F151" s="828" t="s">
        <v>205</v>
      </c>
      <c r="G151" s="828"/>
      <c r="H151" s="828"/>
      <c r="I151" s="959" t="s">
        <v>459</v>
      </c>
      <c r="J151" s="803" t="s">
        <v>453</v>
      </c>
      <c r="K151" s="819">
        <v>661</v>
      </c>
      <c r="L151" s="822"/>
      <c r="M151" s="856" t="str">
        <f t="shared" si="47"/>
        <v>Included</v>
      </c>
      <c r="N151" s="850">
        <f t="shared" si="1"/>
        <v>0</v>
      </c>
      <c r="O151" s="847">
        <f t="shared" si="2"/>
        <v>0</v>
      </c>
      <c r="P151" s="847">
        <f t="shared" si="3"/>
        <v>0</v>
      </c>
      <c r="R151" s="754"/>
      <c r="S151" s="754"/>
      <c r="T151" s="754"/>
      <c r="U151" s="754"/>
    </row>
    <row r="152" spans="1:21" s="557" customFormat="1" ht="57" customHeight="1">
      <c r="A152" s="893">
        <v>11</v>
      </c>
      <c r="B152" s="893">
        <v>1.19</v>
      </c>
      <c r="C152" s="803">
        <v>995413</v>
      </c>
      <c r="D152" s="809"/>
      <c r="E152" s="831">
        <v>0.18</v>
      </c>
      <c r="F152" s="828" t="s">
        <v>205</v>
      </c>
      <c r="G152" s="828"/>
      <c r="H152" s="828"/>
      <c r="I152" s="958" t="s">
        <v>460</v>
      </c>
      <c r="J152" s="802" t="s">
        <v>246</v>
      </c>
      <c r="K152" s="819">
        <v>521</v>
      </c>
      <c r="L152" s="822"/>
      <c r="M152" s="856" t="str">
        <f t="shared" si="47"/>
        <v>Included</v>
      </c>
      <c r="N152" s="850">
        <f t="shared" si="1"/>
        <v>0</v>
      </c>
      <c r="O152" s="847">
        <f t="shared" si="2"/>
        <v>0</v>
      </c>
      <c r="P152" s="847">
        <f t="shared" si="3"/>
        <v>0</v>
      </c>
      <c r="R152" s="754"/>
      <c r="S152" s="754"/>
      <c r="T152" s="754"/>
      <c r="U152" s="754"/>
    </row>
    <row r="153" spans="1:21" s="557" customFormat="1" ht="57" customHeight="1">
      <c r="A153" s="893">
        <v>12</v>
      </c>
      <c r="B153" s="894" t="s">
        <v>461</v>
      </c>
      <c r="C153" s="803">
        <v>995413</v>
      </c>
      <c r="D153" s="809"/>
      <c r="E153" s="831">
        <v>0.18</v>
      </c>
      <c r="F153" s="828" t="s">
        <v>205</v>
      </c>
      <c r="G153" s="828"/>
      <c r="H153" s="828"/>
      <c r="I153" s="958" t="s">
        <v>462</v>
      </c>
      <c r="J153" s="803" t="s">
        <v>463</v>
      </c>
      <c r="K153" s="819">
        <v>5432</v>
      </c>
      <c r="L153" s="822"/>
      <c r="M153" s="856" t="str">
        <f t="shared" si="47"/>
        <v>Included</v>
      </c>
      <c r="N153" s="850">
        <f t="shared" si="1"/>
        <v>0</v>
      </c>
      <c r="O153" s="847">
        <f t="shared" si="2"/>
        <v>0</v>
      </c>
      <c r="P153" s="847">
        <f t="shared" si="3"/>
        <v>0</v>
      </c>
      <c r="R153" s="754"/>
      <c r="S153" s="754"/>
      <c r="T153" s="754"/>
      <c r="U153" s="754"/>
    </row>
    <row r="154" spans="1:21" s="557" customFormat="1" ht="49.5" customHeight="1">
      <c r="A154" s="893">
        <v>13</v>
      </c>
      <c r="B154" s="893" t="s">
        <v>464</v>
      </c>
      <c r="C154" s="803">
        <v>995413</v>
      </c>
      <c r="D154" s="809"/>
      <c r="E154" s="831">
        <v>0.18</v>
      </c>
      <c r="F154" s="828" t="s">
        <v>205</v>
      </c>
      <c r="G154" s="828"/>
      <c r="H154" s="828"/>
      <c r="I154" s="956" t="s">
        <v>465</v>
      </c>
      <c r="J154" s="803" t="s">
        <v>463</v>
      </c>
      <c r="K154" s="819">
        <v>661</v>
      </c>
      <c r="L154" s="822"/>
      <c r="M154" s="856" t="str">
        <f t="shared" si="47"/>
        <v>Included</v>
      </c>
      <c r="N154" s="850">
        <f t="shared" si="1"/>
        <v>0</v>
      </c>
      <c r="O154" s="847">
        <f t="shared" si="2"/>
        <v>0</v>
      </c>
      <c r="P154" s="847">
        <f t="shared" si="3"/>
        <v>0</v>
      </c>
      <c r="R154" s="754"/>
      <c r="S154" s="754"/>
      <c r="T154" s="754"/>
      <c r="U154" s="754"/>
    </row>
    <row r="155" spans="1:21" s="557" customFormat="1" ht="54.75" customHeight="1">
      <c r="A155" s="893">
        <v>14</v>
      </c>
      <c r="B155" s="893" t="s">
        <v>466</v>
      </c>
      <c r="C155" s="803">
        <v>995413</v>
      </c>
      <c r="D155" s="809"/>
      <c r="E155" s="831">
        <v>0.18</v>
      </c>
      <c r="F155" s="828" t="s">
        <v>205</v>
      </c>
      <c r="G155" s="828"/>
      <c r="H155" s="828"/>
      <c r="I155" s="959" t="s">
        <v>467</v>
      </c>
      <c r="J155" s="803" t="s">
        <v>468</v>
      </c>
      <c r="K155" s="819">
        <v>100</v>
      </c>
      <c r="L155" s="822"/>
      <c r="M155" s="856" t="str">
        <f t="shared" si="47"/>
        <v>Included</v>
      </c>
      <c r="N155" s="850">
        <f t="shared" si="1"/>
        <v>0</v>
      </c>
      <c r="O155" s="847">
        <f t="shared" si="2"/>
        <v>0</v>
      </c>
      <c r="P155" s="847">
        <f t="shared" si="3"/>
        <v>0</v>
      </c>
      <c r="R155" s="754"/>
      <c r="S155" s="754"/>
      <c r="T155" s="754"/>
      <c r="U155" s="754"/>
    </row>
    <row r="156" spans="1:21" s="557" customFormat="1" ht="66" customHeight="1">
      <c r="A156" s="893">
        <v>15</v>
      </c>
      <c r="B156" s="893" t="s">
        <v>469</v>
      </c>
      <c r="C156" s="803">
        <v>995413</v>
      </c>
      <c r="D156" s="809"/>
      <c r="E156" s="831">
        <v>0.18</v>
      </c>
      <c r="F156" s="828" t="s">
        <v>205</v>
      </c>
      <c r="G156" s="828"/>
      <c r="H156" s="828"/>
      <c r="I156" s="958" t="s">
        <v>470</v>
      </c>
      <c r="J156" s="802" t="s">
        <v>468</v>
      </c>
      <c r="K156" s="819">
        <v>100</v>
      </c>
      <c r="L156" s="822"/>
      <c r="M156" s="856" t="str">
        <f t="shared" si="47"/>
        <v>Included</v>
      </c>
      <c r="N156" s="850">
        <f t="shared" si="1"/>
        <v>0</v>
      </c>
      <c r="O156" s="847">
        <f t="shared" si="2"/>
        <v>0</v>
      </c>
      <c r="P156" s="847">
        <f t="shared" si="3"/>
        <v>0</v>
      </c>
      <c r="R156" s="754"/>
      <c r="S156" s="754"/>
      <c r="T156" s="754"/>
      <c r="U156" s="754"/>
    </row>
    <row r="157" spans="1:21" s="557" customFormat="1" ht="45" customHeight="1">
      <c r="A157" s="893">
        <v>16</v>
      </c>
      <c r="B157" s="894" t="s">
        <v>471</v>
      </c>
      <c r="C157" s="803">
        <v>995413</v>
      </c>
      <c r="D157" s="809"/>
      <c r="E157" s="831">
        <v>0.18</v>
      </c>
      <c r="F157" s="828" t="s">
        <v>205</v>
      </c>
      <c r="G157" s="828"/>
      <c r="H157" s="828"/>
      <c r="I157" s="958" t="s">
        <v>472</v>
      </c>
      <c r="J157" s="803" t="s">
        <v>468</v>
      </c>
      <c r="K157" s="819">
        <v>19</v>
      </c>
      <c r="L157" s="822"/>
      <c r="M157" s="856" t="str">
        <f t="shared" si="47"/>
        <v>Included</v>
      </c>
      <c r="N157" s="850">
        <f t="shared" si="1"/>
        <v>0</v>
      </c>
      <c r="O157" s="847">
        <f t="shared" si="2"/>
        <v>0</v>
      </c>
      <c r="P157" s="847">
        <f t="shared" si="3"/>
        <v>0</v>
      </c>
      <c r="R157" s="754"/>
      <c r="S157" s="754"/>
      <c r="T157" s="754"/>
      <c r="U157" s="754"/>
    </row>
    <row r="158" spans="1:21" s="557" customFormat="1" ht="57" customHeight="1">
      <c r="A158" s="893">
        <v>17</v>
      </c>
      <c r="B158" s="893" t="s">
        <v>473</v>
      </c>
      <c r="C158" s="803">
        <v>995413</v>
      </c>
      <c r="D158" s="809"/>
      <c r="E158" s="831">
        <v>0.18</v>
      </c>
      <c r="F158" s="828" t="s">
        <v>205</v>
      </c>
      <c r="G158" s="828"/>
      <c r="H158" s="828"/>
      <c r="I158" s="958" t="s">
        <v>474</v>
      </c>
      <c r="J158" s="803" t="s">
        <v>468</v>
      </c>
      <c r="K158" s="819">
        <v>19</v>
      </c>
      <c r="L158" s="822"/>
      <c r="M158" s="856" t="str">
        <f t="shared" si="47"/>
        <v>Included</v>
      </c>
      <c r="N158" s="850">
        <f t="shared" si="1"/>
        <v>0</v>
      </c>
      <c r="O158" s="847">
        <f t="shared" si="2"/>
        <v>0</v>
      </c>
      <c r="P158" s="847">
        <f t="shared" si="3"/>
        <v>0</v>
      </c>
      <c r="R158" s="754"/>
      <c r="S158" s="754"/>
      <c r="T158" s="754"/>
      <c r="U158" s="754"/>
    </row>
    <row r="159" spans="1:21" s="557" customFormat="1" ht="69" customHeight="1">
      <c r="A159" s="893">
        <v>18</v>
      </c>
      <c r="B159" s="893">
        <v>1.25</v>
      </c>
      <c r="C159" s="803">
        <v>995413</v>
      </c>
      <c r="D159" s="809"/>
      <c r="E159" s="831">
        <v>0.18</v>
      </c>
      <c r="F159" s="828" t="s">
        <v>205</v>
      </c>
      <c r="G159" s="828"/>
      <c r="H159" s="828"/>
      <c r="I159" s="959" t="s">
        <v>475</v>
      </c>
      <c r="J159" s="803" t="s">
        <v>468</v>
      </c>
      <c r="K159" s="819">
        <v>88</v>
      </c>
      <c r="L159" s="822"/>
      <c r="M159" s="856" t="str">
        <f t="shared" si="47"/>
        <v>Included</v>
      </c>
      <c r="N159" s="850">
        <f t="shared" si="1"/>
        <v>0</v>
      </c>
      <c r="O159" s="847">
        <f t="shared" si="2"/>
        <v>0</v>
      </c>
      <c r="P159" s="847">
        <f t="shared" si="3"/>
        <v>0</v>
      </c>
      <c r="R159" s="754"/>
      <c r="S159" s="754"/>
      <c r="T159" s="754"/>
      <c r="U159" s="754"/>
    </row>
    <row r="160" spans="1:21" s="557" customFormat="1" ht="57.75" customHeight="1">
      <c r="A160" s="893">
        <v>19</v>
      </c>
      <c r="B160" s="893">
        <v>1.31</v>
      </c>
      <c r="C160" s="803">
        <v>995413</v>
      </c>
      <c r="D160" s="809"/>
      <c r="E160" s="831">
        <v>0.18</v>
      </c>
      <c r="F160" s="828" t="s">
        <v>205</v>
      </c>
      <c r="G160" s="828"/>
      <c r="H160" s="828"/>
      <c r="I160" s="958" t="s">
        <v>476</v>
      </c>
      <c r="J160" s="802" t="s">
        <v>468</v>
      </c>
      <c r="K160" s="819">
        <v>191</v>
      </c>
      <c r="L160" s="822"/>
      <c r="M160" s="856" t="str">
        <f t="shared" si="47"/>
        <v>Included</v>
      </c>
      <c r="N160" s="850">
        <f t="shared" si="1"/>
        <v>0</v>
      </c>
      <c r="O160" s="847">
        <f t="shared" si="2"/>
        <v>0</v>
      </c>
      <c r="P160" s="847">
        <f t="shared" si="3"/>
        <v>0</v>
      </c>
      <c r="R160" s="754"/>
      <c r="S160" s="754"/>
      <c r="T160" s="754"/>
      <c r="U160" s="754"/>
    </row>
    <row r="161" spans="1:21" s="557" customFormat="1" ht="57.75" customHeight="1">
      <c r="A161" s="893">
        <v>20</v>
      </c>
      <c r="B161" s="894">
        <v>1.32</v>
      </c>
      <c r="C161" s="803">
        <v>995413</v>
      </c>
      <c r="D161" s="809"/>
      <c r="E161" s="831">
        <v>0.18</v>
      </c>
      <c r="F161" s="828" t="s">
        <v>205</v>
      </c>
      <c r="G161" s="828"/>
      <c r="H161" s="828"/>
      <c r="I161" s="958" t="s">
        <v>477</v>
      </c>
      <c r="J161" s="803" t="s">
        <v>468</v>
      </c>
      <c r="K161" s="819">
        <v>117</v>
      </c>
      <c r="L161" s="822"/>
      <c r="M161" s="856" t="str">
        <f t="shared" si="47"/>
        <v>Included</v>
      </c>
      <c r="N161" s="850">
        <f t="shared" si="1"/>
        <v>0</v>
      </c>
      <c r="O161" s="847">
        <f t="shared" si="2"/>
        <v>0</v>
      </c>
      <c r="P161" s="847">
        <f t="shared" si="3"/>
        <v>0</v>
      </c>
      <c r="R161" s="754"/>
      <c r="S161" s="754"/>
      <c r="T161" s="754"/>
      <c r="U161" s="754"/>
    </row>
    <row r="162" spans="1:21" s="557" customFormat="1" ht="47.25" customHeight="1">
      <c r="A162" s="893">
        <v>21</v>
      </c>
      <c r="B162" s="893">
        <v>1.33</v>
      </c>
      <c r="C162" s="803">
        <v>995413</v>
      </c>
      <c r="D162" s="809"/>
      <c r="E162" s="831">
        <v>0.18</v>
      </c>
      <c r="F162" s="828" t="s">
        <v>205</v>
      </c>
      <c r="G162" s="828"/>
      <c r="H162" s="828"/>
      <c r="I162" s="958" t="s">
        <v>478</v>
      </c>
      <c r="J162" s="803" t="s">
        <v>468</v>
      </c>
      <c r="K162" s="819">
        <v>276</v>
      </c>
      <c r="L162" s="822"/>
      <c r="M162" s="856" t="str">
        <f t="shared" si="47"/>
        <v>Included</v>
      </c>
      <c r="N162" s="850">
        <f t="shared" si="1"/>
        <v>0</v>
      </c>
      <c r="O162" s="847">
        <f t="shared" si="2"/>
        <v>0</v>
      </c>
      <c r="P162" s="847">
        <f t="shared" si="3"/>
        <v>0</v>
      </c>
      <c r="R162" s="754"/>
      <c r="S162" s="754"/>
      <c r="T162" s="754"/>
      <c r="U162" s="754"/>
    </row>
    <row r="163" spans="1:21" s="557" customFormat="1" ht="42.75" customHeight="1">
      <c r="A163" s="893">
        <v>22</v>
      </c>
      <c r="B163" s="893">
        <v>1.34</v>
      </c>
      <c r="C163" s="803">
        <v>995413</v>
      </c>
      <c r="D163" s="809"/>
      <c r="E163" s="831">
        <v>0.18</v>
      </c>
      <c r="F163" s="828" t="s">
        <v>205</v>
      </c>
      <c r="G163" s="828"/>
      <c r="H163" s="828"/>
      <c r="I163" s="959" t="s">
        <v>479</v>
      </c>
      <c r="J163" s="803" t="s">
        <v>468</v>
      </c>
      <c r="K163" s="819">
        <v>233</v>
      </c>
      <c r="L163" s="822"/>
      <c r="M163" s="856" t="str">
        <f t="shared" si="47"/>
        <v>Included</v>
      </c>
      <c r="N163" s="850">
        <f t="shared" si="1"/>
        <v>0</v>
      </c>
      <c r="O163" s="847">
        <f t="shared" si="2"/>
        <v>0</v>
      </c>
      <c r="P163" s="847">
        <f t="shared" si="3"/>
        <v>0</v>
      </c>
      <c r="R163" s="754"/>
      <c r="S163" s="754"/>
      <c r="T163" s="754"/>
      <c r="U163" s="754"/>
    </row>
    <row r="164" spans="1:21" s="557" customFormat="1" ht="41.25" customHeight="1">
      <c r="A164" s="893">
        <v>23</v>
      </c>
      <c r="B164" s="893">
        <v>1.38</v>
      </c>
      <c r="C164" s="803">
        <v>995413</v>
      </c>
      <c r="D164" s="809"/>
      <c r="E164" s="831">
        <v>0.18</v>
      </c>
      <c r="F164" s="828" t="s">
        <v>205</v>
      </c>
      <c r="G164" s="828"/>
      <c r="H164" s="828"/>
      <c r="I164" s="958" t="s">
        <v>480</v>
      </c>
      <c r="J164" s="802" t="s">
        <v>468</v>
      </c>
      <c r="K164" s="819">
        <v>19</v>
      </c>
      <c r="L164" s="822"/>
      <c r="M164" s="856" t="str">
        <f t="shared" si="47"/>
        <v>Included</v>
      </c>
      <c r="N164" s="850">
        <f t="shared" si="1"/>
        <v>0</v>
      </c>
      <c r="O164" s="847">
        <f t="shared" si="2"/>
        <v>0</v>
      </c>
      <c r="P164" s="847">
        <f t="shared" si="3"/>
        <v>0</v>
      </c>
      <c r="R164" s="754"/>
      <c r="S164" s="754"/>
      <c r="T164" s="754"/>
      <c r="U164" s="754"/>
    </row>
    <row r="165" spans="1:21" s="557" customFormat="1" ht="74.25" customHeight="1">
      <c r="A165" s="893">
        <v>24</v>
      </c>
      <c r="B165" s="894">
        <v>1.41</v>
      </c>
      <c r="C165" s="803">
        <v>995413</v>
      </c>
      <c r="D165" s="809"/>
      <c r="E165" s="831">
        <v>0.18</v>
      </c>
      <c r="F165" s="828" t="s">
        <v>205</v>
      </c>
      <c r="G165" s="828"/>
      <c r="H165" s="828"/>
      <c r="I165" s="958" t="s">
        <v>481</v>
      </c>
      <c r="J165" s="803" t="s">
        <v>468</v>
      </c>
      <c r="K165" s="819">
        <v>271</v>
      </c>
      <c r="L165" s="822"/>
      <c r="M165" s="856" t="str">
        <f t="shared" si="47"/>
        <v>Included</v>
      </c>
      <c r="N165" s="850">
        <f t="shared" si="1"/>
        <v>0</v>
      </c>
      <c r="O165" s="847">
        <f t="shared" si="2"/>
        <v>0</v>
      </c>
      <c r="P165" s="847">
        <f t="shared" si="3"/>
        <v>0</v>
      </c>
      <c r="R165" s="754"/>
      <c r="S165" s="754"/>
      <c r="T165" s="754"/>
      <c r="U165" s="754"/>
    </row>
    <row r="166" spans="1:21" s="557" customFormat="1" ht="64.5" customHeight="1">
      <c r="A166" s="893">
        <v>25</v>
      </c>
      <c r="B166" s="893">
        <v>1.44</v>
      </c>
      <c r="C166" s="803">
        <v>995413</v>
      </c>
      <c r="D166" s="809"/>
      <c r="E166" s="831">
        <v>0.18</v>
      </c>
      <c r="F166" s="828" t="s">
        <v>205</v>
      </c>
      <c r="G166" s="828"/>
      <c r="H166" s="828"/>
      <c r="I166" s="958" t="s">
        <v>482</v>
      </c>
      <c r="J166" s="803" t="s">
        <v>468</v>
      </c>
      <c r="K166" s="819">
        <v>92</v>
      </c>
      <c r="L166" s="822"/>
      <c r="M166" s="856" t="str">
        <f t="shared" si="47"/>
        <v>Included</v>
      </c>
      <c r="N166" s="850">
        <f t="shared" si="1"/>
        <v>0</v>
      </c>
      <c r="O166" s="847">
        <f t="shared" si="2"/>
        <v>0</v>
      </c>
      <c r="P166" s="847">
        <f t="shared" si="3"/>
        <v>0</v>
      </c>
      <c r="R166" s="754"/>
      <c r="S166" s="754"/>
      <c r="T166" s="754"/>
      <c r="U166" s="754"/>
    </row>
    <row r="167" spans="1:21" s="557" customFormat="1" ht="49.5" customHeight="1">
      <c r="A167" s="893">
        <v>26</v>
      </c>
      <c r="B167" s="893" t="s">
        <v>483</v>
      </c>
      <c r="C167" s="803">
        <v>995413</v>
      </c>
      <c r="D167" s="809"/>
      <c r="E167" s="831">
        <v>0.18</v>
      </c>
      <c r="F167" s="828" t="s">
        <v>205</v>
      </c>
      <c r="G167" s="828"/>
      <c r="H167" s="828"/>
      <c r="I167" s="959" t="s">
        <v>484</v>
      </c>
      <c r="J167" s="803" t="s">
        <v>468</v>
      </c>
      <c r="K167" s="819">
        <v>78</v>
      </c>
      <c r="L167" s="822"/>
      <c r="M167" s="856" t="str">
        <f t="shared" si="47"/>
        <v>Included</v>
      </c>
      <c r="N167" s="850">
        <f t="shared" si="1"/>
        <v>0</v>
      </c>
      <c r="O167" s="847">
        <f t="shared" si="2"/>
        <v>0</v>
      </c>
      <c r="P167" s="847">
        <f t="shared" si="3"/>
        <v>0</v>
      </c>
      <c r="R167" s="754"/>
      <c r="S167" s="754"/>
      <c r="T167" s="754"/>
      <c r="U167" s="754"/>
    </row>
    <row r="168" spans="1:21" s="557" customFormat="1" ht="41.25" customHeight="1">
      <c r="A168" s="893">
        <v>27</v>
      </c>
      <c r="B168" s="893">
        <v>1.51</v>
      </c>
      <c r="C168" s="803">
        <v>995413</v>
      </c>
      <c r="D168" s="809"/>
      <c r="E168" s="831">
        <v>0.18</v>
      </c>
      <c r="F168" s="828" t="s">
        <v>205</v>
      </c>
      <c r="G168" s="828"/>
      <c r="H168" s="828"/>
      <c r="I168" s="958" t="s">
        <v>485</v>
      </c>
      <c r="J168" s="802" t="s">
        <v>468</v>
      </c>
      <c r="K168" s="819">
        <v>78</v>
      </c>
      <c r="L168" s="822"/>
      <c r="M168" s="856" t="str">
        <f t="shared" si="47"/>
        <v>Included</v>
      </c>
      <c r="N168" s="850">
        <f t="shared" si="1"/>
        <v>0</v>
      </c>
      <c r="O168" s="847">
        <f t="shared" si="2"/>
        <v>0</v>
      </c>
      <c r="P168" s="847">
        <f t="shared" si="3"/>
        <v>0</v>
      </c>
      <c r="R168" s="754"/>
      <c r="S168" s="754"/>
      <c r="T168" s="754"/>
      <c r="U168" s="754"/>
    </row>
    <row r="169" spans="1:21" s="557" customFormat="1" ht="62.25" customHeight="1">
      <c r="A169" s="893">
        <v>28</v>
      </c>
      <c r="B169" s="894" t="s">
        <v>486</v>
      </c>
      <c r="C169" s="803">
        <v>995413</v>
      </c>
      <c r="D169" s="809"/>
      <c r="E169" s="831">
        <v>0.18</v>
      </c>
      <c r="F169" s="828" t="s">
        <v>205</v>
      </c>
      <c r="G169" s="828"/>
      <c r="H169" s="828"/>
      <c r="I169" s="958" t="s">
        <v>487</v>
      </c>
      <c r="J169" s="803" t="s">
        <v>488</v>
      </c>
      <c r="K169" s="819">
        <v>9</v>
      </c>
      <c r="L169" s="822"/>
      <c r="M169" s="856" t="str">
        <f t="shared" si="47"/>
        <v>Included</v>
      </c>
      <c r="N169" s="850">
        <f t="shared" si="1"/>
        <v>0</v>
      </c>
      <c r="O169" s="847">
        <f t="shared" si="2"/>
        <v>0</v>
      </c>
      <c r="P169" s="847">
        <f t="shared" si="3"/>
        <v>0</v>
      </c>
      <c r="R169" s="754"/>
      <c r="S169" s="754"/>
      <c r="T169" s="754"/>
      <c r="U169" s="754"/>
    </row>
    <row r="170" spans="1:21" s="557" customFormat="1" ht="41.25" customHeight="1">
      <c r="A170" s="893">
        <v>29</v>
      </c>
      <c r="B170" s="893">
        <v>5.15</v>
      </c>
      <c r="C170" s="803">
        <v>995413</v>
      </c>
      <c r="D170" s="809"/>
      <c r="E170" s="831">
        <v>0.18</v>
      </c>
      <c r="F170" s="828" t="s">
        <v>205</v>
      </c>
      <c r="G170" s="828"/>
      <c r="H170" s="828"/>
      <c r="I170" s="958" t="s">
        <v>489</v>
      </c>
      <c r="J170" s="802" t="s">
        <v>453</v>
      </c>
      <c r="K170" s="819">
        <v>665</v>
      </c>
      <c r="L170" s="822"/>
      <c r="M170" s="856" t="str">
        <f t="shared" si="47"/>
        <v>Included</v>
      </c>
      <c r="N170" s="850">
        <f t="shared" si="1"/>
        <v>0</v>
      </c>
      <c r="O170" s="847">
        <f t="shared" si="2"/>
        <v>0</v>
      </c>
      <c r="P170" s="847">
        <f t="shared" si="3"/>
        <v>0</v>
      </c>
      <c r="R170" s="754"/>
      <c r="S170" s="754"/>
      <c r="T170" s="754"/>
      <c r="U170" s="754"/>
    </row>
    <row r="171" spans="1:21" s="557" customFormat="1" ht="174.75" customHeight="1">
      <c r="A171" s="893">
        <v>30</v>
      </c>
      <c r="B171" s="926" t="s">
        <v>490</v>
      </c>
      <c r="C171" s="803">
        <v>995413</v>
      </c>
      <c r="D171" s="809"/>
      <c r="E171" s="831">
        <v>0.18</v>
      </c>
      <c r="F171" s="828" t="s">
        <v>205</v>
      </c>
      <c r="G171" s="828"/>
      <c r="H171" s="828"/>
      <c r="I171" s="958" t="s">
        <v>491</v>
      </c>
      <c r="J171" s="803" t="s">
        <v>492</v>
      </c>
      <c r="K171" s="819">
        <v>90</v>
      </c>
      <c r="L171" s="822"/>
      <c r="M171" s="856" t="str">
        <f t="shared" si="47"/>
        <v>Included</v>
      </c>
      <c r="N171" s="850">
        <f t="shared" si="1"/>
        <v>0</v>
      </c>
      <c r="O171" s="847">
        <f t="shared" si="2"/>
        <v>0</v>
      </c>
      <c r="P171" s="847">
        <f t="shared" si="3"/>
        <v>0</v>
      </c>
      <c r="R171" s="754"/>
      <c r="S171" s="754"/>
      <c r="T171" s="754"/>
      <c r="U171" s="754"/>
    </row>
    <row r="172" spans="1:21" s="752" customFormat="1" ht="25.5" customHeight="1">
      <c r="A172" s="801"/>
      <c r="B172" s="801"/>
      <c r="C172" s="801"/>
      <c r="D172" s="839"/>
      <c r="E172" s="801"/>
      <c r="F172" s="801"/>
      <c r="G172" s="801"/>
      <c r="H172" s="801"/>
      <c r="I172" s="842" t="s">
        <v>493</v>
      </c>
      <c r="J172" s="813"/>
      <c r="K172" s="818"/>
      <c r="L172" s="824"/>
      <c r="M172" s="855"/>
      <c r="N172" s="849"/>
      <c r="P172" s="846"/>
      <c r="Q172" s="846"/>
      <c r="R172" s="753"/>
      <c r="S172" s="753"/>
      <c r="T172" s="753"/>
      <c r="U172" s="753"/>
    </row>
    <row r="173" spans="1:21" s="557" customFormat="1" ht="57.75" customHeight="1">
      <c r="A173" s="802">
        <v>1</v>
      </c>
      <c r="B173" s="893" t="s">
        <v>412</v>
      </c>
      <c r="C173" s="893">
        <v>995413</v>
      </c>
      <c r="D173" s="809"/>
      <c r="E173" s="831">
        <v>0.18</v>
      </c>
      <c r="F173" s="828" t="s">
        <v>205</v>
      </c>
      <c r="G173" s="947"/>
      <c r="H173" s="947"/>
      <c r="I173" s="921" t="s">
        <v>494</v>
      </c>
      <c r="J173" s="893" t="s">
        <v>107</v>
      </c>
      <c r="K173" s="819">
        <v>51</v>
      </c>
      <c r="L173" s="822"/>
      <c r="M173" s="856" t="str">
        <f t="shared" ref="M173:M180" si="48">IF(L173=0, "Included", IF(ISERROR(K173*L173), L173, K173*L173))</f>
        <v>Included</v>
      </c>
      <c r="N173" s="850">
        <f t="shared" si="1"/>
        <v>0</v>
      </c>
      <c r="O173" s="847">
        <f t="shared" si="2"/>
        <v>0</v>
      </c>
      <c r="P173" s="847">
        <f t="shared" si="3"/>
        <v>0</v>
      </c>
      <c r="R173" s="754"/>
      <c r="S173" s="754"/>
      <c r="T173" s="754"/>
      <c r="U173" s="754"/>
    </row>
    <row r="174" spans="1:21" s="557" customFormat="1" ht="55.5" customHeight="1">
      <c r="A174" s="802">
        <v>2</v>
      </c>
      <c r="B174" s="893" t="s">
        <v>414</v>
      </c>
      <c r="C174" s="803">
        <v>995413</v>
      </c>
      <c r="D174" s="809"/>
      <c r="E174" s="831">
        <v>0.18</v>
      </c>
      <c r="F174" s="828" t="s">
        <v>205</v>
      </c>
      <c r="G174" s="947"/>
      <c r="H174" s="947"/>
      <c r="I174" s="921" t="s">
        <v>495</v>
      </c>
      <c r="J174" s="893" t="s">
        <v>107</v>
      </c>
      <c r="K174" s="819">
        <v>19</v>
      </c>
      <c r="L174" s="822"/>
      <c r="M174" s="856" t="str">
        <f t="shared" si="48"/>
        <v>Included</v>
      </c>
      <c r="N174" s="850">
        <f t="shared" ref="N174:N180" si="49">P174</f>
        <v>0</v>
      </c>
      <c r="O174" s="847">
        <f t="shared" ref="O174:O180" si="50">IF(M174="Included",0,M174)</f>
        <v>0</v>
      </c>
      <c r="P174" s="847">
        <f t="shared" ref="P174:P180" si="51">IF(E174="confirmed",(O174*D174),(O174*E174))</f>
        <v>0</v>
      </c>
      <c r="R174" s="754"/>
      <c r="S174" s="754"/>
      <c r="T174" s="754"/>
      <c r="U174" s="754"/>
    </row>
    <row r="175" spans="1:21" s="557" customFormat="1" ht="40.5" customHeight="1">
      <c r="A175" s="802">
        <v>3</v>
      </c>
      <c r="B175" s="893" t="s">
        <v>416</v>
      </c>
      <c r="C175" s="803">
        <v>995413</v>
      </c>
      <c r="D175" s="809"/>
      <c r="E175" s="831">
        <v>0.18</v>
      </c>
      <c r="F175" s="828" t="s">
        <v>205</v>
      </c>
      <c r="G175" s="947"/>
      <c r="H175" s="947"/>
      <c r="I175" s="922" t="s">
        <v>496</v>
      </c>
      <c r="J175" s="893" t="s">
        <v>107</v>
      </c>
      <c r="K175" s="819">
        <v>25</v>
      </c>
      <c r="L175" s="822"/>
      <c r="M175" s="856" t="str">
        <f t="shared" si="48"/>
        <v>Included</v>
      </c>
      <c r="N175" s="850">
        <f t="shared" si="49"/>
        <v>0</v>
      </c>
      <c r="O175" s="847">
        <f t="shared" si="50"/>
        <v>0</v>
      </c>
      <c r="P175" s="847">
        <f t="shared" si="51"/>
        <v>0</v>
      </c>
      <c r="R175" s="754"/>
      <c r="S175" s="754"/>
      <c r="T175" s="754"/>
      <c r="U175" s="754"/>
    </row>
    <row r="176" spans="1:21" s="557" customFormat="1" ht="30.75" customHeight="1">
      <c r="A176" s="802">
        <v>4</v>
      </c>
      <c r="B176" s="893" t="s">
        <v>418</v>
      </c>
      <c r="C176" s="803">
        <v>995413</v>
      </c>
      <c r="D176" s="809"/>
      <c r="E176" s="831">
        <v>0.18</v>
      </c>
      <c r="F176" s="828" t="s">
        <v>205</v>
      </c>
      <c r="G176" s="828"/>
      <c r="H176" s="828"/>
      <c r="I176" s="960" t="s">
        <v>497</v>
      </c>
      <c r="J176" s="893" t="s">
        <v>498</v>
      </c>
      <c r="K176" s="819">
        <v>90</v>
      </c>
      <c r="L176" s="822"/>
      <c r="M176" s="856" t="str">
        <f t="shared" si="48"/>
        <v>Included</v>
      </c>
      <c r="N176" s="850">
        <f t="shared" si="49"/>
        <v>0</v>
      </c>
      <c r="O176" s="847">
        <f t="shared" si="50"/>
        <v>0</v>
      </c>
      <c r="P176" s="847">
        <f t="shared" si="51"/>
        <v>0</v>
      </c>
      <c r="R176" s="754"/>
      <c r="S176" s="754"/>
      <c r="T176" s="754"/>
      <c r="U176" s="754"/>
    </row>
    <row r="177" spans="1:21" s="557" customFormat="1" ht="36.75" customHeight="1">
      <c r="A177" s="802">
        <v>5</v>
      </c>
      <c r="B177" s="893" t="s">
        <v>420</v>
      </c>
      <c r="C177" s="803">
        <v>995413</v>
      </c>
      <c r="D177" s="809"/>
      <c r="E177" s="831">
        <v>0.18</v>
      </c>
      <c r="F177" s="828" t="s">
        <v>205</v>
      </c>
      <c r="G177" s="828"/>
      <c r="H177" s="828"/>
      <c r="I177" s="960" t="s">
        <v>499</v>
      </c>
      <c r="J177" s="893" t="s">
        <v>498</v>
      </c>
      <c r="K177" s="819">
        <v>85</v>
      </c>
      <c r="L177" s="822"/>
      <c r="M177" s="856" t="str">
        <f t="shared" si="48"/>
        <v>Included</v>
      </c>
      <c r="N177" s="850">
        <f t="shared" si="49"/>
        <v>0</v>
      </c>
      <c r="O177" s="847">
        <f t="shared" si="50"/>
        <v>0</v>
      </c>
      <c r="P177" s="847">
        <f t="shared" si="51"/>
        <v>0</v>
      </c>
      <c r="R177" s="754"/>
      <c r="S177" s="754"/>
      <c r="T177" s="754"/>
      <c r="U177" s="754"/>
    </row>
    <row r="178" spans="1:21" s="752" customFormat="1" ht="48.75" customHeight="1">
      <c r="A178" s="801"/>
      <c r="B178" s="801"/>
      <c r="C178" s="801"/>
      <c r="D178" s="839"/>
      <c r="E178" s="801"/>
      <c r="F178" s="801"/>
      <c r="G178" s="801"/>
      <c r="H178" s="801"/>
      <c r="I178" s="925" t="s">
        <v>500</v>
      </c>
      <c r="J178" s="813"/>
      <c r="K178" s="818"/>
      <c r="L178" s="824"/>
      <c r="M178" s="855"/>
      <c r="N178" s="849"/>
      <c r="O178" s="846" t="s">
        <v>501</v>
      </c>
      <c r="P178" s="846" t="s">
        <v>502</v>
      </c>
      <c r="Q178" s="846" t="s">
        <v>502</v>
      </c>
      <c r="R178" s="753"/>
      <c r="S178" s="753"/>
      <c r="T178" s="753"/>
      <c r="U178" s="753"/>
    </row>
    <row r="179" spans="1:21" s="752" customFormat="1" ht="25.5" customHeight="1">
      <c r="A179" s="801"/>
      <c r="B179" s="801"/>
      <c r="C179" s="801"/>
      <c r="D179" s="839"/>
      <c r="E179" s="801"/>
      <c r="F179" s="801"/>
      <c r="G179" s="801"/>
      <c r="H179" s="801"/>
      <c r="I179" s="842" t="s">
        <v>203</v>
      </c>
      <c r="J179" s="813"/>
      <c r="K179" s="818"/>
      <c r="L179" s="824"/>
      <c r="M179" s="855"/>
      <c r="N179" s="849"/>
      <c r="P179" s="846"/>
      <c r="Q179" s="846"/>
      <c r="R179" s="753"/>
      <c r="S179" s="753"/>
      <c r="T179" s="753"/>
      <c r="U179" s="753"/>
    </row>
    <row r="180" spans="1:21" s="557" customFormat="1" ht="288" customHeight="1">
      <c r="A180" s="802">
        <v>1</v>
      </c>
      <c r="B180" s="889" t="s">
        <v>409</v>
      </c>
      <c r="C180" s="803">
        <v>995413</v>
      </c>
      <c r="D180" s="809"/>
      <c r="E180" s="831">
        <v>0.18</v>
      </c>
      <c r="F180" s="828" t="s">
        <v>205</v>
      </c>
      <c r="G180" s="828"/>
      <c r="H180" s="828"/>
      <c r="I180" s="923" t="s">
        <v>503</v>
      </c>
      <c r="J180" s="802" t="s">
        <v>207</v>
      </c>
      <c r="K180" s="961">
        <v>360</v>
      </c>
      <c r="L180" s="822"/>
      <c r="M180" s="856" t="str">
        <f t="shared" si="48"/>
        <v>Included</v>
      </c>
      <c r="N180" s="850">
        <f t="shared" si="49"/>
        <v>0</v>
      </c>
      <c r="O180" s="847">
        <f t="shared" si="50"/>
        <v>0</v>
      </c>
      <c r="P180" s="847">
        <f t="shared" si="51"/>
        <v>0</v>
      </c>
      <c r="R180" s="754"/>
      <c r="S180" s="754"/>
      <c r="T180" s="754"/>
      <c r="U180" s="754"/>
    </row>
    <row r="181" spans="1:21" ht="31.5" customHeight="1">
      <c r="A181" s="802"/>
      <c r="B181" s="803"/>
      <c r="C181" s="809"/>
      <c r="D181" s="831"/>
      <c r="E181" s="828"/>
      <c r="F181" s="829"/>
      <c r="G181" s="829"/>
      <c r="H181" s="829"/>
      <c r="I181" s="843" t="s">
        <v>504</v>
      </c>
      <c r="J181" s="814"/>
      <c r="K181" s="820"/>
      <c r="L181" s="809"/>
      <c r="M181" s="857">
        <f>SUM(M19:M180)</f>
        <v>0</v>
      </c>
      <c r="N181" s="851"/>
      <c r="O181" s="847"/>
      <c r="P181" s="847"/>
    </row>
    <row r="182" spans="1:21" ht="16.5">
      <c r="A182" s="804"/>
      <c r="B182" s="804"/>
      <c r="C182" s="810"/>
      <c r="D182" s="804"/>
      <c r="E182" s="804"/>
      <c r="F182" s="830"/>
      <c r="G182" s="830"/>
      <c r="H182" s="830"/>
      <c r="I182" s="844" t="s">
        <v>505</v>
      </c>
      <c r="J182" s="815"/>
      <c r="K182" s="812"/>
      <c r="L182" s="812"/>
      <c r="M182" s="858"/>
      <c r="N182" s="852">
        <f>SUM(N19:N181)</f>
        <v>0</v>
      </c>
      <c r="O182" s="847"/>
      <c r="P182" s="847"/>
    </row>
    <row r="183" spans="1:21" ht="16.5">
      <c r="A183" s="805"/>
      <c r="B183" s="805"/>
      <c r="C183" s="805"/>
      <c r="D183" s="840"/>
      <c r="E183" s="805"/>
      <c r="F183" s="805"/>
      <c r="G183" s="805"/>
      <c r="H183" s="805"/>
      <c r="I183" s="845" t="s">
        <v>506</v>
      </c>
      <c r="J183" s="816"/>
      <c r="K183" s="821"/>
      <c r="L183" s="821"/>
      <c r="M183" s="857">
        <f>M181+N182</f>
        <v>0</v>
      </c>
      <c r="N183" s="853"/>
      <c r="O183" s="847"/>
      <c r="P183" s="847"/>
    </row>
    <row r="189" spans="1:21">
      <c r="N189" s="827"/>
    </row>
    <row r="190" spans="1:21">
      <c r="L190" s="825"/>
      <c r="N190" s="827"/>
    </row>
    <row r="191" spans="1:21">
      <c r="L191" s="825"/>
      <c r="N191" s="827"/>
    </row>
    <row r="192" spans="1:21">
      <c r="L192" s="825"/>
      <c r="N192" s="827"/>
    </row>
    <row r="193" spans="12:14">
      <c r="L193" s="825"/>
      <c r="N193" s="827"/>
    </row>
    <row r="194" spans="12:14">
      <c r="N194" s="827"/>
    </row>
  </sheetData>
  <protectedRanges>
    <protectedRange sqref="I132:I135 I20 I30 I40 I50 I60 I70 I80 I85 I95 I105 I115 I125" name="Range5_1_1_2"/>
  </protectedRanges>
  <autoFilter ref="A15:AY183" xr:uid="{00000000-0009-0000-0000-000007000000}"/>
  <mergeCells count="13">
    <mergeCell ref="I140:Q140"/>
    <mergeCell ref="D11:F11"/>
    <mergeCell ref="A13:M13"/>
    <mergeCell ref="AI13:AJ13"/>
    <mergeCell ref="AL13:AM13"/>
    <mergeCell ref="L14:M14"/>
    <mergeCell ref="I17:Q17"/>
    <mergeCell ref="D10:F10"/>
    <mergeCell ref="A3:M3"/>
    <mergeCell ref="A4:M4"/>
    <mergeCell ref="A7:K7"/>
    <mergeCell ref="D8:F8"/>
    <mergeCell ref="D9:F9"/>
  </mergeCells>
  <conditionalFormatting sqref="F19:G125 F127:G139 F142:G171 F173:G177 F180:G180 C181 E181">
    <cfRule type="expression" dxfId="15" priority="5" stopIfTrue="1">
      <formula>B19&gt;0</formula>
    </cfRule>
  </conditionalFormatting>
  <conditionalFormatting sqref="H19:H125 H127:H139 H142:H171 H173:H177 H180">
    <cfRule type="expression" dxfId="14" priority="6" stopIfTrue="1">
      <formula>F19&gt;0</formula>
    </cfRule>
  </conditionalFormatting>
  <conditionalFormatting sqref="K17:K18">
    <cfRule type="expression" dxfId="13" priority="4" stopIfTrue="1">
      <formula>J17&gt;0</formula>
    </cfRule>
  </conditionalFormatting>
  <conditionalFormatting sqref="K140:K141">
    <cfRule type="expression" dxfId="12" priority="2" stopIfTrue="1">
      <formula>J140&gt;0</formula>
    </cfRule>
  </conditionalFormatting>
  <conditionalFormatting sqref="K178:K179">
    <cfRule type="expression" dxfId="11" priority="1" stopIfTrue="1">
      <formula>J178&gt;0</formula>
    </cfRule>
  </conditionalFormatting>
  <conditionalFormatting sqref="L17:L181 D19:D125 K126 D127:D139 D142:D171 K172 D173:D177 D180">
    <cfRule type="expression" dxfId="10" priority="3" stopIfTrue="1">
      <formula>C17&gt;0</formula>
    </cfRule>
  </conditionalFormatting>
  <dataValidations count="4">
    <dataValidation type="decimal" operator="greaterThan" allowBlank="1" showInputMessage="1" showErrorMessage="1" error="Enter only Numeric Value greater than zero or leave the cell blank !" sqref="L17:L18 L181 L178:L179 L126:L131 L140:L172" xr:uid="{5B374C9F-9F0D-4C0D-BC99-803EE0CD7BC1}">
      <formula1>0</formula1>
    </dataValidation>
    <dataValidation type="list" operator="greaterThan" allowBlank="1" showInputMessage="1" showErrorMessage="1" error="Enter only Numeric Value greater than zero or leave the cell blank !" sqref="E181 F127:H139 F19:H125 F142:H171 F173:H177 F180:H180" xr:uid="{0D92EB77-1498-435C-8615-CFFF14F29311}">
      <formula1>"confirmed,0%,5%,12%,18%,28%"</formula1>
    </dataValidation>
    <dataValidation operator="greaterThan" allowBlank="1" showInputMessage="1" showErrorMessage="1" sqref="C181 D127:D139 D19:D125 D142:D171 D173:D177 D180" xr:uid="{45487237-1BDA-4BB7-9764-CA9982C074A1}"/>
    <dataValidation operator="greaterThan" allowBlank="1" showInputMessage="1" showErrorMessage="1" error="Enter only Numeric Value greater than zero or leave the cell blank !" sqref="F15:H16 D15:D16" xr:uid="{E1E7F861-FCA1-48B3-9F68-35E072331C5A}"/>
  </dataValidations>
  <printOptions horizontalCentered="1"/>
  <pageMargins left="0.24" right="0.23" top="0.49" bottom="0.46" header="0.54" footer="0.28000000000000003"/>
  <pageSetup paperSize="9" scale="48" fitToHeight="0" orientation="landscape" r:id="rId1"/>
  <headerFooter alignWithMargins="0">
    <oddHeader>&amp;C&amp;"Calibri"&amp;12&amp;KFF0000 डेटा वर्गीकरण : प्रतिबंधित/RESTRICTED&amp;1#_x000D_</oddHeader>
    <oddFooter>&amp;R&amp;"Book Antiqua,Bold"&amp;10Schedule-3/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8C5F-09E0-4123-BE40-B6B4D4667A75}">
  <dimension ref="A1:O567"/>
  <sheetViews>
    <sheetView view="pageBreakPreview" topLeftCell="A21" zoomScale="80" zoomScaleNormal="85" zoomScaleSheetLayoutView="80" workbookViewId="0">
      <selection activeCell="C18" sqref="C18"/>
    </sheetView>
  </sheetViews>
  <sheetFormatPr defaultRowHeight="16.5"/>
  <cols>
    <col min="1" max="1" width="15.25" style="544" customWidth="1"/>
    <col min="2" max="2" width="14.5" style="544" customWidth="1"/>
    <col min="3" max="3" width="16.875" style="544" bestFit="1" customWidth="1"/>
    <col min="4" max="4" width="15.625" style="544" customWidth="1"/>
    <col min="5" max="5" width="12.625" style="544" customWidth="1"/>
    <col min="6" max="6" width="13.125" style="600" customWidth="1"/>
    <col min="7" max="7" width="81.875" style="544" customWidth="1"/>
    <col min="8" max="8" width="9" style="544"/>
    <col min="9" max="9" width="10.875" style="1021" bestFit="1" customWidth="1"/>
    <col min="10" max="10" width="16.375" style="1034" bestFit="1" customWidth="1"/>
    <col min="11" max="11" width="15.625" style="1034" customWidth="1"/>
    <col min="12" max="12" width="14.75" style="544" customWidth="1"/>
    <col min="13" max="14" width="5" hidden="1" customWidth="1"/>
  </cols>
  <sheetData>
    <row r="1" spans="1:14" ht="66" customHeight="1">
      <c r="A1" s="1237" t="str">
        <f>Basic!B1</f>
        <v>Extension of residential quarters 2 nos C type &amp; 2 nos B2 type quarters over the existing C type &amp; B2 type at 400/220 KV Shahjahanpur &amp; 765/400 KV Sohawal Substation</v>
      </c>
      <c r="B1" s="1238"/>
      <c r="C1" s="1238"/>
      <c r="D1" s="1238"/>
      <c r="E1" s="1238"/>
      <c r="F1" s="1238"/>
      <c r="G1" s="1238"/>
      <c r="H1" s="1238"/>
      <c r="I1" s="1238"/>
      <c r="J1" s="1238"/>
      <c r="K1" s="1238"/>
      <c r="L1" s="1239"/>
    </row>
    <row r="2" spans="1:14" ht="25.5" customHeight="1">
      <c r="A2" s="1243" t="s">
        <v>507</v>
      </c>
      <c r="B2" s="1244"/>
      <c r="C2" s="1244"/>
      <c r="D2" s="1244"/>
      <c r="E2" s="1244"/>
      <c r="F2" s="1244"/>
      <c r="G2" s="1244"/>
      <c r="H2" s="1244"/>
      <c r="I2" s="1244"/>
      <c r="J2" s="1244"/>
      <c r="K2" s="1244"/>
      <c r="L2" s="1245"/>
    </row>
    <row r="3" spans="1:14">
      <c r="A3" s="987"/>
      <c r="B3" s="988"/>
      <c r="C3" s="988"/>
      <c r="D3" s="988"/>
      <c r="E3" s="988"/>
      <c r="F3" s="1067"/>
      <c r="G3" s="988"/>
      <c r="H3" s="988"/>
      <c r="I3" s="1020"/>
      <c r="J3" s="1033"/>
      <c r="K3" s="1033"/>
      <c r="L3" s="989"/>
    </row>
    <row r="4" spans="1:14">
      <c r="A4" s="949"/>
      <c r="B4" s="807"/>
      <c r="C4" s="807"/>
      <c r="D4" s="835"/>
      <c r="E4" s="796"/>
      <c r="F4" s="1068"/>
      <c r="G4" s="796"/>
      <c r="H4" s="1246" t="s">
        <v>79</v>
      </c>
      <c r="I4" s="1246"/>
      <c r="J4" s="1246"/>
      <c r="K4" s="1246"/>
      <c r="L4" s="1247"/>
      <c r="M4" s="546"/>
    </row>
    <row r="5" spans="1:14">
      <c r="A5" s="950"/>
      <c r="B5" s="948"/>
      <c r="C5" s="948"/>
      <c r="D5" s="948"/>
      <c r="E5" s="948"/>
      <c r="F5" s="948"/>
      <c r="G5" s="948"/>
      <c r="H5" s="1240" t="s">
        <v>1261</v>
      </c>
      <c r="I5" s="1240"/>
      <c r="J5" s="1240"/>
      <c r="K5" s="1240"/>
      <c r="L5" s="1241"/>
      <c r="M5" s="546"/>
    </row>
    <row r="6" spans="1:14">
      <c r="A6" s="949" t="s">
        <v>81</v>
      </c>
      <c r="B6" s="1242" t="str">
        <f>IF('[1]Sch-1'!C7=0, "", '[1]Sch-1'!C7)</f>
        <v/>
      </c>
      <c r="C6" s="1242"/>
      <c r="D6" s="1242"/>
      <c r="E6" s="1242"/>
      <c r="F6" s="1242"/>
      <c r="G6" s="927"/>
      <c r="H6" s="1240" t="s">
        <v>187</v>
      </c>
      <c r="I6" s="1240"/>
      <c r="J6" s="1240"/>
      <c r="K6" s="1240"/>
      <c r="L6" s="1241"/>
      <c r="M6" s="546"/>
    </row>
    <row r="7" spans="1:14">
      <c r="A7" s="949" t="s">
        <v>83</v>
      </c>
      <c r="B7" s="1242" t="str">
        <f>IF('[1]Sch-1'!C8=0, "", '[1]Sch-1'!C8)</f>
        <v/>
      </c>
      <c r="C7" s="1242"/>
      <c r="D7" s="1242"/>
      <c r="E7" s="1242"/>
      <c r="F7" s="1242"/>
      <c r="G7" s="927"/>
      <c r="H7" s="1240" t="s">
        <v>1262</v>
      </c>
      <c r="I7" s="1240"/>
      <c r="J7" s="1240"/>
      <c r="K7" s="1240"/>
      <c r="L7" s="1241"/>
      <c r="M7" s="546"/>
    </row>
    <row r="8" spans="1:14">
      <c r="A8" s="951"/>
      <c r="B8" s="797"/>
      <c r="C8" s="797"/>
      <c r="D8" s="1208" t="str">
        <f>IF('[1]Sch-1'!C9=0, "", '[1]Sch-1'!C9)</f>
        <v/>
      </c>
      <c r="E8" s="1208"/>
      <c r="F8" s="1208"/>
      <c r="G8" s="927"/>
      <c r="H8" s="1240" t="s">
        <v>1263</v>
      </c>
      <c r="I8" s="1240"/>
      <c r="J8" s="1240"/>
      <c r="K8" s="1240"/>
      <c r="L8" s="1241"/>
      <c r="M8" s="546"/>
    </row>
    <row r="9" spans="1:14">
      <c r="A9" s="951"/>
      <c r="B9" s="797"/>
      <c r="C9" s="797"/>
      <c r="D9" s="1208" t="str">
        <f>IF('[1]Sch-1'!C10=0, "", '[1]Sch-1'!C10)</f>
        <v/>
      </c>
      <c r="E9" s="1208"/>
      <c r="F9" s="1208"/>
      <c r="G9" s="927"/>
      <c r="H9" s="1240" t="s">
        <v>1264</v>
      </c>
      <c r="I9" s="1240"/>
      <c r="J9" s="1240"/>
      <c r="K9" s="1240"/>
      <c r="L9" s="1241"/>
      <c r="M9" s="546"/>
    </row>
    <row r="10" spans="1:14">
      <c r="A10" s="990"/>
      <c r="L10" s="991"/>
    </row>
    <row r="11" spans="1:14">
      <c r="A11" s="990"/>
      <c r="H11" s="544" t="s">
        <v>508</v>
      </c>
      <c r="L11" s="991"/>
    </row>
    <row r="12" spans="1:14" ht="115.5">
      <c r="A12" s="992" t="s">
        <v>192</v>
      </c>
      <c r="B12" s="808" t="s">
        <v>193</v>
      </c>
      <c r="C12" s="808" t="s">
        <v>96</v>
      </c>
      <c r="D12" s="808" t="s">
        <v>194</v>
      </c>
      <c r="E12" s="808" t="s">
        <v>509</v>
      </c>
      <c r="F12" s="456" t="s">
        <v>510</v>
      </c>
      <c r="G12" s="668" t="s">
        <v>147</v>
      </c>
      <c r="H12" s="667" t="s">
        <v>99</v>
      </c>
      <c r="I12" s="1022" t="s">
        <v>148</v>
      </c>
      <c r="J12" s="1035" t="s">
        <v>196</v>
      </c>
      <c r="K12" s="1035" t="s">
        <v>197</v>
      </c>
      <c r="L12" s="1092" t="s">
        <v>1284</v>
      </c>
    </row>
    <row r="13" spans="1:14" ht="20.25" customHeight="1">
      <c r="A13" s="1231" t="s">
        <v>854</v>
      </c>
      <c r="B13" s="1232"/>
      <c r="C13" s="1232"/>
      <c r="D13" s="1232"/>
      <c r="E13" s="1232"/>
      <c r="F13" s="1232"/>
      <c r="G13" s="1232"/>
      <c r="H13" s="1232"/>
      <c r="I13" s="1232"/>
      <c r="J13" s="1232"/>
      <c r="K13" s="1232"/>
      <c r="L13" s="1232"/>
    </row>
    <row r="14" spans="1:14" ht="20.25" customHeight="1">
      <c r="A14" s="1231" t="s">
        <v>855</v>
      </c>
      <c r="B14" s="1232"/>
      <c r="C14" s="1232"/>
      <c r="D14" s="1232"/>
      <c r="E14" s="1232"/>
      <c r="F14" s="1232"/>
      <c r="G14" s="1232"/>
      <c r="H14" s="1232"/>
      <c r="I14" s="1232"/>
      <c r="J14" s="1232"/>
      <c r="K14" s="1232"/>
      <c r="L14" s="1232"/>
    </row>
    <row r="15" spans="1:14" ht="31.5">
      <c r="A15" s="952">
        <v>995428</v>
      </c>
      <c r="B15" s="809"/>
      <c r="C15" s="831">
        <v>0.18</v>
      </c>
      <c r="D15" s="828" t="s">
        <v>205</v>
      </c>
      <c r="E15" s="802">
        <v>1</v>
      </c>
      <c r="F15" s="1041" t="s">
        <v>856</v>
      </c>
      <c r="G15" s="994" t="s">
        <v>857</v>
      </c>
      <c r="H15" s="995" t="s">
        <v>512</v>
      </c>
      <c r="I15" s="1023">
        <v>100</v>
      </c>
      <c r="J15" s="1036"/>
      <c r="K15" s="1038" t="str">
        <f>IF(J15=0, "Included", IF(ISERROR(I15*J15), J15, I15*J15))</f>
        <v>Included</v>
      </c>
      <c r="L15" s="953">
        <f>N15</f>
        <v>0</v>
      </c>
      <c r="M15" s="847">
        <f>IF(K15="Included",0,K15)</f>
        <v>0</v>
      </c>
      <c r="N15" s="847">
        <f>IF(C15="confirmed",(M15*B15),(M15*C15))</f>
        <v>0</v>
      </c>
    </row>
    <row r="16" spans="1:14" ht="47.25">
      <c r="A16" s="952">
        <v>995429</v>
      </c>
      <c r="B16" s="809"/>
      <c r="C16" s="831">
        <v>0.18</v>
      </c>
      <c r="D16" s="828" t="s">
        <v>205</v>
      </c>
      <c r="E16" s="802">
        <v>2</v>
      </c>
      <c r="F16" s="1041">
        <v>15.3</v>
      </c>
      <c r="G16" s="994" t="s">
        <v>858</v>
      </c>
      <c r="H16" s="995" t="s">
        <v>512</v>
      </c>
      <c r="I16" s="1023">
        <v>25</v>
      </c>
      <c r="J16" s="1036"/>
      <c r="K16" s="1038" t="str">
        <f t="shared" ref="K16:K17" si="0">IF(J16=0, "Included", IF(ISERROR(I16*J16), J16, I16*J16))</f>
        <v>Included</v>
      </c>
      <c r="L16" s="953">
        <f t="shared" ref="L16:L17" si="1">N16</f>
        <v>0</v>
      </c>
      <c r="M16" s="847">
        <f t="shared" ref="M16:M17" si="2">IF(K16="Included",0,K16)</f>
        <v>0</v>
      </c>
      <c r="N16" s="847">
        <f t="shared" ref="N16:N17" si="3">IF(C16="confirmed",(M16*B16),(M16*C16))</f>
        <v>0</v>
      </c>
    </row>
    <row r="17" spans="1:14" ht="63">
      <c r="A17" s="952">
        <v>995433</v>
      </c>
      <c r="B17" s="809"/>
      <c r="C17" s="831">
        <v>0.18</v>
      </c>
      <c r="D17" s="828" t="s">
        <v>205</v>
      </c>
      <c r="E17" s="802">
        <v>3</v>
      </c>
      <c r="F17" s="1041" t="s">
        <v>511</v>
      </c>
      <c r="G17" s="994" t="s">
        <v>859</v>
      </c>
      <c r="H17" s="995" t="s">
        <v>251</v>
      </c>
      <c r="I17" s="1023">
        <v>100</v>
      </c>
      <c r="J17" s="1036"/>
      <c r="K17" s="1038" t="str">
        <f t="shared" si="0"/>
        <v>Included</v>
      </c>
      <c r="L17" s="953">
        <f t="shared" si="1"/>
        <v>0</v>
      </c>
      <c r="M17" s="847">
        <f t="shared" si="2"/>
        <v>0</v>
      </c>
      <c r="N17" s="847">
        <f t="shared" si="3"/>
        <v>0</v>
      </c>
    </row>
    <row r="18" spans="1:14" ht="78.75">
      <c r="A18" s="952">
        <v>995433</v>
      </c>
      <c r="B18" s="809"/>
      <c r="C18" s="831">
        <v>0.18</v>
      </c>
      <c r="D18" s="828" t="s">
        <v>205</v>
      </c>
      <c r="E18" s="802">
        <v>4</v>
      </c>
      <c r="F18" s="1041" t="s">
        <v>513</v>
      </c>
      <c r="G18" s="994" t="s">
        <v>860</v>
      </c>
      <c r="H18" s="995" t="s">
        <v>251</v>
      </c>
      <c r="I18" s="1023">
        <v>25</v>
      </c>
      <c r="J18" s="1036"/>
      <c r="K18" s="1038" t="str">
        <f>IF(J18=0, "Included", IF(ISERROR(I18*J18), J18, I18*J18))</f>
        <v>Included</v>
      </c>
      <c r="L18" s="953">
        <f>N18</f>
        <v>0</v>
      </c>
      <c r="M18" s="847">
        <f>IF(K18="Included",0,K18)</f>
        <v>0</v>
      </c>
      <c r="N18" s="847">
        <f>IF(C18="confirmed",(M18*B18),(M18*C18))</f>
        <v>0</v>
      </c>
    </row>
    <row r="19" spans="1:14" ht="94.5">
      <c r="A19" s="952"/>
      <c r="B19" s="809"/>
      <c r="C19" s="831"/>
      <c r="D19" s="828" t="s">
        <v>205</v>
      </c>
      <c r="E19" s="802">
        <v>5</v>
      </c>
      <c r="F19" s="1069" t="s">
        <v>537</v>
      </c>
      <c r="G19" s="994" t="s">
        <v>861</v>
      </c>
      <c r="H19" s="995"/>
      <c r="I19" s="1023"/>
      <c r="J19" s="1036"/>
      <c r="K19" s="1038"/>
      <c r="L19" s="953"/>
      <c r="M19" s="847">
        <f t="shared" ref="M19:M20" si="4">IF(K19="Included",0,K19)</f>
        <v>0</v>
      </c>
      <c r="N19" s="847">
        <f t="shared" ref="N19:N20" si="5">IF(C19="confirmed",(M19*B19),(M19*C19))</f>
        <v>0</v>
      </c>
    </row>
    <row r="20" spans="1:14" ht="25.5" customHeight="1">
      <c r="A20" s="952">
        <v>995433</v>
      </c>
      <c r="B20" s="809"/>
      <c r="C20" s="831">
        <v>0.18</v>
      </c>
      <c r="D20" s="828" t="s">
        <v>205</v>
      </c>
      <c r="E20" s="802">
        <v>6</v>
      </c>
      <c r="F20" s="1069" t="s">
        <v>862</v>
      </c>
      <c r="G20" s="994" t="s">
        <v>863</v>
      </c>
      <c r="H20" s="995" t="s">
        <v>520</v>
      </c>
      <c r="I20" s="1023">
        <v>20</v>
      </c>
      <c r="J20" s="1036"/>
      <c r="K20" s="1038" t="str">
        <f t="shared" ref="K20" si="6">IF(J20=0, "Included", IF(ISERROR(I20*J20), J20, I20*J20))</f>
        <v>Included</v>
      </c>
      <c r="L20" s="953">
        <f t="shared" ref="L20" si="7">N20</f>
        <v>0</v>
      </c>
      <c r="M20" s="847">
        <f t="shared" si="4"/>
        <v>0</v>
      </c>
      <c r="N20" s="847">
        <f t="shared" si="5"/>
        <v>0</v>
      </c>
    </row>
    <row r="21" spans="1:14" ht="31.5">
      <c r="A21" s="952">
        <v>995433</v>
      </c>
      <c r="B21" s="809"/>
      <c r="C21" s="831">
        <v>0.18</v>
      </c>
      <c r="D21" s="828" t="s">
        <v>205</v>
      </c>
      <c r="E21" s="802">
        <v>7</v>
      </c>
      <c r="F21" s="1069" t="s">
        <v>864</v>
      </c>
      <c r="G21" s="994" t="s">
        <v>865</v>
      </c>
      <c r="H21" s="995" t="s">
        <v>520</v>
      </c>
      <c r="I21" s="1023">
        <f>25+40</f>
        <v>65</v>
      </c>
      <c r="J21" s="1036"/>
      <c r="K21" s="1038" t="str">
        <f>IF(J21=0, "Included", IF(ISERROR(I21*J21), J21, I21*J21))</f>
        <v>Included</v>
      </c>
      <c r="L21" s="953">
        <f>N21</f>
        <v>0</v>
      </c>
      <c r="M21" s="847">
        <f>IF(K21="Included",0,K21)</f>
        <v>0</v>
      </c>
      <c r="N21" s="847">
        <f>IF(C21="confirmed",(M21*B21),(M21*C21))</f>
        <v>0</v>
      </c>
    </row>
    <row r="22" spans="1:14" ht="47.25">
      <c r="A22" s="952">
        <v>995433</v>
      </c>
      <c r="B22" s="809"/>
      <c r="C22" s="831">
        <v>0.18</v>
      </c>
      <c r="D22" s="828" t="s">
        <v>205</v>
      </c>
      <c r="E22" s="802">
        <v>8</v>
      </c>
      <c r="F22" s="1041">
        <v>2.25</v>
      </c>
      <c r="G22" s="994" t="s">
        <v>866</v>
      </c>
      <c r="H22" s="995" t="s">
        <v>251</v>
      </c>
      <c r="I22" s="1023">
        <f>275+125</f>
        <v>400</v>
      </c>
      <c r="J22" s="1036"/>
      <c r="K22" s="1038" t="str">
        <f t="shared" ref="K22:K23" si="8">IF(J22=0, "Included", IF(ISERROR(I22*J22), J22, I22*J22))</f>
        <v>Included</v>
      </c>
      <c r="L22" s="953">
        <f t="shared" ref="L22:L23" si="9">N22</f>
        <v>0</v>
      </c>
      <c r="M22" s="847">
        <f t="shared" ref="M22:M23" si="10">IF(K22="Included",0,K22)</f>
        <v>0</v>
      </c>
      <c r="N22" s="847">
        <f t="shared" ref="N22:N23" si="11">IF(C22="confirmed",(M22*B22),(M22*C22))</f>
        <v>0</v>
      </c>
    </row>
    <row r="23" spans="1:14" ht="31.5">
      <c r="A23" s="952">
        <v>995433</v>
      </c>
      <c r="B23" s="809"/>
      <c r="C23" s="831">
        <v>0.18</v>
      </c>
      <c r="D23" s="828" t="s">
        <v>205</v>
      </c>
      <c r="E23" s="802">
        <v>9</v>
      </c>
      <c r="F23" s="1041">
        <v>2.27</v>
      </c>
      <c r="G23" s="994" t="s">
        <v>867</v>
      </c>
      <c r="H23" s="995" t="s">
        <v>251</v>
      </c>
      <c r="I23" s="1023">
        <v>15</v>
      </c>
      <c r="J23" s="1036"/>
      <c r="K23" s="1038" t="str">
        <f t="shared" si="8"/>
        <v>Included</v>
      </c>
      <c r="L23" s="953">
        <f t="shared" si="9"/>
        <v>0</v>
      </c>
      <c r="M23" s="847">
        <f t="shared" si="10"/>
        <v>0</v>
      </c>
      <c r="N23" s="847">
        <f t="shared" si="11"/>
        <v>0</v>
      </c>
    </row>
    <row r="24" spans="1:14" ht="47.25">
      <c r="A24" s="952">
        <v>995433</v>
      </c>
      <c r="B24" s="809"/>
      <c r="C24" s="831">
        <v>0.18</v>
      </c>
      <c r="D24" s="828" t="s">
        <v>205</v>
      </c>
      <c r="E24" s="802">
        <v>10</v>
      </c>
      <c r="F24" s="1041" t="s">
        <v>868</v>
      </c>
      <c r="G24" s="994" t="s">
        <v>869</v>
      </c>
      <c r="H24" s="995" t="s">
        <v>207</v>
      </c>
      <c r="I24" s="1023">
        <v>225</v>
      </c>
      <c r="J24" s="1036"/>
      <c r="K24" s="1038" t="str">
        <f>IF(J24=0, "Included", IF(ISERROR(I24*J24), J24, I24*J24))</f>
        <v>Included</v>
      </c>
      <c r="L24" s="953">
        <f>N24</f>
        <v>0</v>
      </c>
      <c r="M24" s="847">
        <f>IF(K24="Included",0,K24)</f>
        <v>0</v>
      </c>
      <c r="N24" s="847">
        <f>IF(C24="confirmed",(M24*B24),(M24*C24))</f>
        <v>0</v>
      </c>
    </row>
    <row r="25" spans="1:14" ht="47.25">
      <c r="A25" s="952">
        <v>995454</v>
      </c>
      <c r="B25" s="809"/>
      <c r="C25" s="831">
        <v>0.18</v>
      </c>
      <c r="D25" s="828" t="s">
        <v>205</v>
      </c>
      <c r="E25" s="802">
        <v>11</v>
      </c>
      <c r="F25" s="1041" t="s">
        <v>515</v>
      </c>
      <c r="G25" s="994" t="s">
        <v>870</v>
      </c>
      <c r="H25" s="995" t="s">
        <v>512</v>
      </c>
      <c r="I25" s="1023">
        <v>8</v>
      </c>
      <c r="J25" s="1036"/>
      <c r="K25" s="1038" t="str">
        <f t="shared" ref="K25:K26" si="12">IF(J25=0, "Included", IF(ISERROR(I25*J25), J25, I25*J25))</f>
        <v>Included</v>
      </c>
      <c r="L25" s="953">
        <f t="shared" ref="L25:L26" si="13">N25</f>
        <v>0</v>
      </c>
      <c r="M25" s="847">
        <f t="shared" ref="M25:M26" si="14">IF(K25="Included",0,K25)</f>
        <v>0</v>
      </c>
      <c r="N25" s="847">
        <f t="shared" ref="N25:N26" si="15">IF(C25="confirmed",(M25*B25),(M25*C25))</f>
        <v>0</v>
      </c>
    </row>
    <row r="26" spans="1:14" ht="63">
      <c r="A26" s="952">
        <v>995454</v>
      </c>
      <c r="B26" s="809"/>
      <c r="C26" s="831">
        <v>0.18</v>
      </c>
      <c r="D26" s="828" t="s">
        <v>205</v>
      </c>
      <c r="E26" s="802">
        <v>12</v>
      </c>
      <c r="F26" s="1041" t="s">
        <v>871</v>
      </c>
      <c r="G26" s="994" t="s">
        <v>872</v>
      </c>
      <c r="H26" s="995" t="s">
        <v>251</v>
      </c>
      <c r="I26" s="1023">
        <f>54+18</f>
        <v>72</v>
      </c>
      <c r="J26" s="1036"/>
      <c r="K26" s="1038" t="str">
        <f t="shared" si="12"/>
        <v>Included</v>
      </c>
      <c r="L26" s="953">
        <f t="shared" si="13"/>
        <v>0</v>
      </c>
      <c r="M26" s="847">
        <f t="shared" si="14"/>
        <v>0</v>
      </c>
      <c r="N26" s="847">
        <f t="shared" si="15"/>
        <v>0</v>
      </c>
    </row>
    <row r="27" spans="1:14" ht="31.5">
      <c r="A27" s="952">
        <v>995454</v>
      </c>
      <c r="B27" s="809"/>
      <c r="C27" s="831">
        <v>0.18</v>
      </c>
      <c r="D27" s="828" t="s">
        <v>205</v>
      </c>
      <c r="E27" s="802">
        <v>13</v>
      </c>
      <c r="F27" s="1041">
        <v>4.1100000000000003</v>
      </c>
      <c r="G27" s="994" t="s">
        <v>873</v>
      </c>
      <c r="H27" s="995" t="s">
        <v>207</v>
      </c>
      <c r="I27" s="1023">
        <v>10</v>
      </c>
      <c r="J27" s="1036"/>
      <c r="K27" s="1038" t="str">
        <f>IF(J27=0, "Included", IF(ISERROR(I27*J27), J27, I27*J27))</f>
        <v>Included</v>
      </c>
      <c r="L27" s="953">
        <f>N27</f>
        <v>0</v>
      </c>
      <c r="M27" s="847">
        <f>IF(K27="Included",0,K27)</f>
        <v>0</v>
      </c>
      <c r="N27" s="847">
        <f>IF(C27="confirmed",(M27*B27),(M27*C27))</f>
        <v>0</v>
      </c>
    </row>
    <row r="28" spans="1:14" ht="63">
      <c r="A28" s="952">
        <v>995454</v>
      </c>
      <c r="B28" s="809"/>
      <c r="C28" s="831">
        <v>0.18</v>
      </c>
      <c r="D28" s="828" t="s">
        <v>205</v>
      </c>
      <c r="E28" s="802">
        <v>14</v>
      </c>
      <c r="F28" s="1018">
        <v>4.12</v>
      </c>
      <c r="G28" s="994" t="s">
        <v>874</v>
      </c>
      <c r="H28" s="997" t="s">
        <v>1161</v>
      </c>
      <c r="I28" s="1023">
        <v>45</v>
      </c>
      <c r="J28" s="1036"/>
      <c r="K28" s="1038" t="str">
        <f t="shared" ref="K28:K29" si="16">IF(J28=0, "Included", IF(ISERROR(I28*J28), J28, I28*J28))</f>
        <v>Included</v>
      </c>
      <c r="L28" s="953">
        <f t="shared" ref="L28:L29" si="17">N28</f>
        <v>0</v>
      </c>
      <c r="M28" s="847">
        <f t="shared" ref="M28:M29" si="18">IF(K28="Included",0,K28)</f>
        <v>0</v>
      </c>
      <c r="N28" s="847">
        <f t="shared" ref="N28:N29" si="19">IF(C28="confirmed",(M28*B28),(M28*C28))</f>
        <v>0</v>
      </c>
    </row>
    <row r="29" spans="1:14" ht="47.25">
      <c r="A29" s="952">
        <v>995454</v>
      </c>
      <c r="B29" s="809"/>
      <c r="C29" s="831">
        <v>0.18</v>
      </c>
      <c r="D29" s="828" t="s">
        <v>205</v>
      </c>
      <c r="E29" s="802">
        <v>15</v>
      </c>
      <c r="F29" s="1041">
        <v>4.13</v>
      </c>
      <c r="G29" s="994" t="s">
        <v>875</v>
      </c>
      <c r="H29" s="995" t="s">
        <v>207</v>
      </c>
      <c r="I29" s="1023">
        <v>10</v>
      </c>
      <c r="J29" s="1036"/>
      <c r="K29" s="1038" t="str">
        <f t="shared" si="16"/>
        <v>Included</v>
      </c>
      <c r="L29" s="953">
        <f t="shared" si="17"/>
        <v>0</v>
      </c>
      <c r="M29" s="847">
        <f t="shared" si="18"/>
        <v>0</v>
      </c>
      <c r="N29" s="847">
        <f t="shared" si="19"/>
        <v>0</v>
      </c>
    </row>
    <row r="30" spans="1:14" ht="78.75">
      <c r="A30" s="952">
        <v>995454</v>
      </c>
      <c r="B30" s="809"/>
      <c r="C30" s="831">
        <v>0.18</v>
      </c>
      <c r="D30" s="828" t="s">
        <v>205</v>
      </c>
      <c r="E30" s="802">
        <v>16</v>
      </c>
      <c r="F30" s="1041" t="s">
        <v>377</v>
      </c>
      <c r="G30" s="998" t="s">
        <v>876</v>
      </c>
      <c r="H30" s="995" t="s">
        <v>512</v>
      </c>
      <c r="I30" s="1023">
        <v>21</v>
      </c>
      <c r="J30" s="1036"/>
      <c r="K30" s="1038" t="str">
        <f>IF(J30=0, "Included", IF(ISERROR(I30*J30), J30, I30*J30))</f>
        <v>Included</v>
      </c>
      <c r="L30" s="953">
        <f>N30</f>
        <v>0</v>
      </c>
      <c r="M30" s="847">
        <f>IF(K30="Included",0,K30)</f>
        <v>0</v>
      </c>
      <c r="N30" s="847">
        <f>IF(C30="confirmed",(M30*B30),(M30*C30))</f>
        <v>0</v>
      </c>
    </row>
    <row r="31" spans="1:14" ht="94.5">
      <c r="A31" s="952">
        <v>995454</v>
      </c>
      <c r="B31" s="809"/>
      <c r="C31" s="831">
        <v>0.18</v>
      </c>
      <c r="D31" s="828" t="s">
        <v>205</v>
      </c>
      <c r="E31" s="802">
        <v>17</v>
      </c>
      <c r="F31" s="1070">
        <v>5.3</v>
      </c>
      <c r="G31" s="994" t="s">
        <v>877</v>
      </c>
      <c r="H31" s="995" t="s">
        <v>251</v>
      </c>
      <c r="I31" s="1023">
        <f>8+115</f>
        <v>123</v>
      </c>
      <c r="J31" s="1036"/>
      <c r="K31" s="1038" t="str">
        <f t="shared" ref="K31:K32" si="20">IF(J31=0, "Included", IF(ISERROR(I31*J31), J31, I31*J31))</f>
        <v>Included</v>
      </c>
      <c r="L31" s="953">
        <f t="shared" ref="L31:L32" si="21">N31</f>
        <v>0</v>
      </c>
      <c r="M31" s="847">
        <f t="shared" ref="M31:M32" si="22">IF(K31="Included",0,K31)</f>
        <v>0</v>
      </c>
      <c r="N31" s="847">
        <f t="shared" ref="N31:N32" si="23">IF(C31="confirmed",(M31*B31),(M31*C31))</f>
        <v>0</v>
      </c>
    </row>
    <row r="32" spans="1:14" ht="31.5">
      <c r="A32" s="952">
        <v>995457</v>
      </c>
      <c r="B32" s="809"/>
      <c r="C32" s="831">
        <v>0.18</v>
      </c>
      <c r="D32" s="828" t="s">
        <v>205</v>
      </c>
      <c r="E32" s="802">
        <v>18</v>
      </c>
      <c r="F32" s="1041" t="s">
        <v>516</v>
      </c>
      <c r="G32" s="994" t="s">
        <v>878</v>
      </c>
      <c r="H32" s="995" t="s">
        <v>207</v>
      </c>
      <c r="I32" s="1023">
        <f>75+75</f>
        <v>150</v>
      </c>
      <c r="J32" s="1036"/>
      <c r="K32" s="1038" t="str">
        <f t="shared" si="20"/>
        <v>Included</v>
      </c>
      <c r="L32" s="953">
        <f t="shared" si="21"/>
        <v>0</v>
      </c>
      <c r="M32" s="847">
        <f t="shared" si="22"/>
        <v>0</v>
      </c>
      <c r="N32" s="847">
        <f t="shared" si="23"/>
        <v>0</v>
      </c>
    </row>
    <row r="33" spans="1:15" ht="47.25">
      <c r="A33" s="952">
        <v>995457</v>
      </c>
      <c r="B33" s="809"/>
      <c r="C33" s="831">
        <v>0.18</v>
      </c>
      <c r="D33" s="828" t="s">
        <v>205</v>
      </c>
      <c r="E33" s="802">
        <v>19</v>
      </c>
      <c r="F33" s="1041" t="s">
        <v>517</v>
      </c>
      <c r="G33" s="994" t="s">
        <v>879</v>
      </c>
      <c r="H33" s="995" t="s">
        <v>207</v>
      </c>
      <c r="I33" s="1023">
        <f>290+439</f>
        <v>729</v>
      </c>
      <c r="J33" s="1036"/>
      <c r="K33" s="1038" t="str">
        <f>IF(J33=0, "Included", IF(ISERROR(I33*J33), J33, I33*J33))</f>
        <v>Included</v>
      </c>
      <c r="L33" s="953">
        <f>N33</f>
        <v>0</v>
      </c>
      <c r="M33" s="847">
        <f>IF(K33="Included",0,K33)</f>
        <v>0</v>
      </c>
      <c r="N33" s="847">
        <f>IF(C33="confirmed",(M33*B33),(M33*C33))</f>
        <v>0</v>
      </c>
    </row>
    <row r="34" spans="1:15" ht="47.25">
      <c r="A34" s="952">
        <v>995457</v>
      </c>
      <c r="B34" s="809"/>
      <c r="C34" s="831">
        <v>0.18</v>
      </c>
      <c r="D34" s="828" t="s">
        <v>205</v>
      </c>
      <c r="E34" s="802">
        <v>20</v>
      </c>
      <c r="F34" s="1071" t="s">
        <v>880</v>
      </c>
      <c r="G34" s="999" t="s">
        <v>881</v>
      </c>
      <c r="H34" s="995" t="s">
        <v>514</v>
      </c>
      <c r="I34" s="1023">
        <v>30</v>
      </c>
      <c r="J34" s="1036"/>
      <c r="K34" s="1038" t="str">
        <f t="shared" ref="K34:K35" si="24">IF(J34=0, "Included", IF(ISERROR(I34*J34), J34, I34*J34))</f>
        <v>Included</v>
      </c>
      <c r="L34" s="953">
        <f t="shared" ref="L34:L35" si="25">N34</f>
        <v>0</v>
      </c>
      <c r="M34" s="847">
        <f t="shared" ref="M34:M35" si="26">IF(K34="Included",0,K34)</f>
        <v>0</v>
      </c>
      <c r="N34" s="847">
        <f t="shared" ref="N34:N35" si="27">IF(C34="confirmed",(M34*B34),(M34*C34))</f>
        <v>0</v>
      </c>
    </row>
    <row r="35" spans="1:15" ht="47.25">
      <c r="A35" s="952">
        <v>995457</v>
      </c>
      <c r="B35" s="809"/>
      <c r="C35" s="831">
        <v>0.18</v>
      </c>
      <c r="D35" s="828" t="s">
        <v>205</v>
      </c>
      <c r="E35" s="802">
        <v>21</v>
      </c>
      <c r="F35" s="1041" t="s">
        <v>518</v>
      </c>
      <c r="G35" s="994" t="s">
        <v>882</v>
      </c>
      <c r="H35" s="995" t="s">
        <v>207</v>
      </c>
      <c r="I35" s="1023">
        <f>350+240</f>
        <v>590</v>
      </c>
      <c r="J35" s="1036"/>
      <c r="K35" s="1038" t="str">
        <f t="shared" si="24"/>
        <v>Included</v>
      </c>
      <c r="L35" s="953">
        <f t="shared" si="25"/>
        <v>0</v>
      </c>
      <c r="M35" s="847">
        <f t="shared" si="26"/>
        <v>0</v>
      </c>
      <c r="N35" s="847">
        <f t="shared" si="27"/>
        <v>0</v>
      </c>
    </row>
    <row r="36" spans="1:15" ht="31.5">
      <c r="A36" s="952">
        <v>995457</v>
      </c>
      <c r="B36" s="809"/>
      <c r="C36" s="831">
        <v>0.18</v>
      </c>
      <c r="D36" s="828" t="s">
        <v>205</v>
      </c>
      <c r="E36" s="802">
        <v>22</v>
      </c>
      <c r="F36" s="1041" t="s">
        <v>519</v>
      </c>
      <c r="G36" s="994" t="s">
        <v>883</v>
      </c>
      <c r="H36" s="995" t="s">
        <v>207</v>
      </c>
      <c r="I36" s="1023">
        <f>127+120</f>
        <v>247</v>
      </c>
      <c r="J36" s="1036"/>
      <c r="K36" s="1038" t="str">
        <f>IF(J36=0, "Included", IF(ISERROR(I36*J36), J36, I36*J36))</f>
        <v>Included</v>
      </c>
      <c r="L36" s="953">
        <f>N36</f>
        <v>0</v>
      </c>
      <c r="M36" s="847">
        <f>IF(K36="Included",0,K36)</f>
        <v>0</v>
      </c>
      <c r="N36" s="847">
        <f>IF(C36="confirmed",(M36*B36),(M36*C36))</f>
        <v>0</v>
      </c>
    </row>
    <row r="37" spans="1:15" ht="31.5">
      <c r="A37" s="952">
        <v>995457</v>
      </c>
      <c r="B37" s="809"/>
      <c r="C37" s="831">
        <v>0.18</v>
      </c>
      <c r="D37" s="828" t="s">
        <v>205</v>
      </c>
      <c r="E37" s="802">
        <v>23</v>
      </c>
      <c r="F37" s="1041" t="s">
        <v>884</v>
      </c>
      <c r="G37" s="994" t="s">
        <v>885</v>
      </c>
      <c r="H37" s="995" t="s">
        <v>207</v>
      </c>
      <c r="I37" s="1023">
        <f>9+17</f>
        <v>26</v>
      </c>
      <c r="J37" s="1036"/>
      <c r="K37" s="1038" t="str">
        <f t="shared" ref="K37:K38" si="28">IF(J37=0, "Included", IF(ISERROR(I37*J37), J37, I37*J37))</f>
        <v>Included</v>
      </c>
      <c r="L37" s="953">
        <f t="shared" ref="L37:L38" si="29">N37</f>
        <v>0</v>
      </c>
      <c r="M37" s="847">
        <f t="shared" ref="M37:M38" si="30">IF(K37="Included",0,K37)</f>
        <v>0</v>
      </c>
      <c r="N37" s="847">
        <f t="shared" ref="N37:N38" si="31">IF(C37="confirmed",(M37*B37),(M37*C37))</f>
        <v>0</v>
      </c>
    </row>
    <row r="38" spans="1:15" ht="31.5">
      <c r="A38" s="952">
        <v>995457</v>
      </c>
      <c r="B38" s="809"/>
      <c r="C38" s="831">
        <v>0.18</v>
      </c>
      <c r="D38" s="828" t="s">
        <v>205</v>
      </c>
      <c r="E38" s="802">
        <v>24</v>
      </c>
      <c r="F38" s="1071" t="s">
        <v>886</v>
      </c>
      <c r="G38" s="998" t="s">
        <v>887</v>
      </c>
      <c r="H38" s="995" t="s">
        <v>514</v>
      </c>
      <c r="I38" s="1023">
        <v>40</v>
      </c>
      <c r="J38" s="1036"/>
      <c r="K38" s="1038" t="str">
        <f t="shared" si="28"/>
        <v>Included</v>
      </c>
      <c r="L38" s="953">
        <f t="shared" si="29"/>
        <v>0</v>
      </c>
      <c r="M38" s="847">
        <f t="shared" si="30"/>
        <v>0</v>
      </c>
      <c r="N38" s="847">
        <f t="shared" si="31"/>
        <v>0</v>
      </c>
    </row>
    <row r="39" spans="1:15" ht="31.5">
      <c r="A39" s="952">
        <v>995457</v>
      </c>
      <c r="B39" s="809"/>
      <c r="C39" s="831">
        <v>0.18</v>
      </c>
      <c r="D39" s="828" t="s">
        <v>205</v>
      </c>
      <c r="E39" s="802">
        <v>25</v>
      </c>
      <c r="F39" s="1041" t="s">
        <v>364</v>
      </c>
      <c r="G39" s="994" t="s">
        <v>888</v>
      </c>
      <c r="H39" s="995" t="s">
        <v>207</v>
      </c>
      <c r="I39" s="1023">
        <v>20</v>
      </c>
      <c r="J39" s="1036"/>
      <c r="K39" s="1038" t="str">
        <f>IF(J39=0, "Included", IF(ISERROR(I39*J39), J39, I39*J39))</f>
        <v>Included</v>
      </c>
      <c r="L39" s="953">
        <f>N39</f>
        <v>0</v>
      </c>
      <c r="M39" s="847">
        <f>IF(K39="Included",0,K39)</f>
        <v>0</v>
      </c>
      <c r="N39" s="847">
        <f>IF(C39="confirmed",(M39*B39),(M39*C39))</f>
        <v>0</v>
      </c>
    </row>
    <row r="40" spans="1:15" ht="63">
      <c r="A40" s="952">
        <v>995454</v>
      </c>
      <c r="B40" s="809"/>
      <c r="C40" s="831">
        <v>0.18</v>
      </c>
      <c r="D40" s="828" t="s">
        <v>205</v>
      </c>
      <c r="E40" s="802">
        <v>26</v>
      </c>
      <c r="F40" s="1041" t="s">
        <v>521</v>
      </c>
      <c r="G40" s="994" t="s">
        <v>889</v>
      </c>
      <c r="H40" s="995" t="s">
        <v>262</v>
      </c>
      <c r="I40" s="1023">
        <f>11362+9500</f>
        <v>20862</v>
      </c>
      <c r="J40" s="1036"/>
      <c r="K40" s="1038" t="str">
        <f t="shared" ref="K40:K41" si="32">IF(J40=0, "Included", IF(ISERROR(I40*J40), J40, I40*J40))</f>
        <v>Included</v>
      </c>
      <c r="L40" s="953">
        <f t="shared" ref="L40:L41" si="33">N40</f>
        <v>0</v>
      </c>
      <c r="M40" s="847">
        <f t="shared" ref="M40:M41" si="34">IF(K40="Included",0,K40)</f>
        <v>0</v>
      </c>
      <c r="N40" s="847">
        <f t="shared" ref="N40:N41" si="35">IF(C40="confirmed",(M40*B40),(M40*C40))</f>
        <v>0</v>
      </c>
    </row>
    <row r="41" spans="1:15" ht="31.5">
      <c r="A41" s="952">
        <v>995478</v>
      </c>
      <c r="B41" s="809"/>
      <c r="C41" s="831">
        <v>0.18</v>
      </c>
      <c r="D41" s="828" t="s">
        <v>205</v>
      </c>
      <c r="E41" s="802">
        <v>27</v>
      </c>
      <c r="F41" s="1069">
        <v>5.3</v>
      </c>
      <c r="G41" s="994" t="s">
        <v>890</v>
      </c>
      <c r="H41" s="995" t="s">
        <v>1162</v>
      </c>
      <c r="I41" s="1023">
        <v>45</v>
      </c>
      <c r="J41" s="1036"/>
      <c r="K41" s="1038" t="str">
        <f t="shared" si="32"/>
        <v>Included</v>
      </c>
      <c r="L41" s="953">
        <f t="shared" si="33"/>
        <v>0</v>
      </c>
      <c r="M41" s="847">
        <f t="shared" si="34"/>
        <v>0</v>
      </c>
      <c r="N41" s="847">
        <f t="shared" si="35"/>
        <v>0</v>
      </c>
    </row>
    <row r="42" spans="1:15" ht="236.25">
      <c r="A42" s="952">
        <v>995454</v>
      </c>
      <c r="B42" s="809"/>
      <c r="C42" s="831">
        <v>0.18</v>
      </c>
      <c r="D42" s="828" t="s">
        <v>205</v>
      </c>
      <c r="E42" s="802">
        <v>28</v>
      </c>
      <c r="F42" s="1041" t="s">
        <v>891</v>
      </c>
      <c r="G42" s="994" t="s">
        <v>892</v>
      </c>
      <c r="H42" s="995" t="s">
        <v>251</v>
      </c>
      <c r="I42" s="1023">
        <v>42</v>
      </c>
      <c r="J42" s="1036"/>
      <c r="K42" s="1038" t="str">
        <f>IF(J42=0, "Included", IF(ISERROR(I42*J42), J42, I42*J42))</f>
        <v>Included</v>
      </c>
      <c r="L42" s="953">
        <f>N42</f>
        <v>0</v>
      </c>
      <c r="M42" s="847">
        <f>IF(K42="Included",0,K42)</f>
        <v>0</v>
      </c>
      <c r="N42" s="847">
        <f>IF(C42="confirmed",(M42*B42),(M42*C42))</f>
        <v>0</v>
      </c>
    </row>
    <row r="43" spans="1:15" ht="236.25">
      <c r="A43" s="952">
        <v>995454</v>
      </c>
      <c r="B43" s="809"/>
      <c r="C43" s="831">
        <v>0.18</v>
      </c>
      <c r="D43" s="828" t="s">
        <v>205</v>
      </c>
      <c r="E43" s="802">
        <v>29</v>
      </c>
      <c r="F43" s="1041" t="s">
        <v>893</v>
      </c>
      <c r="G43" s="994" t="s">
        <v>894</v>
      </c>
      <c r="H43" s="995" t="s">
        <v>251</v>
      </c>
      <c r="I43" s="1023">
        <v>55</v>
      </c>
      <c r="J43" s="1036"/>
      <c r="K43" s="1038" t="str">
        <f t="shared" ref="K43:K44" si="36">IF(J43=0, "Included", IF(ISERROR(I43*J43), J43, I43*J43))</f>
        <v>Included</v>
      </c>
      <c r="L43" s="953">
        <f t="shared" ref="L43:L44" si="37">N43</f>
        <v>0</v>
      </c>
      <c r="M43" s="847">
        <f t="shared" ref="M43:M44" si="38">IF(K43="Included",0,K43)</f>
        <v>0</v>
      </c>
      <c r="N43" s="847">
        <f t="shared" ref="N43:N44" si="39">IF(C43="confirmed",(M43*B43),(M43*C43))</f>
        <v>0</v>
      </c>
    </row>
    <row r="44" spans="1:15" ht="31.5">
      <c r="A44" s="952">
        <v>995456</v>
      </c>
      <c r="B44" s="809"/>
      <c r="C44" s="831">
        <v>0.18</v>
      </c>
      <c r="D44" s="828" t="s">
        <v>205</v>
      </c>
      <c r="E44" s="802">
        <v>30</v>
      </c>
      <c r="F44" s="1041" t="s">
        <v>895</v>
      </c>
      <c r="G44" s="994" t="s">
        <v>896</v>
      </c>
      <c r="H44" s="995" t="s">
        <v>251</v>
      </c>
      <c r="I44" s="1023">
        <v>7</v>
      </c>
      <c r="J44" s="1036"/>
      <c r="K44" s="1038" t="str">
        <f t="shared" si="36"/>
        <v>Included</v>
      </c>
      <c r="L44" s="953">
        <f t="shared" si="37"/>
        <v>0</v>
      </c>
      <c r="M44" s="847">
        <f t="shared" si="38"/>
        <v>0</v>
      </c>
      <c r="N44" s="847">
        <f t="shared" si="39"/>
        <v>0</v>
      </c>
    </row>
    <row r="45" spans="1:15" ht="31.5">
      <c r="A45" s="952">
        <v>995456</v>
      </c>
      <c r="B45" s="809"/>
      <c r="C45" s="831">
        <v>0.18</v>
      </c>
      <c r="D45" s="828" t="s">
        <v>205</v>
      </c>
      <c r="E45" s="802">
        <v>31</v>
      </c>
      <c r="F45" s="1041" t="s">
        <v>897</v>
      </c>
      <c r="G45" s="999" t="s">
        <v>898</v>
      </c>
      <c r="H45" s="995" t="s">
        <v>512</v>
      </c>
      <c r="I45" s="1023">
        <v>4</v>
      </c>
      <c r="J45" s="1036"/>
      <c r="K45" s="1038" t="str">
        <f>IF(J45=0, "Included", IF(ISERROR(I45*J45), J45, I45*J45))</f>
        <v>Included</v>
      </c>
      <c r="L45" s="953">
        <f>N45</f>
        <v>0</v>
      </c>
      <c r="M45" s="847">
        <f>IF(K45="Included",0,K45)</f>
        <v>0</v>
      </c>
      <c r="N45" s="847">
        <f>IF(C45="confirmed",(M45*B45),(M45*C45))</f>
        <v>0</v>
      </c>
    </row>
    <row r="46" spans="1:15" ht="47.25">
      <c r="A46" s="952">
        <v>995456</v>
      </c>
      <c r="B46" s="809"/>
      <c r="C46" s="831">
        <v>0.18</v>
      </c>
      <c r="D46" s="828" t="s">
        <v>205</v>
      </c>
      <c r="E46" s="802">
        <v>32</v>
      </c>
      <c r="F46" s="1041" t="s">
        <v>899</v>
      </c>
      <c r="G46" s="994" t="s">
        <v>900</v>
      </c>
      <c r="H46" s="995" t="s">
        <v>251</v>
      </c>
      <c r="I46" s="1023">
        <v>45</v>
      </c>
      <c r="J46" s="1036"/>
      <c r="K46" s="1038" t="str">
        <f t="shared" ref="K46:K47" si="40">IF(J46=0, "Included", IF(ISERROR(I46*J46), J46, I46*J46))</f>
        <v>Included</v>
      </c>
      <c r="L46" s="953">
        <f t="shared" ref="L46:L47" si="41">N46</f>
        <v>0</v>
      </c>
      <c r="M46" s="847">
        <f t="shared" ref="M46:M48" si="42">IF(K46="Included",0,K46)</f>
        <v>0</v>
      </c>
      <c r="N46" s="847">
        <f t="shared" ref="N46:N48" si="43">IF(C46="confirmed",(M46*B46),(M46*C46))</f>
        <v>0</v>
      </c>
    </row>
    <row r="47" spans="1:15" ht="47.25">
      <c r="A47" s="952">
        <v>995456</v>
      </c>
      <c r="B47" s="809"/>
      <c r="C47" s="831">
        <v>0.18</v>
      </c>
      <c r="D47" s="828" t="s">
        <v>205</v>
      </c>
      <c r="E47" s="802">
        <v>33</v>
      </c>
      <c r="F47" s="1041" t="s">
        <v>254</v>
      </c>
      <c r="G47" s="998" t="s">
        <v>901</v>
      </c>
      <c r="H47" s="995" t="s">
        <v>512</v>
      </c>
      <c r="I47" s="1023">
        <v>57</v>
      </c>
      <c r="J47" s="1036"/>
      <c r="K47" s="1038" t="str">
        <f t="shared" si="40"/>
        <v>Included</v>
      </c>
      <c r="L47" s="953">
        <f t="shared" si="41"/>
        <v>0</v>
      </c>
      <c r="M47" s="847">
        <f t="shared" si="42"/>
        <v>0</v>
      </c>
      <c r="N47" s="847">
        <f t="shared" si="43"/>
        <v>0</v>
      </c>
    </row>
    <row r="48" spans="1:15" s="1059" customFormat="1" ht="47.25">
      <c r="A48" s="952">
        <v>995456</v>
      </c>
      <c r="B48" s="809"/>
      <c r="C48" s="1060">
        <v>0.18</v>
      </c>
      <c r="D48" s="828" t="s">
        <v>205</v>
      </c>
      <c r="E48" s="802">
        <v>34</v>
      </c>
      <c r="F48" s="1041" t="s">
        <v>902</v>
      </c>
      <c r="G48" s="1061" t="s">
        <v>903</v>
      </c>
      <c r="H48" s="995" t="s">
        <v>207</v>
      </c>
      <c r="I48" s="1023">
        <f>165+100</f>
        <v>265</v>
      </c>
      <c r="J48" s="1036"/>
      <c r="K48" s="1038" t="str">
        <f>IF(J48=0, "Included", IF(ISERROR(I48*J48), J48, I48*J48))</f>
        <v>Included</v>
      </c>
      <c r="L48" s="953">
        <f>N48</f>
        <v>0</v>
      </c>
      <c r="M48" s="1058">
        <f t="shared" si="42"/>
        <v>0</v>
      </c>
      <c r="N48" s="1058">
        <f t="shared" si="43"/>
        <v>0</v>
      </c>
      <c r="O48"/>
    </row>
    <row r="49" spans="1:14" ht="31.5">
      <c r="A49" s="952">
        <v>995456</v>
      </c>
      <c r="B49" s="809"/>
      <c r="C49" s="831">
        <v>0.18</v>
      </c>
      <c r="D49" s="828" t="s">
        <v>205</v>
      </c>
      <c r="E49" s="802">
        <v>35</v>
      </c>
      <c r="F49" s="1041">
        <v>6.15</v>
      </c>
      <c r="G49" s="994" t="s">
        <v>904</v>
      </c>
      <c r="H49" s="995" t="s">
        <v>207</v>
      </c>
      <c r="I49" s="1023">
        <f>165+100</f>
        <v>265</v>
      </c>
      <c r="J49" s="1036"/>
      <c r="K49" s="1038" t="str">
        <f>IF(J49=0, "Included", IF(ISERROR(I49*J49), J49, I49*J49))</f>
        <v>Included</v>
      </c>
      <c r="L49" s="953">
        <f>N49</f>
        <v>0</v>
      </c>
      <c r="M49" s="847">
        <f>IF(K49="Included",0,K49)</f>
        <v>0</v>
      </c>
      <c r="N49" s="847">
        <f>IF(C49="confirmed",(M49*B49),(M49*C49))</f>
        <v>0</v>
      </c>
    </row>
    <row r="50" spans="1:14" ht="110.25">
      <c r="A50" s="952">
        <v>995474</v>
      </c>
      <c r="B50" s="809"/>
      <c r="C50" s="831">
        <v>0.18</v>
      </c>
      <c r="D50" s="828" t="s">
        <v>205</v>
      </c>
      <c r="E50" s="802">
        <v>36</v>
      </c>
      <c r="F50" s="1071" t="s">
        <v>905</v>
      </c>
      <c r="G50" s="998" t="s">
        <v>906</v>
      </c>
      <c r="H50" s="995" t="s">
        <v>514</v>
      </c>
      <c r="I50" s="1024">
        <v>2</v>
      </c>
      <c r="J50" s="1036"/>
      <c r="K50" s="1038" t="str">
        <f t="shared" ref="K50:K104" si="44">IF(J50=0, "Included", IF(ISERROR(I50*J50), J50, I50*J50))</f>
        <v>Included</v>
      </c>
      <c r="L50" s="953">
        <f t="shared" ref="L50:L104" si="45">N50</f>
        <v>0</v>
      </c>
      <c r="M50" s="847">
        <f t="shared" ref="M50:M104" si="46">IF(K50="Included",0,K50)</f>
        <v>0</v>
      </c>
      <c r="N50" s="847">
        <f t="shared" ref="N50:N104" si="47">IF(C50="confirmed",(M50*B50),(M50*C50))</f>
        <v>0</v>
      </c>
    </row>
    <row r="51" spans="1:14" ht="110.25">
      <c r="A51" s="952">
        <v>995474</v>
      </c>
      <c r="B51" s="809"/>
      <c r="C51" s="831">
        <v>0.18</v>
      </c>
      <c r="D51" s="828" t="s">
        <v>205</v>
      </c>
      <c r="E51" s="802">
        <v>37</v>
      </c>
      <c r="F51" s="1041" t="s">
        <v>907</v>
      </c>
      <c r="G51" s="994" t="s">
        <v>908</v>
      </c>
      <c r="H51" s="995" t="s">
        <v>207</v>
      </c>
      <c r="I51" s="1023">
        <f>4+8</f>
        <v>12</v>
      </c>
      <c r="J51" s="1036"/>
      <c r="K51" s="1038" t="str">
        <f t="shared" ref="K51:K103" si="48">IF(J51=0, "Included", IF(ISERROR(I51*J51), J51, I51*J51))</f>
        <v>Included</v>
      </c>
      <c r="L51" s="953">
        <f t="shared" ref="L51:L103" si="49">N51</f>
        <v>0</v>
      </c>
      <c r="M51" s="847">
        <f t="shared" ref="M51:M103" si="50">IF(K51="Included",0,K51)</f>
        <v>0</v>
      </c>
      <c r="N51" s="847">
        <f t="shared" ref="N51:N103" si="51">IF(C51="confirmed",(M51*B51),(M51*C51))</f>
        <v>0</v>
      </c>
    </row>
    <row r="52" spans="1:14" ht="47.25">
      <c r="A52" s="952">
        <v>995474</v>
      </c>
      <c r="B52" s="809"/>
      <c r="C52" s="831">
        <v>0.18</v>
      </c>
      <c r="D52" s="828" t="s">
        <v>205</v>
      </c>
      <c r="E52" s="802">
        <v>38</v>
      </c>
      <c r="F52" s="1041" t="s">
        <v>909</v>
      </c>
      <c r="G52" s="994" t="s">
        <v>910</v>
      </c>
      <c r="H52" s="995" t="s">
        <v>520</v>
      </c>
      <c r="I52" s="1023">
        <f>7+35</f>
        <v>42</v>
      </c>
      <c r="J52" s="1036"/>
      <c r="K52" s="1038" t="str">
        <f t="shared" si="48"/>
        <v>Included</v>
      </c>
      <c r="L52" s="953">
        <f t="shared" si="49"/>
        <v>0</v>
      </c>
      <c r="M52" s="847">
        <f t="shared" si="50"/>
        <v>0</v>
      </c>
      <c r="N52" s="847">
        <f t="shared" si="51"/>
        <v>0</v>
      </c>
    </row>
    <row r="53" spans="1:14" ht="47.25">
      <c r="A53" s="952">
        <v>995474</v>
      </c>
      <c r="B53" s="809"/>
      <c r="C53" s="831">
        <v>0.18</v>
      </c>
      <c r="D53" s="828" t="s">
        <v>205</v>
      </c>
      <c r="E53" s="802">
        <v>39</v>
      </c>
      <c r="F53" s="1041">
        <v>8.4</v>
      </c>
      <c r="G53" s="994" t="s">
        <v>911</v>
      </c>
      <c r="H53" s="995" t="s">
        <v>246</v>
      </c>
      <c r="I53" s="1023">
        <f>5+9</f>
        <v>14</v>
      </c>
      <c r="J53" s="1036"/>
      <c r="K53" s="1038" t="str">
        <f t="shared" si="48"/>
        <v>Included</v>
      </c>
      <c r="L53" s="953">
        <f t="shared" si="49"/>
        <v>0</v>
      </c>
      <c r="M53" s="847">
        <f t="shared" si="50"/>
        <v>0</v>
      </c>
      <c r="N53" s="847">
        <f t="shared" si="51"/>
        <v>0</v>
      </c>
    </row>
    <row r="54" spans="1:14" ht="47.25">
      <c r="A54" s="952">
        <v>995474</v>
      </c>
      <c r="B54" s="809"/>
      <c r="C54" s="831">
        <v>0.18</v>
      </c>
      <c r="D54" s="828" t="s">
        <v>205</v>
      </c>
      <c r="E54" s="802">
        <v>40</v>
      </c>
      <c r="F54" s="1041" t="s">
        <v>912</v>
      </c>
      <c r="G54" s="994" t="s">
        <v>913</v>
      </c>
      <c r="H54" s="995" t="s">
        <v>207</v>
      </c>
      <c r="I54" s="1023">
        <v>13</v>
      </c>
      <c r="J54" s="1036"/>
      <c r="K54" s="1038" t="str">
        <f t="shared" si="48"/>
        <v>Included</v>
      </c>
      <c r="L54" s="953">
        <f t="shared" si="49"/>
        <v>0</v>
      </c>
      <c r="M54" s="847">
        <f t="shared" si="50"/>
        <v>0</v>
      </c>
      <c r="N54" s="847">
        <f t="shared" si="51"/>
        <v>0</v>
      </c>
    </row>
    <row r="55" spans="1:14" ht="94.5">
      <c r="A55" s="952">
        <v>995474</v>
      </c>
      <c r="B55" s="809"/>
      <c r="C55" s="831">
        <v>0.18</v>
      </c>
      <c r="D55" s="828" t="s">
        <v>205</v>
      </c>
      <c r="E55" s="1000">
        <v>41</v>
      </c>
      <c r="F55" s="1001">
        <v>8.31</v>
      </c>
      <c r="G55" s="1002" t="s">
        <v>914</v>
      </c>
      <c r="H55" s="995" t="s">
        <v>207</v>
      </c>
      <c r="I55" s="1023">
        <f>16+63</f>
        <v>79</v>
      </c>
      <c r="J55" s="1036"/>
      <c r="K55" s="1038" t="str">
        <f t="shared" si="48"/>
        <v>Included</v>
      </c>
      <c r="L55" s="953">
        <f t="shared" si="49"/>
        <v>0</v>
      </c>
      <c r="M55" s="847">
        <f t="shared" si="50"/>
        <v>0</v>
      </c>
      <c r="N55" s="847">
        <f t="shared" si="51"/>
        <v>0</v>
      </c>
    </row>
    <row r="56" spans="1:14" ht="78.75">
      <c r="A56" s="952">
        <v>995476</v>
      </c>
      <c r="B56" s="809"/>
      <c r="C56" s="831">
        <v>0.18</v>
      </c>
      <c r="D56" s="828" t="s">
        <v>205</v>
      </c>
      <c r="E56" s="1000">
        <v>42</v>
      </c>
      <c r="F56" s="1001" t="s">
        <v>915</v>
      </c>
      <c r="G56" s="1002" t="s">
        <v>916</v>
      </c>
      <c r="H56" s="995" t="s">
        <v>207</v>
      </c>
      <c r="I56" s="1023">
        <v>50</v>
      </c>
      <c r="J56" s="1036"/>
      <c r="K56" s="1038" t="str">
        <f t="shared" si="48"/>
        <v>Included</v>
      </c>
      <c r="L56" s="953">
        <f t="shared" si="49"/>
        <v>0</v>
      </c>
      <c r="M56" s="847">
        <f t="shared" si="50"/>
        <v>0</v>
      </c>
      <c r="N56" s="847">
        <f t="shared" si="51"/>
        <v>0</v>
      </c>
    </row>
    <row r="57" spans="1:14" ht="27.75" customHeight="1">
      <c r="A57" s="952">
        <v>995476</v>
      </c>
      <c r="B57" s="809"/>
      <c r="C57" s="831">
        <v>0.18</v>
      </c>
      <c r="D57" s="828" t="s">
        <v>205</v>
      </c>
      <c r="E57" s="1000">
        <v>43</v>
      </c>
      <c r="F57" s="1001">
        <v>9.4499999999999993</v>
      </c>
      <c r="G57" s="1002" t="s">
        <v>917</v>
      </c>
      <c r="H57" s="995" t="s">
        <v>520</v>
      </c>
      <c r="I57" s="1023">
        <v>25</v>
      </c>
      <c r="J57" s="1036"/>
      <c r="K57" s="1038" t="str">
        <f t="shared" si="48"/>
        <v>Included</v>
      </c>
      <c r="L57" s="953">
        <f t="shared" si="49"/>
        <v>0</v>
      </c>
      <c r="M57" s="847">
        <f t="shared" si="50"/>
        <v>0</v>
      </c>
      <c r="N57" s="847">
        <f t="shared" si="51"/>
        <v>0</v>
      </c>
    </row>
    <row r="58" spans="1:14" ht="31.5">
      <c r="A58" s="952">
        <v>995476</v>
      </c>
      <c r="B58" s="809"/>
      <c r="C58" s="831">
        <v>0.18</v>
      </c>
      <c r="D58" s="828" t="s">
        <v>205</v>
      </c>
      <c r="E58" s="1000">
        <v>44</v>
      </c>
      <c r="F58" s="1001" t="s">
        <v>918</v>
      </c>
      <c r="G58" s="1002" t="s">
        <v>919</v>
      </c>
      <c r="H58" s="995" t="s">
        <v>520</v>
      </c>
      <c r="I58" s="1023">
        <f>55+10</f>
        <v>65</v>
      </c>
      <c r="J58" s="1036"/>
      <c r="K58" s="1038" t="str">
        <f t="shared" si="48"/>
        <v>Included</v>
      </c>
      <c r="L58" s="953">
        <f t="shared" si="49"/>
        <v>0</v>
      </c>
      <c r="M58" s="847">
        <f t="shared" si="50"/>
        <v>0</v>
      </c>
      <c r="N58" s="847">
        <f t="shared" si="51"/>
        <v>0</v>
      </c>
    </row>
    <row r="59" spans="1:14" ht="47.25">
      <c r="A59" s="952">
        <v>995476</v>
      </c>
      <c r="B59" s="809"/>
      <c r="C59" s="831">
        <v>0.18</v>
      </c>
      <c r="D59" s="828" t="s">
        <v>205</v>
      </c>
      <c r="E59" s="1000">
        <v>45</v>
      </c>
      <c r="F59" s="1001" t="s">
        <v>920</v>
      </c>
      <c r="G59" s="1002" t="s">
        <v>921</v>
      </c>
      <c r="H59" s="995" t="s">
        <v>262</v>
      </c>
      <c r="I59" s="1023">
        <v>750</v>
      </c>
      <c r="J59" s="1036"/>
      <c r="K59" s="1038" t="str">
        <f t="shared" si="48"/>
        <v>Included</v>
      </c>
      <c r="L59" s="953">
        <f t="shared" si="49"/>
        <v>0</v>
      </c>
      <c r="M59" s="847">
        <f t="shared" si="50"/>
        <v>0</v>
      </c>
      <c r="N59" s="847">
        <f t="shared" si="51"/>
        <v>0</v>
      </c>
    </row>
    <row r="60" spans="1:14" ht="63">
      <c r="A60" s="952">
        <v>995476</v>
      </c>
      <c r="B60" s="809"/>
      <c r="C60" s="831">
        <v>0.18</v>
      </c>
      <c r="D60" s="828" t="s">
        <v>205</v>
      </c>
      <c r="E60" s="458">
        <v>46</v>
      </c>
      <c r="F60" s="1003" t="s">
        <v>920</v>
      </c>
      <c r="G60" s="1004" t="s">
        <v>922</v>
      </c>
      <c r="H60" s="995" t="s">
        <v>262</v>
      </c>
      <c r="I60" s="1023">
        <v>542</v>
      </c>
      <c r="J60" s="1036"/>
      <c r="K60" s="1038" t="str">
        <f t="shared" si="48"/>
        <v>Included</v>
      </c>
      <c r="L60" s="953">
        <f t="shared" si="49"/>
        <v>0</v>
      </c>
      <c r="M60" s="847">
        <f t="shared" si="50"/>
        <v>0</v>
      </c>
      <c r="N60" s="847">
        <f t="shared" si="51"/>
        <v>0</v>
      </c>
    </row>
    <row r="61" spans="1:14" ht="31.5">
      <c r="A61" s="952"/>
      <c r="B61" s="809"/>
      <c r="C61" s="831"/>
      <c r="D61" s="828"/>
      <c r="E61" s="1000">
        <v>47</v>
      </c>
      <c r="F61" s="1001">
        <v>9.5500000000000007</v>
      </c>
      <c r="G61" s="1002" t="s">
        <v>923</v>
      </c>
      <c r="H61" s="995"/>
      <c r="I61" s="1023"/>
      <c r="J61" s="1036"/>
      <c r="K61" s="1038"/>
      <c r="L61" s="953"/>
      <c r="M61" s="847">
        <f t="shared" si="50"/>
        <v>0</v>
      </c>
      <c r="N61" s="847">
        <f t="shared" si="51"/>
        <v>0</v>
      </c>
    </row>
    <row r="62" spans="1:14" ht="21" customHeight="1">
      <c r="A62" s="952">
        <v>995476</v>
      </c>
      <c r="B62" s="809"/>
      <c r="C62" s="831">
        <v>0.18</v>
      </c>
      <c r="D62" s="828" t="s">
        <v>205</v>
      </c>
      <c r="E62" s="1000" t="s">
        <v>924</v>
      </c>
      <c r="F62" s="1001" t="s">
        <v>925</v>
      </c>
      <c r="G62" s="1002" t="s">
        <v>926</v>
      </c>
      <c r="H62" s="995" t="s">
        <v>107</v>
      </c>
      <c r="I62" s="1023">
        <v>15</v>
      </c>
      <c r="J62" s="1036"/>
      <c r="K62" s="1038" t="str">
        <f t="shared" si="48"/>
        <v>Included</v>
      </c>
      <c r="L62" s="953">
        <f t="shared" si="49"/>
        <v>0</v>
      </c>
      <c r="M62" s="847">
        <f t="shared" si="50"/>
        <v>0</v>
      </c>
      <c r="N62" s="847">
        <f t="shared" si="51"/>
        <v>0</v>
      </c>
    </row>
    <row r="63" spans="1:14" ht="23.25" customHeight="1">
      <c r="A63" s="952">
        <v>995476</v>
      </c>
      <c r="B63" s="809"/>
      <c r="C63" s="831">
        <v>0.18</v>
      </c>
      <c r="D63" s="828" t="s">
        <v>205</v>
      </c>
      <c r="E63" s="1000" t="s">
        <v>927</v>
      </c>
      <c r="F63" s="1001" t="s">
        <v>928</v>
      </c>
      <c r="G63" s="1002" t="s">
        <v>929</v>
      </c>
      <c r="H63" s="995" t="s">
        <v>107</v>
      </c>
      <c r="I63" s="1023">
        <v>10</v>
      </c>
      <c r="J63" s="1036"/>
      <c r="K63" s="1038" t="str">
        <f t="shared" si="48"/>
        <v>Included</v>
      </c>
      <c r="L63" s="953">
        <f t="shared" si="49"/>
        <v>0</v>
      </c>
      <c r="M63" s="847">
        <f t="shared" si="50"/>
        <v>0</v>
      </c>
      <c r="N63" s="847">
        <f t="shared" si="51"/>
        <v>0</v>
      </c>
    </row>
    <row r="64" spans="1:14" ht="47.25">
      <c r="A64" s="952">
        <v>995476</v>
      </c>
      <c r="B64" s="809"/>
      <c r="C64" s="831">
        <v>0.18</v>
      </c>
      <c r="D64" s="828" t="s">
        <v>205</v>
      </c>
      <c r="E64" s="1000">
        <v>48</v>
      </c>
      <c r="F64" s="1001" t="s">
        <v>287</v>
      </c>
      <c r="G64" s="1002" t="s">
        <v>930</v>
      </c>
      <c r="H64" s="995" t="s">
        <v>520</v>
      </c>
      <c r="I64" s="1023">
        <f>38+50</f>
        <v>88</v>
      </c>
      <c r="J64" s="1036"/>
      <c r="K64" s="1038" t="str">
        <f t="shared" si="48"/>
        <v>Included</v>
      </c>
      <c r="L64" s="953">
        <f t="shared" si="49"/>
        <v>0</v>
      </c>
      <c r="M64" s="847">
        <f t="shared" si="50"/>
        <v>0</v>
      </c>
      <c r="N64" s="847">
        <f t="shared" si="51"/>
        <v>0</v>
      </c>
    </row>
    <row r="65" spans="1:14" ht="47.25">
      <c r="A65" s="952">
        <v>995476</v>
      </c>
      <c r="B65" s="809"/>
      <c r="C65" s="831">
        <v>0.18</v>
      </c>
      <c r="D65" s="828" t="s">
        <v>205</v>
      </c>
      <c r="E65" s="1000">
        <v>49</v>
      </c>
      <c r="F65" s="1001">
        <v>9.8800000000000008</v>
      </c>
      <c r="G65" s="1002" t="s">
        <v>931</v>
      </c>
      <c r="H65" s="995" t="s">
        <v>224</v>
      </c>
      <c r="I65" s="1023">
        <v>2</v>
      </c>
      <c r="J65" s="1036"/>
      <c r="K65" s="1038" t="str">
        <f t="shared" si="48"/>
        <v>Included</v>
      </c>
      <c r="L65" s="953">
        <f t="shared" si="49"/>
        <v>0</v>
      </c>
      <c r="M65" s="847">
        <f t="shared" si="50"/>
        <v>0</v>
      </c>
      <c r="N65" s="847">
        <f t="shared" si="51"/>
        <v>0</v>
      </c>
    </row>
    <row r="66" spans="1:14" ht="47.25">
      <c r="A66" s="952">
        <v>995476</v>
      </c>
      <c r="B66" s="809"/>
      <c r="C66" s="831">
        <v>0.18</v>
      </c>
      <c r="D66" s="828" t="s">
        <v>205</v>
      </c>
      <c r="E66" s="1000">
        <v>50</v>
      </c>
      <c r="F66" s="1001" t="s">
        <v>289</v>
      </c>
      <c r="G66" s="1002" t="s">
        <v>932</v>
      </c>
      <c r="H66" s="995" t="s">
        <v>224</v>
      </c>
      <c r="I66" s="1023">
        <f>4+4</f>
        <v>8</v>
      </c>
      <c r="J66" s="1036"/>
      <c r="K66" s="1038" t="str">
        <f t="shared" si="48"/>
        <v>Included</v>
      </c>
      <c r="L66" s="953">
        <f t="shared" si="49"/>
        <v>0</v>
      </c>
      <c r="M66" s="847">
        <f t="shared" si="50"/>
        <v>0</v>
      </c>
      <c r="N66" s="847">
        <f t="shared" si="51"/>
        <v>0</v>
      </c>
    </row>
    <row r="67" spans="1:14" ht="31.5">
      <c r="A67" s="952">
        <v>995476</v>
      </c>
      <c r="B67" s="809"/>
      <c r="C67" s="831">
        <v>0.18</v>
      </c>
      <c r="D67" s="828" t="s">
        <v>205</v>
      </c>
      <c r="E67" s="1000">
        <v>51</v>
      </c>
      <c r="F67" s="1001" t="s">
        <v>933</v>
      </c>
      <c r="G67" s="1002" t="s">
        <v>934</v>
      </c>
      <c r="H67" s="995" t="s">
        <v>224</v>
      </c>
      <c r="I67" s="1023">
        <f>48+20</f>
        <v>68</v>
      </c>
      <c r="J67" s="1036"/>
      <c r="K67" s="1038" t="str">
        <f t="shared" si="48"/>
        <v>Included</v>
      </c>
      <c r="L67" s="953">
        <f t="shared" si="49"/>
        <v>0</v>
      </c>
      <c r="M67" s="847">
        <f t="shared" si="50"/>
        <v>0</v>
      </c>
      <c r="N67" s="847">
        <f t="shared" si="51"/>
        <v>0</v>
      </c>
    </row>
    <row r="68" spans="1:14" ht="63">
      <c r="A68" s="952">
        <v>995476</v>
      </c>
      <c r="B68" s="809"/>
      <c r="C68" s="831">
        <v>0.18</v>
      </c>
      <c r="D68" s="828" t="s">
        <v>205</v>
      </c>
      <c r="E68" s="1000">
        <v>52</v>
      </c>
      <c r="F68" s="1005" t="s">
        <v>935</v>
      </c>
      <c r="G68" s="1003" t="s">
        <v>936</v>
      </c>
      <c r="H68" s="995" t="s">
        <v>468</v>
      </c>
      <c r="I68" s="1023">
        <v>97</v>
      </c>
      <c r="J68" s="1036"/>
      <c r="K68" s="1038" t="str">
        <f t="shared" si="48"/>
        <v>Included</v>
      </c>
      <c r="L68" s="953">
        <f t="shared" si="49"/>
        <v>0</v>
      </c>
      <c r="M68" s="847">
        <f t="shared" si="50"/>
        <v>0</v>
      </c>
      <c r="N68" s="847">
        <f t="shared" si="51"/>
        <v>0</v>
      </c>
    </row>
    <row r="69" spans="1:14" ht="47.25">
      <c r="A69" s="952">
        <v>995476</v>
      </c>
      <c r="B69" s="809"/>
      <c r="C69" s="831">
        <v>0.18</v>
      </c>
      <c r="D69" s="828" t="s">
        <v>205</v>
      </c>
      <c r="E69" s="1000">
        <v>53</v>
      </c>
      <c r="F69" s="1001" t="s">
        <v>293</v>
      </c>
      <c r="G69" s="1002" t="s">
        <v>937</v>
      </c>
      <c r="H69" s="995" t="s">
        <v>224</v>
      </c>
      <c r="I69" s="1023">
        <f>24+20</f>
        <v>44</v>
      </c>
      <c r="J69" s="1036"/>
      <c r="K69" s="1038" t="str">
        <f t="shared" si="48"/>
        <v>Included</v>
      </c>
      <c r="L69" s="953">
        <f t="shared" si="49"/>
        <v>0</v>
      </c>
      <c r="M69" s="847">
        <f t="shared" si="50"/>
        <v>0</v>
      </c>
      <c r="N69" s="847">
        <f t="shared" si="51"/>
        <v>0</v>
      </c>
    </row>
    <row r="70" spans="1:14" ht="63">
      <c r="A70" s="952">
        <v>995476</v>
      </c>
      <c r="B70" s="809"/>
      <c r="C70" s="831">
        <v>0.18</v>
      </c>
      <c r="D70" s="828" t="s">
        <v>205</v>
      </c>
      <c r="E70" s="1000">
        <v>54</v>
      </c>
      <c r="F70" s="1001" t="s">
        <v>274</v>
      </c>
      <c r="G70" s="1002" t="s">
        <v>938</v>
      </c>
      <c r="H70" s="995" t="s">
        <v>224</v>
      </c>
      <c r="I70" s="1023">
        <f>24+20</f>
        <v>44</v>
      </c>
      <c r="J70" s="1036"/>
      <c r="K70" s="1038" t="str">
        <f t="shared" si="48"/>
        <v>Included</v>
      </c>
      <c r="L70" s="953">
        <f t="shared" si="49"/>
        <v>0</v>
      </c>
      <c r="M70" s="847">
        <f t="shared" si="50"/>
        <v>0</v>
      </c>
      <c r="N70" s="847">
        <f t="shared" si="51"/>
        <v>0</v>
      </c>
    </row>
    <row r="71" spans="1:14" ht="47.25">
      <c r="A71" s="952">
        <v>995476</v>
      </c>
      <c r="B71" s="809"/>
      <c r="C71" s="831">
        <v>0.18</v>
      </c>
      <c r="D71" s="828" t="s">
        <v>205</v>
      </c>
      <c r="E71" s="1000">
        <v>55</v>
      </c>
      <c r="F71" s="1001" t="s">
        <v>295</v>
      </c>
      <c r="G71" s="1002" t="s">
        <v>939</v>
      </c>
      <c r="H71" s="995" t="s">
        <v>224</v>
      </c>
      <c r="I71" s="1023">
        <f>24+8</f>
        <v>32</v>
      </c>
      <c r="J71" s="1036"/>
      <c r="K71" s="1038" t="str">
        <f t="shared" si="48"/>
        <v>Included</v>
      </c>
      <c r="L71" s="953">
        <f t="shared" si="49"/>
        <v>0</v>
      </c>
      <c r="M71" s="847">
        <f t="shared" si="50"/>
        <v>0</v>
      </c>
      <c r="N71" s="847">
        <f t="shared" si="51"/>
        <v>0</v>
      </c>
    </row>
    <row r="72" spans="1:14" ht="63">
      <c r="A72" s="952">
        <v>995476</v>
      </c>
      <c r="B72" s="809"/>
      <c r="C72" s="831">
        <v>0.18</v>
      </c>
      <c r="D72" s="828" t="s">
        <v>205</v>
      </c>
      <c r="E72" s="1000">
        <v>56</v>
      </c>
      <c r="F72" s="1005" t="s">
        <v>940</v>
      </c>
      <c r="G72" s="1001" t="s">
        <v>941</v>
      </c>
      <c r="H72" s="995" t="s">
        <v>468</v>
      </c>
      <c r="I72" s="1023">
        <v>16</v>
      </c>
      <c r="J72" s="1036"/>
      <c r="K72" s="1038" t="str">
        <f t="shared" si="48"/>
        <v>Included</v>
      </c>
      <c r="L72" s="953">
        <f t="shared" si="49"/>
        <v>0</v>
      </c>
      <c r="M72" s="847">
        <f t="shared" si="50"/>
        <v>0</v>
      </c>
      <c r="N72" s="847">
        <f t="shared" si="51"/>
        <v>0</v>
      </c>
    </row>
    <row r="73" spans="1:14" ht="63">
      <c r="A73" s="952">
        <v>995476</v>
      </c>
      <c r="B73" s="809"/>
      <c r="C73" s="831">
        <v>0.18</v>
      </c>
      <c r="D73" s="828" t="s">
        <v>205</v>
      </c>
      <c r="E73" s="1000">
        <v>57</v>
      </c>
      <c r="F73" s="1001" t="s">
        <v>268</v>
      </c>
      <c r="G73" s="1002" t="s">
        <v>942</v>
      </c>
      <c r="H73" s="995" t="s">
        <v>224</v>
      </c>
      <c r="I73" s="1023">
        <f>48+20</f>
        <v>68</v>
      </c>
      <c r="J73" s="1036"/>
      <c r="K73" s="1038" t="str">
        <f t="shared" si="48"/>
        <v>Included</v>
      </c>
      <c r="L73" s="953">
        <f t="shared" si="49"/>
        <v>0</v>
      </c>
      <c r="M73" s="847">
        <f t="shared" si="50"/>
        <v>0</v>
      </c>
      <c r="N73" s="847">
        <f t="shared" si="51"/>
        <v>0</v>
      </c>
    </row>
    <row r="74" spans="1:14" ht="63">
      <c r="A74" s="952">
        <v>995476</v>
      </c>
      <c r="B74" s="809"/>
      <c r="C74" s="831">
        <v>0.18</v>
      </c>
      <c r="D74" s="828" t="s">
        <v>205</v>
      </c>
      <c r="E74" s="1000">
        <v>58</v>
      </c>
      <c r="F74" s="1001" t="s">
        <v>270</v>
      </c>
      <c r="G74" s="1002" t="s">
        <v>943</v>
      </c>
      <c r="H74" s="995" t="s">
        <v>224</v>
      </c>
      <c r="I74" s="1023">
        <f>24+20</f>
        <v>44</v>
      </c>
      <c r="J74" s="1036"/>
      <c r="K74" s="1038" t="str">
        <f t="shared" si="48"/>
        <v>Included</v>
      </c>
      <c r="L74" s="953">
        <f t="shared" si="49"/>
        <v>0</v>
      </c>
      <c r="M74" s="847">
        <f t="shared" si="50"/>
        <v>0</v>
      </c>
      <c r="N74" s="847">
        <f t="shared" si="51"/>
        <v>0</v>
      </c>
    </row>
    <row r="75" spans="1:14" ht="47.25">
      <c r="A75" s="952">
        <v>995476</v>
      </c>
      <c r="B75" s="809"/>
      <c r="C75" s="831">
        <v>0.18</v>
      </c>
      <c r="D75" s="828" t="s">
        <v>205</v>
      </c>
      <c r="E75" s="1000">
        <v>59</v>
      </c>
      <c r="F75" s="1005" t="s">
        <v>291</v>
      </c>
      <c r="G75" s="1004" t="s">
        <v>944</v>
      </c>
      <c r="H75" s="995" t="s">
        <v>468</v>
      </c>
      <c r="I75" s="1023">
        <v>52</v>
      </c>
      <c r="J75" s="1036"/>
      <c r="K75" s="1038" t="str">
        <f t="shared" si="48"/>
        <v>Included</v>
      </c>
      <c r="L75" s="953">
        <f t="shared" si="49"/>
        <v>0</v>
      </c>
      <c r="M75" s="847">
        <f t="shared" si="50"/>
        <v>0</v>
      </c>
      <c r="N75" s="847">
        <f t="shared" si="51"/>
        <v>0</v>
      </c>
    </row>
    <row r="76" spans="1:14" ht="47.25">
      <c r="A76" s="952">
        <v>995476</v>
      </c>
      <c r="B76" s="809"/>
      <c r="C76" s="831">
        <v>0.18</v>
      </c>
      <c r="D76" s="828" t="s">
        <v>205</v>
      </c>
      <c r="E76" s="1000">
        <v>60</v>
      </c>
      <c r="F76" s="1001" t="s">
        <v>945</v>
      </c>
      <c r="G76" s="1002" t="s">
        <v>946</v>
      </c>
      <c r="H76" s="995" t="s">
        <v>224</v>
      </c>
      <c r="I76" s="1023">
        <v>50</v>
      </c>
      <c r="J76" s="1036"/>
      <c r="K76" s="1038" t="str">
        <f t="shared" si="48"/>
        <v>Included</v>
      </c>
      <c r="L76" s="953">
        <f t="shared" si="49"/>
        <v>0</v>
      </c>
      <c r="M76" s="847">
        <f t="shared" si="50"/>
        <v>0</v>
      </c>
      <c r="N76" s="847">
        <f t="shared" si="51"/>
        <v>0</v>
      </c>
    </row>
    <row r="77" spans="1:14" ht="63">
      <c r="A77" s="952">
        <v>995476</v>
      </c>
      <c r="B77" s="809"/>
      <c r="C77" s="831">
        <v>0.18</v>
      </c>
      <c r="D77" s="828" t="s">
        <v>205</v>
      </c>
      <c r="E77" s="1000">
        <v>61</v>
      </c>
      <c r="F77" s="1001" t="s">
        <v>278</v>
      </c>
      <c r="G77" s="1002" t="s">
        <v>947</v>
      </c>
      <c r="H77" s="995" t="s">
        <v>207</v>
      </c>
      <c r="I77" s="1023">
        <v>25</v>
      </c>
      <c r="J77" s="1036"/>
      <c r="K77" s="1038" t="str">
        <f t="shared" si="48"/>
        <v>Included</v>
      </c>
      <c r="L77" s="953">
        <f t="shared" si="49"/>
        <v>0</v>
      </c>
      <c r="M77" s="847">
        <f t="shared" si="50"/>
        <v>0</v>
      </c>
      <c r="N77" s="847">
        <f t="shared" si="51"/>
        <v>0</v>
      </c>
    </row>
    <row r="78" spans="1:14" ht="141.75">
      <c r="A78" s="952">
        <v>995476</v>
      </c>
      <c r="B78" s="809"/>
      <c r="C78" s="831">
        <v>0.18</v>
      </c>
      <c r="D78" s="828" t="s">
        <v>205</v>
      </c>
      <c r="E78" s="1000">
        <v>62</v>
      </c>
      <c r="F78" s="1006" t="s">
        <v>948</v>
      </c>
      <c r="G78" s="1003" t="s">
        <v>949</v>
      </c>
      <c r="H78" s="995" t="s">
        <v>514</v>
      </c>
      <c r="I78" s="1023">
        <v>45</v>
      </c>
      <c r="J78" s="1036"/>
      <c r="K78" s="1038" t="str">
        <f t="shared" si="48"/>
        <v>Included</v>
      </c>
      <c r="L78" s="953">
        <f t="shared" si="49"/>
        <v>0</v>
      </c>
      <c r="M78" s="847">
        <f t="shared" si="50"/>
        <v>0</v>
      </c>
      <c r="N78" s="847">
        <f t="shared" si="51"/>
        <v>0</v>
      </c>
    </row>
    <row r="79" spans="1:14" ht="45.75" customHeight="1">
      <c r="A79" s="952">
        <v>995476</v>
      </c>
      <c r="B79" s="809"/>
      <c r="C79" s="831">
        <v>0.18</v>
      </c>
      <c r="D79" s="828" t="s">
        <v>205</v>
      </c>
      <c r="E79" s="1000">
        <v>63</v>
      </c>
      <c r="F79" s="1001">
        <v>9.1319999999999997</v>
      </c>
      <c r="G79" s="1003" t="s">
        <v>950</v>
      </c>
      <c r="H79" s="995" t="s">
        <v>522</v>
      </c>
      <c r="I79" s="1023">
        <v>76</v>
      </c>
      <c r="J79" s="1036"/>
      <c r="K79" s="1038" t="str">
        <f t="shared" si="48"/>
        <v>Included</v>
      </c>
      <c r="L79" s="953">
        <f t="shared" si="49"/>
        <v>0</v>
      </c>
      <c r="M79" s="847">
        <f t="shared" si="50"/>
        <v>0</v>
      </c>
      <c r="N79" s="847">
        <f t="shared" si="51"/>
        <v>0</v>
      </c>
    </row>
    <row r="80" spans="1:14" ht="330.75">
      <c r="A80" s="952"/>
      <c r="B80" s="809"/>
      <c r="C80" s="831"/>
      <c r="D80" s="828"/>
      <c r="E80" s="1000">
        <v>64</v>
      </c>
      <c r="F80" s="1005" t="s">
        <v>523</v>
      </c>
      <c r="G80" s="1003" t="s">
        <v>951</v>
      </c>
      <c r="H80" s="995"/>
      <c r="I80" s="1023"/>
      <c r="J80" s="1036"/>
      <c r="K80" s="1038"/>
      <c r="L80" s="953"/>
      <c r="M80" s="847">
        <f t="shared" si="50"/>
        <v>0</v>
      </c>
      <c r="N80" s="847">
        <f t="shared" si="51"/>
        <v>0</v>
      </c>
    </row>
    <row r="81" spans="1:14" ht="78.75">
      <c r="A81" s="952">
        <v>995476</v>
      </c>
      <c r="B81" s="809"/>
      <c r="C81" s="831">
        <v>0.18</v>
      </c>
      <c r="D81" s="828" t="s">
        <v>205</v>
      </c>
      <c r="E81" s="1000">
        <v>65</v>
      </c>
      <c r="F81" s="1005" t="s">
        <v>952</v>
      </c>
      <c r="G81" s="1003" t="s">
        <v>953</v>
      </c>
      <c r="H81" s="995" t="s">
        <v>207</v>
      </c>
      <c r="I81" s="1023">
        <f>26+10</f>
        <v>36</v>
      </c>
      <c r="J81" s="1036"/>
      <c r="K81" s="1038" t="str">
        <f t="shared" si="48"/>
        <v>Included</v>
      </c>
      <c r="L81" s="953">
        <f t="shared" si="49"/>
        <v>0</v>
      </c>
      <c r="M81" s="847">
        <f t="shared" si="50"/>
        <v>0</v>
      </c>
      <c r="N81" s="847">
        <f t="shared" si="51"/>
        <v>0</v>
      </c>
    </row>
    <row r="82" spans="1:14" ht="78.75">
      <c r="A82" s="952">
        <v>995476</v>
      </c>
      <c r="B82" s="809"/>
      <c r="C82" s="831">
        <v>0.18</v>
      </c>
      <c r="D82" s="828" t="s">
        <v>205</v>
      </c>
      <c r="E82" s="1000">
        <v>66</v>
      </c>
      <c r="F82" s="1005" t="s">
        <v>954</v>
      </c>
      <c r="G82" s="1003" t="s">
        <v>955</v>
      </c>
      <c r="H82" s="995" t="s">
        <v>207</v>
      </c>
      <c r="I82" s="1023">
        <v>20</v>
      </c>
      <c r="J82" s="1036"/>
      <c r="K82" s="1038" t="str">
        <f t="shared" si="48"/>
        <v>Included</v>
      </c>
      <c r="L82" s="953">
        <f t="shared" si="49"/>
        <v>0</v>
      </c>
      <c r="M82" s="847">
        <f t="shared" si="50"/>
        <v>0</v>
      </c>
      <c r="N82" s="847">
        <f t="shared" si="51"/>
        <v>0</v>
      </c>
    </row>
    <row r="83" spans="1:14" ht="47.25">
      <c r="A83" s="952">
        <v>995476</v>
      </c>
      <c r="B83" s="809"/>
      <c r="C83" s="831">
        <v>0.18</v>
      </c>
      <c r="D83" s="828" t="s">
        <v>205</v>
      </c>
      <c r="E83" s="1000">
        <v>67</v>
      </c>
      <c r="F83" s="1005" t="s">
        <v>956</v>
      </c>
      <c r="G83" s="1003" t="s">
        <v>957</v>
      </c>
      <c r="H83" s="995" t="s">
        <v>207</v>
      </c>
      <c r="I83" s="1023">
        <f>2+3</f>
        <v>5</v>
      </c>
      <c r="J83" s="1036"/>
      <c r="K83" s="1038" t="str">
        <f t="shared" si="48"/>
        <v>Included</v>
      </c>
      <c r="L83" s="953">
        <f t="shared" si="49"/>
        <v>0</v>
      </c>
      <c r="M83" s="847">
        <f t="shared" si="50"/>
        <v>0</v>
      </c>
      <c r="N83" s="847">
        <f t="shared" si="51"/>
        <v>0</v>
      </c>
    </row>
    <row r="84" spans="1:14" ht="94.5">
      <c r="A84" s="952">
        <v>995476</v>
      </c>
      <c r="B84" s="809"/>
      <c r="C84" s="831">
        <v>0.18</v>
      </c>
      <c r="D84" s="828" t="s">
        <v>205</v>
      </c>
      <c r="E84" s="1000">
        <v>68</v>
      </c>
      <c r="F84" s="1005" t="s">
        <v>958</v>
      </c>
      <c r="G84" s="1003" t="s">
        <v>959</v>
      </c>
      <c r="H84" s="995" t="s">
        <v>207</v>
      </c>
      <c r="I84" s="1023">
        <v>15</v>
      </c>
      <c r="J84" s="1036"/>
      <c r="K84" s="1038" t="str">
        <f t="shared" si="48"/>
        <v>Included</v>
      </c>
      <c r="L84" s="953">
        <f t="shared" si="49"/>
        <v>0</v>
      </c>
      <c r="M84" s="847">
        <f t="shared" si="50"/>
        <v>0</v>
      </c>
      <c r="N84" s="847">
        <f t="shared" si="51"/>
        <v>0</v>
      </c>
    </row>
    <row r="85" spans="1:14" ht="47.25">
      <c r="A85" s="952">
        <v>995476</v>
      </c>
      <c r="B85" s="809"/>
      <c r="C85" s="831">
        <v>0.18</v>
      </c>
      <c r="D85" s="828" t="s">
        <v>205</v>
      </c>
      <c r="E85" s="1000">
        <v>69</v>
      </c>
      <c r="F85" s="1005" t="s">
        <v>960</v>
      </c>
      <c r="G85" s="1001" t="s">
        <v>961</v>
      </c>
      <c r="H85" s="995" t="s">
        <v>468</v>
      </c>
      <c r="I85" s="1023">
        <v>88</v>
      </c>
      <c r="J85" s="1036"/>
      <c r="K85" s="1038" t="str">
        <f t="shared" si="48"/>
        <v>Included</v>
      </c>
      <c r="L85" s="953">
        <f t="shared" si="49"/>
        <v>0</v>
      </c>
      <c r="M85" s="847">
        <f t="shared" si="50"/>
        <v>0</v>
      </c>
      <c r="N85" s="847">
        <f t="shared" si="51"/>
        <v>0</v>
      </c>
    </row>
    <row r="86" spans="1:14" ht="94.5">
      <c r="A86" s="952">
        <v>995432</v>
      </c>
      <c r="B86" s="809"/>
      <c r="C86" s="831">
        <v>0.18</v>
      </c>
      <c r="D86" s="828" t="s">
        <v>205</v>
      </c>
      <c r="E86" s="1000">
        <v>70</v>
      </c>
      <c r="F86" s="1001">
        <v>9.1679999999999993</v>
      </c>
      <c r="G86" s="1002" t="s">
        <v>962</v>
      </c>
      <c r="H86" s="995" t="s">
        <v>207</v>
      </c>
      <c r="I86" s="1023">
        <v>20</v>
      </c>
      <c r="J86" s="1036"/>
      <c r="K86" s="1038" t="str">
        <f t="shared" si="48"/>
        <v>Included</v>
      </c>
      <c r="L86" s="953">
        <f t="shared" si="49"/>
        <v>0</v>
      </c>
      <c r="M86" s="847">
        <f t="shared" si="50"/>
        <v>0</v>
      </c>
      <c r="N86" s="847">
        <f t="shared" si="51"/>
        <v>0</v>
      </c>
    </row>
    <row r="87" spans="1:14" ht="63">
      <c r="A87" s="952">
        <v>995476</v>
      </c>
      <c r="B87" s="809"/>
      <c r="C87" s="831">
        <v>0.18</v>
      </c>
      <c r="D87" s="828" t="s">
        <v>205</v>
      </c>
      <c r="E87" s="1000">
        <v>71</v>
      </c>
      <c r="F87" s="1001">
        <v>9.1690000000000005</v>
      </c>
      <c r="G87" s="1002" t="s">
        <v>963</v>
      </c>
      <c r="H87" s="995" t="s">
        <v>207</v>
      </c>
      <c r="I87" s="1023">
        <v>75</v>
      </c>
      <c r="J87" s="1036"/>
      <c r="K87" s="1038" t="str">
        <f t="shared" si="48"/>
        <v>Included</v>
      </c>
      <c r="L87" s="953">
        <f t="shared" si="49"/>
        <v>0</v>
      </c>
      <c r="M87" s="847">
        <f t="shared" si="50"/>
        <v>0</v>
      </c>
      <c r="N87" s="847">
        <f t="shared" si="51"/>
        <v>0</v>
      </c>
    </row>
    <row r="88" spans="1:14" ht="63">
      <c r="A88" s="952">
        <v>995432</v>
      </c>
      <c r="B88" s="809"/>
      <c r="C88" s="831">
        <v>0.18</v>
      </c>
      <c r="D88" s="828" t="s">
        <v>205</v>
      </c>
      <c r="E88" s="1000">
        <v>72</v>
      </c>
      <c r="F88" s="1001">
        <v>9.1709999999999994</v>
      </c>
      <c r="G88" s="1002" t="s">
        <v>964</v>
      </c>
      <c r="H88" s="995" t="s">
        <v>468</v>
      </c>
      <c r="I88" s="1023">
        <v>50</v>
      </c>
      <c r="J88" s="1036"/>
      <c r="K88" s="1038" t="str">
        <f t="shared" si="48"/>
        <v>Included</v>
      </c>
      <c r="L88" s="953">
        <f t="shared" si="49"/>
        <v>0</v>
      </c>
      <c r="M88" s="847">
        <f t="shared" si="50"/>
        <v>0</v>
      </c>
      <c r="N88" s="847">
        <f t="shared" si="51"/>
        <v>0</v>
      </c>
    </row>
    <row r="89" spans="1:14" ht="47.25">
      <c r="A89" s="952">
        <v>995432</v>
      </c>
      <c r="B89" s="809"/>
      <c r="C89" s="831">
        <v>0.18</v>
      </c>
      <c r="D89" s="828" t="s">
        <v>205</v>
      </c>
      <c r="E89" s="1000">
        <v>73</v>
      </c>
      <c r="F89" s="1001">
        <v>9.1720000000000006</v>
      </c>
      <c r="G89" s="1002" t="s">
        <v>965</v>
      </c>
      <c r="H89" s="995" t="s">
        <v>1163</v>
      </c>
      <c r="I89" s="1023">
        <v>8</v>
      </c>
      <c r="J89" s="1036"/>
      <c r="K89" s="1038" t="str">
        <f t="shared" si="48"/>
        <v>Included</v>
      </c>
      <c r="L89" s="953">
        <f t="shared" si="49"/>
        <v>0</v>
      </c>
      <c r="M89" s="847">
        <f t="shared" si="50"/>
        <v>0</v>
      </c>
      <c r="N89" s="847">
        <f t="shared" si="51"/>
        <v>0</v>
      </c>
    </row>
    <row r="90" spans="1:14" ht="47.25">
      <c r="A90" s="952">
        <v>995476</v>
      </c>
      <c r="B90" s="809"/>
      <c r="C90" s="831">
        <v>0.18</v>
      </c>
      <c r="D90" s="828" t="s">
        <v>205</v>
      </c>
      <c r="E90" s="1000">
        <v>74</v>
      </c>
      <c r="F90" s="1001">
        <v>10.17</v>
      </c>
      <c r="G90" s="1002" t="s">
        <v>966</v>
      </c>
      <c r="H90" s="995" t="s">
        <v>224</v>
      </c>
      <c r="I90" s="1023">
        <v>8</v>
      </c>
      <c r="J90" s="1036"/>
      <c r="K90" s="1038" t="str">
        <f t="shared" si="48"/>
        <v>Included</v>
      </c>
      <c r="L90" s="953">
        <f t="shared" si="49"/>
        <v>0</v>
      </c>
      <c r="M90" s="847">
        <f t="shared" si="50"/>
        <v>0</v>
      </c>
      <c r="N90" s="847">
        <f t="shared" si="51"/>
        <v>0</v>
      </c>
    </row>
    <row r="91" spans="1:14" ht="94.5">
      <c r="A91" s="952">
        <v>995476</v>
      </c>
      <c r="B91" s="809"/>
      <c r="C91" s="831">
        <v>0.18</v>
      </c>
      <c r="D91" s="828" t="s">
        <v>205</v>
      </c>
      <c r="E91" s="1000">
        <v>75</v>
      </c>
      <c r="F91" s="1001">
        <v>10.18</v>
      </c>
      <c r="G91" s="1003" t="s">
        <v>967</v>
      </c>
      <c r="H91" s="995" t="s">
        <v>468</v>
      </c>
      <c r="I91" s="1023">
        <v>8</v>
      </c>
      <c r="J91" s="1036"/>
      <c r="K91" s="1038" t="str">
        <f t="shared" si="48"/>
        <v>Included</v>
      </c>
      <c r="L91" s="953">
        <f t="shared" si="49"/>
        <v>0</v>
      </c>
      <c r="M91" s="847">
        <f t="shared" si="50"/>
        <v>0</v>
      </c>
      <c r="N91" s="847">
        <f t="shared" si="51"/>
        <v>0</v>
      </c>
    </row>
    <row r="92" spans="1:14" ht="84.75" customHeight="1">
      <c r="A92" s="952">
        <v>995476</v>
      </c>
      <c r="B92" s="809"/>
      <c r="C92" s="831">
        <v>0.18</v>
      </c>
      <c r="D92" s="828" t="s">
        <v>205</v>
      </c>
      <c r="E92" s="458">
        <v>76</v>
      </c>
      <c r="F92" s="1007" t="s">
        <v>968</v>
      </c>
      <c r="G92" s="1004" t="s">
        <v>969</v>
      </c>
      <c r="H92" s="995" t="s">
        <v>262</v>
      </c>
      <c r="I92" s="1023">
        <v>175</v>
      </c>
      <c r="J92" s="1036"/>
      <c r="K92" s="1038" t="str">
        <f t="shared" si="48"/>
        <v>Included</v>
      </c>
      <c r="L92" s="953">
        <f t="shared" si="49"/>
        <v>0</v>
      </c>
      <c r="M92" s="847">
        <f t="shared" si="50"/>
        <v>0</v>
      </c>
      <c r="N92" s="847">
        <f t="shared" si="51"/>
        <v>0</v>
      </c>
    </row>
    <row r="93" spans="1:14" ht="63">
      <c r="A93" s="952">
        <v>995476</v>
      </c>
      <c r="B93" s="809"/>
      <c r="C93" s="831">
        <v>0.18</v>
      </c>
      <c r="D93" s="828" t="s">
        <v>205</v>
      </c>
      <c r="E93" s="1000">
        <v>77</v>
      </c>
      <c r="F93" s="1001" t="s">
        <v>968</v>
      </c>
      <c r="G93" s="1002" t="s">
        <v>970</v>
      </c>
      <c r="H93" s="995" t="s">
        <v>262</v>
      </c>
      <c r="I93" s="1023">
        <v>1300</v>
      </c>
      <c r="J93" s="1036"/>
      <c r="K93" s="1038" t="str">
        <f t="shared" si="48"/>
        <v>Included</v>
      </c>
      <c r="L93" s="953">
        <f t="shared" si="49"/>
        <v>0</v>
      </c>
      <c r="M93" s="847">
        <f t="shared" si="50"/>
        <v>0</v>
      </c>
      <c r="N93" s="847">
        <f t="shared" si="51"/>
        <v>0</v>
      </c>
    </row>
    <row r="94" spans="1:14" ht="63">
      <c r="A94" s="952">
        <v>995477</v>
      </c>
      <c r="B94" s="809"/>
      <c r="C94" s="831">
        <v>0.18</v>
      </c>
      <c r="D94" s="828" t="s">
        <v>205</v>
      </c>
      <c r="E94" s="1000">
        <v>78</v>
      </c>
      <c r="F94" s="1005" t="s">
        <v>971</v>
      </c>
      <c r="G94" s="1003" t="s">
        <v>972</v>
      </c>
      <c r="H94" s="995" t="s">
        <v>262</v>
      </c>
      <c r="I94" s="1023">
        <v>412</v>
      </c>
      <c r="J94" s="1036"/>
      <c r="K94" s="1038" t="str">
        <f t="shared" si="48"/>
        <v>Included</v>
      </c>
      <c r="L94" s="953">
        <f t="shared" si="49"/>
        <v>0</v>
      </c>
      <c r="M94" s="847">
        <f t="shared" si="50"/>
        <v>0</v>
      </c>
      <c r="N94" s="847">
        <f t="shared" si="51"/>
        <v>0</v>
      </c>
    </row>
    <row r="95" spans="1:14" ht="126">
      <c r="A95" s="952">
        <v>995476</v>
      </c>
      <c r="B95" s="809"/>
      <c r="C95" s="831">
        <v>0.18</v>
      </c>
      <c r="D95" s="828" t="s">
        <v>205</v>
      </c>
      <c r="E95" s="1000">
        <v>79</v>
      </c>
      <c r="F95" s="1001">
        <v>10.28</v>
      </c>
      <c r="G95" s="1002" t="s">
        <v>973</v>
      </c>
      <c r="H95" s="995" t="s">
        <v>1164</v>
      </c>
      <c r="I95" s="1023">
        <v>260</v>
      </c>
      <c r="J95" s="1036"/>
      <c r="K95" s="1038" t="str">
        <f t="shared" si="48"/>
        <v>Included</v>
      </c>
      <c r="L95" s="953">
        <f t="shared" si="49"/>
        <v>0</v>
      </c>
      <c r="M95" s="847">
        <f t="shared" si="50"/>
        <v>0</v>
      </c>
      <c r="N95" s="847">
        <f t="shared" si="51"/>
        <v>0</v>
      </c>
    </row>
    <row r="96" spans="1:14" ht="47.25">
      <c r="A96" s="952">
        <v>995474</v>
      </c>
      <c r="B96" s="809"/>
      <c r="C96" s="831">
        <v>0.18</v>
      </c>
      <c r="D96" s="828" t="s">
        <v>205</v>
      </c>
      <c r="E96" s="1000">
        <v>80</v>
      </c>
      <c r="F96" s="1001">
        <v>11.2</v>
      </c>
      <c r="G96" s="1002" t="s">
        <v>974</v>
      </c>
      <c r="H96" s="995" t="s">
        <v>207</v>
      </c>
      <c r="I96" s="1023">
        <v>65</v>
      </c>
      <c r="J96" s="1036"/>
      <c r="K96" s="1038" t="str">
        <f t="shared" si="48"/>
        <v>Included</v>
      </c>
      <c r="L96" s="953">
        <f t="shared" si="49"/>
        <v>0</v>
      </c>
      <c r="M96" s="847">
        <f t="shared" si="50"/>
        <v>0</v>
      </c>
      <c r="N96" s="847">
        <f t="shared" si="51"/>
        <v>0</v>
      </c>
    </row>
    <row r="97" spans="1:14" ht="78.75">
      <c r="A97" s="952">
        <v>995474</v>
      </c>
      <c r="B97" s="809"/>
      <c r="C97" s="831">
        <v>0.18</v>
      </c>
      <c r="D97" s="828" t="s">
        <v>205</v>
      </c>
      <c r="E97" s="1000">
        <v>81</v>
      </c>
      <c r="F97" s="1005" t="s">
        <v>975</v>
      </c>
      <c r="G97" s="1003" t="s">
        <v>976</v>
      </c>
      <c r="H97" s="995" t="s">
        <v>514</v>
      </c>
      <c r="I97" s="1023">
        <v>44</v>
      </c>
      <c r="J97" s="1036"/>
      <c r="K97" s="1038" t="str">
        <f t="shared" si="48"/>
        <v>Included</v>
      </c>
      <c r="L97" s="953">
        <f t="shared" si="49"/>
        <v>0</v>
      </c>
      <c r="M97" s="847">
        <f t="shared" si="50"/>
        <v>0</v>
      </c>
      <c r="N97" s="847">
        <f t="shared" si="51"/>
        <v>0</v>
      </c>
    </row>
    <row r="98" spans="1:14" ht="25.5" customHeight="1">
      <c r="A98" s="952">
        <v>995474</v>
      </c>
      <c r="B98" s="809"/>
      <c r="C98" s="831">
        <v>0.18</v>
      </c>
      <c r="D98" s="828" t="s">
        <v>205</v>
      </c>
      <c r="E98" s="1000">
        <v>82</v>
      </c>
      <c r="F98" s="1005" t="s">
        <v>977</v>
      </c>
      <c r="G98" s="1041" t="s">
        <v>978</v>
      </c>
      <c r="H98" s="995" t="s">
        <v>520</v>
      </c>
      <c r="I98" s="1023">
        <v>33</v>
      </c>
      <c r="J98" s="1036"/>
      <c r="K98" s="1038" t="str">
        <f t="shared" si="48"/>
        <v>Included</v>
      </c>
      <c r="L98" s="953">
        <f t="shared" si="49"/>
        <v>0</v>
      </c>
      <c r="M98" s="847">
        <f t="shared" si="50"/>
        <v>0</v>
      </c>
      <c r="N98" s="847">
        <f t="shared" si="51"/>
        <v>0</v>
      </c>
    </row>
    <row r="99" spans="1:14" ht="31.5">
      <c r="A99" s="952">
        <v>995474</v>
      </c>
      <c r="B99" s="809"/>
      <c r="C99" s="831">
        <v>0.18</v>
      </c>
      <c r="D99" s="828" t="s">
        <v>205</v>
      </c>
      <c r="E99" s="1000">
        <v>83</v>
      </c>
      <c r="F99" s="1005" t="s">
        <v>979</v>
      </c>
      <c r="G99" s="1003" t="s">
        <v>980</v>
      </c>
      <c r="H99" s="995" t="s">
        <v>207</v>
      </c>
      <c r="I99" s="1023">
        <v>15</v>
      </c>
      <c r="J99" s="1036"/>
      <c r="K99" s="1038" t="str">
        <f t="shared" si="48"/>
        <v>Included</v>
      </c>
      <c r="L99" s="953">
        <f t="shared" si="49"/>
        <v>0</v>
      </c>
      <c r="M99" s="847">
        <f t="shared" si="50"/>
        <v>0</v>
      </c>
      <c r="N99" s="847">
        <f t="shared" si="51"/>
        <v>0</v>
      </c>
    </row>
    <row r="100" spans="1:14" ht="94.5">
      <c r="A100" s="952">
        <v>995474</v>
      </c>
      <c r="B100" s="809"/>
      <c r="C100" s="831">
        <v>0.18</v>
      </c>
      <c r="D100" s="828" t="s">
        <v>205</v>
      </c>
      <c r="E100" s="1000">
        <v>84</v>
      </c>
      <c r="F100" s="1001" t="s">
        <v>524</v>
      </c>
      <c r="G100" s="1001" t="s">
        <v>981</v>
      </c>
      <c r="H100" s="995" t="s">
        <v>207</v>
      </c>
      <c r="I100" s="1023">
        <v>172</v>
      </c>
      <c r="J100" s="1036"/>
      <c r="K100" s="1038" t="str">
        <f t="shared" si="48"/>
        <v>Included</v>
      </c>
      <c r="L100" s="953">
        <f t="shared" si="49"/>
        <v>0</v>
      </c>
      <c r="M100" s="847">
        <f t="shared" si="50"/>
        <v>0</v>
      </c>
      <c r="N100" s="847">
        <f t="shared" si="51"/>
        <v>0</v>
      </c>
    </row>
    <row r="101" spans="1:14" ht="189.75">
      <c r="A101" s="952">
        <v>995432</v>
      </c>
      <c r="B101" s="809"/>
      <c r="C101" s="831">
        <v>0.18</v>
      </c>
      <c r="D101" s="828" t="s">
        <v>205</v>
      </c>
      <c r="E101" s="1000">
        <v>85</v>
      </c>
      <c r="F101" s="1001" t="s">
        <v>982</v>
      </c>
      <c r="G101" s="1040" t="s">
        <v>983</v>
      </c>
      <c r="H101" s="995" t="s">
        <v>207</v>
      </c>
      <c r="I101" s="1023">
        <v>30</v>
      </c>
      <c r="J101" s="1036"/>
      <c r="K101" s="1038" t="str">
        <f t="shared" si="48"/>
        <v>Included</v>
      </c>
      <c r="L101" s="953">
        <f t="shared" si="49"/>
        <v>0</v>
      </c>
      <c r="M101" s="847">
        <f t="shared" si="50"/>
        <v>0</v>
      </c>
      <c r="N101" s="847">
        <f t="shared" si="51"/>
        <v>0</v>
      </c>
    </row>
    <row r="102" spans="1:14" ht="165.75" customHeight="1">
      <c r="A102" s="952">
        <v>995421</v>
      </c>
      <c r="B102" s="809"/>
      <c r="C102" s="831">
        <v>0.18</v>
      </c>
      <c r="D102" s="828" t="s">
        <v>205</v>
      </c>
      <c r="E102" s="1000">
        <v>86</v>
      </c>
      <c r="F102" s="1001" t="s">
        <v>984</v>
      </c>
      <c r="G102" s="1002" t="s">
        <v>985</v>
      </c>
      <c r="H102" s="995" t="s">
        <v>207</v>
      </c>
      <c r="I102" s="1023">
        <v>135</v>
      </c>
      <c r="J102" s="1036"/>
      <c r="K102" s="1038" t="str">
        <f t="shared" si="48"/>
        <v>Included</v>
      </c>
      <c r="L102" s="953">
        <f t="shared" si="49"/>
        <v>0</v>
      </c>
      <c r="M102" s="847">
        <f t="shared" si="50"/>
        <v>0</v>
      </c>
      <c r="N102" s="847">
        <f t="shared" si="51"/>
        <v>0</v>
      </c>
    </row>
    <row r="103" spans="1:14" ht="102.75" customHeight="1">
      <c r="A103" s="952">
        <v>995474</v>
      </c>
      <c r="B103" s="809"/>
      <c r="C103" s="831">
        <v>0.18</v>
      </c>
      <c r="D103" s="828" t="s">
        <v>205</v>
      </c>
      <c r="E103" s="1000">
        <v>87</v>
      </c>
      <c r="F103" s="1001" t="s">
        <v>215</v>
      </c>
      <c r="G103" s="994" t="s">
        <v>986</v>
      </c>
      <c r="H103" s="995" t="s">
        <v>207</v>
      </c>
      <c r="I103" s="1023">
        <f>24+14</f>
        <v>38</v>
      </c>
      <c r="J103" s="1036"/>
      <c r="K103" s="1038" t="str">
        <f t="shared" si="48"/>
        <v>Included</v>
      </c>
      <c r="L103" s="953">
        <f t="shared" si="49"/>
        <v>0</v>
      </c>
      <c r="M103" s="847">
        <f t="shared" si="50"/>
        <v>0</v>
      </c>
      <c r="N103" s="847">
        <f t="shared" si="51"/>
        <v>0</v>
      </c>
    </row>
    <row r="104" spans="1:14" ht="141.75">
      <c r="A104" s="952">
        <v>995474</v>
      </c>
      <c r="B104" s="809"/>
      <c r="C104" s="831">
        <v>0.18</v>
      </c>
      <c r="D104" s="828" t="s">
        <v>205</v>
      </c>
      <c r="E104" s="1000">
        <v>88</v>
      </c>
      <c r="F104" s="1001" t="s">
        <v>526</v>
      </c>
      <c r="G104" s="1002" t="s">
        <v>987</v>
      </c>
      <c r="H104" s="995" t="s">
        <v>207</v>
      </c>
      <c r="I104" s="1023">
        <v>22</v>
      </c>
      <c r="J104" s="1036"/>
      <c r="K104" s="1038" t="str">
        <f t="shared" si="44"/>
        <v>Included</v>
      </c>
      <c r="L104" s="953">
        <f t="shared" si="45"/>
        <v>0</v>
      </c>
      <c r="M104" s="847">
        <f t="shared" si="46"/>
        <v>0</v>
      </c>
      <c r="N104" s="847">
        <f t="shared" si="47"/>
        <v>0</v>
      </c>
    </row>
    <row r="105" spans="1:14" ht="47.25">
      <c r="A105" s="952">
        <v>995453</v>
      </c>
      <c r="B105" s="809"/>
      <c r="C105" s="831">
        <v>0.18</v>
      </c>
      <c r="D105" s="828" t="s">
        <v>205</v>
      </c>
      <c r="E105" s="1000">
        <v>89</v>
      </c>
      <c r="F105" s="1001" t="s">
        <v>988</v>
      </c>
      <c r="G105" s="1002" t="s">
        <v>989</v>
      </c>
      <c r="H105" s="995" t="s">
        <v>520</v>
      </c>
      <c r="I105" s="1023">
        <v>13</v>
      </c>
      <c r="J105" s="1036"/>
      <c r="K105" s="1038" t="str">
        <f>IF(J105=0, "Included", IF(ISERROR(I105*J105), J105, I105*J105))</f>
        <v>Included</v>
      </c>
      <c r="L105" s="953">
        <f>N105</f>
        <v>0</v>
      </c>
      <c r="M105" s="847">
        <f>IF(K105="Included",0,K105)</f>
        <v>0</v>
      </c>
      <c r="N105" s="847">
        <f>IF(C105="confirmed",(M105*B105),(M105*C105))</f>
        <v>0</v>
      </c>
    </row>
    <row r="106" spans="1:14" ht="78.75">
      <c r="A106" s="952">
        <v>995453</v>
      </c>
      <c r="B106" s="809"/>
      <c r="C106" s="831">
        <v>0.18</v>
      </c>
      <c r="D106" s="828" t="s">
        <v>205</v>
      </c>
      <c r="E106" s="1000">
        <v>90</v>
      </c>
      <c r="F106" s="1001">
        <v>12.22</v>
      </c>
      <c r="G106" s="1002" t="s">
        <v>990</v>
      </c>
      <c r="H106" s="995" t="s">
        <v>224</v>
      </c>
      <c r="I106" s="1023">
        <v>80</v>
      </c>
      <c r="J106" s="1036"/>
      <c r="K106" s="1038" t="str">
        <f t="shared" ref="K106:K107" si="52">IF(J106=0, "Included", IF(ISERROR(I106*J106), J106, I106*J106))</f>
        <v>Included</v>
      </c>
      <c r="L106" s="953">
        <f t="shared" ref="L106:L107" si="53">N106</f>
        <v>0</v>
      </c>
      <c r="M106" s="847">
        <f t="shared" ref="M106:M107" si="54">IF(K106="Included",0,K106)</f>
        <v>0</v>
      </c>
      <c r="N106" s="847">
        <f t="shared" ref="N106:N107" si="55">IF(C106="confirmed",(M106*B106),(M106*C106))</f>
        <v>0</v>
      </c>
    </row>
    <row r="107" spans="1:14" ht="78.75">
      <c r="A107" s="952">
        <v>995416</v>
      </c>
      <c r="B107" s="809"/>
      <c r="C107" s="831">
        <v>0.18</v>
      </c>
      <c r="D107" s="828" t="s">
        <v>205</v>
      </c>
      <c r="E107" s="1000">
        <v>91</v>
      </c>
      <c r="F107" s="1001" t="s">
        <v>303</v>
      </c>
      <c r="G107" s="994" t="s">
        <v>991</v>
      </c>
      <c r="H107" s="995" t="s">
        <v>246</v>
      </c>
      <c r="I107" s="1023">
        <v>29</v>
      </c>
      <c r="J107" s="1036"/>
      <c r="K107" s="1038" t="str">
        <f t="shared" si="52"/>
        <v>Included</v>
      </c>
      <c r="L107" s="953">
        <f t="shared" si="53"/>
        <v>0</v>
      </c>
      <c r="M107" s="847">
        <f t="shared" si="54"/>
        <v>0</v>
      </c>
      <c r="N107" s="847">
        <f t="shared" si="55"/>
        <v>0</v>
      </c>
    </row>
    <row r="108" spans="1:14" ht="57" customHeight="1">
      <c r="A108" s="952"/>
      <c r="B108" s="809"/>
      <c r="C108" s="831"/>
      <c r="D108" s="828"/>
      <c r="E108" s="1000">
        <v>92</v>
      </c>
      <c r="F108" s="1001">
        <v>12.42</v>
      </c>
      <c r="G108" s="994" t="s">
        <v>992</v>
      </c>
      <c r="H108" s="995"/>
      <c r="I108" s="1023"/>
      <c r="J108" s="1036"/>
      <c r="K108" s="1038"/>
      <c r="L108" s="953"/>
      <c r="M108" s="847">
        <f>IF(K108="Included",0,K108)</f>
        <v>0</v>
      </c>
      <c r="N108" s="847">
        <f>IF(C108="confirmed",(M108*B108),(M108*C108))</f>
        <v>0</v>
      </c>
    </row>
    <row r="109" spans="1:14">
      <c r="A109" s="952">
        <v>995453</v>
      </c>
      <c r="B109" s="809"/>
      <c r="C109" s="831">
        <v>0.18</v>
      </c>
      <c r="D109" s="828" t="s">
        <v>205</v>
      </c>
      <c r="E109" s="1000" t="s">
        <v>924</v>
      </c>
      <c r="F109" s="1001" t="s">
        <v>993</v>
      </c>
      <c r="G109" s="1002" t="s">
        <v>994</v>
      </c>
      <c r="H109" s="995" t="s">
        <v>224</v>
      </c>
      <c r="I109" s="1023">
        <v>1</v>
      </c>
      <c r="J109" s="1036"/>
      <c r="K109" s="1038" t="str">
        <f t="shared" ref="K109:K110" si="56">IF(J109=0, "Included", IF(ISERROR(I109*J109), J109, I109*J109))</f>
        <v>Included</v>
      </c>
      <c r="L109" s="953">
        <f t="shared" ref="L109:L110" si="57">N109</f>
        <v>0</v>
      </c>
      <c r="M109" s="847">
        <f t="shared" ref="M109:M110" si="58">IF(K109="Included",0,K109)</f>
        <v>0</v>
      </c>
      <c r="N109" s="847">
        <f t="shared" ref="N109:N110" si="59">IF(C109="confirmed",(M109*B109),(M109*C109))</f>
        <v>0</v>
      </c>
    </row>
    <row r="110" spans="1:14">
      <c r="A110" s="952">
        <v>995453</v>
      </c>
      <c r="B110" s="809"/>
      <c r="C110" s="831">
        <v>0.18</v>
      </c>
      <c r="D110" s="828" t="s">
        <v>205</v>
      </c>
      <c r="E110" s="1000" t="s">
        <v>927</v>
      </c>
      <c r="F110" s="1001" t="s">
        <v>995</v>
      </c>
      <c r="G110" s="1002" t="s">
        <v>996</v>
      </c>
      <c r="H110" s="995" t="s">
        <v>224</v>
      </c>
      <c r="I110" s="1023">
        <v>3</v>
      </c>
      <c r="J110" s="1036"/>
      <c r="K110" s="1038" t="str">
        <f t="shared" si="56"/>
        <v>Included</v>
      </c>
      <c r="L110" s="953">
        <f t="shared" si="57"/>
        <v>0</v>
      </c>
      <c r="M110" s="847">
        <f t="shared" si="58"/>
        <v>0</v>
      </c>
      <c r="N110" s="847">
        <f t="shared" si="59"/>
        <v>0</v>
      </c>
    </row>
    <row r="111" spans="1:14">
      <c r="A111" s="952">
        <v>995453</v>
      </c>
      <c r="B111" s="809"/>
      <c r="C111" s="831">
        <v>0.18</v>
      </c>
      <c r="D111" s="828" t="s">
        <v>205</v>
      </c>
      <c r="E111" s="1000" t="s">
        <v>997</v>
      </c>
      <c r="F111" s="1001" t="s">
        <v>998</v>
      </c>
      <c r="G111" s="1002" t="s">
        <v>999</v>
      </c>
      <c r="H111" s="995" t="s">
        <v>224</v>
      </c>
      <c r="I111" s="1023">
        <v>2</v>
      </c>
      <c r="J111" s="1036"/>
      <c r="K111" s="1038" t="str">
        <f>IF(J111=0, "Included", IF(ISERROR(I111*J111), J111, I111*J111))</f>
        <v>Included</v>
      </c>
      <c r="L111" s="953">
        <f>N111</f>
        <v>0</v>
      </c>
      <c r="M111" s="847">
        <f>IF(K111="Included",0,K111)</f>
        <v>0</v>
      </c>
      <c r="N111" s="847">
        <f>IF(C111="confirmed",(M111*B111),(M111*C111))</f>
        <v>0</v>
      </c>
    </row>
    <row r="112" spans="1:14">
      <c r="A112" s="952">
        <v>995453</v>
      </c>
      <c r="B112" s="809"/>
      <c r="C112" s="831">
        <v>0.18</v>
      </c>
      <c r="D112" s="828" t="s">
        <v>205</v>
      </c>
      <c r="E112" s="1000" t="s">
        <v>1000</v>
      </c>
      <c r="F112" s="1001" t="s">
        <v>1001</v>
      </c>
      <c r="G112" s="1002" t="s">
        <v>1002</v>
      </c>
      <c r="H112" s="995" t="s">
        <v>224</v>
      </c>
      <c r="I112" s="1023">
        <f>3+2</f>
        <v>5</v>
      </c>
      <c r="J112" s="1036"/>
      <c r="K112" s="1038" t="str">
        <f>IF(J112=0, "Included", IF(ISERROR(I112*J112), J112, I112*J112))</f>
        <v>Included</v>
      </c>
      <c r="L112" s="953">
        <f>N112</f>
        <v>0</v>
      </c>
      <c r="M112" s="847">
        <f t="shared" ref="M112:M113" si="60">IF(K112="Included",0,K112)</f>
        <v>0</v>
      </c>
      <c r="N112" s="847">
        <f t="shared" ref="N112:N113" si="61">IF(C112="confirmed",(M112*B112),(M112*C112))</f>
        <v>0</v>
      </c>
    </row>
    <row r="113" spans="1:14">
      <c r="A113" s="952">
        <v>995453</v>
      </c>
      <c r="B113" s="809"/>
      <c r="C113" s="831">
        <v>0.18</v>
      </c>
      <c r="D113" s="828" t="s">
        <v>205</v>
      </c>
      <c r="E113" s="1000" t="s">
        <v>1003</v>
      </c>
      <c r="F113" s="1001" t="s">
        <v>305</v>
      </c>
      <c r="G113" s="1002" t="s">
        <v>1004</v>
      </c>
      <c r="H113" s="995" t="s">
        <v>224</v>
      </c>
      <c r="I113" s="1023">
        <f>3+6</f>
        <v>9</v>
      </c>
      <c r="J113" s="1036"/>
      <c r="K113" s="1038" t="str">
        <f t="shared" ref="K113" si="62">IF(J113=0, "Included", IF(ISERROR(I113*J113), J113, I113*J113))</f>
        <v>Included</v>
      </c>
      <c r="L113" s="953">
        <f t="shared" ref="L113" si="63">N113</f>
        <v>0</v>
      </c>
      <c r="M113" s="847">
        <f t="shared" si="60"/>
        <v>0</v>
      </c>
      <c r="N113" s="847">
        <f t="shared" si="61"/>
        <v>0</v>
      </c>
    </row>
    <row r="114" spans="1:14" ht="78.75">
      <c r="A114" s="952">
        <v>995453</v>
      </c>
      <c r="B114" s="809"/>
      <c r="C114" s="831">
        <v>0.18</v>
      </c>
      <c r="D114" s="828" t="s">
        <v>205</v>
      </c>
      <c r="E114" s="1000">
        <v>93</v>
      </c>
      <c r="F114" s="1001" t="s">
        <v>307</v>
      </c>
      <c r="G114" s="1002" t="s">
        <v>1005</v>
      </c>
      <c r="H114" s="995" t="s">
        <v>224</v>
      </c>
      <c r="I114" s="1023">
        <f>27+2</f>
        <v>29</v>
      </c>
      <c r="J114" s="1036"/>
      <c r="K114" s="1038" t="str">
        <f>IF(J114=0, "Included", IF(ISERROR(I114*J114), J114, I114*J114))</f>
        <v>Included</v>
      </c>
      <c r="L114" s="953">
        <f>N114</f>
        <v>0</v>
      </c>
      <c r="M114" s="847">
        <f>IF(K114="Included",0,K114)</f>
        <v>0</v>
      </c>
      <c r="N114" s="847">
        <f>IF(C114="confirmed",(M114*B114),(M114*C114))</f>
        <v>0</v>
      </c>
    </row>
    <row r="115" spans="1:14" ht="31.5">
      <c r="A115" s="952">
        <v>995453</v>
      </c>
      <c r="B115" s="809"/>
      <c r="C115" s="831">
        <v>0.18</v>
      </c>
      <c r="D115" s="828" t="s">
        <v>205</v>
      </c>
      <c r="E115" s="1000">
        <v>94</v>
      </c>
      <c r="F115" s="1001">
        <v>12.44</v>
      </c>
      <c r="G115" s="1002" t="s">
        <v>1006</v>
      </c>
      <c r="H115" s="995" t="s">
        <v>224</v>
      </c>
      <c r="I115" s="1023">
        <v>20</v>
      </c>
      <c r="J115" s="1036"/>
      <c r="K115" s="1038" t="str">
        <f t="shared" ref="K115:K116" si="64">IF(J115=0, "Included", IF(ISERROR(I115*J115), J115, I115*J115))</f>
        <v>Included</v>
      </c>
      <c r="L115" s="953">
        <f t="shared" ref="L115:L116" si="65">N115</f>
        <v>0</v>
      </c>
      <c r="M115" s="847">
        <f t="shared" ref="M115:M116" si="66">IF(K115="Included",0,K115)</f>
        <v>0</v>
      </c>
      <c r="N115" s="847">
        <f t="shared" ref="N115:N116" si="67">IF(C115="confirmed",(M115*B115),(M115*C115))</f>
        <v>0</v>
      </c>
    </row>
    <row r="116" spans="1:14" ht="173.25">
      <c r="A116" s="952">
        <v>995453</v>
      </c>
      <c r="B116" s="809"/>
      <c r="C116" s="831">
        <v>0.18</v>
      </c>
      <c r="D116" s="828" t="s">
        <v>205</v>
      </c>
      <c r="E116" s="1000">
        <v>95</v>
      </c>
      <c r="F116" s="1008">
        <v>12.5</v>
      </c>
      <c r="G116" s="1002" t="s">
        <v>1007</v>
      </c>
      <c r="H116" s="995" t="s">
        <v>207</v>
      </c>
      <c r="I116" s="1023">
        <v>2</v>
      </c>
      <c r="J116" s="1036"/>
      <c r="K116" s="1038" t="str">
        <f t="shared" si="64"/>
        <v>Included</v>
      </c>
      <c r="L116" s="953">
        <f t="shared" si="65"/>
        <v>0</v>
      </c>
      <c r="M116" s="847">
        <f t="shared" si="66"/>
        <v>0</v>
      </c>
      <c r="N116" s="847">
        <f t="shared" si="67"/>
        <v>0</v>
      </c>
    </row>
    <row r="117" spans="1:14" ht="110.25">
      <c r="A117" s="952">
        <v>995453</v>
      </c>
      <c r="B117" s="809"/>
      <c r="C117" s="831">
        <v>0.18</v>
      </c>
      <c r="D117" s="828" t="s">
        <v>205</v>
      </c>
      <c r="E117" s="458">
        <v>96</v>
      </c>
      <c r="F117" s="1003">
        <v>12.55</v>
      </c>
      <c r="G117" s="1009" t="s">
        <v>1008</v>
      </c>
      <c r="H117" s="995" t="s">
        <v>207</v>
      </c>
      <c r="I117" s="1023">
        <v>40</v>
      </c>
      <c r="J117" s="1036"/>
      <c r="K117" s="1038" t="str">
        <f>IF(J117=0, "Included", IF(ISERROR(I117*J117), J117, I117*J117))</f>
        <v>Included</v>
      </c>
      <c r="L117" s="953">
        <f>N117</f>
        <v>0</v>
      </c>
      <c r="M117" s="847">
        <f>IF(K117="Included",0,K117)</f>
        <v>0</v>
      </c>
      <c r="N117" s="847">
        <f>IF(C117="confirmed",(M117*B117),(M117*C117))</f>
        <v>0</v>
      </c>
    </row>
    <row r="118" spans="1:14" ht="31.5">
      <c r="A118" s="952">
        <v>995472</v>
      </c>
      <c r="B118" s="809"/>
      <c r="C118" s="831">
        <v>0.18</v>
      </c>
      <c r="D118" s="828" t="s">
        <v>205</v>
      </c>
      <c r="E118" s="1000">
        <v>97</v>
      </c>
      <c r="F118" s="1003" t="s">
        <v>309</v>
      </c>
      <c r="G118" s="1002" t="s">
        <v>1009</v>
      </c>
      <c r="H118" s="995" t="s">
        <v>207</v>
      </c>
      <c r="I118" s="1023">
        <f>508+125</f>
        <v>633</v>
      </c>
      <c r="J118" s="1036"/>
      <c r="K118" s="1038" t="str">
        <f t="shared" ref="K118:K119" si="68">IF(J118=0, "Included", IF(ISERROR(I118*J118), J118, I118*J118))</f>
        <v>Included</v>
      </c>
      <c r="L118" s="953">
        <f t="shared" ref="L118:L119" si="69">N118</f>
        <v>0</v>
      </c>
      <c r="M118" s="847">
        <f t="shared" ref="M118:M119" si="70">IF(K118="Included",0,K118)</f>
        <v>0</v>
      </c>
      <c r="N118" s="847">
        <f t="shared" ref="N118:N119" si="71">IF(C118="confirmed",(M118*B118),(M118*C118))</f>
        <v>0</v>
      </c>
    </row>
    <row r="119" spans="1:14" ht="31.5">
      <c r="A119" s="952">
        <v>995472</v>
      </c>
      <c r="B119" s="809"/>
      <c r="C119" s="831">
        <v>0.18</v>
      </c>
      <c r="D119" s="828" t="s">
        <v>205</v>
      </c>
      <c r="E119" s="1000">
        <v>98</v>
      </c>
      <c r="F119" s="1003" t="s">
        <v>1010</v>
      </c>
      <c r="G119" s="1002" t="s">
        <v>1011</v>
      </c>
      <c r="H119" s="995" t="s">
        <v>207</v>
      </c>
      <c r="I119" s="1023">
        <f>196+215</f>
        <v>411</v>
      </c>
      <c r="J119" s="1036"/>
      <c r="K119" s="1038" t="str">
        <f t="shared" si="68"/>
        <v>Included</v>
      </c>
      <c r="L119" s="953">
        <f t="shared" si="69"/>
        <v>0</v>
      </c>
      <c r="M119" s="847">
        <f t="shared" si="70"/>
        <v>0</v>
      </c>
      <c r="N119" s="847">
        <f t="shared" si="71"/>
        <v>0</v>
      </c>
    </row>
    <row r="120" spans="1:14" ht="47.25">
      <c r="A120" s="952">
        <v>995472</v>
      </c>
      <c r="B120" s="809"/>
      <c r="C120" s="831">
        <v>0.18</v>
      </c>
      <c r="D120" s="828" t="s">
        <v>205</v>
      </c>
      <c r="E120" s="1000">
        <v>99</v>
      </c>
      <c r="F120" s="1001" t="s">
        <v>1012</v>
      </c>
      <c r="G120" s="1003" t="s">
        <v>1013</v>
      </c>
      <c r="H120" s="995" t="s">
        <v>514</v>
      </c>
      <c r="I120" s="1023">
        <v>32</v>
      </c>
      <c r="J120" s="1037"/>
      <c r="K120" s="1038" t="str">
        <f t="shared" ref="K120" si="72">IF(J120=0, "Included", IF(ISERROR(I120*J120), J120, I120*J120))</f>
        <v>Included</v>
      </c>
      <c r="L120" s="953">
        <f t="shared" ref="L120" si="73">N120</f>
        <v>0</v>
      </c>
      <c r="M120" s="847">
        <f>IF(K120="Included",0,K120)</f>
        <v>0</v>
      </c>
      <c r="N120" s="847">
        <f>IF(C120="confirmed",(M120*B120),(M120*C120))</f>
        <v>0</v>
      </c>
    </row>
    <row r="121" spans="1:14" ht="47.25">
      <c r="A121" s="952">
        <v>995472</v>
      </c>
      <c r="B121" s="809"/>
      <c r="C121" s="831">
        <v>0.18</v>
      </c>
      <c r="D121" s="828" t="s">
        <v>205</v>
      </c>
      <c r="E121" s="1000">
        <v>100</v>
      </c>
      <c r="F121" s="1003">
        <v>13.11</v>
      </c>
      <c r="G121" s="1002" t="s">
        <v>1014</v>
      </c>
      <c r="H121" s="995" t="s">
        <v>207</v>
      </c>
      <c r="I121" s="1023">
        <f>593+195</f>
        <v>788</v>
      </c>
      <c r="J121" s="1036"/>
      <c r="K121" s="1038" t="str">
        <f t="shared" ref="K121:K122" si="74">IF(J121=0, "Included", IF(ISERROR(I121*J121), J121, I121*J121))</f>
        <v>Included</v>
      </c>
      <c r="L121" s="953">
        <f t="shared" ref="L121:L122" si="75">N121</f>
        <v>0</v>
      </c>
      <c r="M121" s="847">
        <f t="shared" ref="M121:M122" si="76">IF(K121="Included",0,K121)</f>
        <v>0</v>
      </c>
      <c r="N121" s="847">
        <f t="shared" ref="N121:N122" si="77">IF(C121="confirmed",(M121*B121),(M121*C121))</f>
        <v>0</v>
      </c>
    </row>
    <row r="122" spans="1:14" ht="27.75" customHeight="1">
      <c r="A122" s="952">
        <v>995472</v>
      </c>
      <c r="B122" s="809"/>
      <c r="C122" s="831">
        <v>0.18</v>
      </c>
      <c r="D122" s="828" t="s">
        <v>205</v>
      </c>
      <c r="E122" s="1000">
        <v>101</v>
      </c>
      <c r="F122" s="1002" t="s">
        <v>527</v>
      </c>
      <c r="G122" s="1002" t="s">
        <v>1015</v>
      </c>
      <c r="H122" s="995" t="s">
        <v>207</v>
      </c>
      <c r="I122" s="1023">
        <f>137+425</f>
        <v>562</v>
      </c>
      <c r="J122" s="1036"/>
      <c r="K122" s="1038" t="str">
        <f t="shared" si="74"/>
        <v>Included</v>
      </c>
      <c r="L122" s="953">
        <f t="shared" si="75"/>
        <v>0</v>
      </c>
      <c r="M122" s="847">
        <f t="shared" si="76"/>
        <v>0</v>
      </c>
      <c r="N122" s="847">
        <f t="shared" si="77"/>
        <v>0</v>
      </c>
    </row>
    <row r="123" spans="1:14" ht="47.25">
      <c r="A123" s="952">
        <v>995472</v>
      </c>
      <c r="B123" s="809"/>
      <c r="C123" s="831">
        <v>0.18</v>
      </c>
      <c r="D123" s="828" t="s">
        <v>205</v>
      </c>
      <c r="E123" s="1000">
        <v>102</v>
      </c>
      <c r="F123" s="1002" t="s">
        <v>1016</v>
      </c>
      <c r="G123" s="1002" t="s">
        <v>1017</v>
      </c>
      <c r="H123" s="995" t="s">
        <v>514</v>
      </c>
      <c r="I123" s="1023">
        <v>7</v>
      </c>
      <c r="J123" s="1036"/>
      <c r="K123" s="1038" t="str">
        <f>IF(J123=0, "Included", IF(ISERROR(I123*J123), J123, I123*J123))</f>
        <v>Included</v>
      </c>
      <c r="L123" s="953">
        <f>N123</f>
        <v>0</v>
      </c>
      <c r="M123" s="847">
        <f>IF(K123="Included",0,K123)</f>
        <v>0</v>
      </c>
      <c r="N123" s="847">
        <f>IF(C123="confirmed",(M123*B123),(M123*C123))</f>
        <v>0</v>
      </c>
    </row>
    <row r="124" spans="1:14" ht="31.5">
      <c r="A124" s="952">
        <v>995472</v>
      </c>
      <c r="B124" s="809"/>
      <c r="C124" s="831">
        <v>0.18</v>
      </c>
      <c r="D124" s="828" t="s">
        <v>205</v>
      </c>
      <c r="E124" s="1000">
        <v>103</v>
      </c>
      <c r="F124" s="1002">
        <v>13.26</v>
      </c>
      <c r="G124" s="1002" t="s">
        <v>1018</v>
      </c>
      <c r="H124" s="995" t="s">
        <v>207</v>
      </c>
      <c r="I124" s="1023">
        <v>150</v>
      </c>
      <c r="J124" s="1036"/>
      <c r="K124" s="1038" t="str">
        <f>IF(J124=0, "Included", IF(ISERROR(I124*J124), J124, I124*J124))</f>
        <v>Included</v>
      </c>
      <c r="L124" s="953">
        <f>N124</f>
        <v>0</v>
      </c>
      <c r="M124" s="847">
        <f t="shared" ref="M124:M125" si="78">IF(K124="Included",0,K124)</f>
        <v>0</v>
      </c>
      <c r="N124" s="847">
        <f t="shared" ref="N124:N125" si="79">IF(C124="confirmed",(M124*B124),(M124*C124))</f>
        <v>0</v>
      </c>
    </row>
    <row r="125" spans="1:14" ht="47.25">
      <c r="A125" s="952">
        <v>995473</v>
      </c>
      <c r="B125" s="809"/>
      <c r="C125" s="831">
        <v>0.18</v>
      </c>
      <c r="D125" s="828" t="s">
        <v>205</v>
      </c>
      <c r="E125" s="1000">
        <v>105</v>
      </c>
      <c r="F125" s="1002" t="s">
        <v>1019</v>
      </c>
      <c r="G125" s="1002" t="s">
        <v>1020</v>
      </c>
      <c r="H125" s="995" t="s">
        <v>514</v>
      </c>
      <c r="I125" s="1023">
        <v>593</v>
      </c>
      <c r="J125" s="1036"/>
      <c r="K125" s="1038" t="str">
        <f t="shared" ref="K125" si="80">IF(J125=0, "Included", IF(ISERROR(I125*J125), J125, I125*J125))</f>
        <v>Included</v>
      </c>
      <c r="L125" s="953">
        <f t="shared" ref="L125" si="81">N125</f>
        <v>0</v>
      </c>
      <c r="M125" s="847">
        <f t="shared" si="78"/>
        <v>0</v>
      </c>
      <c r="N125" s="847">
        <f t="shared" si="79"/>
        <v>0</v>
      </c>
    </row>
    <row r="126" spans="1:14" ht="63">
      <c r="A126" s="952">
        <v>995473</v>
      </c>
      <c r="B126" s="809"/>
      <c r="C126" s="831">
        <v>0.18</v>
      </c>
      <c r="D126" s="828" t="s">
        <v>205</v>
      </c>
      <c r="E126" s="1000">
        <v>106</v>
      </c>
      <c r="F126" s="1002" t="s">
        <v>1021</v>
      </c>
      <c r="G126" s="994" t="s">
        <v>1022</v>
      </c>
      <c r="H126" s="995" t="s">
        <v>207</v>
      </c>
      <c r="I126" s="1023">
        <v>500</v>
      </c>
      <c r="J126" s="1036"/>
      <c r="K126" s="1038" t="str">
        <f>IF(J126=0, "Included", IF(ISERROR(I126*J126), J126, I126*J126))</f>
        <v>Included</v>
      </c>
      <c r="L126" s="953">
        <f>N126</f>
        <v>0</v>
      </c>
      <c r="M126" s="847">
        <f>IF(K126="Included",0,K126)</f>
        <v>0</v>
      </c>
      <c r="N126" s="847">
        <f>IF(C126="confirmed",(M126*B126),(M126*C126))</f>
        <v>0</v>
      </c>
    </row>
    <row r="127" spans="1:14" ht="31.5">
      <c r="A127" s="952">
        <v>995473</v>
      </c>
      <c r="B127" s="809"/>
      <c r="C127" s="831">
        <v>0.18</v>
      </c>
      <c r="D127" s="828" t="s">
        <v>205</v>
      </c>
      <c r="E127" s="1000">
        <v>107</v>
      </c>
      <c r="F127" s="1002">
        <v>13.61</v>
      </c>
      <c r="G127" s="1002" t="s">
        <v>1023</v>
      </c>
      <c r="H127" s="995" t="s">
        <v>207</v>
      </c>
      <c r="I127" s="1023">
        <v>425</v>
      </c>
      <c r="J127" s="1036"/>
      <c r="K127" s="1038" t="str">
        <f t="shared" ref="K127:K128" si="82">IF(J127=0, "Included", IF(ISERROR(I127*J127), J127, I127*J127))</f>
        <v>Included</v>
      </c>
      <c r="L127" s="953">
        <f t="shared" ref="L127:L128" si="83">N127</f>
        <v>0</v>
      </c>
      <c r="M127" s="847">
        <f t="shared" ref="M127:M128" si="84">IF(K127="Included",0,K127)</f>
        <v>0</v>
      </c>
      <c r="N127" s="847">
        <f t="shared" ref="N127:N128" si="85">IF(C127="confirmed",(M127*B127),(M127*C127))</f>
        <v>0</v>
      </c>
    </row>
    <row r="128" spans="1:14" ht="78.75">
      <c r="A128" s="952">
        <v>995472</v>
      </c>
      <c r="B128" s="809"/>
      <c r="C128" s="831">
        <v>0.18</v>
      </c>
      <c r="D128" s="828" t="s">
        <v>205</v>
      </c>
      <c r="E128" s="1000">
        <v>108</v>
      </c>
      <c r="F128" s="1002" t="s">
        <v>1024</v>
      </c>
      <c r="G128" s="1002" t="s">
        <v>1025</v>
      </c>
      <c r="H128" s="995" t="s">
        <v>1162</v>
      </c>
      <c r="I128" s="1023">
        <v>75</v>
      </c>
      <c r="J128" s="1036"/>
      <c r="K128" s="1038" t="str">
        <f t="shared" si="82"/>
        <v>Included</v>
      </c>
      <c r="L128" s="953">
        <f t="shared" si="83"/>
        <v>0</v>
      </c>
      <c r="M128" s="847">
        <f t="shared" si="84"/>
        <v>0</v>
      </c>
      <c r="N128" s="847">
        <f t="shared" si="85"/>
        <v>0</v>
      </c>
    </row>
    <row r="129" spans="1:14" ht="47.25">
      <c r="A129" s="952">
        <v>995472</v>
      </c>
      <c r="B129" s="809"/>
      <c r="C129" s="831">
        <v>0.18</v>
      </c>
      <c r="D129" s="828" t="s">
        <v>205</v>
      </c>
      <c r="E129" s="1000">
        <v>109</v>
      </c>
      <c r="F129" s="1002">
        <v>13.8</v>
      </c>
      <c r="G129" s="1002" t="s">
        <v>1026</v>
      </c>
      <c r="H129" s="995" t="s">
        <v>207</v>
      </c>
      <c r="I129" s="1023">
        <f>840+525</f>
        <v>1365</v>
      </c>
      <c r="J129" s="1036"/>
      <c r="K129" s="1038" t="str">
        <f>IF(J129=0, "Included", IF(ISERROR(I129*J129), J129, I129*J129))</f>
        <v>Included</v>
      </c>
      <c r="L129" s="953">
        <f>N129</f>
        <v>0</v>
      </c>
      <c r="M129" s="847">
        <f>IF(K129="Included",0,K129)</f>
        <v>0</v>
      </c>
      <c r="N129" s="847">
        <f>IF(C129="confirmed",(M129*B129),(M129*C129))</f>
        <v>0</v>
      </c>
    </row>
    <row r="130" spans="1:14" ht="63">
      <c r="A130" s="952">
        <v>995473</v>
      </c>
      <c r="B130" s="809"/>
      <c r="C130" s="831">
        <v>0.18</v>
      </c>
      <c r="D130" s="828" t="s">
        <v>205</v>
      </c>
      <c r="E130" s="1000">
        <v>110</v>
      </c>
      <c r="F130" s="1002" t="s">
        <v>1027</v>
      </c>
      <c r="G130" s="1002" t="s">
        <v>1028</v>
      </c>
      <c r="H130" s="995" t="s">
        <v>514</v>
      </c>
      <c r="I130" s="1023">
        <f>840+500</f>
        <v>1340</v>
      </c>
      <c r="J130" s="1036"/>
      <c r="K130" s="1038" t="str">
        <f t="shared" ref="K130:K131" si="86">IF(J130=0, "Included", IF(ISERROR(I130*J130), J130, I130*J130))</f>
        <v>Included</v>
      </c>
      <c r="L130" s="953">
        <f t="shared" ref="L130:L131" si="87">N130</f>
        <v>0</v>
      </c>
      <c r="M130" s="847">
        <f t="shared" ref="M130:M131" si="88">IF(K130="Included",0,K130)</f>
        <v>0</v>
      </c>
      <c r="N130" s="847">
        <f t="shared" ref="N130:N131" si="89">IF(C130="confirmed",(M130*B130),(M130*C130))</f>
        <v>0</v>
      </c>
    </row>
    <row r="131" spans="1:14" ht="63">
      <c r="A131" s="952">
        <v>995473</v>
      </c>
      <c r="B131" s="809"/>
      <c r="C131" s="831">
        <v>0.18</v>
      </c>
      <c r="D131" s="828" t="s">
        <v>205</v>
      </c>
      <c r="E131" s="1000">
        <v>111</v>
      </c>
      <c r="F131" s="1002" t="s">
        <v>528</v>
      </c>
      <c r="G131" s="1002" t="s">
        <v>529</v>
      </c>
      <c r="H131" s="995" t="s">
        <v>207</v>
      </c>
      <c r="I131" s="1023">
        <f>840+500</f>
        <v>1340</v>
      </c>
      <c r="J131" s="1036"/>
      <c r="K131" s="1038" t="str">
        <f t="shared" si="86"/>
        <v>Included</v>
      </c>
      <c r="L131" s="953">
        <f t="shared" si="87"/>
        <v>0</v>
      </c>
      <c r="M131" s="847">
        <f t="shared" si="88"/>
        <v>0</v>
      </c>
      <c r="N131" s="847">
        <f t="shared" si="89"/>
        <v>0</v>
      </c>
    </row>
    <row r="132" spans="1:14" ht="63">
      <c r="A132" s="952">
        <v>995473</v>
      </c>
      <c r="B132" s="809"/>
      <c r="C132" s="831">
        <v>0.18</v>
      </c>
      <c r="D132" s="828" t="s">
        <v>205</v>
      </c>
      <c r="E132" s="1000">
        <v>112</v>
      </c>
      <c r="F132" s="1002" t="s">
        <v>1029</v>
      </c>
      <c r="G132" s="1002" t="s">
        <v>1030</v>
      </c>
      <c r="H132" s="995" t="s">
        <v>207</v>
      </c>
      <c r="I132" s="1023">
        <v>35</v>
      </c>
      <c r="J132" s="1036"/>
      <c r="K132" s="1038" t="str">
        <f>IF(J132=0, "Included", IF(ISERROR(I132*J132), J132, I132*J132))</f>
        <v>Included</v>
      </c>
      <c r="L132" s="953">
        <f>N132</f>
        <v>0</v>
      </c>
      <c r="M132" s="847">
        <f>IF(K132="Included",0,K132)</f>
        <v>0</v>
      </c>
      <c r="N132" s="847">
        <f>IF(C132="confirmed",(M132*B132),(M132*C132))</f>
        <v>0</v>
      </c>
    </row>
    <row r="133" spans="1:14" ht="78.75">
      <c r="A133" s="952">
        <v>995421</v>
      </c>
      <c r="B133" s="809"/>
      <c r="C133" s="831">
        <v>0.18</v>
      </c>
      <c r="D133" s="828" t="s">
        <v>205</v>
      </c>
      <c r="E133" s="1000">
        <v>113</v>
      </c>
      <c r="F133" s="1002">
        <v>16.68</v>
      </c>
      <c r="G133" s="1002" t="s">
        <v>1031</v>
      </c>
      <c r="H133" s="995" t="s">
        <v>207</v>
      </c>
      <c r="I133" s="1023">
        <v>18</v>
      </c>
      <c r="J133" s="1036"/>
      <c r="K133" s="1038" t="str">
        <f t="shared" ref="K133:K134" si="90">IF(J133=0, "Included", IF(ISERROR(I133*J133), J133, I133*J133))</f>
        <v>Included</v>
      </c>
      <c r="L133" s="953">
        <f t="shared" ref="L133:L134" si="91">N133</f>
        <v>0</v>
      </c>
      <c r="M133" s="847">
        <f t="shared" ref="M133:M134" si="92">IF(K133="Included",0,K133)</f>
        <v>0</v>
      </c>
      <c r="N133" s="847">
        <f t="shared" ref="N133:N134" si="93">IF(C133="confirmed",(M133*B133),(M133*C133))</f>
        <v>0</v>
      </c>
    </row>
    <row r="134" spans="1:14" ht="110.25">
      <c r="A134" s="952">
        <v>995421</v>
      </c>
      <c r="B134" s="809"/>
      <c r="C134" s="831">
        <v>0.18</v>
      </c>
      <c r="D134" s="828" t="s">
        <v>205</v>
      </c>
      <c r="E134" s="1000">
        <v>114</v>
      </c>
      <c r="F134" s="1002">
        <v>16.690000000000001</v>
      </c>
      <c r="G134" s="1002" t="s">
        <v>1032</v>
      </c>
      <c r="H134" s="995" t="s">
        <v>251</v>
      </c>
      <c r="I134" s="1023">
        <v>15</v>
      </c>
      <c r="J134" s="1036"/>
      <c r="K134" s="1038" t="str">
        <f t="shared" si="90"/>
        <v>Included</v>
      </c>
      <c r="L134" s="953">
        <f t="shared" si="91"/>
        <v>0</v>
      </c>
      <c r="M134" s="847">
        <f t="shared" si="92"/>
        <v>0</v>
      </c>
      <c r="N134" s="847">
        <f t="shared" si="93"/>
        <v>0</v>
      </c>
    </row>
    <row r="135" spans="1:14" ht="110.25">
      <c r="A135" s="952">
        <v>995478</v>
      </c>
      <c r="B135" s="809"/>
      <c r="C135" s="831">
        <v>0.18</v>
      </c>
      <c r="D135" s="828" t="s">
        <v>205</v>
      </c>
      <c r="E135" s="1000">
        <v>115</v>
      </c>
      <c r="F135" s="1001" t="s">
        <v>1033</v>
      </c>
      <c r="G135" s="994" t="s">
        <v>1034</v>
      </c>
      <c r="H135" s="995" t="s">
        <v>224</v>
      </c>
      <c r="I135" s="1023">
        <v>4</v>
      </c>
      <c r="J135" s="1036"/>
      <c r="K135" s="1038" t="str">
        <f>IF(J135=0, "Included", IF(ISERROR(I135*J135), J135, I135*J135))</f>
        <v>Included</v>
      </c>
      <c r="L135" s="953">
        <f>N135</f>
        <v>0</v>
      </c>
      <c r="M135" s="847">
        <f>IF(K135="Included",0,K135)</f>
        <v>0</v>
      </c>
      <c r="N135" s="847">
        <f>IF(C135="confirmed",(M135*B135),(M135*C135))</f>
        <v>0</v>
      </c>
    </row>
    <row r="136" spans="1:14" ht="63">
      <c r="A136" s="952">
        <v>995478</v>
      </c>
      <c r="B136" s="809"/>
      <c r="C136" s="831">
        <v>0.18</v>
      </c>
      <c r="D136" s="828" t="s">
        <v>205</v>
      </c>
      <c r="E136" s="1000">
        <v>116</v>
      </c>
      <c r="F136" s="1010" t="s">
        <v>389</v>
      </c>
      <c r="G136" s="998" t="s">
        <v>1035</v>
      </c>
      <c r="H136" s="995" t="s">
        <v>468</v>
      </c>
      <c r="I136" s="1023">
        <v>6</v>
      </c>
      <c r="J136" s="1036"/>
      <c r="K136" s="1038" t="str">
        <f t="shared" ref="K136:K137" si="94">IF(J136=0, "Included", IF(ISERROR(I136*J136), J136, I136*J136))</f>
        <v>Included</v>
      </c>
      <c r="L136" s="953">
        <f t="shared" ref="L136:L137" si="95">N136</f>
        <v>0</v>
      </c>
      <c r="M136" s="847">
        <f t="shared" ref="M136:M137" si="96">IF(K136="Included",0,K136)</f>
        <v>0</v>
      </c>
      <c r="N136" s="847">
        <f t="shared" ref="N136:N137" si="97">IF(C136="confirmed",(M136*B136),(M136*C136))</f>
        <v>0</v>
      </c>
    </row>
    <row r="137" spans="1:14" ht="78.75">
      <c r="A137" s="952">
        <v>995478</v>
      </c>
      <c r="B137" s="809"/>
      <c r="C137" s="831">
        <v>0.18</v>
      </c>
      <c r="D137" s="828" t="s">
        <v>205</v>
      </c>
      <c r="E137" s="1000">
        <v>117</v>
      </c>
      <c r="F137" s="1005" t="s">
        <v>1036</v>
      </c>
      <c r="G137" s="998" t="s">
        <v>1037</v>
      </c>
      <c r="H137" s="995" t="s">
        <v>468</v>
      </c>
      <c r="I137" s="1023">
        <v>4</v>
      </c>
      <c r="J137" s="1036"/>
      <c r="K137" s="1038" t="str">
        <f t="shared" si="94"/>
        <v>Included</v>
      </c>
      <c r="L137" s="953">
        <f t="shared" si="95"/>
        <v>0</v>
      </c>
      <c r="M137" s="847">
        <f t="shared" si="96"/>
        <v>0</v>
      </c>
      <c r="N137" s="847">
        <f t="shared" si="97"/>
        <v>0</v>
      </c>
    </row>
    <row r="138" spans="1:14" ht="63">
      <c r="A138" s="952">
        <v>995478</v>
      </c>
      <c r="B138" s="809"/>
      <c r="C138" s="831">
        <v>0.18</v>
      </c>
      <c r="D138" s="828" t="s">
        <v>205</v>
      </c>
      <c r="E138" s="1000">
        <v>118</v>
      </c>
      <c r="F138" s="1001" t="s">
        <v>1038</v>
      </c>
      <c r="G138" s="994" t="s">
        <v>1039</v>
      </c>
      <c r="H138" s="995" t="s">
        <v>224</v>
      </c>
      <c r="I138" s="1023">
        <v>4</v>
      </c>
      <c r="J138" s="1036"/>
      <c r="K138" s="1038" t="str">
        <f>IF(J138=0, "Included", IF(ISERROR(I138*J138), J138, I138*J138))</f>
        <v>Included</v>
      </c>
      <c r="L138" s="953">
        <f>N138</f>
        <v>0</v>
      </c>
      <c r="M138" s="847">
        <f>IF(K138="Included",0,K138)</f>
        <v>0</v>
      </c>
      <c r="N138" s="847">
        <f>IF(C138="confirmed",(M138*B138),(M138*C138))</f>
        <v>0</v>
      </c>
    </row>
    <row r="139" spans="1:14" ht="31.5" customHeight="1">
      <c r="A139" s="952">
        <v>995478</v>
      </c>
      <c r="B139" s="809"/>
      <c r="C139" s="831">
        <v>0.18</v>
      </c>
      <c r="D139" s="828" t="s">
        <v>205</v>
      </c>
      <c r="E139" s="1000">
        <v>119</v>
      </c>
      <c r="F139" s="1001">
        <v>17.22</v>
      </c>
      <c r="G139" s="998" t="s">
        <v>1040</v>
      </c>
      <c r="H139" s="995" t="s">
        <v>468</v>
      </c>
      <c r="I139" s="1023">
        <v>4</v>
      </c>
      <c r="J139" s="1036"/>
      <c r="K139" s="1038" t="str">
        <f t="shared" ref="K139:K140" si="98">IF(J139=0, "Included", IF(ISERROR(I139*J139), J139, I139*J139))</f>
        <v>Included</v>
      </c>
      <c r="L139" s="953">
        <f t="shared" ref="L139:L140" si="99">N139</f>
        <v>0</v>
      </c>
      <c r="M139" s="847">
        <f t="shared" ref="M139:M140" si="100">IF(K139="Included",0,K139)</f>
        <v>0</v>
      </c>
      <c r="N139" s="847">
        <f t="shared" ref="N139:N140" si="101">IF(C139="confirmed",(M139*B139),(M139*C139))</f>
        <v>0</v>
      </c>
    </row>
    <row r="140" spans="1:14" ht="31.5">
      <c r="A140" s="952">
        <v>995478</v>
      </c>
      <c r="B140" s="809"/>
      <c r="C140" s="831">
        <v>0.18</v>
      </c>
      <c r="D140" s="828" t="s">
        <v>205</v>
      </c>
      <c r="E140" s="1000">
        <v>120</v>
      </c>
      <c r="F140" s="1001" t="s">
        <v>391</v>
      </c>
      <c r="G140" s="994" t="s">
        <v>392</v>
      </c>
      <c r="H140" s="995" t="s">
        <v>224</v>
      </c>
      <c r="I140" s="1023">
        <v>4</v>
      </c>
      <c r="J140" s="1036"/>
      <c r="K140" s="1038" t="str">
        <f t="shared" si="98"/>
        <v>Included</v>
      </c>
      <c r="L140" s="953">
        <f t="shared" si="99"/>
        <v>0</v>
      </c>
      <c r="M140" s="847">
        <f t="shared" si="100"/>
        <v>0</v>
      </c>
      <c r="N140" s="847">
        <f t="shared" si="101"/>
        <v>0</v>
      </c>
    </row>
    <row r="141" spans="1:14" ht="63">
      <c r="A141" s="952">
        <v>995478</v>
      </c>
      <c r="B141" s="809"/>
      <c r="C141" s="831">
        <v>0.18</v>
      </c>
      <c r="D141" s="828" t="s">
        <v>205</v>
      </c>
      <c r="E141" s="1000">
        <v>121</v>
      </c>
      <c r="F141" s="1001" t="s">
        <v>1041</v>
      </c>
      <c r="G141" s="994" t="s">
        <v>1042</v>
      </c>
      <c r="H141" s="995" t="s">
        <v>224</v>
      </c>
      <c r="I141" s="1023">
        <v>6</v>
      </c>
      <c r="J141" s="1036"/>
      <c r="K141" s="1038" t="str">
        <f>IF(J141=0, "Included", IF(ISERROR(I141*J141), J141, I141*J141))</f>
        <v>Included</v>
      </c>
      <c r="L141" s="953">
        <f>N141</f>
        <v>0</v>
      </c>
      <c r="M141" s="847">
        <f>IF(K141="Included",0,K141)</f>
        <v>0</v>
      </c>
      <c r="N141" s="847">
        <f>IF(C141="confirmed",(M141*B141),(M141*C141))</f>
        <v>0</v>
      </c>
    </row>
    <row r="142" spans="1:14" ht="47.25">
      <c r="A142" s="952">
        <v>995478</v>
      </c>
      <c r="B142" s="809"/>
      <c r="C142" s="831">
        <v>0.18</v>
      </c>
      <c r="D142" s="828" t="s">
        <v>205</v>
      </c>
      <c r="E142" s="1000">
        <v>122</v>
      </c>
      <c r="F142" s="1011" t="s">
        <v>1043</v>
      </c>
      <c r="G142" s="1012" t="s">
        <v>1044</v>
      </c>
      <c r="H142" s="995" t="s">
        <v>468</v>
      </c>
      <c r="I142" s="1023">
        <v>2</v>
      </c>
      <c r="J142" s="1036"/>
      <c r="K142" s="1038" t="str">
        <f t="shared" ref="K142:K143" si="102">IF(J142=0, "Included", IF(ISERROR(I142*J142), J142, I142*J142))</f>
        <v>Included</v>
      </c>
      <c r="L142" s="953">
        <f t="shared" ref="L142:L143" si="103">N142</f>
        <v>0</v>
      </c>
      <c r="M142" s="847">
        <f t="shared" ref="M142:M143" si="104">IF(K142="Included",0,K142)</f>
        <v>0</v>
      </c>
      <c r="N142" s="847">
        <f t="shared" ref="N142:N143" si="105">IF(C142="confirmed",(M142*B142),(M142*C142))</f>
        <v>0</v>
      </c>
    </row>
    <row r="143" spans="1:14" ht="47.25">
      <c r="A143" s="952">
        <v>995478</v>
      </c>
      <c r="B143" s="809"/>
      <c r="C143" s="831">
        <v>0.18</v>
      </c>
      <c r="D143" s="828" t="s">
        <v>205</v>
      </c>
      <c r="E143" s="1000">
        <v>123</v>
      </c>
      <c r="F143" s="1001">
        <v>17.309999999999999</v>
      </c>
      <c r="G143" s="994" t="s">
        <v>1045</v>
      </c>
      <c r="H143" s="995" t="s">
        <v>224</v>
      </c>
      <c r="I143" s="1023">
        <v>8</v>
      </c>
      <c r="J143" s="1036"/>
      <c r="K143" s="1038" t="str">
        <f t="shared" si="102"/>
        <v>Included</v>
      </c>
      <c r="L143" s="953">
        <f t="shared" si="103"/>
        <v>0</v>
      </c>
      <c r="M143" s="847">
        <f t="shared" si="104"/>
        <v>0</v>
      </c>
      <c r="N143" s="847">
        <f t="shared" si="105"/>
        <v>0</v>
      </c>
    </row>
    <row r="144" spans="1:14" ht="47.25">
      <c r="A144" s="952">
        <v>995478</v>
      </c>
      <c r="B144" s="809"/>
      <c r="C144" s="831">
        <v>0.18</v>
      </c>
      <c r="D144" s="828" t="s">
        <v>205</v>
      </c>
      <c r="E144" s="1000">
        <v>124</v>
      </c>
      <c r="F144" s="1001">
        <v>17.329999999999998</v>
      </c>
      <c r="G144" s="998" t="s">
        <v>1046</v>
      </c>
      <c r="H144" s="995" t="s">
        <v>468</v>
      </c>
      <c r="I144" s="1023">
        <v>4</v>
      </c>
      <c r="J144" s="1036"/>
      <c r="K144" s="1038" t="str">
        <f>IF(J144=0, "Included", IF(ISERROR(I144*J144), J144, I144*J144))</f>
        <v>Included</v>
      </c>
      <c r="L144" s="953">
        <f>N144</f>
        <v>0</v>
      </c>
      <c r="M144" s="847">
        <f>IF(K144="Included",0,K144)</f>
        <v>0</v>
      </c>
      <c r="N144" s="847">
        <f>IF(C144="confirmed",(M144*B144),(M144*C144))</f>
        <v>0</v>
      </c>
    </row>
    <row r="145" spans="1:14" ht="24.75" customHeight="1">
      <c r="A145" s="952">
        <v>995478</v>
      </c>
      <c r="B145" s="809"/>
      <c r="C145" s="831">
        <v>0.18</v>
      </c>
      <c r="D145" s="828" t="s">
        <v>205</v>
      </c>
      <c r="E145" s="1000">
        <v>125</v>
      </c>
      <c r="F145" s="1011" t="s">
        <v>1047</v>
      </c>
      <c r="G145" s="1012" t="s">
        <v>1048</v>
      </c>
      <c r="H145" s="995" t="s">
        <v>468</v>
      </c>
      <c r="I145" s="1023">
        <v>4</v>
      </c>
      <c r="J145" s="1036"/>
      <c r="K145" s="1038" t="str">
        <f t="shared" ref="K145:K168" si="106">IF(J145=0, "Included", IF(ISERROR(I145*J145), J145, I145*J145))</f>
        <v>Included</v>
      </c>
      <c r="L145" s="953">
        <f t="shared" ref="L145:L168" si="107">N145</f>
        <v>0</v>
      </c>
      <c r="M145" s="847">
        <f t="shared" ref="M145:M207" si="108">IF(K145="Included",0,K145)</f>
        <v>0</v>
      </c>
      <c r="N145" s="847">
        <f t="shared" ref="N145:N207" si="109">IF(C145="confirmed",(M145*B145),(M145*C145))</f>
        <v>0</v>
      </c>
    </row>
    <row r="146" spans="1:14" ht="63">
      <c r="A146" s="952">
        <v>995478</v>
      </c>
      <c r="B146" s="809"/>
      <c r="C146" s="831">
        <v>0.18</v>
      </c>
      <c r="D146" s="828" t="s">
        <v>205</v>
      </c>
      <c r="E146" s="1000">
        <v>126</v>
      </c>
      <c r="F146" s="1005" t="s">
        <v>1049</v>
      </c>
      <c r="G146" s="998" t="s">
        <v>1050</v>
      </c>
      <c r="H146" s="995" t="s">
        <v>468</v>
      </c>
      <c r="I146" s="1023">
        <v>4</v>
      </c>
      <c r="J146" s="1036"/>
      <c r="K146" s="1038" t="str">
        <f t="shared" si="106"/>
        <v>Included</v>
      </c>
      <c r="L146" s="953">
        <f t="shared" si="107"/>
        <v>0</v>
      </c>
      <c r="M146" s="847">
        <f t="shared" si="108"/>
        <v>0</v>
      </c>
      <c r="N146" s="847">
        <f t="shared" si="109"/>
        <v>0</v>
      </c>
    </row>
    <row r="147" spans="1:14" ht="110.25">
      <c r="A147" s="952">
        <v>995478</v>
      </c>
      <c r="B147" s="809"/>
      <c r="C147" s="831">
        <v>0.18</v>
      </c>
      <c r="D147" s="828" t="s">
        <v>205</v>
      </c>
      <c r="E147" s="1000">
        <v>127</v>
      </c>
      <c r="F147" s="1005" t="s">
        <v>1051</v>
      </c>
      <c r="G147" s="998" t="s">
        <v>1052</v>
      </c>
      <c r="H147" s="995" t="s">
        <v>468</v>
      </c>
      <c r="I147" s="1023">
        <v>4</v>
      </c>
      <c r="J147" s="1036"/>
      <c r="K147" s="1038" t="str">
        <f t="shared" si="106"/>
        <v>Included</v>
      </c>
      <c r="L147" s="953">
        <f t="shared" si="107"/>
        <v>0</v>
      </c>
      <c r="M147" s="847">
        <f t="shared" si="108"/>
        <v>0</v>
      </c>
      <c r="N147" s="847">
        <f t="shared" si="109"/>
        <v>0</v>
      </c>
    </row>
    <row r="148" spans="1:14" ht="110.25">
      <c r="A148" s="952"/>
      <c r="B148" s="809"/>
      <c r="C148" s="831"/>
      <c r="D148" s="828"/>
      <c r="E148" s="1000">
        <v>128</v>
      </c>
      <c r="F148" s="1005"/>
      <c r="G148" s="998" t="s">
        <v>1053</v>
      </c>
      <c r="H148" s="995"/>
      <c r="I148" s="1023"/>
      <c r="J148" s="1036"/>
      <c r="K148" s="1038"/>
      <c r="L148" s="953"/>
      <c r="M148" s="847">
        <f t="shared" si="108"/>
        <v>0</v>
      </c>
      <c r="N148" s="847">
        <f t="shared" si="109"/>
        <v>0</v>
      </c>
    </row>
    <row r="149" spans="1:14">
      <c r="A149" s="952">
        <v>995424</v>
      </c>
      <c r="B149" s="809"/>
      <c r="C149" s="831">
        <v>0.18</v>
      </c>
      <c r="D149" s="828" t="s">
        <v>205</v>
      </c>
      <c r="E149" s="1000" t="s">
        <v>924</v>
      </c>
      <c r="F149" s="1005" t="s">
        <v>1054</v>
      </c>
      <c r="G149" s="998" t="s">
        <v>1055</v>
      </c>
      <c r="H149" s="995" t="s">
        <v>520</v>
      </c>
      <c r="I149" s="1023">
        <v>18.54</v>
      </c>
      <c r="J149" s="1036"/>
      <c r="K149" s="1038" t="str">
        <f t="shared" si="106"/>
        <v>Included</v>
      </c>
      <c r="L149" s="953">
        <f t="shared" si="107"/>
        <v>0</v>
      </c>
      <c r="M149" s="847">
        <f t="shared" si="108"/>
        <v>0</v>
      </c>
      <c r="N149" s="847">
        <f t="shared" si="109"/>
        <v>0</v>
      </c>
    </row>
    <row r="150" spans="1:14">
      <c r="A150" s="952">
        <v>995424</v>
      </c>
      <c r="B150" s="809"/>
      <c r="C150" s="831">
        <v>0.18</v>
      </c>
      <c r="D150" s="828" t="s">
        <v>205</v>
      </c>
      <c r="E150" s="1000" t="s">
        <v>927</v>
      </c>
      <c r="F150" s="1005" t="s">
        <v>328</v>
      </c>
      <c r="G150" s="998" t="s">
        <v>1056</v>
      </c>
      <c r="H150" s="995" t="s">
        <v>520</v>
      </c>
      <c r="I150" s="1023">
        <v>70</v>
      </c>
      <c r="J150" s="1036"/>
      <c r="K150" s="1038" t="str">
        <f t="shared" si="106"/>
        <v>Included</v>
      </c>
      <c r="L150" s="953">
        <f t="shared" si="107"/>
        <v>0</v>
      </c>
      <c r="M150" s="847">
        <f t="shared" si="108"/>
        <v>0</v>
      </c>
      <c r="N150" s="847">
        <f t="shared" si="109"/>
        <v>0</v>
      </c>
    </row>
    <row r="151" spans="1:14" ht="94.5">
      <c r="A151" s="952">
        <v>995424</v>
      </c>
      <c r="B151" s="809"/>
      <c r="C151" s="831">
        <v>0.18</v>
      </c>
      <c r="D151" s="828" t="s">
        <v>205</v>
      </c>
      <c r="E151" s="1000">
        <v>129</v>
      </c>
      <c r="F151" s="1005" t="s">
        <v>336</v>
      </c>
      <c r="G151" s="999" t="s">
        <v>1057</v>
      </c>
      <c r="H151" s="995" t="s">
        <v>520</v>
      </c>
      <c r="I151" s="1023">
        <v>20</v>
      </c>
      <c r="J151" s="1036"/>
      <c r="K151" s="1038" t="str">
        <f t="shared" si="106"/>
        <v>Included</v>
      </c>
      <c r="L151" s="953">
        <f t="shared" si="107"/>
        <v>0</v>
      </c>
      <c r="M151" s="847">
        <f t="shared" si="108"/>
        <v>0</v>
      </c>
      <c r="N151" s="847">
        <f t="shared" si="109"/>
        <v>0</v>
      </c>
    </row>
    <row r="152" spans="1:14" ht="31.5">
      <c r="A152" s="952">
        <v>995424</v>
      </c>
      <c r="B152" s="809"/>
      <c r="C152" s="831">
        <v>0.18</v>
      </c>
      <c r="D152" s="828" t="s">
        <v>205</v>
      </c>
      <c r="E152" s="1000">
        <v>130</v>
      </c>
      <c r="F152" s="1005" t="s">
        <v>340</v>
      </c>
      <c r="G152" s="998" t="s">
        <v>1058</v>
      </c>
      <c r="H152" s="995" t="s">
        <v>468</v>
      </c>
      <c r="I152" s="1023">
        <v>8</v>
      </c>
      <c r="J152" s="1036"/>
      <c r="K152" s="1038" t="str">
        <f t="shared" si="106"/>
        <v>Included</v>
      </c>
      <c r="L152" s="953">
        <f t="shared" si="107"/>
        <v>0</v>
      </c>
      <c r="M152" s="847">
        <f t="shared" si="108"/>
        <v>0</v>
      </c>
      <c r="N152" s="847">
        <f t="shared" si="109"/>
        <v>0</v>
      </c>
    </row>
    <row r="153" spans="1:14" ht="47.25">
      <c r="A153" s="952"/>
      <c r="B153" s="809"/>
      <c r="C153" s="831">
        <v>0.18</v>
      </c>
      <c r="D153" s="828" t="s">
        <v>205</v>
      </c>
      <c r="E153" s="1000">
        <v>131</v>
      </c>
      <c r="F153" s="1001">
        <v>18.170000000000002</v>
      </c>
      <c r="G153" s="994" t="s">
        <v>1059</v>
      </c>
      <c r="H153" s="995"/>
      <c r="I153" s="1023"/>
      <c r="J153" s="1036"/>
      <c r="K153" s="1038" t="str">
        <f t="shared" si="106"/>
        <v>Included</v>
      </c>
      <c r="L153" s="953">
        <f t="shared" si="107"/>
        <v>0</v>
      </c>
      <c r="M153" s="847">
        <f t="shared" si="108"/>
        <v>0</v>
      </c>
      <c r="N153" s="847">
        <f t="shared" si="109"/>
        <v>0</v>
      </c>
    </row>
    <row r="154" spans="1:14">
      <c r="A154" s="952">
        <v>995424</v>
      </c>
      <c r="B154" s="809"/>
      <c r="C154" s="831">
        <v>0.18</v>
      </c>
      <c r="D154" s="828" t="s">
        <v>205</v>
      </c>
      <c r="E154" s="1000">
        <v>132</v>
      </c>
      <c r="F154" s="1001" t="s">
        <v>348</v>
      </c>
      <c r="G154" s="994" t="s">
        <v>1060</v>
      </c>
      <c r="H154" s="995" t="s">
        <v>224</v>
      </c>
      <c r="I154" s="1023">
        <v>1</v>
      </c>
      <c r="J154" s="1036"/>
      <c r="K154" s="1038" t="str">
        <f t="shared" si="106"/>
        <v>Included</v>
      </c>
      <c r="L154" s="953">
        <f t="shared" si="107"/>
        <v>0</v>
      </c>
      <c r="M154" s="847">
        <f t="shared" si="108"/>
        <v>0</v>
      </c>
      <c r="N154" s="847">
        <f t="shared" si="109"/>
        <v>0</v>
      </c>
    </row>
    <row r="155" spans="1:14">
      <c r="A155" s="952">
        <v>995424</v>
      </c>
      <c r="B155" s="809"/>
      <c r="C155" s="831">
        <v>0.18</v>
      </c>
      <c r="D155" s="828" t="s">
        <v>205</v>
      </c>
      <c r="E155" s="1000">
        <v>133</v>
      </c>
      <c r="F155" s="1001" t="s">
        <v>1061</v>
      </c>
      <c r="G155" s="994" t="s">
        <v>1062</v>
      </c>
      <c r="H155" s="995" t="s">
        <v>224</v>
      </c>
      <c r="I155" s="1023">
        <v>2</v>
      </c>
      <c r="J155" s="1036"/>
      <c r="K155" s="1038" t="str">
        <f t="shared" si="106"/>
        <v>Included</v>
      </c>
      <c r="L155" s="953">
        <f t="shared" si="107"/>
        <v>0</v>
      </c>
      <c r="M155" s="847">
        <f t="shared" si="108"/>
        <v>0</v>
      </c>
      <c r="N155" s="847">
        <f t="shared" si="109"/>
        <v>0</v>
      </c>
    </row>
    <row r="156" spans="1:14" ht="31.5">
      <c r="A156" s="952"/>
      <c r="B156" s="809"/>
      <c r="C156" s="831"/>
      <c r="D156" s="828"/>
      <c r="E156" s="1000">
        <v>134</v>
      </c>
      <c r="F156" s="1005"/>
      <c r="G156" s="999" t="s">
        <v>1063</v>
      </c>
      <c r="H156" s="1062"/>
      <c r="I156" s="1063"/>
      <c r="J156" s="1064"/>
      <c r="K156" s="1065"/>
      <c r="L156" s="1066"/>
      <c r="M156" s="847">
        <f t="shared" si="108"/>
        <v>0</v>
      </c>
      <c r="N156" s="847">
        <f t="shared" si="109"/>
        <v>0</v>
      </c>
    </row>
    <row r="157" spans="1:14">
      <c r="A157" s="952">
        <v>995424</v>
      </c>
      <c r="B157" s="809"/>
      <c r="C157" s="831">
        <v>0.18</v>
      </c>
      <c r="D157" s="828" t="s">
        <v>205</v>
      </c>
      <c r="E157" s="1000">
        <v>135</v>
      </c>
      <c r="F157" s="1005" t="s">
        <v>350</v>
      </c>
      <c r="G157" s="998" t="s">
        <v>1064</v>
      </c>
      <c r="H157" s="995" t="s">
        <v>468</v>
      </c>
      <c r="I157" s="1023">
        <v>5</v>
      </c>
      <c r="J157" s="1036"/>
      <c r="K157" s="1038" t="str">
        <f t="shared" si="106"/>
        <v>Included</v>
      </c>
      <c r="L157" s="953">
        <f t="shared" si="107"/>
        <v>0</v>
      </c>
      <c r="M157" s="847">
        <f t="shared" si="108"/>
        <v>0</v>
      </c>
      <c r="N157" s="847">
        <f t="shared" si="109"/>
        <v>0</v>
      </c>
    </row>
    <row r="158" spans="1:14">
      <c r="A158" s="952">
        <v>995424</v>
      </c>
      <c r="B158" s="809"/>
      <c r="C158" s="831">
        <v>0.18</v>
      </c>
      <c r="D158" s="828" t="s">
        <v>205</v>
      </c>
      <c r="E158" s="1000">
        <v>136</v>
      </c>
      <c r="F158" s="1005" t="s">
        <v>352</v>
      </c>
      <c r="G158" s="998" t="s">
        <v>1065</v>
      </c>
      <c r="H158" s="995" t="s">
        <v>468</v>
      </c>
      <c r="I158" s="1023">
        <v>1</v>
      </c>
      <c r="J158" s="1036"/>
      <c r="K158" s="1038" t="str">
        <f t="shared" si="106"/>
        <v>Included</v>
      </c>
      <c r="L158" s="953">
        <f t="shared" si="107"/>
        <v>0</v>
      </c>
      <c r="M158" s="847">
        <f t="shared" si="108"/>
        <v>0</v>
      </c>
      <c r="N158" s="847">
        <f t="shared" si="109"/>
        <v>0</v>
      </c>
    </row>
    <row r="159" spans="1:14" ht="31.5">
      <c r="A159" s="952">
        <v>995424</v>
      </c>
      <c r="B159" s="809"/>
      <c r="C159" s="831">
        <v>0.18</v>
      </c>
      <c r="D159" s="828" t="s">
        <v>205</v>
      </c>
      <c r="E159" s="1000">
        <v>137</v>
      </c>
      <c r="F159" s="1005" t="s">
        <v>1066</v>
      </c>
      <c r="G159" s="998" t="s">
        <v>1067</v>
      </c>
      <c r="H159" s="995" t="s">
        <v>468</v>
      </c>
      <c r="I159" s="1023">
        <v>6</v>
      </c>
      <c r="J159" s="1036"/>
      <c r="K159" s="1038" t="str">
        <f t="shared" si="106"/>
        <v>Included</v>
      </c>
      <c r="L159" s="953">
        <f t="shared" si="107"/>
        <v>0</v>
      </c>
      <c r="M159" s="847">
        <f t="shared" si="108"/>
        <v>0</v>
      </c>
      <c r="N159" s="847">
        <f t="shared" si="109"/>
        <v>0</v>
      </c>
    </row>
    <row r="160" spans="1:14">
      <c r="A160" s="952">
        <v>995424</v>
      </c>
      <c r="B160" s="809"/>
      <c r="C160" s="831">
        <v>0.18</v>
      </c>
      <c r="D160" s="828" t="s">
        <v>205</v>
      </c>
      <c r="E160" s="1000">
        <v>138</v>
      </c>
      <c r="F160" s="1001" t="s">
        <v>407</v>
      </c>
      <c r="G160" s="994" t="s">
        <v>1068</v>
      </c>
      <c r="H160" s="995" t="s">
        <v>224</v>
      </c>
      <c r="I160" s="1023">
        <v>4</v>
      </c>
      <c r="J160" s="1036"/>
      <c r="K160" s="1038" t="str">
        <f t="shared" si="106"/>
        <v>Included</v>
      </c>
      <c r="L160" s="953">
        <f t="shared" si="107"/>
        <v>0</v>
      </c>
      <c r="M160" s="847">
        <f t="shared" si="108"/>
        <v>0</v>
      </c>
      <c r="N160" s="847">
        <f t="shared" si="109"/>
        <v>0</v>
      </c>
    </row>
    <row r="161" spans="1:14" ht="31.5">
      <c r="A161" s="952">
        <v>995424</v>
      </c>
      <c r="B161" s="809"/>
      <c r="C161" s="831">
        <v>0.18</v>
      </c>
      <c r="D161" s="828" t="s">
        <v>205</v>
      </c>
      <c r="E161" s="1000">
        <v>139</v>
      </c>
      <c r="F161" s="1001" t="s">
        <v>399</v>
      </c>
      <c r="G161" s="994" t="s">
        <v>400</v>
      </c>
      <c r="H161" s="995" t="s">
        <v>224</v>
      </c>
      <c r="I161" s="1023">
        <v>8</v>
      </c>
      <c r="J161" s="1036"/>
      <c r="K161" s="1038" t="str">
        <f t="shared" si="106"/>
        <v>Included</v>
      </c>
      <c r="L161" s="953">
        <f t="shared" si="107"/>
        <v>0</v>
      </c>
      <c r="M161" s="847">
        <f t="shared" si="108"/>
        <v>0</v>
      </c>
      <c r="N161" s="847">
        <f t="shared" si="109"/>
        <v>0</v>
      </c>
    </row>
    <row r="162" spans="1:14" ht="63.75">
      <c r="A162" s="952">
        <v>995424</v>
      </c>
      <c r="B162" s="809"/>
      <c r="C162" s="831">
        <v>0.18</v>
      </c>
      <c r="D162" s="828" t="s">
        <v>205</v>
      </c>
      <c r="E162" s="1000">
        <v>140</v>
      </c>
      <c r="F162" s="1001">
        <v>18.48</v>
      </c>
      <c r="G162" s="1014" t="s">
        <v>1069</v>
      </c>
      <c r="H162" s="1042" t="s">
        <v>343</v>
      </c>
      <c r="I162" s="1023">
        <v>3000</v>
      </c>
      <c r="J162" s="1036"/>
      <c r="K162" s="1038" t="str">
        <f t="shared" si="106"/>
        <v>Included</v>
      </c>
      <c r="L162" s="953">
        <f t="shared" si="107"/>
        <v>0</v>
      </c>
      <c r="M162" s="847">
        <f t="shared" si="108"/>
        <v>0</v>
      </c>
      <c r="N162" s="847">
        <f t="shared" si="109"/>
        <v>0</v>
      </c>
    </row>
    <row r="163" spans="1:14" ht="48">
      <c r="A163" s="952">
        <v>995424</v>
      </c>
      <c r="B163" s="809"/>
      <c r="C163" s="831">
        <v>0.18</v>
      </c>
      <c r="D163" s="828" t="s">
        <v>205</v>
      </c>
      <c r="E163" s="1000">
        <v>141</v>
      </c>
      <c r="F163" s="1001">
        <v>18.510000000000002</v>
      </c>
      <c r="G163" s="1014" t="s">
        <v>1070</v>
      </c>
      <c r="H163" s="1015" t="s">
        <v>224</v>
      </c>
      <c r="I163" s="1023">
        <v>6</v>
      </c>
      <c r="J163" s="1036"/>
      <c r="K163" s="1038" t="str">
        <f t="shared" si="106"/>
        <v>Included</v>
      </c>
      <c r="L163" s="953">
        <f t="shared" si="107"/>
        <v>0</v>
      </c>
      <c r="M163" s="847">
        <f t="shared" si="108"/>
        <v>0</v>
      </c>
      <c r="N163" s="847">
        <f t="shared" si="109"/>
        <v>0</v>
      </c>
    </row>
    <row r="164" spans="1:14" ht="48">
      <c r="A164" s="952">
        <v>995424</v>
      </c>
      <c r="B164" s="809"/>
      <c r="C164" s="831">
        <v>0.18</v>
      </c>
      <c r="D164" s="828" t="s">
        <v>205</v>
      </c>
      <c r="E164" s="1000">
        <v>142</v>
      </c>
      <c r="F164" s="1001">
        <v>18.53</v>
      </c>
      <c r="G164" s="1014" t="s">
        <v>1071</v>
      </c>
      <c r="H164" s="1015" t="s">
        <v>224</v>
      </c>
      <c r="I164" s="1023">
        <v>41</v>
      </c>
      <c r="J164" s="1036"/>
      <c r="K164" s="1038" t="str">
        <f t="shared" si="106"/>
        <v>Included</v>
      </c>
      <c r="L164" s="953">
        <f t="shared" si="107"/>
        <v>0</v>
      </c>
      <c r="M164" s="847">
        <f t="shared" si="108"/>
        <v>0</v>
      </c>
      <c r="N164" s="847">
        <f t="shared" si="109"/>
        <v>0</v>
      </c>
    </row>
    <row r="165" spans="1:14" ht="95.25">
      <c r="A165" s="952"/>
      <c r="B165" s="809"/>
      <c r="C165" s="831"/>
      <c r="D165" s="828"/>
      <c r="E165" s="1000">
        <v>143</v>
      </c>
      <c r="F165" s="1001">
        <v>18.7</v>
      </c>
      <c r="G165" s="1014" t="s">
        <v>1072</v>
      </c>
      <c r="H165" s="1015"/>
      <c r="I165" s="1023"/>
      <c r="J165" s="1036"/>
      <c r="K165" s="1038"/>
      <c r="L165" s="953"/>
      <c r="M165" s="847">
        <f t="shared" si="108"/>
        <v>0</v>
      </c>
      <c r="N165" s="847">
        <f t="shared" si="109"/>
        <v>0</v>
      </c>
    </row>
    <row r="166" spans="1:14">
      <c r="A166" s="952">
        <v>995424</v>
      </c>
      <c r="B166" s="809"/>
      <c r="C166" s="831">
        <v>0.18</v>
      </c>
      <c r="D166" s="828" t="s">
        <v>205</v>
      </c>
      <c r="E166" s="1000">
        <v>144</v>
      </c>
      <c r="F166" s="1001" t="s">
        <v>1073</v>
      </c>
      <c r="G166" s="1014" t="s">
        <v>1055</v>
      </c>
      <c r="H166" s="1015" t="s">
        <v>246</v>
      </c>
      <c r="I166" s="1023">
        <v>25</v>
      </c>
      <c r="J166" s="1036"/>
      <c r="K166" s="1038" t="str">
        <f t="shared" si="106"/>
        <v>Included</v>
      </c>
      <c r="L166" s="953">
        <f t="shared" si="107"/>
        <v>0</v>
      </c>
      <c r="M166" s="847">
        <f t="shared" si="108"/>
        <v>0</v>
      </c>
      <c r="N166" s="847">
        <f t="shared" si="109"/>
        <v>0</v>
      </c>
    </row>
    <row r="167" spans="1:14">
      <c r="A167" s="952">
        <v>995424</v>
      </c>
      <c r="B167" s="809"/>
      <c r="C167" s="831">
        <v>0.18</v>
      </c>
      <c r="D167" s="828" t="s">
        <v>205</v>
      </c>
      <c r="E167" s="1000">
        <v>145</v>
      </c>
      <c r="F167" s="1016" t="s">
        <v>1074</v>
      </c>
      <c r="G167" s="1014" t="s">
        <v>1056</v>
      </c>
      <c r="H167" s="1015" t="s">
        <v>246</v>
      </c>
      <c r="I167" s="1023">
        <v>40</v>
      </c>
      <c r="J167" s="1036"/>
      <c r="K167" s="1038" t="str">
        <f t="shared" si="106"/>
        <v>Included</v>
      </c>
      <c r="L167" s="953">
        <f t="shared" si="107"/>
        <v>0</v>
      </c>
      <c r="M167" s="847">
        <f t="shared" si="108"/>
        <v>0</v>
      </c>
      <c r="N167" s="847">
        <f t="shared" si="109"/>
        <v>0</v>
      </c>
    </row>
    <row r="168" spans="1:14">
      <c r="A168" s="952">
        <v>995424</v>
      </c>
      <c r="B168" s="809"/>
      <c r="C168" s="831">
        <v>0.18</v>
      </c>
      <c r="D168" s="828" t="s">
        <v>205</v>
      </c>
      <c r="E168" s="1000">
        <v>146</v>
      </c>
      <c r="F168" s="1001" t="s">
        <v>1075</v>
      </c>
      <c r="G168" s="1014" t="s">
        <v>1076</v>
      </c>
      <c r="H168" s="1015" t="s">
        <v>246</v>
      </c>
      <c r="I168" s="1023">
        <v>120</v>
      </c>
      <c r="J168" s="1036"/>
      <c r="K168" s="1038" t="str">
        <f t="shared" si="106"/>
        <v>Included</v>
      </c>
      <c r="L168" s="953">
        <f t="shared" si="107"/>
        <v>0</v>
      </c>
      <c r="M168" s="847">
        <f t="shared" si="108"/>
        <v>0</v>
      </c>
      <c r="N168" s="847">
        <f t="shared" si="109"/>
        <v>0</v>
      </c>
    </row>
    <row r="169" spans="1:14">
      <c r="A169" s="952">
        <v>995424</v>
      </c>
      <c r="B169" s="809"/>
      <c r="C169" s="831">
        <v>0.18</v>
      </c>
      <c r="D169" s="828" t="s">
        <v>205</v>
      </c>
      <c r="E169" s="1000">
        <v>147</v>
      </c>
      <c r="F169" s="1001" t="s">
        <v>1077</v>
      </c>
      <c r="G169" s="1014" t="s">
        <v>1078</v>
      </c>
      <c r="H169" s="1015" t="s">
        <v>246</v>
      </c>
      <c r="I169" s="1023">
        <v>50</v>
      </c>
      <c r="J169" s="1036"/>
      <c r="K169" s="1038" t="str">
        <f t="shared" ref="K169:K227" si="110">IF(J169=0, "Included", IF(ISERROR(I169*J169), J169, I169*J169))</f>
        <v>Included</v>
      </c>
      <c r="L169" s="953">
        <f t="shared" ref="L169:L227" si="111">N169</f>
        <v>0</v>
      </c>
      <c r="M169" s="847">
        <f t="shared" si="108"/>
        <v>0</v>
      </c>
      <c r="N169" s="847">
        <f t="shared" si="109"/>
        <v>0</v>
      </c>
    </row>
    <row r="170" spans="1:14">
      <c r="A170" s="952">
        <v>995424</v>
      </c>
      <c r="B170" s="809"/>
      <c r="C170" s="831">
        <v>0.18</v>
      </c>
      <c r="D170" s="828" t="s">
        <v>205</v>
      </c>
      <c r="E170" s="1000">
        <v>148</v>
      </c>
      <c r="F170" s="1001" t="s">
        <v>1079</v>
      </c>
      <c r="G170" s="1014" t="s">
        <v>1080</v>
      </c>
      <c r="H170" s="1015" t="s">
        <v>246</v>
      </c>
      <c r="I170" s="1023">
        <v>75</v>
      </c>
      <c r="J170" s="1036"/>
      <c r="K170" s="1038" t="str">
        <f t="shared" ref="K170:K200" si="112">IF(J170=0, "Included", IF(ISERROR(I170*J170), J170, I170*J170))</f>
        <v>Included</v>
      </c>
      <c r="L170" s="953">
        <f t="shared" ref="L170:L199" si="113">N170</f>
        <v>0</v>
      </c>
      <c r="M170" s="847">
        <f t="shared" si="108"/>
        <v>0</v>
      </c>
      <c r="N170" s="847">
        <f t="shared" si="109"/>
        <v>0</v>
      </c>
    </row>
    <row r="171" spans="1:14" ht="126.75">
      <c r="A171" s="952"/>
      <c r="B171" s="809"/>
      <c r="C171" s="831"/>
      <c r="D171" s="828"/>
      <c r="E171" s="1000">
        <v>149</v>
      </c>
      <c r="F171" s="1001">
        <v>18.8</v>
      </c>
      <c r="G171" s="1014" t="s">
        <v>1081</v>
      </c>
      <c r="H171" s="1015"/>
      <c r="I171" s="1023"/>
      <c r="J171" s="1036"/>
      <c r="K171" s="1038"/>
      <c r="L171" s="953"/>
      <c r="M171" s="847">
        <f t="shared" si="108"/>
        <v>0</v>
      </c>
      <c r="N171" s="847">
        <f t="shared" si="109"/>
        <v>0</v>
      </c>
    </row>
    <row r="172" spans="1:14">
      <c r="A172" s="952">
        <v>995424</v>
      </c>
      <c r="B172" s="809"/>
      <c r="C172" s="831">
        <v>0.18</v>
      </c>
      <c r="D172" s="828" t="s">
        <v>205</v>
      </c>
      <c r="E172" s="1013" t="s">
        <v>924</v>
      </c>
      <c r="F172" s="1001" t="s">
        <v>1054</v>
      </c>
      <c r="G172" s="1014" t="s">
        <v>1055</v>
      </c>
      <c r="H172" s="1015" t="s">
        <v>1162</v>
      </c>
      <c r="I172" s="1023">
        <v>10</v>
      </c>
      <c r="J172" s="1036"/>
      <c r="K172" s="1038" t="str">
        <f t="shared" si="112"/>
        <v>Included</v>
      </c>
      <c r="L172" s="953">
        <f t="shared" si="113"/>
        <v>0</v>
      </c>
      <c r="M172" s="847">
        <f t="shared" si="108"/>
        <v>0</v>
      </c>
      <c r="N172" s="847">
        <f t="shared" si="109"/>
        <v>0</v>
      </c>
    </row>
    <row r="173" spans="1:14">
      <c r="A173" s="952">
        <v>995424</v>
      </c>
      <c r="B173" s="809"/>
      <c r="C173" s="831">
        <v>0.18</v>
      </c>
      <c r="D173" s="828" t="s">
        <v>205</v>
      </c>
      <c r="E173" s="1013" t="s">
        <v>927</v>
      </c>
      <c r="F173" s="1001" t="s">
        <v>328</v>
      </c>
      <c r="G173" s="1014" t="s">
        <v>1056</v>
      </c>
      <c r="H173" s="1015" t="s">
        <v>1162</v>
      </c>
      <c r="I173" s="1023">
        <v>50</v>
      </c>
      <c r="J173" s="1036"/>
      <c r="K173" s="1038" t="str">
        <f t="shared" si="112"/>
        <v>Included</v>
      </c>
      <c r="L173" s="953">
        <f t="shared" si="113"/>
        <v>0</v>
      </c>
      <c r="M173" s="847">
        <f t="shared" si="108"/>
        <v>0</v>
      </c>
      <c r="N173" s="847">
        <f t="shared" si="109"/>
        <v>0</v>
      </c>
    </row>
    <row r="174" spans="1:14">
      <c r="A174" s="952">
        <v>995424</v>
      </c>
      <c r="B174" s="809"/>
      <c r="C174" s="831">
        <v>0.18</v>
      </c>
      <c r="D174" s="828" t="s">
        <v>205</v>
      </c>
      <c r="E174" s="1013" t="s">
        <v>997</v>
      </c>
      <c r="F174" s="1001" t="s">
        <v>330</v>
      </c>
      <c r="G174" s="994" t="s">
        <v>1076</v>
      </c>
      <c r="H174" s="1015" t="s">
        <v>1162</v>
      </c>
      <c r="I174" s="1023">
        <v>10</v>
      </c>
      <c r="J174" s="1036"/>
      <c r="K174" s="1038" t="str">
        <f t="shared" si="112"/>
        <v>Included</v>
      </c>
      <c r="L174" s="953">
        <f t="shared" si="113"/>
        <v>0</v>
      </c>
      <c r="M174" s="847">
        <f t="shared" si="108"/>
        <v>0</v>
      </c>
      <c r="N174" s="847">
        <f t="shared" si="109"/>
        <v>0</v>
      </c>
    </row>
    <row r="175" spans="1:14" ht="31.5">
      <c r="A175" s="952">
        <v>995424</v>
      </c>
      <c r="B175" s="809"/>
      <c r="C175" s="831">
        <v>0.18</v>
      </c>
      <c r="D175" s="828" t="s">
        <v>205</v>
      </c>
      <c r="E175" s="1013">
        <v>150</v>
      </c>
      <c r="F175" s="1001" t="s">
        <v>340</v>
      </c>
      <c r="G175" s="994" t="s">
        <v>1082</v>
      </c>
      <c r="H175" s="1017" t="s">
        <v>224</v>
      </c>
      <c r="I175" s="1023">
        <v>10</v>
      </c>
      <c r="J175" s="1036"/>
      <c r="K175" s="1038" t="str">
        <f t="shared" si="112"/>
        <v>Included</v>
      </c>
      <c r="L175" s="953">
        <f t="shared" si="113"/>
        <v>0</v>
      </c>
      <c r="M175" s="847">
        <f t="shared" si="108"/>
        <v>0</v>
      </c>
      <c r="N175" s="847">
        <f t="shared" si="109"/>
        <v>0</v>
      </c>
    </row>
    <row r="176" spans="1:14">
      <c r="A176" s="952">
        <v>995424</v>
      </c>
      <c r="B176" s="809"/>
      <c r="C176" s="831">
        <v>0.18</v>
      </c>
      <c r="D176" s="828" t="s">
        <v>205</v>
      </c>
      <c r="E176" s="1013">
        <v>151</v>
      </c>
      <c r="F176" s="1005" t="s">
        <v>1083</v>
      </c>
      <c r="G176" s="994" t="s">
        <v>1084</v>
      </c>
      <c r="H176" s="1017" t="s">
        <v>468</v>
      </c>
      <c r="I176" s="1023">
        <v>4</v>
      </c>
      <c r="J176" s="1036"/>
      <c r="K176" s="1038" t="str">
        <f t="shared" si="112"/>
        <v>Included</v>
      </c>
      <c r="L176" s="953">
        <f t="shared" si="113"/>
        <v>0</v>
      </c>
      <c r="M176" s="847">
        <f t="shared" si="108"/>
        <v>0</v>
      </c>
      <c r="N176" s="847">
        <f t="shared" si="109"/>
        <v>0</v>
      </c>
    </row>
    <row r="177" spans="1:14" ht="126">
      <c r="A177" s="952">
        <v>995424</v>
      </c>
      <c r="B177" s="809"/>
      <c r="C177" s="831">
        <v>0.18</v>
      </c>
      <c r="D177" s="828" t="s">
        <v>205</v>
      </c>
      <c r="E177" s="1013">
        <v>152</v>
      </c>
      <c r="F177" s="1005" t="s">
        <v>1085</v>
      </c>
      <c r="G177" s="994" t="s">
        <v>1086</v>
      </c>
      <c r="H177" s="1017" t="s">
        <v>468</v>
      </c>
      <c r="I177" s="1023">
        <v>2</v>
      </c>
      <c r="J177" s="1036"/>
      <c r="K177" s="1038" t="str">
        <f t="shared" si="112"/>
        <v>Included</v>
      </c>
      <c r="L177" s="953">
        <f t="shared" si="113"/>
        <v>0</v>
      </c>
      <c r="M177" s="847">
        <f t="shared" si="108"/>
        <v>0</v>
      </c>
      <c r="N177" s="847">
        <f t="shared" si="109"/>
        <v>0</v>
      </c>
    </row>
    <row r="178" spans="1:14" ht="31.5">
      <c r="A178" s="952">
        <v>995478</v>
      </c>
      <c r="B178" s="809"/>
      <c r="C178" s="831">
        <v>0.18</v>
      </c>
      <c r="D178" s="828" t="s">
        <v>205</v>
      </c>
      <c r="E178" s="1013">
        <v>153</v>
      </c>
      <c r="F178" s="1001" t="s">
        <v>1087</v>
      </c>
      <c r="G178" s="994" t="s">
        <v>1088</v>
      </c>
      <c r="H178" s="1017" t="s">
        <v>224</v>
      </c>
      <c r="I178" s="1023">
        <v>20</v>
      </c>
      <c r="J178" s="1036"/>
      <c r="K178" s="1038" t="str">
        <f t="shared" si="112"/>
        <v>Included</v>
      </c>
      <c r="L178" s="953">
        <f t="shared" si="113"/>
        <v>0</v>
      </c>
      <c r="M178" s="847">
        <f t="shared" si="108"/>
        <v>0</v>
      </c>
      <c r="N178" s="847">
        <f t="shared" si="109"/>
        <v>0</v>
      </c>
    </row>
    <row r="179" spans="1:14" ht="31.5">
      <c r="A179" s="952">
        <v>995424</v>
      </c>
      <c r="B179" s="809"/>
      <c r="C179" s="831">
        <v>0.18</v>
      </c>
      <c r="D179" s="828" t="s">
        <v>205</v>
      </c>
      <c r="E179" s="1013">
        <v>154</v>
      </c>
      <c r="F179" s="1001" t="s">
        <v>1089</v>
      </c>
      <c r="G179" s="994" t="s">
        <v>1090</v>
      </c>
      <c r="H179" s="1017" t="s">
        <v>468</v>
      </c>
      <c r="I179" s="1023">
        <v>4</v>
      </c>
      <c r="J179" s="1036"/>
      <c r="K179" s="1038" t="str">
        <f t="shared" si="112"/>
        <v>Included</v>
      </c>
      <c r="L179" s="953">
        <f t="shared" si="113"/>
        <v>0</v>
      </c>
      <c r="M179" s="847">
        <f t="shared" si="108"/>
        <v>0</v>
      </c>
      <c r="N179" s="847">
        <f t="shared" si="109"/>
        <v>0</v>
      </c>
    </row>
    <row r="180" spans="1:14" ht="47.25">
      <c r="A180" s="952">
        <v>995424</v>
      </c>
      <c r="B180" s="809"/>
      <c r="C180" s="831">
        <v>0.18</v>
      </c>
      <c r="D180" s="828" t="s">
        <v>205</v>
      </c>
      <c r="E180" s="1013">
        <v>155</v>
      </c>
      <c r="F180" s="1001" t="s">
        <v>1091</v>
      </c>
      <c r="G180" s="994" t="s">
        <v>1092</v>
      </c>
      <c r="H180" s="1017" t="s">
        <v>246</v>
      </c>
      <c r="I180" s="1023">
        <v>10</v>
      </c>
      <c r="J180" s="1036"/>
      <c r="K180" s="1038" t="str">
        <f t="shared" si="112"/>
        <v>Included</v>
      </c>
      <c r="L180" s="953">
        <f t="shared" si="113"/>
        <v>0</v>
      </c>
      <c r="M180" s="847">
        <f t="shared" si="108"/>
        <v>0</v>
      </c>
      <c r="N180" s="847">
        <f t="shared" si="109"/>
        <v>0</v>
      </c>
    </row>
    <row r="181" spans="1:14" ht="78.75">
      <c r="A181" s="952">
        <v>995424</v>
      </c>
      <c r="B181" s="809"/>
      <c r="C181" s="831">
        <v>0.18</v>
      </c>
      <c r="D181" s="828" t="s">
        <v>205</v>
      </c>
      <c r="E181" s="1013">
        <v>156</v>
      </c>
      <c r="F181" s="1001" t="s">
        <v>356</v>
      </c>
      <c r="G181" s="994" t="s">
        <v>1093</v>
      </c>
      <c r="H181" s="1017" t="s">
        <v>224</v>
      </c>
      <c r="I181" s="1023">
        <v>5</v>
      </c>
      <c r="J181" s="1036"/>
      <c r="K181" s="1038" t="str">
        <f t="shared" si="112"/>
        <v>Included</v>
      </c>
      <c r="L181" s="953">
        <f t="shared" si="113"/>
        <v>0</v>
      </c>
      <c r="M181" s="847">
        <f t="shared" si="108"/>
        <v>0</v>
      </c>
      <c r="N181" s="847">
        <f t="shared" si="109"/>
        <v>0</v>
      </c>
    </row>
    <row r="182" spans="1:14" ht="94.5">
      <c r="A182" s="952">
        <v>995424</v>
      </c>
      <c r="B182" s="809"/>
      <c r="C182" s="831">
        <v>0.18</v>
      </c>
      <c r="D182" s="828" t="s">
        <v>205</v>
      </c>
      <c r="E182" s="1013">
        <v>157</v>
      </c>
      <c r="F182" s="1005" t="s">
        <v>1094</v>
      </c>
      <c r="G182" s="994" t="s">
        <v>1095</v>
      </c>
      <c r="H182" s="1017" t="s">
        <v>468</v>
      </c>
      <c r="I182" s="1023">
        <v>2</v>
      </c>
      <c r="J182" s="1036"/>
      <c r="K182" s="1038" t="str">
        <f t="shared" si="112"/>
        <v>Included</v>
      </c>
      <c r="L182" s="953">
        <f t="shared" si="113"/>
        <v>0</v>
      </c>
      <c r="M182" s="847">
        <f t="shared" si="108"/>
        <v>0</v>
      </c>
      <c r="N182" s="847">
        <f t="shared" si="109"/>
        <v>0</v>
      </c>
    </row>
    <row r="183" spans="1:14" ht="47.25">
      <c r="A183" s="952">
        <v>995424</v>
      </c>
      <c r="B183" s="809"/>
      <c r="C183" s="831">
        <v>0.18</v>
      </c>
      <c r="D183" s="828" t="s">
        <v>205</v>
      </c>
      <c r="E183" s="1013">
        <v>158</v>
      </c>
      <c r="F183" s="1001" t="s">
        <v>1096</v>
      </c>
      <c r="G183" s="994" t="s">
        <v>1097</v>
      </c>
      <c r="H183" s="1017" t="s">
        <v>1165</v>
      </c>
      <c r="I183" s="1023">
        <v>5</v>
      </c>
      <c r="J183" s="1036"/>
      <c r="K183" s="1038" t="str">
        <f t="shared" si="112"/>
        <v>Included</v>
      </c>
      <c r="L183" s="953">
        <f t="shared" si="113"/>
        <v>0</v>
      </c>
      <c r="M183" s="847">
        <f t="shared" si="108"/>
        <v>0</v>
      </c>
      <c r="N183" s="847">
        <f t="shared" si="109"/>
        <v>0</v>
      </c>
    </row>
    <row r="184" spans="1:14" ht="189">
      <c r="A184" s="952">
        <v>995424</v>
      </c>
      <c r="B184" s="809"/>
      <c r="C184" s="831">
        <v>0.18</v>
      </c>
      <c r="D184" s="828" t="s">
        <v>205</v>
      </c>
      <c r="E184" s="1013">
        <v>159</v>
      </c>
      <c r="F184" s="1001" t="s">
        <v>358</v>
      </c>
      <c r="G184" s="994" t="s">
        <v>1098</v>
      </c>
      <c r="H184" s="1017" t="s">
        <v>224</v>
      </c>
      <c r="I184" s="1023">
        <v>5</v>
      </c>
      <c r="J184" s="1036"/>
      <c r="K184" s="1038" t="str">
        <f t="shared" si="112"/>
        <v>Included</v>
      </c>
      <c r="L184" s="953">
        <f t="shared" si="113"/>
        <v>0</v>
      </c>
      <c r="M184" s="847">
        <f t="shared" si="108"/>
        <v>0</v>
      </c>
      <c r="N184" s="847">
        <f t="shared" si="109"/>
        <v>0</v>
      </c>
    </row>
    <row r="185" spans="1:14" ht="31.5">
      <c r="A185" s="952">
        <v>995424</v>
      </c>
      <c r="B185" s="809"/>
      <c r="C185" s="831">
        <v>0.18</v>
      </c>
      <c r="D185" s="828" t="s">
        <v>205</v>
      </c>
      <c r="E185" s="1013">
        <v>160</v>
      </c>
      <c r="F185" s="1001" t="s">
        <v>360</v>
      </c>
      <c r="G185" s="994" t="s">
        <v>1099</v>
      </c>
      <c r="H185" s="1017" t="s">
        <v>1162</v>
      </c>
      <c r="I185" s="1023">
        <v>7</v>
      </c>
      <c r="J185" s="1036"/>
      <c r="K185" s="1038" t="str">
        <f t="shared" si="112"/>
        <v>Included</v>
      </c>
      <c r="L185" s="953">
        <f t="shared" si="113"/>
        <v>0</v>
      </c>
      <c r="M185" s="847">
        <f t="shared" si="108"/>
        <v>0</v>
      </c>
      <c r="N185" s="847">
        <f t="shared" si="109"/>
        <v>0</v>
      </c>
    </row>
    <row r="186" spans="1:14" ht="47.25">
      <c r="A186" s="952">
        <v>995424</v>
      </c>
      <c r="B186" s="809"/>
      <c r="C186" s="831">
        <v>0.18</v>
      </c>
      <c r="D186" s="828" t="s">
        <v>205</v>
      </c>
      <c r="E186" s="1013">
        <v>161</v>
      </c>
      <c r="F186" s="1005" t="s">
        <v>1100</v>
      </c>
      <c r="G186" s="994" t="s">
        <v>1101</v>
      </c>
      <c r="H186" s="1017" t="s">
        <v>468</v>
      </c>
      <c r="I186" s="1023">
        <v>3</v>
      </c>
      <c r="J186" s="1036"/>
      <c r="K186" s="1038" t="str">
        <f t="shared" si="112"/>
        <v>Included</v>
      </c>
      <c r="L186" s="953">
        <f t="shared" si="113"/>
        <v>0</v>
      </c>
      <c r="M186" s="847">
        <f t="shared" si="108"/>
        <v>0</v>
      </c>
      <c r="N186" s="847">
        <f t="shared" si="109"/>
        <v>0</v>
      </c>
    </row>
    <row r="187" spans="1:14" ht="47.25">
      <c r="A187" s="952">
        <v>995424</v>
      </c>
      <c r="B187" s="809"/>
      <c r="C187" s="831">
        <v>0.18</v>
      </c>
      <c r="D187" s="828" t="s">
        <v>205</v>
      </c>
      <c r="E187" s="1013">
        <v>162</v>
      </c>
      <c r="F187" s="1001" t="s">
        <v>1102</v>
      </c>
      <c r="G187" s="994" t="s">
        <v>1103</v>
      </c>
      <c r="H187" s="1017" t="s">
        <v>224</v>
      </c>
      <c r="I187" s="1023">
        <v>1</v>
      </c>
      <c r="J187" s="1036"/>
      <c r="K187" s="1038" t="str">
        <f t="shared" si="112"/>
        <v>Included</v>
      </c>
      <c r="L187" s="953">
        <f t="shared" si="113"/>
        <v>0</v>
      </c>
      <c r="M187" s="847">
        <f t="shared" si="108"/>
        <v>0</v>
      </c>
      <c r="N187" s="847">
        <f t="shared" si="109"/>
        <v>0</v>
      </c>
    </row>
    <row r="188" spans="1:14" ht="94.5">
      <c r="A188" s="952">
        <v>995424</v>
      </c>
      <c r="B188" s="809"/>
      <c r="C188" s="831">
        <v>0.18</v>
      </c>
      <c r="D188" s="828" t="s">
        <v>205</v>
      </c>
      <c r="E188" s="1013">
        <v>163</v>
      </c>
      <c r="F188" s="1001" t="s">
        <v>1104</v>
      </c>
      <c r="G188" s="994" t="s">
        <v>1105</v>
      </c>
      <c r="H188" s="1017" t="s">
        <v>224</v>
      </c>
      <c r="I188" s="1023">
        <v>2</v>
      </c>
      <c r="J188" s="1036"/>
      <c r="K188" s="1038" t="str">
        <f t="shared" si="112"/>
        <v>Included</v>
      </c>
      <c r="L188" s="953">
        <f t="shared" si="113"/>
        <v>0</v>
      </c>
      <c r="M188" s="847">
        <f t="shared" si="108"/>
        <v>0</v>
      </c>
      <c r="N188" s="847">
        <f t="shared" si="109"/>
        <v>0</v>
      </c>
    </row>
    <row r="189" spans="1:14" ht="63">
      <c r="A189" s="952">
        <v>995462</v>
      </c>
      <c r="B189" s="809"/>
      <c r="C189" s="831">
        <v>0.18</v>
      </c>
      <c r="D189" s="828" t="s">
        <v>205</v>
      </c>
      <c r="E189" s="1013">
        <v>164</v>
      </c>
      <c r="F189" s="1001" t="s">
        <v>1106</v>
      </c>
      <c r="G189" s="994" t="s">
        <v>1107</v>
      </c>
      <c r="H189" s="1017" t="s">
        <v>224</v>
      </c>
      <c r="I189" s="1023">
        <v>1</v>
      </c>
      <c r="J189" s="1036"/>
      <c r="K189" s="1038" t="str">
        <f t="shared" si="112"/>
        <v>Included</v>
      </c>
      <c r="L189" s="953">
        <f t="shared" si="113"/>
        <v>0</v>
      </c>
      <c r="M189" s="847">
        <f t="shared" si="108"/>
        <v>0</v>
      </c>
      <c r="N189" s="847">
        <f t="shared" si="109"/>
        <v>0</v>
      </c>
    </row>
    <row r="190" spans="1:14" ht="204.75">
      <c r="A190" s="952">
        <v>995476</v>
      </c>
      <c r="B190" s="809"/>
      <c r="C190" s="831">
        <v>0.18</v>
      </c>
      <c r="D190" s="828" t="s">
        <v>205</v>
      </c>
      <c r="E190" s="1013">
        <v>165</v>
      </c>
      <c r="F190" s="1005" t="s">
        <v>1108</v>
      </c>
      <c r="G190" s="994" t="s">
        <v>1109</v>
      </c>
      <c r="H190" s="1017" t="s">
        <v>262</v>
      </c>
      <c r="I190" s="1023">
        <v>126</v>
      </c>
      <c r="J190" s="1036"/>
      <c r="K190" s="1038" t="str">
        <f t="shared" si="112"/>
        <v>Included</v>
      </c>
      <c r="L190" s="953">
        <f t="shared" si="113"/>
        <v>0</v>
      </c>
      <c r="M190" s="847">
        <f t="shared" si="108"/>
        <v>0</v>
      </c>
      <c r="N190" s="847">
        <f t="shared" si="109"/>
        <v>0</v>
      </c>
    </row>
    <row r="191" spans="1:14" ht="236.25">
      <c r="A191" s="952">
        <v>995476</v>
      </c>
      <c r="B191" s="809"/>
      <c r="C191" s="831">
        <v>0.18</v>
      </c>
      <c r="D191" s="828" t="s">
        <v>205</v>
      </c>
      <c r="E191" s="1013">
        <v>166</v>
      </c>
      <c r="F191" s="1005" t="s">
        <v>1110</v>
      </c>
      <c r="G191" s="994" t="s">
        <v>1111</v>
      </c>
      <c r="H191" s="1017" t="s">
        <v>262</v>
      </c>
      <c r="I191" s="1023">
        <v>16</v>
      </c>
      <c r="J191" s="1036"/>
      <c r="K191" s="1038" t="str">
        <f t="shared" si="112"/>
        <v>Included</v>
      </c>
      <c r="L191" s="953">
        <f t="shared" si="113"/>
        <v>0</v>
      </c>
      <c r="M191" s="847">
        <f t="shared" si="108"/>
        <v>0</v>
      </c>
      <c r="N191" s="847">
        <f t="shared" si="109"/>
        <v>0</v>
      </c>
    </row>
    <row r="192" spans="1:14" ht="110.25">
      <c r="A192" s="952">
        <v>995476</v>
      </c>
      <c r="B192" s="809"/>
      <c r="C192" s="831">
        <v>0.18</v>
      </c>
      <c r="D192" s="828" t="s">
        <v>205</v>
      </c>
      <c r="E192" s="1013">
        <v>167</v>
      </c>
      <c r="F192" s="1005" t="s">
        <v>1112</v>
      </c>
      <c r="G192" s="994" t="s">
        <v>1113</v>
      </c>
      <c r="H192" s="1017" t="s">
        <v>207</v>
      </c>
      <c r="I192" s="1023">
        <v>65</v>
      </c>
      <c r="J192" s="1036"/>
      <c r="K192" s="1038" t="str">
        <f t="shared" si="112"/>
        <v>Included</v>
      </c>
      <c r="L192" s="953">
        <f t="shared" si="113"/>
        <v>0</v>
      </c>
      <c r="M192" s="847">
        <f t="shared" si="108"/>
        <v>0</v>
      </c>
      <c r="N192" s="847">
        <f t="shared" si="109"/>
        <v>0</v>
      </c>
    </row>
    <row r="193" spans="1:14" ht="63">
      <c r="A193" s="952">
        <v>995476</v>
      </c>
      <c r="B193" s="809"/>
      <c r="C193" s="831">
        <v>0.18</v>
      </c>
      <c r="D193" s="828" t="s">
        <v>205</v>
      </c>
      <c r="E193" s="1013">
        <v>168</v>
      </c>
      <c r="F193" s="1005" t="s">
        <v>244</v>
      </c>
      <c r="G193" s="994" t="s">
        <v>1114</v>
      </c>
      <c r="H193" s="1017" t="s">
        <v>246</v>
      </c>
      <c r="I193" s="1023">
        <v>22</v>
      </c>
      <c r="J193" s="1036"/>
      <c r="K193" s="1038" t="str">
        <f t="shared" si="112"/>
        <v>Included</v>
      </c>
      <c r="L193" s="953">
        <f t="shared" si="113"/>
        <v>0</v>
      </c>
      <c r="M193" s="847">
        <f t="shared" si="108"/>
        <v>0</v>
      </c>
      <c r="N193" s="847">
        <f t="shared" si="109"/>
        <v>0</v>
      </c>
    </row>
    <row r="194" spans="1:14" ht="157.5">
      <c r="A194" s="952">
        <v>995453</v>
      </c>
      <c r="B194" s="809"/>
      <c r="C194" s="831">
        <v>0.18</v>
      </c>
      <c r="D194" s="828" t="s">
        <v>205</v>
      </c>
      <c r="E194" s="1013">
        <v>169</v>
      </c>
      <c r="F194" s="1005" t="s">
        <v>375</v>
      </c>
      <c r="G194" s="994" t="s">
        <v>1115</v>
      </c>
      <c r="H194" s="1017" t="s">
        <v>1166</v>
      </c>
      <c r="I194" s="1023">
        <v>200</v>
      </c>
      <c r="J194" s="1036"/>
      <c r="K194" s="1038" t="str">
        <f t="shared" si="112"/>
        <v>Included</v>
      </c>
      <c r="L194" s="953">
        <f t="shared" si="113"/>
        <v>0</v>
      </c>
      <c r="M194" s="847">
        <f t="shared" si="108"/>
        <v>0</v>
      </c>
      <c r="N194" s="847">
        <f t="shared" si="109"/>
        <v>0</v>
      </c>
    </row>
    <row r="195" spans="1:14" ht="157.5">
      <c r="A195" s="952">
        <v>995453</v>
      </c>
      <c r="B195" s="809"/>
      <c r="C195" s="831">
        <v>0.18</v>
      </c>
      <c r="D195" s="828" t="s">
        <v>205</v>
      </c>
      <c r="E195" s="1013">
        <v>170</v>
      </c>
      <c r="F195" s="1001">
        <v>22.5</v>
      </c>
      <c r="G195" s="994" t="s">
        <v>1116</v>
      </c>
      <c r="H195" s="1017" t="s">
        <v>207</v>
      </c>
      <c r="I195" s="1023">
        <v>109.92</v>
      </c>
      <c r="J195" s="1036"/>
      <c r="K195" s="1038" t="str">
        <f t="shared" si="112"/>
        <v>Included</v>
      </c>
      <c r="L195" s="953">
        <f t="shared" si="113"/>
        <v>0</v>
      </c>
      <c r="M195" s="847">
        <f t="shared" si="108"/>
        <v>0</v>
      </c>
      <c r="N195" s="847">
        <f t="shared" si="109"/>
        <v>0</v>
      </c>
    </row>
    <row r="196" spans="1:14" ht="31.5">
      <c r="A196" s="952">
        <v>995453</v>
      </c>
      <c r="B196" s="809"/>
      <c r="C196" s="831">
        <v>0.18</v>
      </c>
      <c r="D196" s="828" t="s">
        <v>205</v>
      </c>
      <c r="E196" s="1013">
        <v>171</v>
      </c>
      <c r="F196" s="1001" t="s">
        <v>1117</v>
      </c>
      <c r="G196" s="994" t="s">
        <v>1118</v>
      </c>
      <c r="H196" s="1017" t="s">
        <v>512</v>
      </c>
      <c r="I196" s="1023">
        <v>15</v>
      </c>
      <c r="J196" s="1036"/>
      <c r="K196" s="1038" t="str">
        <f t="shared" si="112"/>
        <v>Included</v>
      </c>
      <c r="L196" s="953">
        <f t="shared" si="113"/>
        <v>0</v>
      </c>
      <c r="M196" s="847">
        <f t="shared" si="108"/>
        <v>0</v>
      </c>
      <c r="N196" s="847">
        <f t="shared" si="109"/>
        <v>0</v>
      </c>
    </row>
    <row r="197" spans="1:14" ht="245.25" customHeight="1">
      <c r="A197" s="952">
        <v>995453</v>
      </c>
      <c r="B197" s="809"/>
      <c r="C197" s="831">
        <v>0.18</v>
      </c>
      <c r="D197" s="828" t="s">
        <v>205</v>
      </c>
      <c r="E197" s="1013">
        <v>172</v>
      </c>
      <c r="F197" s="1001" t="s">
        <v>1119</v>
      </c>
      <c r="G197" s="994" t="s">
        <v>1120</v>
      </c>
      <c r="H197" s="1017" t="s">
        <v>207</v>
      </c>
      <c r="I197" s="1023">
        <v>250</v>
      </c>
      <c r="J197" s="1036"/>
      <c r="K197" s="1038" t="str">
        <f t="shared" si="112"/>
        <v>Included</v>
      </c>
      <c r="L197" s="953">
        <f t="shared" si="113"/>
        <v>0</v>
      </c>
      <c r="M197" s="847">
        <f t="shared" si="108"/>
        <v>0</v>
      </c>
      <c r="N197" s="847">
        <f t="shared" si="109"/>
        <v>0</v>
      </c>
    </row>
    <row r="198" spans="1:14" ht="267.75">
      <c r="A198" s="952"/>
      <c r="B198" s="809"/>
      <c r="C198" s="831"/>
      <c r="D198" s="828"/>
      <c r="E198" s="1013">
        <v>173</v>
      </c>
      <c r="F198" s="1072" t="s">
        <v>1121</v>
      </c>
      <c r="G198" s="994" t="s">
        <v>1122</v>
      </c>
      <c r="H198" s="1017"/>
      <c r="I198" s="1023"/>
      <c r="J198" s="1036"/>
      <c r="K198" s="1038"/>
      <c r="L198" s="953"/>
      <c r="M198" s="847">
        <f t="shared" si="108"/>
        <v>0</v>
      </c>
      <c r="N198" s="847">
        <f t="shared" si="109"/>
        <v>0</v>
      </c>
    </row>
    <row r="199" spans="1:14">
      <c r="A199" s="952">
        <v>995428</v>
      </c>
      <c r="B199" s="809"/>
      <c r="C199" s="831">
        <v>0.18</v>
      </c>
      <c r="D199" s="828" t="s">
        <v>205</v>
      </c>
      <c r="E199" s="802" t="s">
        <v>924</v>
      </c>
      <c r="F199" s="1041" t="s">
        <v>1121</v>
      </c>
      <c r="G199" s="1018" t="s">
        <v>1123</v>
      </c>
      <c r="H199" s="993" t="s">
        <v>1162</v>
      </c>
      <c r="I199" s="1023">
        <v>40</v>
      </c>
      <c r="J199" s="1036"/>
      <c r="K199" s="1038" t="str">
        <f t="shared" si="112"/>
        <v>Included</v>
      </c>
      <c r="L199" s="953">
        <f t="shared" si="113"/>
        <v>0</v>
      </c>
      <c r="M199" s="847">
        <f t="shared" si="108"/>
        <v>0</v>
      </c>
      <c r="N199" s="847">
        <f t="shared" si="109"/>
        <v>0</v>
      </c>
    </row>
    <row r="200" spans="1:14" ht="25.5" customHeight="1">
      <c r="A200" s="952">
        <v>995428</v>
      </c>
      <c r="B200" s="809"/>
      <c r="C200" s="831">
        <v>0.18</v>
      </c>
      <c r="D200" s="828" t="s">
        <v>205</v>
      </c>
      <c r="E200" s="802" t="s">
        <v>927</v>
      </c>
      <c r="F200" s="1041" t="s">
        <v>1124</v>
      </c>
      <c r="G200" s="1018" t="s">
        <v>1125</v>
      </c>
      <c r="H200" s="993" t="s">
        <v>1162</v>
      </c>
      <c r="I200" s="1023">
        <v>115</v>
      </c>
      <c r="J200" s="1036"/>
      <c r="K200" s="1038" t="str">
        <f t="shared" si="112"/>
        <v>Included</v>
      </c>
      <c r="L200" s="953">
        <f>N200</f>
        <v>0</v>
      </c>
      <c r="M200" s="847">
        <f t="shared" si="108"/>
        <v>0</v>
      </c>
      <c r="N200" s="847">
        <f t="shared" si="109"/>
        <v>0</v>
      </c>
    </row>
    <row r="201" spans="1:14" ht="20.25" customHeight="1">
      <c r="A201" s="1229" t="s">
        <v>1265</v>
      </c>
      <c r="B201" s="1230"/>
      <c r="C201" s="1230"/>
      <c r="D201" s="1230"/>
      <c r="E201" s="1230"/>
      <c r="F201" s="1230"/>
      <c r="G201" s="1230"/>
      <c r="H201" s="1230"/>
      <c r="I201" s="1230"/>
      <c r="J201" s="1230"/>
      <c r="K201" s="1043">
        <f>SUM(K15:K200)</f>
        <v>0</v>
      </c>
      <c r="L201" s="1043">
        <f>SUM(L15:L200)</f>
        <v>0</v>
      </c>
      <c r="M201" s="847">
        <f t="shared" si="108"/>
        <v>0</v>
      </c>
      <c r="N201" s="847">
        <f t="shared" si="109"/>
        <v>0</v>
      </c>
    </row>
    <row r="202" spans="1:14" ht="21.75" customHeight="1">
      <c r="A202" s="1231" t="s">
        <v>1168</v>
      </c>
      <c r="B202" s="1232"/>
      <c r="C202" s="1232"/>
      <c r="D202" s="1232"/>
      <c r="E202" s="1232"/>
      <c r="F202" s="1232"/>
      <c r="G202" s="1232"/>
      <c r="H202" s="1232"/>
      <c r="I202" s="1232"/>
      <c r="J202" s="1232"/>
      <c r="K202" s="1232"/>
      <c r="L202" s="1233"/>
      <c r="M202" s="847">
        <f t="shared" si="108"/>
        <v>0</v>
      </c>
      <c r="N202" s="847">
        <f t="shared" si="109"/>
        <v>0</v>
      </c>
    </row>
    <row r="203" spans="1:14" ht="47.25">
      <c r="A203" s="952">
        <v>995411</v>
      </c>
      <c r="B203" s="809"/>
      <c r="C203" s="831">
        <v>0.18</v>
      </c>
      <c r="D203" s="828" t="s">
        <v>205</v>
      </c>
      <c r="E203" s="994">
        <v>175</v>
      </c>
      <c r="F203" s="994" t="s">
        <v>412</v>
      </c>
      <c r="G203" s="994" t="s">
        <v>530</v>
      </c>
      <c r="H203" s="993" t="s">
        <v>514</v>
      </c>
      <c r="I203" s="1023">
        <f>25+50</f>
        <v>75</v>
      </c>
      <c r="J203" s="1036"/>
      <c r="K203" s="1038" t="str">
        <f t="shared" si="110"/>
        <v>Included</v>
      </c>
      <c r="L203" s="953">
        <f t="shared" si="111"/>
        <v>0</v>
      </c>
      <c r="M203" s="847">
        <f t="shared" si="108"/>
        <v>0</v>
      </c>
      <c r="N203" s="847">
        <f t="shared" si="109"/>
        <v>0</v>
      </c>
    </row>
    <row r="204" spans="1:14" ht="67.5" customHeight="1">
      <c r="A204" s="952">
        <v>995424</v>
      </c>
      <c r="B204" s="809"/>
      <c r="C204" s="831">
        <v>0.18</v>
      </c>
      <c r="D204" s="828" t="s">
        <v>205</v>
      </c>
      <c r="E204" s="994">
        <v>176</v>
      </c>
      <c r="F204" s="994" t="s">
        <v>414</v>
      </c>
      <c r="G204" s="994" t="s">
        <v>1126</v>
      </c>
      <c r="H204" s="993" t="s">
        <v>468</v>
      </c>
      <c r="I204" s="1023">
        <f>12+4</f>
        <v>16</v>
      </c>
      <c r="J204" s="1036"/>
      <c r="K204" s="1038" t="str">
        <f t="shared" si="110"/>
        <v>Included</v>
      </c>
      <c r="L204" s="953">
        <f t="shared" si="111"/>
        <v>0</v>
      </c>
      <c r="M204" s="847">
        <f t="shared" si="108"/>
        <v>0</v>
      </c>
      <c r="N204" s="847">
        <f t="shared" si="109"/>
        <v>0</v>
      </c>
    </row>
    <row r="205" spans="1:14" ht="39" customHeight="1">
      <c r="A205" s="952">
        <v>995416</v>
      </c>
      <c r="B205" s="809"/>
      <c r="C205" s="831">
        <v>0.18</v>
      </c>
      <c r="D205" s="828" t="s">
        <v>205</v>
      </c>
      <c r="E205" s="994">
        <v>177</v>
      </c>
      <c r="F205" s="994" t="s">
        <v>416</v>
      </c>
      <c r="G205" s="994" t="s">
        <v>1127</v>
      </c>
      <c r="H205" s="993" t="s">
        <v>468</v>
      </c>
      <c r="I205" s="1023">
        <f>4+4</f>
        <v>8</v>
      </c>
      <c r="J205" s="1036"/>
      <c r="K205" s="1038" t="str">
        <f t="shared" si="110"/>
        <v>Included</v>
      </c>
      <c r="L205" s="953">
        <f t="shared" si="111"/>
        <v>0</v>
      </c>
      <c r="M205" s="847">
        <f t="shared" si="108"/>
        <v>0</v>
      </c>
      <c r="N205" s="847">
        <f t="shared" si="109"/>
        <v>0</v>
      </c>
    </row>
    <row r="206" spans="1:14" ht="27.75" customHeight="1">
      <c r="A206" s="952">
        <v>995462</v>
      </c>
      <c r="B206" s="809"/>
      <c r="C206" s="831">
        <v>0.18</v>
      </c>
      <c r="D206" s="828" t="s">
        <v>205</v>
      </c>
      <c r="E206" s="994">
        <v>178</v>
      </c>
      <c r="F206" s="994" t="s">
        <v>418</v>
      </c>
      <c r="G206" s="994" t="s">
        <v>1128</v>
      </c>
      <c r="H206" s="993" t="s">
        <v>468</v>
      </c>
      <c r="I206" s="1023">
        <f>7+32</f>
        <v>39</v>
      </c>
      <c r="J206" s="1036"/>
      <c r="K206" s="1038" t="str">
        <f t="shared" si="110"/>
        <v>Included</v>
      </c>
      <c r="L206" s="953">
        <f t="shared" si="111"/>
        <v>0</v>
      </c>
      <c r="M206" s="847">
        <f t="shared" si="108"/>
        <v>0</v>
      </c>
      <c r="N206" s="847">
        <f t="shared" si="109"/>
        <v>0</v>
      </c>
    </row>
    <row r="207" spans="1:14" ht="28.5" customHeight="1">
      <c r="A207" s="952">
        <v>995411</v>
      </c>
      <c r="B207" s="809"/>
      <c r="C207" s="831">
        <v>0.18</v>
      </c>
      <c r="D207" s="828" t="s">
        <v>205</v>
      </c>
      <c r="E207" s="994">
        <v>179</v>
      </c>
      <c r="F207" s="994" t="s">
        <v>420</v>
      </c>
      <c r="G207" s="994" t="s">
        <v>1129</v>
      </c>
      <c r="H207" s="993" t="s">
        <v>468</v>
      </c>
      <c r="I207" s="1023">
        <f>14+18</f>
        <v>32</v>
      </c>
      <c r="J207" s="1036"/>
      <c r="K207" s="1038" t="str">
        <f t="shared" si="110"/>
        <v>Included</v>
      </c>
      <c r="L207" s="953">
        <f t="shared" si="111"/>
        <v>0</v>
      </c>
      <c r="M207" s="847">
        <f t="shared" si="108"/>
        <v>0</v>
      </c>
      <c r="N207" s="847">
        <f t="shared" si="109"/>
        <v>0</v>
      </c>
    </row>
    <row r="208" spans="1:14" ht="31.5">
      <c r="A208" s="952">
        <v>995412</v>
      </c>
      <c r="B208" s="809"/>
      <c r="C208" s="831">
        <v>0.18</v>
      </c>
      <c r="D208" s="828" t="s">
        <v>205</v>
      </c>
      <c r="E208" s="994">
        <v>180</v>
      </c>
      <c r="F208" s="994" t="s">
        <v>422</v>
      </c>
      <c r="G208" s="994" t="s">
        <v>1130</v>
      </c>
      <c r="H208" s="993" t="s">
        <v>468</v>
      </c>
      <c r="I208" s="1023">
        <f>10+6</f>
        <v>16</v>
      </c>
      <c r="J208" s="1036"/>
      <c r="K208" s="1038" t="str">
        <f t="shared" si="110"/>
        <v>Included</v>
      </c>
      <c r="L208" s="953">
        <f t="shared" si="111"/>
        <v>0</v>
      </c>
      <c r="M208" s="847">
        <f t="shared" ref="M208:M271" si="114">IF(K208="Included",0,K208)</f>
        <v>0</v>
      </c>
      <c r="N208" s="847">
        <f t="shared" ref="N208:N271" si="115">IF(C208="confirmed",(M208*B208),(M208*C208))</f>
        <v>0</v>
      </c>
    </row>
    <row r="209" spans="1:14" ht="78.75">
      <c r="A209" s="952">
        <v>995424</v>
      </c>
      <c r="B209" s="809"/>
      <c r="C209" s="831">
        <v>0.18</v>
      </c>
      <c r="D209" s="828" t="s">
        <v>205</v>
      </c>
      <c r="E209" s="994">
        <v>181</v>
      </c>
      <c r="F209" s="994" t="s">
        <v>424</v>
      </c>
      <c r="G209" s="994" t="s">
        <v>1131</v>
      </c>
      <c r="H209" s="993" t="s">
        <v>512</v>
      </c>
      <c r="I209" s="1023">
        <f>5+5</f>
        <v>10</v>
      </c>
      <c r="J209" s="1036"/>
      <c r="K209" s="1038" t="str">
        <f t="shared" si="110"/>
        <v>Included</v>
      </c>
      <c r="L209" s="953">
        <f t="shared" si="111"/>
        <v>0</v>
      </c>
      <c r="M209" s="847">
        <f t="shared" si="114"/>
        <v>0</v>
      </c>
      <c r="N209" s="847">
        <f t="shared" si="115"/>
        <v>0</v>
      </c>
    </row>
    <row r="210" spans="1:14" ht="47.25">
      <c r="A210" s="952">
        <v>995416</v>
      </c>
      <c r="B210" s="809"/>
      <c r="C210" s="831">
        <v>0.18</v>
      </c>
      <c r="D210" s="828" t="s">
        <v>205</v>
      </c>
      <c r="E210" s="994">
        <v>182</v>
      </c>
      <c r="F210" s="994" t="s">
        <v>426</v>
      </c>
      <c r="G210" s="994" t="s">
        <v>1132</v>
      </c>
      <c r="H210" s="993" t="s">
        <v>463</v>
      </c>
      <c r="I210" s="1023">
        <v>10</v>
      </c>
      <c r="J210" s="1036"/>
      <c r="K210" s="1038" t="str">
        <f t="shared" si="110"/>
        <v>Included</v>
      </c>
      <c r="L210" s="953">
        <f t="shared" si="111"/>
        <v>0</v>
      </c>
      <c r="M210" s="847">
        <f t="shared" si="114"/>
        <v>0</v>
      </c>
      <c r="N210" s="847">
        <f t="shared" si="115"/>
        <v>0</v>
      </c>
    </row>
    <row r="211" spans="1:14" ht="47.25">
      <c r="A211" s="952">
        <v>995478</v>
      </c>
      <c r="B211" s="809"/>
      <c r="C211" s="831">
        <v>0.18</v>
      </c>
      <c r="D211" s="828" t="s">
        <v>205</v>
      </c>
      <c r="E211" s="994">
        <v>183</v>
      </c>
      <c r="F211" s="994" t="s">
        <v>428</v>
      </c>
      <c r="G211" s="994" t="s">
        <v>1133</v>
      </c>
      <c r="H211" s="993" t="s">
        <v>463</v>
      </c>
      <c r="I211" s="1023">
        <v>60</v>
      </c>
      <c r="J211" s="1036"/>
      <c r="K211" s="1038" t="str">
        <f t="shared" si="110"/>
        <v>Included</v>
      </c>
      <c r="L211" s="953">
        <f t="shared" si="111"/>
        <v>0</v>
      </c>
      <c r="M211" s="847">
        <f t="shared" si="114"/>
        <v>0</v>
      </c>
      <c r="N211" s="847">
        <f t="shared" si="115"/>
        <v>0</v>
      </c>
    </row>
    <row r="212" spans="1:14" ht="47.25">
      <c r="A212" s="952">
        <v>995416</v>
      </c>
      <c r="B212" s="809"/>
      <c r="C212" s="831">
        <v>0.18</v>
      </c>
      <c r="D212" s="828" t="s">
        <v>205</v>
      </c>
      <c r="E212" s="994">
        <v>184</v>
      </c>
      <c r="F212" s="994" t="s">
        <v>430</v>
      </c>
      <c r="G212" s="994" t="s">
        <v>1134</v>
      </c>
      <c r="H212" s="993" t="s">
        <v>463</v>
      </c>
      <c r="I212" s="1023">
        <v>30</v>
      </c>
      <c r="J212" s="1036"/>
      <c r="K212" s="1038" t="str">
        <f t="shared" si="110"/>
        <v>Included</v>
      </c>
      <c r="L212" s="953">
        <f t="shared" si="111"/>
        <v>0</v>
      </c>
      <c r="M212" s="847">
        <f t="shared" si="114"/>
        <v>0</v>
      </c>
      <c r="N212" s="847">
        <f t="shared" si="115"/>
        <v>0</v>
      </c>
    </row>
    <row r="213" spans="1:14" ht="47.25">
      <c r="A213" s="952">
        <v>995421</v>
      </c>
      <c r="B213" s="809"/>
      <c r="C213" s="831">
        <v>0.18</v>
      </c>
      <c r="D213" s="828" t="s">
        <v>205</v>
      </c>
      <c r="E213" s="994">
        <v>185</v>
      </c>
      <c r="F213" s="994" t="s">
        <v>432</v>
      </c>
      <c r="G213" s="994" t="s">
        <v>1135</v>
      </c>
      <c r="H213" s="993" t="s">
        <v>463</v>
      </c>
      <c r="I213" s="1023">
        <v>15</v>
      </c>
      <c r="J213" s="1036"/>
      <c r="K213" s="1038" t="str">
        <f t="shared" si="110"/>
        <v>Included</v>
      </c>
      <c r="L213" s="953">
        <f t="shared" si="111"/>
        <v>0</v>
      </c>
      <c r="M213" s="847">
        <f t="shared" si="114"/>
        <v>0</v>
      </c>
      <c r="N213" s="847">
        <f t="shared" si="115"/>
        <v>0</v>
      </c>
    </row>
    <row r="214" spans="1:14" ht="47.25">
      <c r="A214" s="952">
        <v>995416</v>
      </c>
      <c r="B214" s="809"/>
      <c r="C214" s="831">
        <v>0.18</v>
      </c>
      <c r="D214" s="828" t="s">
        <v>205</v>
      </c>
      <c r="E214" s="994">
        <v>186</v>
      </c>
      <c r="F214" s="994" t="s">
        <v>434</v>
      </c>
      <c r="G214" s="994" t="s">
        <v>1136</v>
      </c>
      <c r="H214" s="993" t="s">
        <v>107</v>
      </c>
      <c r="I214" s="1023">
        <v>4</v>
      </c>
      <c r="J214" s="1036"/>
      <c r="K214" s="1038" t="str">
        <f t="shared" si="110"/>
        <v>Included</v>
      </c>
      <c r="L214" s="953">
        <f t="shared" si="111"/>
        <v>0</v>
      </c>
      <c r="M214" s="847">
        <f t="shared" si="114"/>
        <v>0</v>
      </c>
      <c r="N214" s="847">
        <f t="shared" si="115"/>
        <v>0</v>
      </c>
    </row>
    <row r="215" spans="1:14" ht="31.5">
      <c r="A215" s="952">
        <v>995476</v>
      </c>
      <c r="B215" s="809"/>
      <c r="C215" s="831">
        <v>0.18</v>
      </c>
      <c r="D215" s="828" t="s">
        <v>205</v>
      </c>
      <c r="E215" s="994">
        <v>187</v>
      </c>
      <c r="F215" s="994" t="s">
        <v>436</v>
      </c>
      <c r="G215" s="994" t="s">
        <v>1137</v>
      </c>
      <c r="H215" s="993" t="s">
        <v>514</v>
      </c>
      <c r="I215" s="1023">
        <v>30</v>
      </c>
      <c r="J215" s="1036"/>
      <c r="K215" s="1038" t="str">
        <f t="shared" si="110"/>
        <v>Included</v>
      </c>
      <c r="L215" s="953">
        <f t="shared" si="111"/>
        <v>0</v>
      </c>
      <c r="M215" s="847">
        <f t="shared" si="114"/>
        <v>0</v>
      </c>
      <c r="N215" s="847">
        <f t="shared" si="115"/>
        <v>0</v>
      </c>
    </row>
    <row r="216" spans="1:14" ht="31.5">
      <c r="A216" s="952">
        <v>995411</v>
      </c>
      <c r="B216" s="809"/>
      <c r="C216" s="831">
        <v>0.18</v>
      </c>
      <c r="D216" s="828" t="s">
        <v>205</v>
      </c>
      <c r="E216" s="994">
        <v>188</v>
      </c>
      <c r="F216" s="994" t="s">
        <v>1138</v>
      </c>
      <c r="G216" s="994" t="s">
        <v>1139</v>
      </c>
      <c r="H216" s="993" t="s">
        <v>468</v>
      </c>
      <c r="I216" s="1023">
        <v>4</v>
      </c>
      <c r="J216" s="1036"/>
      <c r="K216" s="1038" t="str">
        <f t="shared" si="110"/>
        <v>Included</v>
      </c>
      <c r="L216" s="953">
        <f t="shared" si="111"/>
        <v>0</v>
      </c>
      <c r="M216" s="847">
        <f t="shared" si="114"/>
        <v>0</v>
      </c>
      <c r="N216" s="847">
        <f t="shared" si="115"/>
        <v>0</v>
      </c>
    </row>
    <row r="217" spans="1:14" ht="31.5">
      <c r="A217" s="952">
        <v>995468</v>
      </c>
      <c r="B217" s="809"/>
      <c r="C217" s="831">
        <v>0.18</v>
      </c>
      <c r="D217" s="828" t="s">
        <v>205</v>
      </c>
      <c r="E217" s="994">
        <v>189</v>
      </c>
      <c r="F217" s="994" t="s">
        <v>1140</v>
      </c>
      <c r="G217" s="994" t="s">
        <v>1141</v>
      </c>
      <c r="H217" s="993" t="s">
        <v>468</v>
      </c>
      <c r="I217" s="1023">
        <v>4</v>
      </c>
      <c r="J217" s="1036"/>
      <c r="K217" s="1038" t="str">
        <f t="shared" si="110"/>
        <v>Included</v>
      </c>
      <c r="L217" s="953">
        <f t="shared" si="111"/>
        <v>0</v>
      </c>
      <c r="M217" s="847">
        <f t="shared" si="114"/>
        <v>0</v>
      </c>
      <c r="N217" s="847">
        <f t="shared" si="115"/>
        <v>0</v>
      </c>
    </row>
    <row r="218" spans="1:14" ht="31.5">
      <c r="A218" s="952">
        <v>995478</v>
      </c>
      <c r="B218" s="809"/>
      <c r="C218" s="831">
        <v>0.18</v>
      </c>
      <c r="D218" s="828" t="s">
        <v>205</v>
      </c>
      <c r="E218" s="994">
        <v>190</v>
      </c>
      <c r="F218" s="994" t="s">
        <v>1142</v>
      </c>
      <c r="G218" s="994" t="s">
        <v>1143</v>
      </c>
      <c r="H218" s="993" t="s">
        <v>468</v>
      </c>
      <c r="I218" s="1023">
        <v>6</v>
      </c>
      <c r="J218" s="1036"/>
      <c r="K218" s="1038" t="str">
        <f t="shared" si="110"/>
        <v>Included</v>
      </c>
      <c r="L218" s="953">
        <f t="shared" si="111"/>
        <v>0</v>
      </c>
      <c r="M218" s="847">
        <f t="shared" si="114"/>
        <v>0</v>
      </c>
      <c r="N218" s="847">
        <f t="shared" si="115"/>
        <v>0</v>
      </c>
    </row>
    <row r="219" spans="1:14" ht="31.5">
      <c r="A219" s="952">
        <v>995413</v>
      </c>
      <c r="B219" s="809"/>
      <c r="C219" s="831">
        <v>0.18</v>
      </c>
      <c r="D219" s="828" t="s">
        <v>205</v>
      </c>
      <c r="E219" s="994">
        <v>191</v>
      </c>
      <c r="F219" s="994" t="s">
        <v>1144</v>
      </c>
      <c r="G219" s="994" t="s">
        <v>1145</v>
      </c>
      <c r="H219" s="993" t="s">
        <v>1167</v>
      </c>
      <c r="I219" s="1023">
        <v>19</v>
      </c>
      <c r="J219" s="1036"/>
      <c r="K219" s="1038" t="str">
        <f t="shared" si="110"/>
        <v>Included</v>
      </c>
      <c r="L219" s="953">
        <f t="shared" si="111"/>
        <v>0</v>
      </c>
      <c r="M219" s="847">
        <f t="shared" si="114"/>
        <v>0</v>
      </c>
      <c r="N219" s="847">
        <f t="shared" si="115"/>
        <v>0</v>
      </c>
    </row>
    <row r="220" spans="1:14" ht="31.5">
      <c r="A220" s="952">
        <v>995476</v>
      </c>
      <c r="B220" s="809"/>
      <c r="C220" s="831">
        <v>0.18</v>
      </c>
      <c r="D220" s="828" t="s">
        <v>205</v>
      </c>
      <c r="E220" s="994">
        <v>192</v>
      </c>
      <c r="F220" s="994" t="s">
        <v>1146</v>
      </c>
      <c r="G220" s="994" t="s">
        <v>1137</v>
      </c>
      <c r="H220" s="993" t="s">
        <v>514</v>
      </c>
      <c r="I220" s="1023">
        <v>20</v>
      </c>
      <c r="J220" s="1036"/>
      <c r="K220" s="1038" t="str">
        <f t="shared" si="110"/>
        <v>Included</v>
      </c>
      <c r="L220" s="953">
        <f t="shared" si="111"/>
        <v>0</v>
      </c>
      <c r="M220" s="847">
        <f t="shared" si="114"/>
        <v>0</v>
      </c>
      <c r="N220" s="847">
        <f t="shared" si="115"/>
        <v>0</v>
      </c>
    </row>
    <row r="221" spans="1:14" ht="31.5">
      <c r="A221" s="952">
        <v>995411</v>
      </c>
      <c r="B221" s="809"/>
      <c r="C221" s="831">
        <v>0.18</v>
      </c>
      <c r="D221" s="828" t="s">
        <v>205</v>
      </c>
      <c r="E221" s="994">
        <v>193</v>
      </c>
      <c r="F221" s="994" t="s">
        <v>1147</v>
      </c>
      <c r="G221" s="994" t="s">
        <v>1148</v>
      </c>
      <c r="H221" s="993" t="s">
        <v>468</v>
      </c>
      <c r="I221" s="1023">
        <v>4</v>
      </c>
      <c r="J221" s="1036"/>
      <c r="K221" s="1038" t="str">
        <f t="shared" si="110"/>
        <v>Included</v>
      </c>
      <c r="L221" s="953">
        <f t="shared" si="111"/>
        <v>0</v>
      </c>
      <c r="M221" s="847">
        <f t="shared" si="114"/>
        <v>0</v>
      </c>
      <c r="N221" s="847">
        <f t="shared" si="115"/>
        <v>0</v>
      </c>
    </row>
    <row r="222" spans="1:14" ht="31.5">
      <c r="A222" s="952">
        <v>995478</v>
      </c>
      <c r="B222" s="809"/>
      <c r="C222" s="831">
        <v>0.18</v>
      </c>
      <c r="D222" s="828" t="s">
        <v>205</v>
      </c>
      <c r="E222" s="994">
        <v>194</v>
      </c>
      <c r="F222" s="994" t="s">
        <v>1149</v>
      </c>
      <c r="G222" s="994" t="s">
        <v>1150</v>
      </c>
      <c r="H222" s="993" t="s">
        <v>468</v>
      </c>
      <c r="I222" s="1023">
        <v>4</v>
      </c>
      <c r="J222" s="1036"/>
      <c r="K222" s="1038" t="str">
        <f t="shared" si="110"/>
        <v>Included</v>
      </c>
      <c r="L222" s="953">
        <f t="shared" si="111"/>
        <v>0</v>
      </c>
      <c r="M222" s="847">
        <f t="shared" si="114"/>
        <v>0</v>
      </c>
      <c r="N222" s="847">
        <f t="shared" si="115"/>
        <v>0</v>
      </c>
    </row>
    <row r="223" spans="1:14" ht="78.75">
      <c r="A223" s="952">
        <v>995474</v>
      </c>
      <c r="B223" s="809"/>
      <c r="C223" s="831">
        <v>0.18</v>
      </c>
      <c r="D223" s="828" t="s">
        <v>205</v>
      </c>
      <c r="E223" s="994">
        <v>195</v>
      </c>
      <c r="F223" s="994" t="s">
        <v>1151</v>
      </c>
      <c r="G223" s="994" t="s">
        <v>1152</v>
      </c>
      <c r="H223" s="993" t="s">
        <v>514</v>
      </c>
      <c r="I223" s="1023">
        <v>12</v>
      </c>
      <c r="J223" s="1036"/>
      <c r="K223" s="1038" t="str">
        <f t="shared" si="110"/>
        <v>Included</v>
      </c>
      <c r="L223" s="953">
        <f t="shared" si="111"/>
        <v>0</v>
      </c>
      <c r="M223" s="847">
        <f t="shared" si="114"/>
        <v>0</v>
      </c>
      <c r="N223" s="847">
        <f t="shared" si="115"/>
        <v>0</v>
      </c>
    </row>
    <row r="224" spans="1:14" ht="204.75">
      <c r="A224" s="952">
        <v>995476</v>
      </c>
      <c r="B224" s="809"/>
      <c r="C224" s="831">
        <v>0.18</v>
      </c>
      <c r="D224" s="828" t="s">
        <v>205</v>
      </c>
      <c r="E224" s="994">
        <v>196</v>
      </c>
      <c r="F224" s="994" t="s">
        <v>1153</v>
      </c>
      <c r="G224" s="994" t="s">
        <v>1154</v>
      </c>
      <c r="H224" s="996" t="s">
        <v>514</v>
      </c>
      <c r="I224" s="1023">
        <v>8</v>
      </c>
      <c r="J224" s="1036"/>
      <c r="K224" s="1038" t="str">
        <f t="shared" si="110"/>
        <v>Included</v>
      </c>
      <c r="L224" s="953">
        <f t="shared" si="111"/>
        <v>0</v>
      </c>
      <c r="M224" s="847">
        <f t="shared" si="114"/>
        <v>0</v>
      </c>
      <c r="N224" s="847">
        <f t="shared" si="115"/>
        <v>0</v>
      </c>
    </row>
    <row r="225" spans="1:14" ht="126">
      <c r="A225" s="952">
        <v>995476</v>
      </c>
      <c r="B225" s="809"/>
      <c r="C225" s="831">
        <v>0.18</v>
      </c>
      <c r="D225" s="828" t="s">
        <v>205</v>
      </c>
      <c r="E225" s="994">
        <v>197</v>
      </c>
      <c r="F225" s="994" t="s">
        <v>1155</v>
      </c>
      <c r="G225" s="994" t="s">
        <v>1156</v>
      </c>
      <c r="H225" s="996" t="s">
        <v>514</v>
      </c>
      <c r="I225" s="1023">
        <v>40</v>
      </c>
      <c r="J225" s="1036"/>
      <c r="K225" s="1038" t="str">
        <f t="shared" si="110"/>
        <v>Included</v>
      </c>
      <c r="L225" s="953">
        <f t="shared" si="111"/>
        <v>0</v>
      </c>
      <c r="M225" s="847">
        <f t="shared" si="114"/>
        <v>0</v>
      </c>
      <c r="N225" s="847">
        <f t="shared" si="115"/>
        <v>0</v>
      </c>
    </row>
    <row r="226" spans="1:14" ht="47.25">
      <c r="A226" s="952">
        <v>995478</v>
      </c>
      <c r="B226" s="809"/>
      <c r="C226" s="831">
        <v>0.18</v>
      </c>
      <c r="D226" s="828" t="s">
        <v>205</v>
      </c>
      <c r="E226" s="994">
        <v>198</v>
      </c>
      <c r="F226" s="994" t="s">
        <v>1157</v>
      </c>
      <c r="G226" s="994" t="s">
        <v>1158</v>
      </c>
      <c r="H226" s="996" t="s">
        <v>514</v>
      </c>
      <c r="I226" s="1023">
        <v>29</v>
      </c>
      <c r="J226" s="1036"/>
      <c r="K226" s="1038" t="str">
        <f t="shared" si="110"/>
        <v>Included</v>
      </c>
      <c r="L226" s="953">
        <f t="shared" si="111"/>
        <v>0</v>
      </c>
      <c r="M226" s="847">
        <f t="shared" si="114"/>
        <v>0</v>
      </c>
      <c r="N226" s="847">
        <f t="shared" si="115"/>
        <v>0</v>
      </c>
    </row>
    <row r="227" spans="1:14" ht="47.25">
      <c r="A227" s="952">
        <v>995478</v>
      </c>
      <c r="B227" s="809"/>
      <c r="C227" s="831">
        <v>0.18</v>
      </c>
      <c r="D227" s="828" t="s">
        <v>205</v>
      </c>
      <c r="E227" s="994">
        <v>199</v>
      </c>
      <c r="F227" s="994" t="s">
        <v>1159</v>
      </c>
      <c r="G227" s="994" t="s">
        <v>1160</v>
      </c>
      <c r="H227" s="993" t="s">
        <v>468</v>
      </c>
      <c r="I227" s="1023">
        <v>4</v>
      </c>
      <c r="J227" s="1036"/>
      <c r="K227" s="1038" t="str">
        <f t="shared" si="110"/>
        <v>Included</v>
      </c>
      <c r="L227" s="953">
        <f t="shared" si="111"/>
        <v>0</v>
      </c>
      <c r="M227" s="847">
        <f t="shared" si="114"/>
        <v>0</v>
      </c>
      <c r="N227" s="847">
        <f t="shared" si="115"/>
        <v>0</v>
      </c>
    </row>
    <row r="228" spans="1:14" ht="23.25" customHeight="1">
      <c r="A228" s="1235" t="s">
        <v>1266</v>
      </c>
      <c r="B228" s="1236"/>
      <c r="C228" s="1236"/>
      <c r="D228" s="1236"/>
      <c r="E228" s="1236"/>
      <c r="F228" s="1236"/>
      <c r="G228" s="1236"/>
      <c r="H228" s="1236"/>
      <c r="I228" s="1236"/>
      <c r="J228" s="1236"/>
      <c r="K228" s="1039">
        <f>SUM(K203:K227)</f>
        <v>0</v>
      </c>
      <c r="L228" s="1039">
        <f>SUM(L203:L227)</f>
        <v>0</v>
      </c>
      <c r="M228" s="847">
        <f t="shared" si="114"/>
        <v>0</v>
      </c>
      <c r="N228" s="847">
        <f t="shared" si="115"/>
        <v>0</v>
      </c>
    </row>
    <row r="229" spans="1:14" ht="27" customHeight="1">
      <c r="A229" s="1235" t="s">
        <v>1268</v>
      </c>
      <c r="B229" s="1236"/>
      <c r="C229" s="1236"/>
      <c r="D229" s="1236"/>
      <c r="E229" s="1236"/>
      <c r="F229" s="1236"/>
      <c r="G229" s="1236"/>
      <c r="H229" s="1236"/>
      <c r="I229" s="1236"/>
      <c r="J229" s="1236"/>
      <c r="K229" s="1039">
        <f>K201+K228</f>
        <v>0</v>
      </c>
      <c r="L229" s="1039">
        <f>L201+L228</f>
        <v>0</v>
      </c>
      <c r="M229" s="847">
        <f t="shared" si="114"/>
        <v>0</v>
      </c>
      <c r="N229" s="847">
        <f t="shared" si="115"/>
        <v>0</v>
      </c>
    </row>
    <row r="230" spans="1:14" ht="24.75" customHeight="1">
      <c r="A230" s="1221" t="s">
        <v>1267</v>
      </c>
      <c r="B230" s="1222"/>
      <c r="C230" s="1222"/>
      <c r="D230" s="1222"/>
      <c r="E230" s="1222"/>
      <c r="F230" s="1222"/>
      <c r="G230" s="1222"/>
      <c r="H230" s="1222"/>
      <c r="I230" s="1222"/>
      <c r="J230" s="1222"/>
      <c r="K230" s="1222"/>
      <c r="L230" s="1223"/>
      <c r="M230" s="847">
        <f t="shared" si="114"/>
        <v>0</v>
      </c>
      <c r="N230" s="847">
        <f t="shared" si="115"/>
        <v>0</v>
      </c>
    </row>
    <row r="231" spans="1:14" ht="47.25">
      <c r="A231" s="952">
        <v>995461</v>
      </c>
      <c r="B231" s="809"/>
      <c r="C231" s="831">
        <v>0.18</v>
      </c>
      <c r="D231" s="828" t="s">
        <v>205</v>
      </c>
      <c r="E231" s="802">
        <v>1</v>
      </c>
      <c r="F231" s="1069" t="s">
        <v>533</v>
      </c>
      <c r="G231" s="1018" t="s">
        <v>1169</v>
      </c>
      <c r="H231" s="995" t="s">
        <v>463</v>
      </c>
      <c r="I231" s="1023">
        <v>216</v>
      </c>
      <c r="J231" s="1036"/>
      <c r="K231" s="1038" t="str">
        <f>IF(J231=0, "Included", IF(ISERROR(I231*J231), J231, I231*J231))</f>
        <v>Included</v>
      </c>
      <c r="L231" s="953">
        <f>N231</f>
        <v>0</v>
      </c>
      <c r="M231" s="847">
        <f t="shared" si="114"/>
        <v>0</v>
      </c>
      <c r="N231" s="847">
        <f t="shared" si="115"/>
        <v>0</v>
      </c>
    </row>
    <row r="232" spans="1:14" ht="47.25">
      <c r="A232" s="952">
        <v>995461</v>
      </c>
      <c r="B232" s="809"/>
      <c r="C232" s="831">
        <v>0.18</v>
      </c>
      <c r="D232" s="828" t="s">
        <v>205</v>
      </c>
      <c r="E232" s="802">
        <v>2</v>
      </c>
      <c r="F232" s="1069" t="s">
        <v>461</v>
      </c>
      <c r="G232" s="1018" t="s">
        <v>1170</v>
      </c>
      <c r="H232" s="995" t="s">
        <v>463</v>
      </c>
      <c r="I232" s="1023">
        <v>300</v>
      </c>
      <c r="J232" s="1036"/>
      <c r="K232" s="1038" t="str">
        <f t="shared" ref="K232:K516" si="116">IF(J232=0, "Included", IF(ISERROR(I232*J232), J232, I232*J232))</f>
        <v>Included</v>
      </c>
      <c r="L232" s="953">
        <f t="shared" ref="L232:L516" si="117">N232</f>
        <v>0</v>
      </c>
      <c r="M232" s="847">
        <f t="shared" si="114"/>
        <v>0</v>
      </c>
      <c r="N232" s="847">
        <f t="shared" si="115"/>
        <v>0</v>
      </c>
    </row>
    <row r="233" spans="1:14" ht="47.25">
      <c r="A233" s="952">
        <v>995424</v>
      </c>
      <c r="B233" s="809"/>
      <c r="C233" s="831">
        <v>0.18</v>
      </c>
      <c r="D233" s="828" t="s">
        <v>205</v>
      </c>
      <c r="E233" s="802">
        <v>3</v>
      </c>
      <c r="F233" s="1069" t="s">
        <v>1171</v>
      </c>
      <c r="G233" s="1018" t="s">
        <v>1172</v>
      </c>
      <c r="H233" s="995" t="s">
        <v>463</v>
      </c>
      <c r="I233" s="1023">
        <v>216</v>
      </c>
      <c r="J233" s="1036"/>
      <c r="K233" s="1038" t="str">
        <f t="shared" si="116"/>
        <v>Included</v>
      </c>
      <c r="L233" s="953">
        <f t="shared" si="117"/>
        <v>0</v>
      </c>
      <c r="M233" s="847">
        <f t="shared" si="114"/>
        <v>0</v>
      </c>
      <c r="N233" s="847">
        <f t="shared" si="115"/>
        <v>0</v>
      </c>
    </row>
    <row r="234" spans="1:14" ht="47.25">
      <c r="A234" s="952">
        <v>995424</v>
      </c>
      <c r="B234" s="809"/>
      <c r="C234" s="831">
        <v>0.18</v>
      </c>
      <c r="D234" s="828" t="s">
        <v>205</v>
      </c>
      <c r="E234" s="802">
        <v>4</v>
      </c>
      <c r="F234" s="1069">
        <v>1.19</v>
      </c>
      <c r="G234" s="1018" t="s">
        <v>1173</v>
      </c>
      <c r="H234" s="995" t="s">
        <v>463</v>
      </c>
      <c r="I234" s="1023">
        <v>216</v>
      </c>
      <c r="J234" s="1036"/>
      <c r="K234" s="1038" t="str">
        <f t="shared" si="116"/>
        <v>Included</v>
      </c>
      <c r="L234" s="953">
        <f t="shared" si="117"/>
        <v>0</v>
      </c>
      <c r="M234" s="847">
        <f t="shared" si="114"/>
        <v>0</v>
      </c>
      <c r="N234" s="847">
        <f t="shared" si="115"/>
        <v>0</v>
      </c>
    </row>
    <row r="235" spans="1:14" ht="47.25">
      <c r="A235" s="952">
        <v>995461</v>
      </c>
      <c r="B235" s="809"/>
      <c r="C235" s="831">
        <v>0.18</v>
      </c>
      <c r="D235" s="828" t="s">
        <v>205</v>
      </c>
      <c r="E235" s="802">
        <v>5</v>
      </c>
      <c r="F235" s="1069" t="s">
        <v>454</v>
      </c>
      <c r="G235" s="1018" t="s">
        <v>1174</v>
      </c>
      <c r="H235" s="995" t="s">
        <v>463</v>
      </c>
      <c r="I235" s="1023">
        <v>358</v>
      </c>
      <c r="J235" s="1036"/>
      <c r="K235" s="1038" t="str">
        <f t="shared" si="116"/>
        <v>Included</v>
      </c>
      <c r="L235" s="953">
        <f t="shared" si="117"/>
        <v>0</v>
      </c>
      <c r="M235" s="847">
        <f t="shared" si="114"/>
        <v>0</v>
      </c>
      <c r="N235" s="847">
        <f t="shared" si="115"/>
        <v>0</v>
      </c>
    </row>
    <row r="236" spans="1:14" ht="47.25">
      <c r="A236" s="952">
        <v>995461</v>
      </c>
      <c r="B236" s="809"/>
      <c r="C236" s="831">
        <v>0.18</v>
      </c>
      <c r="D236" s="828" t="s">
        <v>205</v>
      </c>
      <c r="E236" s="802">
        <v>6</v>
      </c>
      <c r="F236" s="1069" t="s">
        <v>456</v>
      </c>
      <c r="G236" s="1018" t="s">
        <v>1175</v>
      </c>
      <c r="H236" s="995" t="s">
        <v>463</v>
      </c>
      <c r="I236" s="1023">
        <v>310</v>
      </c>
      <c r="J236" s="1036"/>
      <c r="K236" s="1038" t="str">
        <f t="shared" si="116"/>
        <v>Included</v>
      </c>
      <c r="L236" s="953">
        <f t="shared" si="117"/>
        <v>0</v>
      </c>
      <c r="M236" s="847">
        <f t="shared" si="114"/>
        <v>0</v>
      </c>
      <c r="N236" s="847">
        <f t="shared" si="115"/>
        <v>0</v>
      </c>
    </row>
    <row r="237" spans="1:14" ht="47.25">
      <c r="A237" s="952">
        <v>995461</v>
      </c>
      <c r="B237" s="809"/>
      <c r="C237" s="831">
        <v>0.18</v>
      </c>
      <c r="D237" s="828" t="s">
        <v>205</v>
      </c>
      <c r="E237" s="802">
        <v>7</v>
      </c>
      <c r="F237" s="1069" t="s">
        <v>1176</v>
      </c>
      <c r="G237" s="1018" t="s">
        <v>1177</v>
      </c>
      <c r="H237" s="995" t="s">
        <v>463</v>
      </c>
      <c r="I237" s="1023">
        <v>119</v>
      </c>
      <c r="J237" s="1036"/>
      <c r="K237" s="1038" t="str">
        <f t="shared" si="116"/>
        <v>Included</v>
      </c>
      <c r="L237" s="953">
        <f t="shared" si="117"/>
        <v>0</v>
      </c>
      <c r="M237" s="847">
        <f t="shared" si="114"/>
        <v>0</v>
      </c>
      <c r="N237" s="847">
        <f t="shared" si="115"/>
        <v>0</v>
      </c>
    </row>
    <row r="238" spans="1:14" ht="47.25">
      <c r="A238" s="952">
        <v>995461</v>
      </c>
      <c r="B238" s="809"/>
      <c r="C238" s="831">
        <v>0.18</v>
      </c>
      <c r="D238" s="828" t="s">
        <v>205</v>
      </c>
      <c r="E238" s="802">
        <v>8</v>
      </c>
      <c r="F238" s="1069" t="s">
        <v>531</v>
      </c>
      <c r="G238" s="1018" t="s">
        <v>1178</v>
      </c>
      <c r="H238" s="995" t="s">
        <v>532</v>
      </c>
      <c r="I238" s="1023">
        <v>140</v>
      </c>
      <c r="J238" s="1036"/>
      <c r="K238" s="1038" t="str">
        <f t="shared" si="116"/>
        <v>Included</v>
      </c>
      <c r="L238" s="953">
        <f t="shared" si="117"/>
        <v>0</v>
      </c>
      <c r="M238" s="847">
        <f t="shared" si="114"/>
        <v>0</v>
      </c>
      <c r="N238" s="847">
        <f t="shared" si="115"/>
        <v>0</v>
      </c>
    </row>
    <row r="239" spans="1:14" ht="47.25">
      <c r="A239" s="952">
        <v>995461</v>
      </c>
      <c r="B239" s="809"/>
      <c r="C239" s="831">
        <v>0.18</v>
      </c>
      <c r="D239" s="828" t="s">
        <v>205</v>
      </c>
      <c r="E239" s="802">
        <v>9</v>
      </c>
      <c r="F239" s="1069" t="s">
        <v>442</v>
      </c>
      <c r="G239" s="1018" t="s">
        <v>1179</v>
      </c>
      <c r="H239" s="995" t="s">
        <v>532</v>
      </c>
      <c r="I239" s="1023">
        <v>52</v>
      </c>
      <c r="J239" s="1036"/>
      <c r="K239" s="1038" t="str">
        <f t="shared" si="116"/>
        <v>Included</v>
      </c>
      <c r="L239" s="953">
        <f t="shared" si="117"/>
        <v>0</v>
      </c>
      <c r="M239" s="847">
        <f t="shared" si="114"/>
        <v>0</v>
      </c>
      <c r="N239" s="847">
        <f t="shared" si="115"/>
        <v>0</v>
      </c>
    </row>
    <row r="240" spans="1:14" ht="63">
      <c r="A240" s="952">
        <v>995461</v>
      </c>
      <c r="B240" s="809"/>
      <c r="C240" s="831">
        <v>0.18</v>
      </c>
      <c r="D240" s="828" t="s">
        <v>205</v>
      </c>
      <c r="E240" s="802">
        <v>10</v>
      </c>
      <c r="F240" s="1069">
        <v>1.1100000000000001</v>
      </c>
      <c r="G240" s="1018" t="s">
        <v>1180</v>
      </c>
      <c r="H240" s="1019" t="s">
        <v>532</v>
      </c>
      <c r="I240" s="1023">
        <v>30</v>
      </c>
      <c r="J240" s="1036"/>
      <c r="K240" s="1038" t="str">
        <f t="shared" si="116"/>
        <v>Included</v>
      </c>
      <c r="L240" s="953">
        <f t="shared" si="117"/>
        <v>0</v>
      </c>
      <c r="M240" s="847">
        <f t="shared" si="114"/>
        <v>0</v>
      </c>
      <c r="N240" s="847">
        <f t="shared" si="115"/>
        <v>0</v>
      </c>
    </row>
    <row r="241" spans="1:14" ht="47.25">
      <c r="A241" s="952">
        <v>995461</v>
      </c>
      <c r="B241" s="809"/>
      <c r="C241" s="831">
        <v>0.18</v>
      </c>
      <c r="D241" s="828" t="s">
        <v>205</v>
      </c>
      <c r="E241" s="802">
        <v>11</v>
      </c>
      <c r="F241" s="1069" t="s">
        <v>1181</v>
      </c>
      <c r="G241" s="1018" t="s">
        <v>1182</v>
      </c>
      <c r="H241" s="995" t="s">
        <v>107</v>
      </c>
      <c r="I241" s="1023">
        <v>32</v>
      </c>
      <c r="J241" s="1036"/>
      <c r="K241" s="1038" t="str">
        <f t="shared" si="116"/>
        <v>Included</v>
      </c>
      <c r="L241" s="953">
        <f t="shared" si="117"/>
        <v>0</v>
      </c>
      <c r="M241" s="847">
        <f t="shared" si="114"/>
        <v>0</v>
      </c>
      <c r="N241" s="847">
        <f t="shared" si="115"/>
        <v>0</v>
      </c>
    </row>
    <row r="242" spans="1:14" ht="31.5">
      <c r="A242" s="952">
        <v>995461</v>
      </c>
      <c r="B242" s="809"/>
      <c r="C242" s="831">
        <v>0.18</v>
      </c>
      <c r="D242" s="828" t="s">
        <v>205</v>
      </c>
      <c r="E242" s="802">
        <v>12</v>
      </c>
      <c r="F242" s="1069" t="s">
        <v>1183</v>
      </c>
      <c r="G242" s="1018" t="s">
        <v>1184</v>
      </c>
      <c r="H242" s="1019" t="s">
        <v>107</v>
      </c>
      <c r="I242" s="1023">
        <v>30</v>
      </c>
      <c r="J242" s="1036"/>
      <c r="K242" s="1038" t="str">
        <f t="shared" si="116"/>
        <v>Included</v>
      </c>
      <c r="L242" s="953">
        <f t="shared" si="117"/>
        <v>0</v>
      </c>
      <c r="M242" s="847">
        <f t="shared" si="114"/>
        <v>0</v>
      </c>
      <c r="N242" s="847">
        <f t="shared" si="115"/>
        <v>0</v>
      </c>
    </row>
    <row r="243" spans="1:14" ht="31.5">
      <c r="A243" s="952">
        <v>995461</v>
      </c>
      <c r="B243" s="809"/>
      <c r="C243" s="831">
        <v>0.18</v>
      </c>
      <c r="D243" s="828" t="s">
        <v>205</v>
      </c>
      <c r="E243" s="802">
        <v>13</v>
      </c>
      <c r="F243" s="1069" t="s">
        <v>534</v>
      </c>
      <c r="G243" s="1018" t="s">
        <v>1185</v>
      </c>
      <c r="H243" s="995" t="s">
        <v>492</v>
      </c>
      <c r="I243" s="1023">
        <v>10</v>
      </c>
      <c r="J243" s="1036"/>
      <c r="K243" s="1038" t="str">
        <f t="shared" si="116"/>
        <v>Included</v>
      </c>
      <c r="L243" s="953">
        <f t="shared" si="117"/>
        <v>0</v>
      </c>
      <c r="M243" s="847">
        <f t="shared" si="114"/>
        <v>0</v>
      </c>
      <c r="N243" s="847">
        <f t="shared" si="115"/>
        <v>0</v>
      </c>
    </row>
    <row r="244" spans="1:14" ht="31.5">
      <c r="A244" s="952">
        <v>995461</v>
      </c>
      <c r="B244" s="809"/>
      <c r="C244" s="831">
        <v>0.18</v>
      </c>
      <c r="D244" s="828" t="s">
        <v>205</v>
      </c>
      <c r="E244" s="802">
        <v>14</v>
      </c>
      <c r="F244" s="1069" t="s">
        <v>535</v>
      </c>
      <c r="G244" s="1018" t="s">
        <v>1186</v>
      </c>
      <c r="H244" s="995" t="s">
        <v>492</v>
      </c>
      <c r="I244" s="1023">
        <v>16</v>
      </c>
      <c r="J244" s="1036"/>
      <c r="K244" s="1038" t="str">
        <f t="shared" si="116"/>
        <v>Included</v>
      </c>
      <c r="L244" s="953">
        <f t="shared" si="117"/>
        <v>0</v>
      </c>
      <c r="M244" s="847">
        <f t="shared" si="114"/>
        <v>0</v>
      </c>
      <c r="N244" s="847">
        <f t="shared" si="115"/>
        <v>0</v>
      </c>
    </row>
    <row r="245" spans="1:14" ht="31.5">
      <c r="A245" s="952">
        <v>995461</v>
      </c>
      <c r="B245" s="809"/>
      <c r="C245" s="831">
        <v>0.18</v>
      </c>
      <c r="D245" s="828" t="s">
        <v>205</v>
      </c>
      <c r="E245" s="802">
        <v>15</v>
      </c>
      <c r="F245" s="1069" t="s">
        <v>536</v>
      </c>
      <c r="G245" s="1018" t="s">
        <v>1187</v>
      </c>
      <c r="H245" s="995" t="s">
        <v>492</v>
      </c>
      <c r="I245" s="1023">
        <v>6</v>
      </c>
      <c r="J245" s="1036"/>
      <c r="K245" s="1038" t="str">
        <f t="shared" si="116"/>
        <v>Included</v>
      </c>
      <c r="L245" s="953">
        <f t="shared" si="117"/>
        <v>0</v>
      </c>
      <c r="M245" s="847">
        <f t="shared" si="114"/>
        <v>0</v>
      </c>
      <c r="N245" s="847">
        <f t="shared" si="115"/>
        <v>0</v>
      </c>
    </row>
    <row r="246" spans="1:14" ht="31.5">
      <c r="A246" s="952">
        <v>995461</v>
      </c>
      <c r="B246" s="809"/>
      <c r="C246" s="831">
        <v>0.18</v>
      </c>
      <c r="D246" s="828" t="s">
        <v>205</v>
      </c>
      <c r="E246" s="802">
        <v>16</v>
      </c>
      <c r="F246" s="1069" t="s">
        <v>1188</v>
      </c>
      <c r="G246" s="1018" t="s">
        <v>1189</v>
      </c>
      <c r="H246" s="995" t="s">
        <v>492</v>
      </c>
      <c r="I246" s="1023">
        <v>4</v>
      </c>
      <c r="J246" s="1036"/>
      <c r="K246" s="1038" t="str">
        <f t="shared" si="116"/>
        <v>Included</v>
      </c>
      <c r="L246" s="953">
        <f t="shared" si="117"/>
        <v>0</v>
      </c>
      <c r="M246" s="847">
        <f t="shared" si="114"/>
        <v>0</v>
      </c>
      <c r="N246" s="847">
        <f t="shared" si="115"/>
        <v>0</v>
      </c>
    </row>
    <row r="247" spans="1:14" ht="47.25">
      <c r="A247" s="952">
        <v>995461</v>
      </c>
      <c r="B247" s="809"/>
      <c r="C247" s="831">
        <v>0.18</v>
      </c>
      <c r="D247" s="828" t="s">
        <v>205</v>
      </c>
      <c r="E247" s="802">
        <v>17</v>
      </c>
      <c r="F247" s="1069" t="s">
        <v>466</v>
      </c>
      <c r="G247" s="1018" t="s">
        <v>1190</v>
      </c>
      <c r="H247" s="995" t="s">
        <v>107</v>
      </c>
      <c r="I247" s="1023">
        <v>2432</v>
      </c>
      <c r="J247" s="1036"/>
      <c r="K247" s="1038" t="str">
        <f t="shared" si="116"/>
        <v>Included</v>
      </c>
      <c r="L247" s="953">
        <f t="shared" si="117"/>
        <v>0</v>
      </c>
      <c r="M247" s="847">
        <f t="shared" si="114"/>
        <v>0</v>
      </c>
      <c r="N247" s="847">
        <f t="shared" si="115"/>
        <v>0</v>
      </c>
    </row>
    <row r="248" spans="1:14" ht="47.25">
      <c r="A248" s="952">
        <v>995461</v>
      </c>
      <c r="B248" s="809"/>
      <c r="C248" s="831">
        <v>0.18</v>
      </c>
      <c r="D248" s="828" t="s">
        <v>205</v>
      </c>
      <c r="E248" s="802">
        <v>18</v>
      </c>
      <c r="F248" s="1069" t="s">
        <v>1191</v>
      </c>
      <c r="G248" s="1018" t="s">
        <v>1192</v>
      </c>
      <c r="H248" s="995" t="s">
        <v>107</v>
      </c>
      <c r="I248" s="1023">
        <v>22</v>
      </c>
      <c r="J248" s="1036"/>
      <c r="K248" s="1038" t="str">
        <f t="shared" si="116"/>
        <v>Included</v>
      </c>
      <c r="L248" s="953">
        <f t="shared" si="117"/>
        <v>0</v>
      </c>
      <c r="M248" s="847">
        <f t="shared" si="114"/>
        <v>0</v>
      </c>
      <c r="N248" s="847">
        <f t="shared" si="115"/>
        <v>0</v>
      </c>
    </row>
    <row r="249" spans="1:14" ht="47.25">
      <c r="A249" s="952">
        <v>995461</v>
      </c>
      <c r="B249" s="809"/>
      <c r="C249" s="831">
        <v>0.18</v>
      </c>
      <c r="D249" s="828" t="s">
        <v>205</v>
      </c>
      <c r="E249" s="802">
        <v>19</v>
      </c>
      <c r="F249" s="1069" t="s">
        <v>469</v>
      </c>
      <c r="G249" s="1018" t="s">
        <v>1193</v>
      </c>
      <c r="H249" s="995" t="s">
        <v>107</v>
      </c>
      <c r="I249" s="1023">
        <v>44</v>
      </c>
      <c r="J249" s="1036"/>
      <c r="K249" s="1038" t="str">
        <f t="shared" si="116"/>
        <v>Included</v>
      </c>
      <c r="L249" s="953">
        <f t="shared" si="117"/>
        <v>0</v>
      </c>
      <c r="M249" s="847">
        <f t="shared" si="114"/>
        <v>0</v>
      </c>
      <c r="N249" s="847">
        <f t="shared" si="115"/>
        <v>0</v>
      </c>
    </row>
    <row r="250" spans="1:14" ht="47.25">
      <c r="A250" s="952">
        <v>995461</v>
      </c>
      <c r="B250" s="809"/>
      <c r="C250" s="831">
        <v>0.18</v>
      </c>
      <c r="D250" s="828" t="s">
        <v>205</v>
      </c>
      <c r="E250" s="802">
        <v>20</v>
      </c>
      <c r="F250" s="1069" t="s">
        <v>1194</v>
      </c>
      <c r="G250" s="1018" t="s">
        <v>1195</v>
      </c>
      <c r="H250" s="995" t="s">
        <v>107</v>
      </c>
      <c r="I250" s="1023">
        <v>22</v>
      </c>
      <c r="J250" s="1036"/>
      <c r="K250" s="1038" t="str">
        <f t="shared" si="116"/>
        <v>Included</v>
      </c>
      <c r="L250" s="953">
        <f t="shared" si="117"/>
        <v>0</v>
      </c>
      <c r="M250" s="847">
        <f t="shared" si="114"/>
        <v>0</v>
      </c>
      <c r="N250" s="847">
        <f t="shared" si="115"/>
        <v>0</v>
      </c>
    </row>
    <row r="251" spans="1:14" ht="47.25">
      <c r="A251" s="952">
        <v>995461</v>
      </c>
      <c r="B251" s="809"/>
      <c r="C251" s="831">
        <v>0.18</v>
      </c>
      <c r="D251" s="828" t="s">
        <v>205</v>
      </c>
      <c r="E251" s="802">
        <v>21</v>
      </c>
      <c r="F251" s="1069" t="s">
        <v>471</v>
      </c>
      <c r="G251" s="1018" t="s">
        <v>1196</v>
      </c>
      <c r="H251" s="995" t="s">
        <v>107</v>
      </c>
      <c r="I251" s="1023">
        <v>14</v>
      </c>
      <c r="J251" s="1036"/>
      <c r="K251" s="1038" t="str">
        <f t="shared" si="116"/>
        <v>Included</v>
      </c>
      <c r="L251" s="953">
        <f t="shared" si="117"/>
        <v>0</v>
      </c>
      <c r="M251" s="847">
        <f t="shared" si="114"/>
        <v>0</v>
      </c>
      <c r="N251" s="847">
        <f t="shared" si="115"/>
        <v>0</v>
      </c>
    </row>
    <row r="252" spans="1:14" ht="47.25">
      <c r="A252" s="952">
        <v>995461</v>
      </c>
      <c r="B252" s="809"/>
      <c r="C252" s="831">
        <v>0.18</v>
      </c>
      <c r="D252" s="828" t="s">
        <v>205</v>
      </c>
      <c r="E252" s="802">
        <v>22</v>
      </c>
      <c r="F252" s="1069" t="s">
        <v>1197</v>
      </c>
      <c r="G252" s="1018" t="s">
        <v>1198</v>
      </c>
      <c r="H252" s="995" t="s">
        <v>1214</v>
      </c>
      <c r="I252" s="1023">
        <v>14</v>
      </c>
      <c r="J252" s="1036"/>
      <c r="K252" s="1038" t="str">
        <f t="shared" si="116"/>
        <v>Included</v>
      </c>
      <c r="L252" s="953">
        <f t="shared" si="117"/>
        <v>0</v>
      </c>
      <c r="M252" s="847">
        <f t="shared" si="114"/>
        <v>0</v>
      </c>
      <c r="N252" s="847">
        <f t="shared" si="115"/>
        <v>0</v>
      </c>
    </row>
    <row r="253" spans="1:14" ht="47.25">
      <c r="A253" s="952">
        <v>995461</v>
      </c>
      <c r="B253" s="809"/>
      <c r="C253" s="831">
        <v>0.18</v>
      </c>
      <c r="D253" s="828" t="s">
        <v>205</v>
      </c>
      <c r="E253" s="802">
        <v>23</v>
      </c>
      <c r="F253" s="1069" t="s">
        <v>473</v>
      </c>
      <c r="G253" s="1018" t="s">
        <v>1199</v>
      </c>
      <c r="H253" s="995" t="s">
        <v>107</v>
      </c>
      <c r="I253" s="1023">
        <v>4</v>
      </c>
      <c r="J253" s="1036"/>
      <c r="K253" s="1038" t="str">
        <f t="shared" si="116"/>
        <v>Included</v>
      </c>
      <c r="L253" s="953">
        <f t="shared" si="117"/>
        <v>0</v>
      </c>
      <c r="M253" s="847">
        <f t="shared" si="114"/>
        <v>0</v>
      </c>
      <c r="N253" s="847">
        <f t="shared" si="115"/>
        <v>0</v>
      </c>
    </row>
    <row r="254" spans="1:14" ht="31.5">
      <c r="A254" s="952">
        <v>995461</v>
      </c>
      <c r="B254" s="809"/>
      <c r="C254" s="831">
        <v>0.18</v>
      </c>
      <c r="D254" s="828" t="s">
        <v>205</v>
      </c>
      <c r="E254" s="802">
        <v>24</v>
      </c>
      <c r="F254" s="1069">
        <v>1.38</v>
      </c>
      <c r="G254" s="1018" t="s">
        <v>1200</v>
      </c>
      <c r="H254" s="995" t="s">
        <v>107</v>
      </c>
      <c r="I254" s="1023">
        <v>4</v>
      </c>
      <c r="J254" s="1036"/>
      <c r="K254" s="1038" t="str">
        <f t="shared" si="116"/>
        <v>Included</v>
      </c>
      <c r="L254" s="953">
        <f t="shared" si="117"/>
        <v>0</v>
      </c>
      <c r="M254" s="847">
        <f t="shared" si="114"/>
        <v>0</v>
      </c>
      <c r="N254" s="847">
        <f t="shared" si="115"/>
        <v>0</v>
      </c>
    </row>
    <row r="255" spans="1:14" ht="47.25">
      <c r="A255" s="952">
        <v>995461</v>
      </c>
      <c r="B255" s="809"/>
      <c r="C255" s="831">
        <v>0.18</v>
      </c>
      <c r="D255" s="828" t="s">
        <v>205</v>
      </c>
      <c r="E255" s="802">
        <v>25</v>
      </c>
      <c r="F255" s="1069">
        <v>1.35</v>
      </c>
      <c r="G255" s="1018" t="s">
        <v>1201</v>
      </c>
      <c r="H255" s="995" t="s">
        <v>107</v>
      </c>
      <c r="I255" s="1023">
        <v>103</v>
      </c>
      <c r="J255" s="1036"/>
      <c r="K255" s="1038" t="str">
        <f t="shared" si="116"/>
        <v>Included</v>
      </c>
      <c r="L255" s="953">
        <f t="shared" si="117"/>
        <v>0</v>
      </c>
      <c r="M255" s="847">
        <f t="shared" si="114"/>
        <v>0</v>
      </c>
      <c r="N255" s="847">
        <f t="shared" si="115"/>
        <v>0</v>
      </c>
    </row>
    <row r="256" spans="1:14" ht="31.5">
      <c r="A256" s="952">
        <v>995461</v>
      </c>
      <c r="B256" s="809"/>
      <c r="C256" s="831">
        <v>0.18</v>
      </c>
      <c r="D256" s="828" t="s">
        <v>205</v>
      </c>
      <c r="E256" s="802">
        <v>26</v>
      </c>
      <c r="F256" s="1041" t="s">
        <v>483</v>
      </c>
      <c r="G256" s="1018" t="s">
        <v>1202</v>
      </c>
      <c r="H256" s="995" t="s">
        <v>107</v>
      </c>
      <c r="I256" s="1023">
        <v>8</v>
      </c>
      <c r="J256" s="1036"/>
      <c r="K256" s="1038" t="str">
        <f t="shared" si="116"/>
        <v>Included</v>
      </c>
      <c r="L256" s="953">
        <f t="shared" si="117"/>
        <v>0</v>
      </c>
      <c r="M256" s="847">
        <f t="shared" si="114"/>
        <v>0</v>
      </c>
      <c r="N256" s="847">
        <f t="shared" si="115"/>
        <v>0</v>
      </c>
    </row>
    <row r="257" spans="1:14" ht="47.25">
      <c r="A257" s="952">
        <v>998739</v>
      </c>
      <c r="B257" s="809"/>
      <c r="C257" s="831">
        <v>0.18</v>
      </c>
      <c r="D257" s="828" t="s">
        <v>205</v>
      </c>
      <c r="E257" s="802">
        <v>27</v>
      </c>
      <c r="F257" s="1069" t="s">
        <v>1203</v>
      </c>
      <c r="G257" s="1018" t="s">
        <v>1204</v>
      </c>
      <c r="H257" s="995" t="s">
        <v>468</v>
      </c>
      <c r="I257" s="1023">
        <v>3</v>
      </c>
      <c r="J257" s="1036"/>
      <c r="K257" s="1038" t="str">
        <f t="shared" si="116"/>
        <v>Included</v>
      </c>
      <c r="L257" s="953">
        <f t="shared" si="117"/>
        <v>0</v>
      </c>
      <c r="M257" s="847">
        <f t="shared" si="114"/>
        <v>0</v>
      </c>
      <c r="N257" s="847">
        <f t="shared" si="115"/>
        <v>0</v>
      </c>
    </row>
    <row r="258" spans="1:14" ht="31.5">
      <c r="A258" s="952">
        <v>998739</v>
      </c>
      <c r="B258" s="809"/>
      <c r="C258" s="831">
        <v>0.18</v>
      </c>
      <c r="D258" s="828" t="s">
        <v>205</v>
      </c>
      <c r="E258" s="802">
        <v>28</v>
      </c>
      <c r="F258" s="1041">
        <v>5.7</v>
      </c>
      <c r="G258" s="1018" t="s">
        <v>1205</v>
      </c>
      <c r="H258" s="995" t="s">
        <v>463</v>
      </c>
      <c r="I258" s="1023">
        <v>17</v>
      </c>
      <c r="J258" s="1036"/>
      <c r="K258" s="1038" t="str">
        <f t="shared" si="116"/>
        <v>Included</v>
      </c>
      <c r="L258" s="953">
        <f t="shared" si="117"/>
        <v>0</v>
      </c>
      <c r="M258" s="847">
        <f t="shared" si="114"/>
        <v>0</v>
      </c>
      <c r="N258" s="847">
        <f t="shared" si="115"/>
        <v>0</v>
      </c>
    </row>
    <row r="259" spans="1:14" ht="31.5">
      <c r="A259" s="952">
        <v>998739</v>
      </c>
      <c r="B259" s="809"/>
      <c r="C259" s="831">
        <v>0.18</v>
      </c>
      <c r="D259" s="828" t="s">
        <v>205</v>
      </c>
      <c r="E259" s="802">
        <v>29</v>
      </c>
      <c r="F259" s="1069">
        <v>5.15</v>
      </c>
      <c r="G259" s="1018" t="s">
        <v>1206</v>
      </c>
      <c r="H259" s="995" t="s">
        <v>1162</v>
      </c>
      <c r="I259" s="1023">
        <v>37</v>
      </c>
      <c r="J259" s="1036"/>
      <c r="K259" s="1038" t="str">
        <f t="shared" si="116"/>
        <v>Included</v>
      </c>
      <c r="L259" s="953">
        <f t="shared" si="117"/>
        <v>0</v>
      </c>
      <c r="M259" s="847">
        <f t="shared" si="114"/>
        <v>0</v>
      </c>
      <c r="N259" s="847">
        <f t="shared" si="115"/>
        <v>0</v>
      </c>
    </row>
    <row r="260" spans="1:14" ht="47.25">
      <c r="A260" s="952">
        <v>995461</v>
      </c>
      <c r="B260" s="809"/>
      <c r="C260" s="831">
        <v>0.18</v>
      </c>
      <c r="D260" s="828" t="s">
        <v>205</v>
      </c>
      <c r="E260" s="802">
        <v>30</v>
      </c>
      <c r="F260" s="1069">
        <v>1.57</v>
      </c>
      <c r="G260" s="1018" t="s">
        <v>1207</v>
      </c>
      <c r="H260" s="995" t="s">
        <v>107</v>
      </c>
      <c r="I260" s="1023">
        <v>18</v>
      </c>
      <c r="J260" s="1036"/>
      <c r="K260" s="1038" t="str">
        <f t="shared" si="116"/>
        <v>Included</v>
      </c>
      <c r="L260" s="953">
        <f t="shared" si="117"/>
        <v>0</v>
      </c>
      <c r="M260" s="847">
        <f t="shared" si="114"/>
        <v>0</v>
      </c>
      <c r="N260" s="847">
        <f t="shared" si="115"/>
        <v>0</v>
      </c>
    </row>
    <row r="261" spans="1:14" ht="31.5">
      <c r="A261" s="952">
        <v>995461</v>
      </c>
      <c r="B261" s="809"/>
      <c r="C261" s="831">
        <v>0.18</v>
      </c>
      <c r="D261" s="828" t="s">
        <v>205</v>
      </c>
      <c r="E261" s="802">
        <v>31</v>
      </c>
      <c r="F261" s="1069">
        <v>1.33</v>
      </c>
      <c r="G261" s="1018" t="s">
        <v>1208</v>
      </c>
      <c r="H261" s="995" t="s">
        <v>107</v>
      </c>
      <c r="I261" s="1023">
        <v>19</v>
      </c>
      <c r="J261" s="1036"/>
      <c r="K261" s="1038" t="str">
        <f t="shared" si="116"/>
        <v>Included</v>
      </c>
      <c r="L261" s="953">
        <f t="shared" si="117"/>
        <v>0</v>
      </c>
      <c r="M261" s="847">
        <f t="shared" si="114"/>
        <v>0</v>
      </c>
      <c r="N261" s="847">
        <f t="shared" si="115"/>
        <v>0</v>
      </c>
    </row>
    <row r="262" spans="1:14" ht="31.5">
      <c r="A262" s="952">
        <v>995461</v>
      </c>
      <c r="B262" s="809"/>
      <c r="C262" s="831">
        <v>0.18</v>
      </c>
      <c r="D262" s="828" t="s">
        <v>205</v>
      </c>
      <c r="E262" s="802">
        <v>32</v>
      </c>
      <c r="F262" s="1069">
        <v>1.26</v>
      </c>
      <c r="G262" s="1018" t="s">
        <v>1209</v>
      </c>
      <c r="H262" s="995" t="s">
        <v>107</v>
      </c>
      <c r="I262" s="1023">
        <v>17</v>
      </c>
      <c r="J262" s="1036"/>
      <c r="K262" s="1038" t="str">
        <f t="shared" si="116"/>
        <v>Included</v>
      </c>
      <c r="L262" s="953">
        <f t="shared" si="117"/>
        <v>0</v>
      </c>
      <c r="M262" s="847">
        <f t="shared" si="114"/>
        <v>0</v>
      </c>
      <c r="N262" s="847">
        <f t="shared" si="115"/>
        <v>0</v>
      </c>
    </row>
    <row r="263" spans="1:14" ht="47.25">
      <c r="A263" s="952">
        <v>998736</v>
      </c>
      <c r="B263" s="809"/>
      <c r="C263" s="831">
        <v>0.18</v>
      </c>
      <c r="D263" s="828" t="s">
        <v>205</v>
      </c>
      <c r="E263" s="802">
        <v>33</v>
      </c>
      <c r="F263" s="1069" t="s">
        <v>537</v>
      </c>
      <c r="G263" s="1018" t="s">
        <v>1210</v>
      </c>
      <c r="H263" s="995" t="s">
        <v>468</v>
      </c>
      <c r="I263" s="1023">
        <v>16</v>
      </c>
      <c r="J263" s="1036"/>
      <c r="K263" s="1038" t="str">
        <f t="shared" si="116"/>
        <v>Included</v>
      </c>
      <c r="L263" s="953">
        <f t="shared" si="117"/>
        <v>0</v>
      </c>
      <c r="M263" s="847">
        <f t="shared" si="114"/>
        <v>0</v>
      </c>
      <c r="N263" s="847">
        <f t="shared" si="115"/>
        <v>0</v>
      </c>
    </row>
    <row r="264" spans="1:14" ht="47.25">
      <c r="A264" s="952">
        <v>998736</v>
      </c>
      <c r="B264" s="809"/>
      <c r="C264" s="831">
        <v>0.18</v>
      </c>
      <c r="D264" s="828" t="s">
        <v>205</v>
      </c>
      <c r="E264" s="802">
        <v>34</v>
      </c>
      <c r="F264" s="1069" t="s">
        <v>1211</v>
      </c>
      <c r="G264" s="1018" t="s">
        <v>1212</v>
      </c>
      <c r="H264" s="995" t="s">
        <v>468</v>
      </c>
      <c r="I264" s="1023">
        <v>12</v>
      </c>
      <c r="J264" s="1036"/>
      <c r="K264" s="1038" t="str">
        <f t="shared" si="116"/>
        <v>Included</v>
      </c>
      <c r="L264" s="953">
        <f t="shared" si="117"/>
        <v>0</v>
      </c>
      <c r="M264" s="847">
        <f t="shared" si="114"/>
        <v>0</v>
      </c>
      <c r="N264" s="847">
        <f t="shared" si="115"/>
        <v>0</v>
      </c>
    </row>
    <row r="265" spans="1:14" ht="173.25">
      <c r="A265" s="952">
        <v>995416</v>
      </c>
      <c r="B265" s="809"/>
      <c r="C265" s="831">
        <v>0.18</v>
      </c>
      <c r="D265" s="828" t="s">
        <v>205</v>
      </c>
      <c r="E265" s="802">
        <v>35</v>
      </c>
      <c r="F265" s="1041">
        <v>19.100000000000001</v>
      </c>
      <c r="G265" s="1018" t="s">
        <v>1213</v>
      </c>
      <c r="H265" s="995" t="s">
        <v>468</v>
      </c>
      <c r="I265" s="1023">
        <v>24</v>
      </c>
      <c r="J265" s="1036"/>
      <c r="K265" s="1038" t="str">
        <f t="shared" si="116"/>
        <v>Included</v>
      </c>
      <c r="L265" s="953">
        <f t="shared" si="117"/>
        <v>0</v>
      </c>
      <c r="M265" s="847">
        <f t="shared" si="114"/>
        <v>0</v>
      </c>
      <c r="N265" s="847">
        <f t="shared" si="115"/>
        <v>0</v>
      </c>
    </row>
    <row r="266" spans="1:14" ht="24.75" customHeight="1">
      <c r="A266" s="1221" t="s">
        <v>1215</v>
      </c>
      <c r="B266" s="1222"/>
      <c r="C266" s="1222"/>
      <c r="D266" s="1222"/>
      <c r="E266" s="1222"/>
      <c r="F266" s="1222"/>
      <c r="G266" s="1222"/>
      <c r="H266" s="1222"/>
      <c r="I266" s="1222"/>
      <c r="J266" s="1222"/>
      <c r="K266" s="1222"/>
      <c r="L266" s="1223"/>
      <c r="M266" s="847">
        <f t="shared" si="114"/>
        <v>0</v>
      </c>
      <c r="N266" s="847">
        <f t="shared" si="115"/>
        <v>0</v>
      </c>
    </row>
    <row r="267" spans="1:14" ht="378">
      <c r="A267" s="952">
        <v>998736</v>
      </c>
      <c r="B267" s="809"/>
      <c r="C267" s="831">
        <v>0.18</v>
      </c>
      <c r="D267" s="828" t="s">
        <v>205</v>
      </c>
      <c r="E267" s="802">
        <v>1</v>
      </c>
      <c r="F267" s="1041" t="s">
        <v>412</v>
      </c>
      <c r="G267" s="1018" t="s">
        <v>1216</v>
      </c>
      <c r="H267" s="995" t="s">
        <v>488</v>
      </c>
      <c r="I267" s="1023">
        <v>2</v>
      </c>
      <c r="J267" s="1036"/>
      <c r="K267" s="1038" t="str">
        <f t="shared" si="116"/>
        <v>Included</v>
      </c>
      <c r="L267" s="953">
        <f t="shared" si="117"/>
        <v>0</v>
      </c>
      <c r="M267" s="847">
        <f t="shared" si="114"/>
        <v>0</v>
      </c>
      <c r="N267" s="847">
        <f t="shared" si="115"/>
        <v>0</v>
      </c>
    </row>
    <row r="268" spans="1:14" ht="236.25">
      <c r="A268" s="952">
        <v>998736</v>
      </c>
      <c r="B268" s="809"/>
      <c r="C268" s="831">
        <v>0.18</v>
      </c>
      <c r="D268" s="828" t="s">
        <v>205</v>
      </c>
      <c r="E268" s="802">
        <v>2</v>
      </c>
      <c r="F268" s="1041" t="s">
        <v>414</v>
      </c>
      <c r="G268" s="1018" t="s">
        <v>1217</v>
      </c>
      <c r="H268" s="995" t="s">
        <v>488</v>
      </c>
      <c r="I268" s="1023">
        <v>4</v>
      </c>
      <c r="J268" s="1036"/>
      <c r="K268" s="1038" t="str">
        <f t="shared" si="116"/>
        <v>Included</v>
      </c>
      <c r="L268" s="953">
        <f t="shared" si="117"/>
        <v>0</v>
      </c>
      <c r="M268" s="847">
        <f t="shared" si="114"/>
        <v>0</v>
      </c>
      <c r="N268" s="847">
        <f t="shared" si="115"/>
        <v>0</v>
      </c>
    </row>
    <row r="269" spans="1:14" ht="31.5">
      <c r="A269" s="952">
        <v>998736</v>
      </c>
      <c r="B269" s="809"/>
      <c r="C269" s="831">
        <v>0.18</v>
      </c>
      <c r="D269" s="828" t="s">
        <v>205</v>
      </c>
      <c r="E269" s="802">
        <v>3</v>
      </c>
      <c r="F269" s="1041" t="s">
        <v>416</v>
      </c>
      <c r="G269" s="1018" t="s">
        <v>1218</v>
      </c>
      <c r="H269" s="995" t="s">
        <v>463</v>
      </c>
      <c r="I269" s="1023">
        <v>92</v>
      </c>
      <c r="J269" s="1036"/>
      <c r="K269" s="1038" t="str">
        <f t="shared" si="116"/>
        <v>Included</v>
      </c>
      <c r="L269" s="953">
        <f t="shared" si="117"/>
        <v>0</v>
      </c>
      <c r="M269" s="847">
        <f t="shared" si="114"/>
        <v>0</v>
      </c>
      <c r="N269" s="847">
        <f t="shared" si="115"/>
        <v>0</v>
      </c>
    </row>
    <row r="270" spans="1:14" ht="31.5">
      <c r="A270" s="952">
        <v>998736</v>
      </c>
      <c r="B270" s="809"/>
      <c r="C270" s="831">
        <v>0.18</v>
      </c>
      <c r="D270" s="828" t="s">
        <v>205</v>
      </c>
      <c r="E270" s="802">
        <v>4</v>
      </c>
      <c r="F270" s="1041" t="s">
        <v>418</v>
      </c>
      <c r="G270" s="1018" t="s">
        <v>1219</v>
      </c>
      <c r="H270" s="995" t="s">
        <v>463</v>
      </c>
      <c r="I270" s="1023">
        <v>100</v>
      </c>
      <c r="J270" s="1036"/>
      <c r="K270" s="1038" t="str">
        <f t="shared" si="116"/>
        <v>Included</v>
      </c>
      <c r="L270" s="953">
        <f t="shared" si="117"/>
        <v>0</v>
      </c>
      <c r="M270" s="847">
        <f t="shared" si="114"/>
        <v>0</v>
      </c>
      <c r="N270" s="847">
        <f t="shared" si="115"/>
        <v>0</v>
      </c>
    </row>
    <row r="271" spans="1:14" ht="47.25">
      <c r="A271" s="952">
        <v>998736</v>
      </c>
      <c r="B271" s="809"/>
      <c r="C271" s="831">
        <v>0.18</v>
      </c>
      <c r="D271" s="828" t="s">
        <v>205</v>
      </c>
      <c r="E271" s="802">
        <v>5</v>
      </c>
      <c r="F271" s="1041" t="s">
        <v>420</v>
      </c>
      <c r="G271" s="1018" t="s">
        <v>1220</v>
      </c>
      <c r="H271" s="995" t="s">
        <v>107</v>
      </c>
      <c r="I271" s="1023">
        <v>10</v>
      </c>
      <c r="J271" s="1036"/>
      <c r="K271" s="1038" t="str">
        <f t="shared" si="116"/>
        <v>Included</v>
      </c>
      <c r="L271" s="953">
        <f t="shared" si="117"/>
        <v>0</v>
      </c>
      <c r="M271" s="847">
        <f t="shared" si="114"/>
        <v>0</v>
      </c>
      <c r="N271" s="847">
        <f t="shared" si="115"/>
        <v>0</v>
      </c>
    </row>
    <row r="272" spans="1:14" ht="31.5">
      <c r="A272" s="952">
        <v>995461</v>
      </c>
      <c r="B272" s="809"/>
      <c r="C272" s="831">
        <v>0.18</v>
      </c>
      <c r="D272" s="828" t="s">
        <v>205</v>
      </c>
      <c r="E272" s="802">
        <v>6</v>
      </c>
      <c r="F272" s="1041" t="s">
        <v>422</v>
      </c>
      <c r="G272" s="1018" t="s">
        <v>1221</v>
      </c>
      <c r="H272" s="995" t="s">
        <v>107</v>
      </c>
      <c r="I272" s="1023">
        <v>5</v>
      </c>
      <c r="J272" s="1036"/>
      <c r="K272" s="1038" t="str">
        <f t="shared" si="116"/>
        <v>Included</v>
      </c>
      <c r="L272" s="953">
        <f t="shared" si="117"/>
        <v>0</v>
      </c>
      <c r="M272" s="847">
        <f t="shared" ref="M272:M335" si="118">IF(K272="Included",0,K272)</f>
        <v>0</v>
      </c>
      <c r="N272" s="847">
        <f t="shared" ref="N272:N335" si="119">IF(C272="confirmed",(M272*B272),(M272*C272))</f>
        <v>0</v>
      </c>
    </row>
    <row r="273" spans="1:14" ht="31.5">
      <c r="A273" s="952">
        <v>995461</v>
      </c>
      <c r="B273" s="809"/>
      <c r="C273" s="831">
        <v>0.18</v>
      </c>
      <c r="D273" s="828" t="s">
        <v>205</v>
      </c>
      <c r="E273" s="802">
        <v>7</v>
      </c>
      <c r="F273" s="1041" t="s">
        <v>424</v>
      </c>
      <c r="G273" s="1018" t="s">
        <v>1222</v>
      </c>
      <c r="H273" s="995" t="s">
        <v>107</v>
      </c>
      <c r="I273" s="1023">
        <v>10</v>
      </c>
      <c r="J273" s="1036"/>
      <c r="K273" s="1038" t="str">
        <f t="shared" si="116"/>
        <v>Included</v>
      </c>
      <c r="L273" s="953">
        <f t="shared" si="117"/>
        <v>0</v>
      </c>
      <c r="M273" s="847">
        <f t="shared" si="118"/>
        <v>0</v>
      </c>
      <c r="N273" s="847">
        <f t="shared" si="119"/>
        <v>0</v>
      </c>
    </row>
    <row r="274" spans="1:14">
      <c r="A274" s="952">
        <v>995461</v>
      </c>
      <c r="B274" s="809"/>
      <c r="C274" s="831">
        <v>0.18</v>
      </c>
      <c r="D274" s="828" t="s">
        <v>205</v>
      </c>
      <c r="E274" s="802">
        <v>8</v>
      </c>
      <c r="F274" s="1041" t="s">
        <v>426</v>
      </c>
      <c r="G274" s="1018" t="s">
        <v>1223</v>
      </c>
      <c r="H274" s="995" t="s">
        <v>107</v>
      </c>
      <c r="I274" s="1023">
        <v>24</v>
      </c>
      <c r="J274" s="1036"/>
      <c r="K274" s="1038" t="str">
        <f t="shared" si="116"/>
        <v>Included</v>
      </c>
      <c r="L274" s="953">
        <f t="shared" si="117"/>
        <v>0</v>
      </c>
      <c r="M274" s="847">
        <f t="shared" si="118"/>
        <v>0</v>
      </c>
      <c r="N274" s="847">
        <f t="shared" si="119"/>
        <v>0</v>
      </c>
    </row>
    <row r="275" spans="1:14" ht="31.5">
      <c r="A275" s="952">
        <v>995421</v>
      </c>
      <c r="B275" s="809"/>
      <c r="C275" s="831">
        <v>0.18</v>
      </c>
      <c r="D275" s="828" t="s">
        <v>205</v>
      </c>
      <c r="E275" s="802">
        <v>9</v>
      </c>
      <c r="F275" s="1041" t="s">
        <v>428</v>
      </c>
      <c r="G275" s="1018" t="s">
        <v>1224</v>
      </c>
      <c r="H275" s="995" t="s">
        <v>107</v>
      </c>
      <c r="I275" s="1023">
        <v>26</v>
      </c>
      <c r="J275" s="1036"/>
      <c r="K275" s="1038" t="str">
        <f t="shared" si="116"/>
        <v>Included</v>
      </c>
      <c r="L275" s="953">
        <f t="shared" si="117"/>
        <v>0</v>
      </c>
      <c r="M275" s="847">
        <f t="shared" si="118"/>
        <v>0</v>
      </c>
      <c r="N275" s="847">
        <f t="shared" si="119"/>
        <v>0</v>
      </c>
    </row>
    <row r="276" spans="1:14">
      <c r="A276" s="952">
        <v>995461</v>
      </c>
      <c r="B276" s="809"/>
      <c r="C276" s="831">
        <v>0.18</v>
      </c>
      <c r="D276" s="828" t="s">
        <v>205</v>
      </c>
      <c r="E276" s="802">
        <v>10</v>
      </c>
      <c r="F276" s="1041" t="s">
        <v>430</v>
      </c>
      <c r="G276" s="1018" t="s">
        <v>1225</v>
      </c>
      <c r="H276" s="995" t="s">
        <v>107</v>
      </c>
      <c r="I276" s="1023">
        <v>18</v>
      </c>
      <c r="J276" s="1036"/>
      <c r="K276" s="1038" t="str">
        <f t="shared" si="116"/>
        <v>Included</v>
      </c>
      <c r="L276" s="953">
        <f t="shared" si="117"/>
        <v>0</v>
      </c>
      <c r="M276" s="847">
        <f t="shared" si="118"/>
        <v>0</v>
      </c>
      <c r="N276" s="847">
        <f t="shared" si="119"/>
        <v>0</v>
      </c>
    </row>
    <row r="277" spans="1:14">
      <c r="A277" s="952">
        <v>998731</v>
      </c>
      <c r="B277" s="809"/>
      <c r="C277" s="831">
        <v>0.18</v>
      </c>
      <c r="D277" s="828" t="s">
        <v>205</v>
      </c>
      <c r="E277" s="802">
        <v>11</v>
      </c>
      <c r="F277" s="1041" t="s">
        <v>432</v>
      </c>
      <c r="G277" s="1018" t="s">
        <v>1226</v>
      </c>
      <c r="H277" s="995" t="s">
        <v>107</v>
      </c>
      <c r="I277" s="1023">
        <v>20</v>
      </c>
      <c r="J277" s="1036"/>
      <c r="K277" s="1038" t="str">
        <f t="shared" si="116"/>
        <v>Included</v>
      </c>
      <c r="L277" s="953">
        <f t="shared" si="117"/>
        <v>0</v>
      </c>
      <c r="M277" s="847">
        <f t="shared" si="118"/>
        <v>0</v>
      </c>
      <c r="N277" s="847">
        <f t="shared" si="119"/>
        <v>0</v>
      </c>
    </row>
    <row r="278" spans="1:14">
      <c r="A278" s="952">
        <v>995461</v>
      </c>
      <c r="B278" s="809"/>
      <c r="C278" s="831">
        <v>0.18</v>
      </c>
      <c r="D278" s="828" t="s">
        <v>205</v>
      </c>
      <c r="E278" s="802">
        <v>12</v>
      </c>
      <c r="F278" s="1041" t="s">
        <v>434</v>
      </c>
      <c r="G278" s="1018" t="s">
        <v>1227</v>
      </c>
      <c r="H278" s="995" t="s">
        <v>107</v>
      </c>
      <c r="I278" s="1023">
        <v>17</v>
      </c>
      <c r="J278" s="1036"/>
      <c r="K278" s="1038" t="str">
        <f t="shared" si="116"/>
        <v>Included</v>
      </c>
      <c r="L278" s="953">
        <f t="shared" si="117"/>
        <v>0</v>
      </c>
      <c r="M278" s="847">
        <f t="shared" si="118"/>
        <v>0</v>
      </c>
      <c r="N278" s="847">
        <f t="shared" si="119"/>
        <v>0</v>
      </c>
    </row>
    <row r="279" spans="1:14">
      <c r="A279" s="952">
        <v>995461</v>
      </c>
      <c r="B279" s="809"/>
      <c r="C279" s="831">
        <v>0.18</v>
      </c>
      <c r="D279" s="828" t="s">
        <v>205</v>
      </c>
      <c r="E279" s="802">
        <v>13</v>
      </c>
      <c r="F279" s="1041" t="s">
        <v>436</v>
      </c>
      <c r="G279" s="1018" t="s">
        <v>1228</v>
      </c>
      <c r="H279" s="995" t="s">
        <v>1214</v>
      </c>
      <c r="I279" s="1023">
        <v>18</v>
      </c>
      <c r="J279" s="1036"/>
      <c r="K279" s="1038" t="str">
        <f t="shared" si="116"/>
        <v>Included</v>
      </c>
      <c r="L279" s="953">
        <f t="shared" si="117"/>
        <v>0</v>
      </c>
      <c r="M279" s="847">
        <f t="shared" si="118"/>
        <v>0</v>
      </c>
      <c r="N279" s="847">
        <f t="shared" si="119"/>
        <v>0</v>
      </c>
    </row>
    <row r="280" spans="1:14" ht="47.25">
      <c r="A280" s="952">
        <v>995461</v>
      </c>
      <c r="B280" s="809"/>
      <c r="C280" s="831">
        <v>0.18</v>
      </c>
      <c r="D280" s="828" t="s">
        <v>205</v>
      </c>
      <c r="E280" s="802">
        <v>14</v>
      </c>
      <c r="F280" s="1041" t="s">
        <v>1138</v>
      </c>
      <c r="G280" s="1018" t="s">
        <v>1229</v>
      </c>
      <c r="H280" s="995" t="s">
        <v>1214</v>
      </c>
      <c r="I280" s="1023">
        <v>1</v>
      </c>
      <c r="J280" s="1036"/>
      <c r="K280" s="1038" t="str">
        <f t="shared" si="116"/>
        <v>Included</v>
      </c>
      <c r="L280" s="953">
        <f t="shared" si="117"/>
        <v>0</v>
      </c>
      <c r="M280" s="847">
        <f t="shared" si="118"/>
        <v>0</v>
      </c>
      <c r="N280" s="847">
        <f t="shared" si="119"/>
        <v>0</v>
      </c>
    </row>
    <row r="281" spans="1:14" ht="47.25">
      <c r="A281" s="952">
        <v>998731</v>
      </c>
      <c r="B281" s="809"/>
      <c r="C281" s="831">
        <v>0.18</v>
      </c>
      <c r="D281" s="828" t="s">
        <v>205</v>
      </c>
      <c r="E281" s="802">
        <v>15</v>
      </c>
      <c r="F281" s="1041" t="s">
        <v>1140</v>
      </c>
      <c r="G281" s="1018" t="s">
        <v>1230</v>
      </c>
      <c r="H281" s="995" t="s">
        <v>1214</v>
      </c>
      <c r="I281" s="1023">
        <v>2</v>
      </c>
      <c r="J281" s="1036"/>
      <c r="K281" s="1038" t="str">
        <f t="shared" si="116"/>
        <v>Included</v>
      </c>
      <c r="L281" s="953">
        <f t="shared" si="117"/>
        <v>0</v>
      </c>
      <c r="M281" s="847">
        <f t="shared" si="118"/>
        <v>0</v>
      </c>
      <c r="N281" s="847">
        <f t="shared" si="119"/>
        <v>0</v>
      </c>
    </row>
    <row r="282" spans="1:14">
      <c r="A282" s="952">
        <v>998734</v>
      </c>
      <c r="B282" s="809"/>
      <c r="C282" s="831">
        <v>0.18</v>
      </c>
      <c r="D282" s="828" t="s">
        <v>205</v>
      </c>
      <c r="E282" s="802">
        <v>16</v>
      </c>
      <c r="F282" s="1041" t="s">
        <v>1142</v>
      </c>
      <c r="G282" s="1018" t="s">
        <v>1231</v>
      </c>
      <c r="H282" s="995" t="s">
        <v>1214</v>
      </c>
      <c r="I282" s="1023">
        <v>4</v>
      </c>
      <c r="J282" s="1036"/>
      <c r="K282" s="1038" t="str">
        <f t="shared" si="116"/>
        <v>Included</v>
      </c>
      <c r="L282" s="953">
        <f t="shared" si="117"/>
        <v>0</v>
      </c>
      <c r="M282" s="847">
        <f t="shared" si="118"/>
        <v>0</v>
      </c>
      <c r="N282" s="847">
        <f t="shared" si="119"/>
        <v>0</v>
      </c>
    </row>
    <row r="283" spans="1:14" ht="31.5">
      <c r="A283" s="952">
        <v>995461</v>
      </c>
      <c r="B283" s="809"/>
      <c r="C283" s="831">
        <v>0.18</v>
      </c>
      <c r="D283" s="828" t="s">
        <v>205</v>
      </c>
      <c r="E283" s="802">
        <v>17</v>
      </c>
      <c r="F283" s="1041" t="s">
        <v>1144</v>
      </c>
      <c r="G283" s="1018" t="s">
        <v>1232</v>
      </c>
      <c r="H283" s="995" t="s">
        <v>463</v>
      </c>
      <c r="I283" s="1023">
        <v>50</v>
      </c>
      <c r="J283" s="1036"/>
      <c r="K283" s="1038" t="str">
        <f t="shared" si="116"/>
        <v>Included</v>
      </c>
      <c r="L283" s="953">
        <f t="shared" si="117"/>
        <v>0</v>
      </c>
      <c r="M283" s="847">
        <f t="shared" si="118"/>
        <v>0</v>
      </c>
      <c r="N283" s="847">
        <f t="shared" si="119"/>
        <v>0</v>
      </c>
    </row>
    <row r="284" spans="1:14" ht="47.25">
      <c r="A284" s="952">
        <v>995424</v>
      </c>
      <c r="B284" s="809"/>
      <c r="C284" s="831">
        <v>0.18</v>
      </c>
      <c r="D284" s="828" t="s">
        <v>205</v>
      </c>
      <c r="E284" s="802">
        <v>18</v>
      </c>
      <c r="F284" s="1041" t="s">
        <v>1146</v>
      </c>
      <c r="G284" s="1018" t="s">
        <v>1233</v>
      </c>
      <c r="H284" s="995" t="s">
        <v>463</v>
      </c>
      <c r="I284" s="1023">
        <v>75</v>
      </c>
      <c r="J284" s="1036"/>
      <c r="K284" s="1038" t="str">
        <f t="shared" si="116"/>
        <v>Included</v>
      </c>
      <c r="L284" s="953">
        <f t="shared" si="117"/>
        <v>0</v>
      </c>
      <c r="M284" s="847">
        <f t="shared" si="118"/>
        <v>0</v>
      </c>
      <c r="N284" s="847">
        <f t="shared" si="119"/>
        <v>0</v>
      </c>
    </row>
    <row r="285" spans="1:14" ht="27.75" customHeight="1">
      <c r="A285" s="1229" t="s">
        <v>1234</v>
      </c>
      <c r="B285" s="1230"/>
      <c r="C285" s="1230"/>
      <c r="D285" s="1230"/>
      <c r="E285" s="1230"/>
      <c r="F285" s="1230"/>
      <c r="G285" s="1230"/>
      <c r="H285" s="1230"/>
      <c r="I285" s="1230"/>
      <c r="J285" s="1230"/>
      <c r="K285" s="1039">
        <f>SUM(K267:K284)+SUM(K231:K265)</f>
        <v>0</v>
      </c>
      <c r="L285" s="962">
        <f>SUM(L267:L284)+SUM(L231:L265)</f>
        <v>0</v>
      </c>
      <c r="M285" s="847">
        <f t="shared" si="118"/>
        <v>0</v>
      </c>
      <c r="N285" s="847">
        <f t="shared" si="119"/>
        <v>0</v>
      </c>
    </row>
    <row r="286" spans="1:14" ht="27.75" customHeight="1">
      <c r="A286" s="1229" t="s">
        <v>1235</v>
      </c>
      <c r="B286" s="1230"/>
      <c r="C286" s="1230"/>
      <c r="D286" s="1230"/>
      <c r="E286" s="1230"/>
      <c r="F286" s="1230"/>
      <c r="G286" s="1230"/>
      <c r="H286" s="1230"/>
      <c r="I286" s="1230"/>
      <c r="J286" s="1234"/>
      <c r="K286" s="1039">
        <f>K285+K229</f>
        <v>0</v>
      </c>
      <c r="L286" s="962">
        <f>L285+L229</f>
        <v>0</v>
      </c>
      <c r="M286" s="847">
        <f t="shared" si="118"/>
        <v>0</v>
      </c>
      <c r="N286" s="847">
        <f t="shared" si="119"/>
        <v>0</v>
      </c>
    </row>
    <row r="287" spans="1:14" ht="28.5" customHeight="1">
      <c r="A287" s="1221" t="s">
        <v>1245</v>
      </c>
      <c r="B287" s="1222"/>
      <c r="C287" s="1222"/>
      <c r="D287" s="1222"/>
      <c r="E287" s="1222"/>
      <c r="F287" s="1222"/>
      <c r="G287" s="1222"/>
      <c r="H287" s="1222"/>
      <c r="I287" s="1222"/>
      <c r="J287" s="1223"/>
      <c r="K287" s="1221"/>
      <c r="L287" s="1222"/>
      <c r="M287" s="847">
        <f t="shared" si="118"/>
        <v>0</v>
      </c>
      <c r="N287" s="847">
        <f t="shared" si="119"/>
        <v>0</v>
      </c>
    </row>
    <row r="288" spans="1:14" ht="32.25">
      <c r="A288" s="952">
        <v>995428</v>
      </c>
      <c r="B288" s="809"/>
      <c r="C288" s="831">
        <v>0.18</v>
      </c>
      <c r="D288" s="828" t="s">
        <v>205</v>
      </c>
      <c r="E288" s="963">
        <v>1</v>
      </c>
      <c r="F288" s="1073" t="s">
        <v>856</v>
      </c>
      <c r="G288" s="965" t="s">
        <v>857</v>
      </c>
      <c r="H288" s="893" t="s">
        <v>512</v>
      </c>
      <c r="I288" s="1025">
        <v>100</v>
      </c>
      <c r="J288" s="1036"/>
      <c r="K288" s="1038" t="str">
        <f t="shared" si="116"/>
        <v>Included</v>
      </c>
      <c r="L288" s="953">
        <f t="shared" si="117"/>
        <v>0</v>
      </c>
      <c r="M288" s="847">
        <f t="shared" si="118"/>
        <v>0</v>
      </c>
      <c r="N288" s="847">
        <f t="shared" si="119"/>
        <v>0</v>
      </c>
    </row>
    <row r="289" spans="1:14" ht="32.25">
      <c r="A289" s="952">
        <v>995429</v>
      </c>
      <c r="B289" s="809"/>
      <c r="C289" s="831">
        <v>0.18</v>
      </c>
      <c r="D289" s="828" t="s">
        <v>205</v>
      </c>
      <c r="E289" s="963">
        <v>2</v>
      </c>
      <c r="F289" s="1073">
        <v>15.3</v>
      </c>
      <c r="G289" s="965" t="s">
        <v>858</v>
      </c>
      <c r="H289" s="893" t="s">
        <v>512</v>
      </c>
      <c r="I289" s="1025">
        <v>25</v>
      </c>
      <c r="J289" s="1036"/>
      <c r="K289" s="1038" t="str">
        <f t="shared" ref="K289:K352" si="120">IF(J289=0, "Included", IF(ISERROR(I289*J289), J289, I289*J289))</f>
        <v>Included</v>
      </c>
      <c r="L289" s="953">
        <f t="shared" ref="L289:L352" si="121">N289</f>
        <v>0</v>
      </c>
      <c r="M289" s="847">
        <f t="shared" si="118"/>
        <v>0</v>
      </c>
      <c r="N289" s="847">
        <f t="shared" si="119"/>
        <v>0</v>
      </c>
    </row>
    <row r="290" spans="1:14" ht="48">
      <c r="A290" s="952">
        <v>995433</v>
      </c>
      <c r="B290" s="809"/>
      <c r="C290" s="831">
        <v>0.18</v>
      </c>
      <c r="D290" s="828" t="s">
        <v>205</v>
      </c>
      <c r="E290" s="963">
        <v>3</v>
      </c>
      <c r="F290" s="1074" t="s">
        <v>511</v>
      </c>
      <c r="G290" s="965" t="s">
        <v>859</v>
      </c>
      <c r="H290" s="893" t="s">
        <v>251</v>
      </c>
      <c r="I290" s="1025">
        <v>100</v>
      </c>
      <c r="J290" s="1036"/>
      <c r="K290" s="1038" t="str">
        <f t="shared" si="120"/>
        <v>Included</v>
      </c>
      <c r="L290" s="953">
        <f t="shared" si="121"/>
        <v>0</v>
      </c>
      <c r="M290" s="847">
        <f t="shared" si="118"/>
        <v>0</v>
      </c>
      <c r="N290" s="847">
        <f t="shared" si="119"/>
        <v>0</v>
      </c>
    </row>
    <row r="291" spans="1:14" ht="63.75">
      <c r="A291" s="952">
        <v>995433</v>
      </c>
      <c r="B291" s="809"/>
      <c r="C291" s="831">
        <v>0.18</v>
      </c>
      <c r="D291" s="828" t="s">
        <v>205</v>
      </c>
      <c r="E291" s="963">
        <v>4</v>
      </c>
      <c r="F291" s="1074" t="s">
        <v>513</v>
      </c>
      <c r="G291" s="965" t="s">
        <v>860</v>
      </c>
      <c r="H291" s="893" t="s">
        <v>251</v>
      </c>
      <c r="I291" s="1025">
        <v>25</v>
      </c>
      <c r="J291" s="1036"/>
      <c r="K291" s="1038" t="str">
        <f t="shared" si="120"/>
        <v>Included</v>
      </c>
      <c r="L291" s="953">
        <f t="shared" si="121"/>
        <v>0</v>
      </c>
      <c r="M291" s="847">
        <f t="shared" si="118"/>
        <v>0</v>
      </c>
      <c r="N291" s="847">
        <f t="shared" si="119"/>
        <v>0</v>
      </c>
    </row>
    <row r="292" spans="1:14" ht="79.5">
      <c r="A292" s="952"/>
      <c r="B292" s="809"/>
      <c r="C292" s="831"/>
      <c r="D292" s="828"/>
      <c r="E292" s="963">
        <v>5</v>
      </c>
      <c r="F292" s="1075" t="s">
        <v>537</v>
      </c>
      <c r="G292" s="965" t="s">
        <v>861</v>
      </c>
      <c r="H292" s="893"/>
      <c r="I292" s="1025"/>
      <c r="J292" s="1036"/>
      <c r="K292" s="1038"/>
      <c r="L292" s="953"/>
      <c r="M292" s="847">
        <f t="shared" si="118"/>
        <v>0</v>
      </c>
      <c r="N292" s="847">
        <f t="shared" si="119"/>
        <v>0</v>
      </c>
    </row>
    <row r="293" spans="1:14" ht="21.75" customHeight="1">
      <c r="A293" s="952">
        <v>995433</v>
      </c>
      <c r="B293" s="809"/>
      <c r="C293" s="831">
        <v>0.18</v>
      </c>
      <c r="D293" s="828" t="s">
        <v>205</v>
      </c>
      <c r="E293" s="963">
        <v>6</v>
      </c>
      <c r="F293" s="1075" t="s">
        <v>862</v>
      </c>
      <c r="G293" s="965" t="s">
        <v>863</v>
      </c>
      <c r="H293" s="893" t="s">
        <v>520</v>
      </c>
      <c r="I293" s="1025">
        <v>20</v>
      </c>
      <c r="J293" s="1036"/>
      <c r="K293" s="1038" t="str">
        <f t="shared" si="120"/>
        <v>Included</v>
      </c>
      <c r="L293" s="953">
        <f t="shared" si="121"/>
        <v>0</v>
      </c>
      <c r="M293" s="847">
        <f t="shared" si="118"/>
        <v>0</v>
      </c>
      <c r="N293" s="847">
        <f t="shared" si="119"/>
        <v>0</v>
      </c>
    </row>
    <row r="294" spans="1:14" ht="32.25">
      <c r="A294" s="952">
        <v>995433</v>
      </c>
      <c r="B294" s="809"/>
      <c r="C294" s="831">
        <v>0.18</v>
      </c>
      <c r="D294" s="828" t="s">
        <v>205</v>
      </c>
      <c r="E294" s="963">
        <v>7</v>
      </c>
      <c r="F294" s="1075" t="s">
        <v>864</v>
      </c>
      <c r="G294" s="965" t="s">
        <v>865</v>
      </c>
      <c r="H294" s="893" t="s">
        <v>520</v>
      </c>
      <c r="I294" s="1025">
        <f>25+40</f>
        <v>65</v>
      </c>
      <c r="J294" s="1036"/>
      <c r="K294" s="1038" t="str">
        <f t="shared" si="120"/>
        <v>Included</v>
      </c>
      <c r="L294" s="953">
        <f t="shared" si="121"/>
        <v>0</v>
      </c>
      <c r="M294" s="847">
        <f t="shared" si="118"/>
        <v>0</v>
      </c>
      <c r="N294" s="847">
        <f t="shared" si="119"/>
        <v>0</v>
      </c>
    </row>
    <row r="295" spans="1:14" ht="48">
      <c r="A295" s="952">
        <v>995433</v>
      </c>
      <c r="B295" s="809"/>
      <c r="C295" s="831">
        <v>0.18</v>
      </c>
      <c r="D295" s="828" t="s">
        <v>205</v>
      </c>
      <c r="E295" s="963">
        <v>8</v>
      </c>
      <c r="F295" s="1074">
        <v>2.25</v>
      </c>
      <c r="G295" s="965" t="s">
        <v>866</v>
      </c>
      <c r="H295" s="893" t="s">
        <v>251</v>
      </c>
      <c r="I295" s="1025">
        <f>275+125</f>
        <v>400</v>
      </c>
      <c r="J295" s="1036"/>
      <c r="K295" s="1038" t="str">
        <f t="shared" si="120"/>
        <v>Included</v>
      </c>
      <c r="L295" s="953">
        <f t="shared" si="121"/>
        <v>0</v>
      </c>
      <c r="M295" s="847">
        <f t="shared" si="118"/>
        <v>0</v>
      </c>
      <c r="N295" s="847">
        <f t="shared" si="119"/>
        <v>0</v>
      </c>
    </row>
    <row r="296" spans="1:14" ht="32.25">
      <c r="A296" s="952">
        <v>995433</v>
      </c>
      <c r="B296" s="809"/>
      <c r="C296" s="831">
        <v>0.18</v>
      </c>
      <c r="D296" s="828" t="s">
        <v>205</v>
      </c>
      <c r="E296" s="963">
        <v>9</v>
      </c>
      <c r="F296" s="1074">
        <v>2.27</v>
      </c>
      <c r="G296" s="965" t="s">
        <v>867</v>
      </c>
      <c r="H296" s="893" t="s">
        <v>251</v>
      </c>
      <c r="I296" s="1025">
        <v>15</v>
      </c>
      <c r="J296" s="1036"/>
      <c r="K296" s="1038" t="str">
        <f t="shared" si="120"/>
        <v>Included</v>
      </c>
      <c r="L296" s="953">
        <f t="shared" si="121"/>
        <v>0</v>
      </c>
      <c r="M296" s="847">
        <f t="shared" si="118"/>
        <v>0</v>
      </c>
      <c r="N296" s="847">
        <f t="shared" si="119"/>
        <v>0</v>
      </c>
    </row>
    <row r="297" spans="1:14" ht="48">
      <c r="A297" s="952">
        <v>995433</v>
      </c>
      <c r="B297" s="809"/>
      <c r="C297" s="831">
        <v>0.18</v>
      </c>
      <c r="D297" s="828" t="s">
        <v>205</v>
      </c>
      <c r="E297" s="963">
        <v>10</v>
      </c>
      <c r="F297" s="1074" t="s">
        <v>868</v>
      </c>
      <c r="G297" s="965" t="s">
        <v>869</v>
      </c>
      <c r="H297" s="893" t="s">
        <v>207</v>
      </c>
      <c r="I297" s="1025">
        <v>225</v>
      </c>
      <c r="J297" s="1036"/>
      <c r="K297" s="1038" t="str">
        <f t="shared" si="120"/>
        <v>Included</v>
      </c>
      <c r="L297" s="953">
        <f t="shared" si="121"/>
        <v>0</v>
      </c>
      <c r="M297" s="847">
        <f t="shared" si="118"/>
        <v>0</v>
      </c>
      <c r="N297" s="847">
        <f t="shared" si="119"/>
        <v>0</v>
      </c>
    </row>
    <row r="298" spans="1:14" ht="48">
      <c r="A298" s="952">
        <v>995454</v>
      </c>
      <c r="B298" s="809"/>
      <c r="C298" s="831">
        <v>0.18</v>
      </c>
      <c r="D298" s="828" t="s">
        <v>205</v>
      </c>
      <c r="E298" s="963">
        <v>11</v>
      </c>
      <c r="F298" s="1074" t="s">
        <v>515</v>
      </c>
      <c r="G298" s="965" t="s">
        <v>870</v>
      </c>
      <c r="H298" s="893" t="s">
        <v>512</v>
      </c>
      <c r="I298" s="1025">
        <v>8</v>
      </c>
      <c r="J298" s="1036"/>
      <c r="K298" s="1038" t="str">
        <f t="shared" si="120"/>
        <v>Included</v>
      </c>
      <c r="L298" s="953">
        <f t="shared" si="121"/>
        <v>0</v>
      </c>
      <c r="M298" s="847">
        <f t="shared" si="118"/>
        <v>0</v>
      </c>
      <c r="N298" s="847">
        <f t="shared" si="119"/>
        <v>0</v>
      </c>
    </row>
    <row r="299" spans="1:14" ht="48">
      <c r="A299" s="952">
        <v>995454</v>
      </c>
      <c r="B299" s="809"/>
      <c r="C299" s="831">
        <v>0.18</v>
      </c>
      <c r="D299" s="828" t="s">
        <v>205</v>
      </c>
      <c r="E299" s="963">
        <v>12</v>
      </c>
      <c r="F299" s="1074" t="s">
        <v>871</v>
      </c>
      <c r="G299" s="965" t="s">
        <v>872</v>
      </c>
      <c r="H299" s="893" t="s">
        <v>251</v>
      </c>
      <c r="I299" s="1025">
        <f>54+18</f>
        <v>72</v>
      </c>
      <c r="J299" s="1036"/>
      <c r="K299" s="1038" t="str">
        <f t="shared" si="120"/>
        <v>Included</v>
      </c>
      <c r="L299" s="953">
        <f t="shared" si="121"/>
        <v>0</v>
      </c>
      <c r="M299" s="847">
        <f t="shared" si="118"/>
        <v>0</v>
      </c>
      <c r="N299" s="847">
        <f t="shared" si="119"/>
        <v>0</v>
      </c>
    </row>
    <row r="300" spans="1:14" ht="32.25">
      <c r="A300" s="952">
        <v>995454</v>
      </c>
      <c r="B300" s="809"/>
      <c r="C300" s="831">
        <v>0.18</v>
      </c>
      <c r="D300" s="828" t="s">
        <v>205</v>
      </c>
      <c r="E300" s="963">
        <v>13</v>
      </c>
      <c r="F300" s="1074">
        <v>4.1100000000000003</v>
      </c>
      <c r="G300" s="965" t="s">
        <v>873</v>
      </c>
      <c r="H300" s="893" t="s">
        <v>207</v>
      </c>
      <c r="I300" s="1025">
        <v>10</v>
      </c>
      <c r="J300" s="1036"/>
      <c r="K300" s="1038" t="str">
        <f t="shared" si="120"/>
        <v>Included</v>
      </c>
      <c r="L300" s="953">
        <f t="shared" si="121"/>
        <v>0</v>
      </c>
      <c r="M300" s="847">
        <f t="shared" si="118"/>
        <v>0</v>
      </c>
      <c r="N300" s="847">
        <f t="shared" si="119"/>
        <v>0</v>
      </c>
    </row>
    <row r="301" spans="1:14" ht="41.25" customHeight="1">
      <c r="A301" s="952">
        <v>995454</v>
      </c>
      <c r="B301" s="809"/>
      <c r="C301" s="831">
        <v>0.18</v>
      </c>
      <c r="D301" s="828" t="s">
        <v>205</v>
      </c>
      <c r="E301" s="963">
        <v>14</v>
      </c>
      <c r="F301" s="1074">
        <v>4.12</v>
      </c>
      <c r="G301" s="975" t="s">
        <v>874</v>
      </c>
      <c r="H301" s="971" t="s">
        <v>1161</v>
      </c>
      <c r="I301" s="1025">
        <v>45</v>
      </c>
      <c r="J301" s="1036"/>
      <c r="K301" s="1038" t="str">
        <f t="shared" si="120"/>
        <v>Included</v>
      </c>
      <c r="L301" s="953">
        <f t="shared" si="121"/>
        <v>0</v>
      </c>
      <c r="M301" s="847">
        <f t="shared" si="118"/>
        <v>0</v>
      </c>
      <c r="N301" s="847">
        <f t="shared" si="119"/>
        <v>0</v>
      </c>
    </row>
    <row r="302" spans="1:14" ht="48">
      <c r="A302" s="952">
        <v>995454</v>
      </c>
      <c r="B302" s="809"/>
      <c r="C302" s="831">
        <v>0.18</v>
      </c>
      <c r="D302" s="828" t="s">
        <v>205</v>
      </c>
      <c r="E302" s="963">
        <v>15</v>
      </c>
      <c r="F302" s="1074">
        <v>4.13</v>
      </c>
      <c r="G302" s="965" t="s">
        <v>875</v>
      </c>
      <c r="H302" s="893" t="s">
        <v>207</v>
      </c>
      <c r="I302" s="1025">
        <v>10</v>
      </c>
      <c r="J302" s="1036"/>
      <c r="K302" s="1038" t="str">
        <f t="shared" si="120"/>
        <v>Included</v>
      </c>
      <c r="L302" s="953">
        <f t="shared" si="121"/>
        <v>0</v>
      </c>
      <c r="M302" s="847">
        <f t="shared" si="118"/>
        <v>0</v>
      </c>
      <c r="N302" s="847">
        <f t="shared" si="119"/>
        <v>0</v>
      </c>
    </row>
    <row r="303" spans="1:14" ht="63.75">
      <c r="A303" s="952">
        <v>995454</v>
      </c>
      <c r="B303" s="809"/>
      <c r="C303" s="831">
        <v>0.18</v>
      </c>
      <c r="D303" s="828" t="s">
        <v>205</v>
      </c>
      <c r="E303" s="963">
        <v>16</v>
      </c>
      <c r="F303" s="1076" t="s">
        <v>377</v>
      </c>
      <c r="G303" s="964" t="s">
        <v>876</v>
      </c>
      <c r="H303" s="893" t="s">
        <v>512</v>
      </c>
      <c r="I303" s="1025">
        <v>21</v>
      </c>
      <c r="J303" s="1036"/>
      <c r="K303" s="1038" t="str">
        <f t="shared" si="120"/>
        <v>Included</v>
      </c>
      <c r="L303" s="953">
        <f t="shared" si="121"/>
        <v>0</v>
      </c>
      <c r="M303" s="847">
        <f t="shared" si="118"/>
        <v>0</v>
      </c>
      <c r="N303" s="847">
        <f t="shared" si="119"/>
        <v>0</v>
      </c>
    </row>
    <row r="304" spans="1:14" ht="79.5">
      <c r="A304" s="952">
        <v>995454</v>
      </c>
      <c r="B304" s="809"/>
      <c r="C304" s="831">
        <v>0.18</v>
      </c>
      <c r="D304" s="828" t="s">
        <v>205</v>
      </c>
      <c r="E304" s="963">
        <v>17</v>
      </c>
      <c r="F304" s="1077">
        <v>5.3</v>
      </c>
      <c r="G304" s="965" t="s">
        <v>877</v>
      </c>
      <c r="H304" s="893" t="s">
        <v>251</v>
      </c>
      <c r="I304" s="1025">
        <f>8+115</f>
        <v>123</v>
      </c>
      <c r="J304" s="1036"/>
      <c r="K304" s="1038" t="str">
        <f t="shared" si="120"/>
        <v>Included</v>
      </c>
      <c r="L304" s="953">
        <f t="shared" si="121"/>
        <v>0</v>
      </c>
      <c r="M304" s="847">
        <f t="shared" si="118"/>
        <v>0</v>
      </c>
      <c r="N304" s="847">
        <f t="shared" si="119"/>
        <v>0</v>
      </c>
    </row>
    <row r="305" spans="1:14" ht="32.25">
      <c r="A305" s="952">
        <v>995457</v>
      </c>
      <c r="B305" s="809"/>
      <c r="C305" s="831">
        <v>0.18</v>
      </c>
      <c r="D305" s="828" t="s">
        <v>205</v>
      </c>
      <c r="E305" s="963">
        <v>18</v>
      </c>
      <c r="F305" s="1074" t="s">
        <v>516</v>
      </c>
      <c r="G305" s="965" t="s">
        <v>878</v>
      </c>
      <c r="H305" s="893" t="s">
        <v>207</v>
      </c>
      <c r="I305" s="1025">
        <f>75+75</f>
        <v>150</v>
      </c>
      <c r="J305" s="1036"/>
      <c r="K305" s="1038" t="str">
        <f t="shared" si="120"/>
        <v>Included</v>
      </c>
      <c r="L305" s="953">
        <f t="shared" si="121"/>
        <v>0</v>
      </c>
      <c r="M305" s="847">
        <f t="shared" si="118"/>
        <v>0</v>
      </c>
      <c r="N305" s="847">
        <f t="shared" si="119"/>
        <v>0</v>
      </c>
    </row>
    <row r="306" spans="1:14" ht="48">
      <c r="A306" s="952">
        <v>995457</v>
      </c>
      <c r="B306" s="809"/>
      <c r="C306" s="831">
        <v>0.18</v>
      </c>
      <c r="D306" s="828" t="s">
        <v>205</v>
      </c>
      <c r="E306" s="963">
        <v>19</v>
      </c>
      <c r="F306" s="1074" t="s">
        <v>517</v>
      </c>
      <c r="G306" s="965" t="s">
        <v>879</v>
      </c>
      <c r="H306" s="893" t="s">
        <v>207</v>
      </c>
      <c r="I306" s="1025">
        <f>290+439</f>
        <v>729</v>
      </c>
      <c r="J306" s="1036"/>
      <c r="K306" s="1038" t="str">
        <f t="shared" si="120"/>
        <v>Included</v>
      </c>
      <c r="L306" s="953">
        <f t="shared" si="121"/>
        <v>0</v>
      </c>
      <c r="M306" s="847">
        <f t="shared" si="118"/>
        <v>0</v>
      </c>
      <c r="N306" s="847">
        <f t="shared" si="119"/>
        <v>0</v>
      </c>
    </row>
    <row r="307" spans="1:14" ht="48">
      <c r="A307" s="952">
        <v>995457</v>
      </c>
      <c r="B307" s="809"/>
      <c r="C307" s="831">
        <v>0.18</v>
      </c>
      <c r="D307" s="828" t="s">
        <v>205</v>
      </c>
      <c r="E307" s="963">
        <v>20</v>
      </c>
      <c r="F307" s="1078" t="s">
        <v>880</v>
      </c>
      <c r="G307" s="967" t="s">
        <v>881</v>
      </c>
      <c r="H307" s="972" t="s">
        <v>514</v>
      </c>
      <c r="I307" s="1025">
        <v>30</v>
      </c>
      <c r="J307" s="1036"/>
      <c r="K307" s="1038" t="str">
        <f t="shared" si="120"/>
        <v>Included</v>
      </c>
      <c r="L307" s="953">
        <f t="shared" si="121"/>
        <v>0</v>
      </c>
      <c r="M307" s="847">
        <f t="shared" si="118"/>
        <v>0</v>
      </c>
      <c r="N307" s="847">
        <f t="shared" si="119"/>
        <v>0</v>
      </c>
    </row>
    <row r="308" spans="1:14" ht="48">
      <c r="A308" s="952">
        <v>995457</v>
      </c>
      <c r="B308" s="809"/>
      <c r="C308" s="831">
        <v>0.18</v>
      </c>
      <c r="D308" s="828" t="s">
        <v>205</v>
      </c>
      <c r="E308" s="963">
        <v>21</v>
      </c>
      <c r="F308" s="1074" t="s">
        <v>518</v>
      </c>
      <c r="G308" s="965" t="s">
        <v>882</v>
      </c>
      <c r="H308" s="893" t="s">
        <v>207</v>
      </c>
      <c r="I308" s="1025">
        <f>350+240</f>
        <v>590</v>
      </c>
      <c r="J308" s="1036"/>
      <c r="K308" s="1038" t="str">
        <f t="shared" si="120"/>
        <v>Included</v>
      </c>
      <c r="L308" s="953">
        <f t="shared" si="121"/>
        <v>0</v>
      </c>
      <c r="M308" s="847">
        <f t="shared" si="118"/>
        <v>0</v>
      </c>
      <c r="N308" s="847">
        <f t="shared" si="119"/>
        <v>0</v>
      </c>
    </row>
    <row r="309" spans="1:14" ht="32.25">
      <c r="A309" s="952">
        <v>995457</v>
      </c>
      <c r="B309" s="809"/>
      <c r="C309" s="831">
        <v>0.18</v>
      </c>
      <c r="D309" s="828" t="s">
        <v>205</v>
      </c>
      <c r="E309" s="963">
        <v>22</v>
      </c>
      <c r="F309" s="1074" t="s">
        <v>519</v>
      </c>
      <c r="G309" s="965" t="s">
        <v>883</v>
      </c>
      <c r="H309" s="893" t="s">
        <v>207</v>
      </c>
      <c r="I309" s="1025">
        <f>127+120</f>
        <v>247</v>
      </c>
      <c r="J309" s="1036"/>
      <c r="K309" s="1038" t="str">
        <f t="shared" si="120"/>
        <v>Included</v>
      </c>
      <c r="L309" s="953">
        <f t="shared" si="121"/>
        <v>0</v>
      </c>
      <c r="M309" s="847">
        <f t="shared" si="118"/>
        <v>0</v>
      </c>
      <c r="N309" s="847">
        <f t="shared" si="119"/>
        <v>0</v>
      </c>
    </row>
    <row r="310" spans="1:14" ht="32.25">
      <c r="A310" s="952">
        <v>995457</v>
      </c>
      <c r="B310" s="809"/>
      <c r="C310" s="831">
        <v>0.18</v>
      </c>
      <c r="D310" s="828" t="s">
        <v>205</v>
      </c>
      <c r="E310" s="963">
        <v>23</v>
      </c>
      <c r="F310" s="1074" t="s">
        <v>884</v>
      </c>
      <c r="G310" s="965" t="s">
        <v>885</v>
      </c>
      <c r="H310" s="893" t="s">
        <v>207</v>
      </c>
      <c r="I310" s="1025">
        <f>9+17</f>
        <v>26</v>
      </c>
      <c r="J310" s="1036"/>
      <c r="K310" s="1038" t="str">
        <f t="shared" si="120"/>
        <v>Included</v>
      </c>
      <c r="L310" s="953">
        <f t="shared" si="121"/>
        <v>0</v>
      </c>
      <c r="M310" s="847">
        <f t="shared" si="118"/>
        <v>0</v>
      </c>
      <c r="N310" s="847">
        <f t="shared" si="119"/>
        <v>0</v>
      </c>
    </row>
    <row r="311" spans="1:14" ht="32.25">
      <c r="A311" s="952">
        <v>995457</v>
      </c>
      <c r="B311" s="809"/>
      <c r="C311" s="831">
        <v>0.18</v>
      </c>
      <c r="D311" s="828" t="s">
        <v>205</v>
      </c>
      <c r="E311" s="963">
        <v>24</v>
      </c>
      <c r="F311" s="1078" t="s">
        <v>886</v>
      </c>
      <c r="G311" s="964" t="s">
        <v>887</v>
      </c>
      <c r="H311" s="893" t="s">
        <v>514</v>
      </c>
      <c r="I311" s="1025">
        <v>40</v>
      </c>
      <c r="J311" s="1036"/>
      <c r="K311" s="1038" t="str">
        <f t="shared" si="120"/>
        <v>Included</v>
      </c>
      <c r="L311" s="953">
        <f t="shared" si="121"/>
        <v>0</v>
      </c>
      <c r="M311" s="847">
        <f t="shared" si="118"/>
        <v>0</v>
      </c>
      <c r="N311" s="847">
        <f t="shared" si="119"/>
        <v>0</v>
      </c>
    </row>
    <row r="312" spans="1:14" ht="32.25">
      <c r="A312" s="952">
        <v>995457</v>
      </c>
      <c r="B312" s="809"/>
      <c r="C312" s="831">
        <v>0.18</v>
      </c>
      <c r="D312" s="828" t="s">
        <v>205</v>
      </c>
      <c r="E312" s="963">
        <v>25</v>
      </c>
      <c r="F312" s="1074" t="s">
        <v>364</v>
      </c>
      <c r="G312" s="965" t="s">
        <v>888</v>
      </c>
      <c r="H312" s="893" t="s">
        <v>207</v>
      </c>
      <c r="I312" s="1025">
        <v>20</v>
      </c>
      <c r="J312" s="1036"/>
      <c r="K312" s="1038" t="str">
        <f t="shared" si="120"/>
        <v>Included</v>
      </c>
      <c r="L312" s="953">
        <f t="shared" si="121"/>
        <v>0</v>
      </c>
      <c r="M312" s="847">
        <f t="shared" si="118"/>
        <v>0</v>
      </c>
      <c r="N312" s="847">
        <f t="shared" si="119"/>
        <v>0</v>
      </c>
    </row>
    <row r="313" spans="1:14" ht="65.25" customHeight="1">
      <c r="A313" s="952">
        <v>995454</v>
      </c>
      <c r="B313" s="809"/>
      <c r="C313" s="831">
        <v>0.18</v>
      </c>
      <c r="D313" s="828" t="s">
        <v>205</v>
      </c>
      <c r="E313" s="963">
        <v>26</v>
      </c>
      <c r="F313" s="1074" t="s">
        <v>521</v>
      </c>
      <c r="G313" s="965" t="s">
        <v>889</v>
      </c>
      <c r="H313" s="893" t="s">
        <v>262</v>
      </c>
      <c r="I313" s="1025">
        <f>11362+9500</f>
        <v>20862</v>
      </c>
      <c r="J313" s="1036"/>
      <c r="K313" s="1038" t="str">
        <f t="shared" si="120"/>
        <v>Included</v>
      </c>
      <c r="L313" s="953">
        <f t="shared" si="121"/>
        <v>0</v>
      </c>
      <c r="M313" s="847">
        <f t="shared" si="118"/>
        <v>0</v>
      </c>
      <c r="N313" s="847">
        <f t="shared" si="119"/>
        <v>0</v>
      </c>
    </row>
    <row r="314" spans="1:14" ht="30.75" customHeight="1">
      <c r="A314" s="952">
        <v>995478</v>
      </c>
      <c r="B314" s="809"/>
      <c r="C314" s="831">
        <v>0.18</v>
      </c>
      <c r="D314" s="828" t="s">
        <v>205</v>
      </c>
      <c r="E314" s="963">
        <v>27</v>
      </c>
      <c r="F314" s="1075">
        <v>5.3</v>
      </c>
      <c r="G314" s="975" t="s">
        <v>890</v>
      </c>
      <c r="H314" s="893" t="s">
        <v>1162</v>
      </c>
      <c r="I314" s="1025">
        <v>45</v>
      </c>
      <c r="J314" s="1036"/>
      <c r="K314" s="1038" t="str">
        <f t="shared" si="120"/>
        <v>Included</v>
      </c>
      <c r="L314" s="953">
        <f t="shared" si="121"/>
        <v>0</v>
      </c>
      <c r="M314" s="847">
        <f t="shared" si="118"/>
        <v>0</v>
      </c>
      <c r="N314" s="847">
        <f t="shared" si="119"/>
        <v>0</v>
      </c>
    </row>
    <row r="315" spans="1:14" ht="221.25">
      <c r="A315" s="952">
        <v>995454</v>
      </c>
      <c r="B315" s="809"/>
      <c r="C315" s="831">
        <v>0.18</v>
      </c>
      <c r="D315" s="828" t="s">
        <v>205</v>
      </c>
      <c r="E315" s="963">
        <v>28</v>
      </c>
      <c r="F315" s="1074" t="s">
        <v>891</v>
      </c>
      <c r="G315" s="965" t="s">
        <v>1236</v>
      </c>
      <c r="H315" s="893" t="s">
        <v>251</v>
      </c>
      <c r="I315" s="1025">
        <v>42</v>
      </c>
      <c r="J315" s="1036"/>
      <c r="K315" s="1038" t="str">
        <f t="shared" si="120"/>
        <v>Included</v>
      </c>
      <c r="L315" s="953">
        <f t="shared" si="121"/>
        <v>0</v>
      </c>
      <c r="M315" s="847">
        <f t="shared" si="118"/>
        <v>0</v>
      </c>
      <c r="N315" s="847">
        <f t="shared" si="119"/>
        <v>0</v>
      </c>
    </row>
    <row r="316" spans="1:14" ht="221.25">
      <c r="A316" s="952">
        <v>995454</v>
      </c>
      <c r="B316" s="809"/>
      <c r="C316" s="831">
        <v>0.18</v>
      </c>
      <c r="D316" s="828" t="s">
        <v>205</v>
      </c>
      <c r="E316" s="963">
        <v>29</v>
      </c>
      <c r="F316" s="1074" t="s">
        <v>893</v>
      </c>
      <c r="G316" s="965" t="s">
        <v>1237</v>
      </c>
      <c r="H316" s="893" t="s">
        <v>251</v>
      </c>
      <c r="I316" s="1025">
        <v>55</v>
      </c>
      <c r="J316" s="1036"/>
      <c r="K316" s="1038" t="str">
        <f t="shared" si="120"/>
        <v>Included</v>
      </c>
      <c r="L316" s="953">
        <f t="shared" si="121"/>
        <v>0</v>
      </c>
      <c r="M316" s="847">
        <f t="shared" si="118"/>
        <v>0</v>
      </c>
      <c r="N316" s="847">
        <f t="shared" si="119"/>
        <v>0</v>
      </c>
    </row>
    <row r="317" spans="1:14" ht="32.25">
      <c r="A317" s="952">
        <v>995456</v>
      </c>
      <c r="B317" s="809"/>
      <c r="C317" s="831">
        <v>0.18</v>
      </c>
      <c r="D317" s="828" t="s">
        <v>205</v>
      </c>
      <c r="E317" s="963">
        <v>30</v>
      </c>
      <c r="F317" s="1074" t="s">
        <v>895</v>
      </c>
      <c r="G317" s="965" t="s">
        <v>896</v>
      </c>
      <c r="H317" s="893" t="s">
        <v>251</v>
      </c>
      <c r="I317" s="1025">
        <v>7</v>
      </c>
      <c r="J317" s="1036"/>
      <c r="K317" s="1038" t="str">
        <f t="shared" si="120"/>
        <v>Included</v>
      </c>
      <c r="L317" s="953">
        <f t="shared" si="121"/>
        <v>0</v>
      </c>
      <c r="M317" s="847">
        <f t="shared" si="118"/>
        <v>0</v>
      </c>
      <c r="N317" s="847">
        <f t="shared" si="119"/>
        <v>0</v>
      </c>
    </row>
    <row r="318" spans="1:14" ht="32.25">
      <c r="A318" s="952">
        <v>995456</v>
      </c>
      <c r="B318" s="809"/>
      <c r="C318" s="831">
        <v>0.18</v>
      </c>
      <c r="D318" s="828" t="s">
        <v>205</v>
      </c>
      <c r="E318" s="963">
        <v>31</v>
      </c>
      <c r="F318" s="1074" t="s">
        <v>897</v>
      </c>
      <c r="G318" s="967" t="s">
        <v>898</v>
      </c>
      <c r="H318" s="972" t="s">
        <v>512</v>
      </c>
      <c r="I318" s="1025">
        <v>4</v>
      </c>
      <c r="J318" s="1036"/>
      <c r="K318" s="1038" t="str">
        <f t="shared" si="120"/>
        <v>Included</v>
      </c>
      <c r="L318" s="953">
        <f t="shared" si="121"/>
        <v>0</v>
      </c>
      <c r="M318" s="847">
        <f t="shared" si="118"/>
        <v>0</v>
      </c>
      <c r="N318" s="847">
        <f t="shared" si="119"/>
        <v>0</v>
      </c>
    </row>
    <row r="319" spans="1:14" ht="48">
      <c r="A319" s="952">
        <v>995456</v>
      </c>
      <c r="B319" s="809"/>
      <c r="C319" s="831">
        <v>0.18</v>
      </c>
      <c r="D319" s="828" t="s">
        <v>205</v>
      </c>
      <c r="E319" s="963">
        <v>32</v>
      </c>
      <c r="F319" s="1074" t="s">
        <v>899</v>
      </c>
      <c r="G319" s="965" t="s">
        <v>900</v>
      </c>
      <c r="H319" s="893" t="s">
        <v>251</v>
      </c>
      <c r="I319" s="1025">
        <v>45</v>
      </c>
      <c r="J319" s="1036"/>
      <c r="K319" s="1038" t="str">
        <f t="shared" si="120"/>
        <v>Included</v>
      </c>
      <c r="L319" s="953">
        <f t="shared" si="121"/>
        <v>0</v>
      </c>
      <c r="M319" s="847">
        <f t="shared" si="118"/>
        <v>0</v>
      </c>
      <c r="N319" s="847">
        <f t="shared" si="119"/>
        <v>0</v>
      </c>
    </row>
    <row r="320" spans="1:14" ht="48">
      <c r="A320" s="952">
        <v>995456</v>
      </c>
      <c r="B320" s="809"/>
      <c r="C320" s="831">
        <v>0.18</v>
      </c>
      <c r="D320" s="828" t="s">
        <v>205</v>
      </c>
      <c r="E320" s="963">
        <v>33</v>
      </c>
      <c r="F320" s="1074" t="s">
        <v>254</v>
      </c>
      <c r="G320" s="964" t="s">
        <v>901</v>
      </c>
      <c r="H320" s="893" t="s">
        <v>512</v>
      </c>
      <c r="I320" s="1025">
        <v>57</v>
      </c>
      <c r="J320" s="1036"/>
      <c r="K320" s="1038" t="str">
        <f t="shared" si="120"/>
        <v>Included</v>
      </c>
      <c r="L320" s="953">
        <f t="shared" si="121"/>
        <v>0</v>
      </c>
      <c r="M320" s="847">
        <f t="shared" si="118"/>
        <v>0</v>
      </c>
      <c r="N320" s="847">
        <f t="shared" si="119"/>
        <v>0</v>
      </c>
    </row>
    <row r="321" spans="1:14" ht="48">
      <c r="A321" s="952">
        <v>995456</v>
      </c>
      <c r="B321" s="809"/>
      <c r="C321" s="831">
        <v>0.18</v>
      </c>
      <c r="D321" s="828" t="s">
        <v>205</v>
      </c>
      <c r="E321" s="963">
        <v>34</v>
      </c>
      <c r="F321" s="1074" t="s">
        <v>902</v>
      </c>
      <c r="G321" s="965" t="s">
        <v>903</v>
      </c>
      <c r="H321" s="893" t="s">
        <v>207</v>
      </c>
      <c r="I321" s="1025">
        <f>165+100</f>
        <v>265</v>
      </c>
      <c r="J321" s="1036"/>
      <c r="K321" s="1038" t="str">
        <f t="shared" si="120"/>
        <v>Included</v>
      </c>
      <c r="L321" s="953">
        <f t="shared" si="121"/>
        <v>0</v>
      </c>
      <c r="M321" s="847">
        <f t="shared" si="118"/>
        <v>0</v>
      </c>
      <c r="N321" s="847">
        <f t="shared" si="119"/>
        <v>0</v>
      </c>
    </row>
    <row r="322" spans="1:14" ht="32.25">
      <c r="A322" s="952">
        <v>995456</v>
      </c>
      <c r="B322" s="809"/>
      <c r="C322" s="831">
        <v>0.18</v>
      </c>
      <c r="D322" s="828" t="s">
        <v>205</v>
      </c>
      <c r="E322" s="963">
        <v>35</v>
      </c>
      <c r="F322" s="1074">
        <v>6.15</v>
      </c>
      <c r="G322" s="965" t="s">
        <v>904</v>
      </c>
      <c r="H322" s="893" t="s">
        <v>207</v>
      </c>
      <c r="I322" s="1025">
        <f>165+100</f>
        <v>265</v>
      </c>
      <c r="J322" s="1036"/>
      <c r="K322" s="1038" t="str">
        <f t="shared" si="120"/>
        <v>Included</v>
      </c>
      <c r="L322" s="953">
        <f t="shared" si="121"/>
        <v>0</v>
      </c>
      <c r="M322" s="847">
        <f t="shared" si="118"/>
        <v>0</v>
      </c>
      <c r="N322" s="847">
        <f t="shared" si="119"/>
        <v>0</v>
      </c>
    </row>
    <row r="323" spans="1:14" ht="95.25">
      <c r="A323" s="952">
        <v>995474</v>
      </c>
      <c r="B323" s="809"/>
      <c r="C323" s="831">
        <v>0.18</v>
      </c>
      <c r="D323" s="828" t="s">
        <v>205</v>
      </c>
      <c r="E323" s="963">
        <v>36</v>
      </c>
      <c r="F323" s="1078" t="s">
        <v>905</v>
      </c>
      <c r="G323" s="964" t="s">
        <v>906</v>
      </c>
      <c r="H323" s="893" t="s">
        <v>514</v>
      </c>
      <c r="I323" s="1026">
        <v>2</v>
      </c>
      <c r="J323" s="1036"/>
      <c r="K323" s="1038" t="str">
        <f t="shared" si="120"/>
        <v>Included</v>
      </c>
      <c r="L323" s="953">
        <f t="shared" si="121"/>
        <v>0</v>
      </c>
      <c r="M323" s="847">
        <f t="shared" si="118"/>
        <v>0</v>
      </c>
      <c r="N323" s="847">
        <f t="shared" si="119"/>
        <v>0</v>
      </c>
    </row>
    <row r="324" spans="1:14" ht="95.25">
      <c r="A324" s="952">
        <v>995474</v>
      </c>
      <c r="B324" s="809"/>
      <c r="C324" s="831">
        <v>0.18</v>
      </c>
      <c r="D324" s="828" t="s">
        <v>205</v>
      </c>
      <c r="E324" s="963">
        <v>37</v>
      </c>
      <c r="F324" s="1074" t="s">
        <v>907</v>
      </c>
      <c r="G324" s="965" t="s">
        <v>908</v>
      </c>
      <c r="H324" s="893" t="s">
        <v>207</v>
      </c>
      <c r="I324" s="1025">
        <f>4+8</f>
        <v>12</v>
      </c>
      <c r="J324" s="1036"/>
      <c r="K324" s="1038" t="str">
        <f t="shared" si="120"/>
        <v>Included</v>
      </c>
      <c r="L324" s="953">
        <f t="shared" si="121"/>
        <v>0</v>
      </c>
      <c r="M324" s="847">
        <f t="shared" si="118"/>
        <v>0</v>
      </c>
      <c r="N324" s="847">
        <f t="shared" si="119"/>
        <v>0</v>
      </c>
    </row>
    <row r="325" spans="1:14" ht="48">
      <c r="A325" s="952">
        <v>995474</v>
      </c>
      <c r="B325" s="809"/>
      <c r="C325" s="831">
        <v>0.18</v>
      </c>
      <c r="D325" s="828" t="s">
        <v>205</v>
      </c>
      <c r="E325" s="963">
        <v>38</v>
      </c>
      <c r="F325" s="1074" t="s">
        <v>909</v>
      </c>
      <c r="G325" s="965" t="s">
        <v>910</v>
      </c>
      <c r="H325" s="893" t="s">
        <v>520</v>
      </c>
      <c r="I325" s="1025">
        <f>7+35</f>
        <v>42</v>
      </c>
      <c r="J325" s="1036"/>
      <c r="K325" s="1038" t="str">
        <f t="shared" si="120"/>
        <v>Included</v>
      </c>
      <c r="L325" s="953">
        <f t="shared" si="121"/>
        <v>0</v>
      </c>
      <c r="M325" s="847">
        <f t="shared" si="118"/>
        <v>0</v>
      </c>
      <c r="N325" s="847">
        <f t="shared" si="119"/>
        <v>0</v>
      </c>
    </row>
    <row r="326" spans="1:14" ht="32.25">
      <c r="A326" s="952">
        <v>995474</v>
      </c>
      <c r="B326" s="809"/>
      <c r="C326" s="831">
        <v>0.18</v>
      </c>
      <c r="D326" s="828" t="s">
        <v>205</v>
      </c>
      <c r="E326" s="963">
        <v>39</v>
      </c>
      <c r="F326" s="1074">
        <v>8.4</v>
      </c>
      <c r="G326" s="965" t="s">
        <v>911</v>
      </c>
      <c r="H326" s="893" t="s">
        <v>246</v>
      </c>
      <c r="I326" s="1025">
        <f>5+9</f>
        <v>14</v>
      </c>
      <c r="J326" s="1036"/>
      <c r="K326" s="1038" t="str">
        <f t="shared" si="120"/>
        <v>Included</v>
      </c>
      <c r="L326" s="953">
        <f t="shared" si="121"/>
        <v>0</v>
      </c>
      <c r="M326" s="847">
        <f t="shared" si="118"/>
        <v>0</v>
      </c>
      <c r="N326" s="847">
        <f t="shared" si="119"/>
        <v>0</v>
      </c>
    </row>
    <row r="327" spans="1:14" ht="48">
      <c r="A327" s="952">
        <v>995474</v>
      </c>
      <c r="B327" s="809"/>
      <c r="C327" s="831">
        <v>0.18</v>
      </c>
      <c r="D327" s="828" t="s">
        <v>205</v>
      </c>
      <c r="E327" s="963">
        <v>40</v>
      </c>
      <c r="F327" s="1074" t="s">
        <v>912</v>
      </c>
      <c r="G327" s="965" t="s">
        <v>913</v>
      </c>
      <c r="H327" s="893" t="s">
        <v>207</v>
      </c>
      <c r="I327" s="1025">
        <v>13</v>
      </c>
      <c r="J327" s="1036"/>
      <c r="K327" s="1038" t="str">
        <f t="shared" si="120"/>
        <v>Included</v>
      </c>
      <c r="L327" s="953">
        <f t="shared" si="121"/>
        <v>0</v>
      </c>
      <c r="M327" s="847">
        <f t="shared" si="118"/>
        <v>0</v>
      </c>
      <c r="N327" s="847">
        <f t="shared" si="119"/>
        <v>0</v>
      </c>
    </row>
    <row r="328" spans="1:14" ht="79.5">
      <c r="A328" s="952">
        <v>995474</v>
      </c>
      <c r="B328" s="809"/>
      <c r="C328" s="831">
        <v>0.18</v>
      </c>
      <c r="D328" s="828" t="s">
        <v>205</v>
      </c>
      <c r="E328" s="963">
        <v>41</v>
      </c>
      <c r="F328" s="1074">
        <v>8.31</v>
      </c>
      <c r="G328" s="965" t="s">
        <v>914</v>
      </c>
      <c r="H328" s="893" t="s">
        <v>207</v>
      </c>
      <c r="I328" s="1025">
        <f>16+63</f>
        <v>79</v>
      </c>
      <c r="J328" s="1036"/>
      <c r="K328" s="1038" t="str">
        <f t="shared" si="120"/>
        <v>Included</v>
      </c>
      <c r="L328" s="953">
        <f t="shared" si="121"/>
        <v>0</v>
      </c>
      <c r="M328" s="847">
        <f t="shared" si="118"/>
        <v>0</v>
      </c>
      <c r="N328" s="847">
        <f t="shared" si="119"/>
        <v>0</v>
      </c>
    </row>
    <row r="329" spans="1:14" ht="95.25">
      <c r="A329" s="952">
        <v>995476</v>
      </c>
      <c r="B329" s="809"/>
      <c r="C329" s="831">
        <v>0.18</v>
      </c>
      <c r="D329" s="828" t="s">
        <v>205</v>
      </c>
      <c r="E329" s="963">
        <v>42</v>
      </c>
      <c r="F329" s="1074" t="s">
        <v>915</v>
      </c>
      <c r="G329" s="965" t="s">
        <v>1238</v>
      </c>
      <c r="H329" s="893" t="s">
        <v>207</v>
      </c>
      <c r="I329" s="1025">
        <v>50</v>
      </c>
      <c r="J329" s="1036"/>
      <c r="K329" s="1038" t="str">
        <f t="shared" si="120"/>
        <v>Included</v>
      </c>
      <c r="L329" s="953">
        <f t="shared" si="121"/>
        <v>0</v>
      </c>
      <c r="M329" s="847">
        <f t="shared" si="118"/>
        <v>0</v>
      </c>
      <c r="N329" s="847">
        <f t="shared" si="119"/>
        <v>0</v>
      </c>
    </row>
    <row r="330" spans="1:14">
      <c r="A330" s="952">
        <v>995476</v>
      </c>
      <c r="B330" s="809"/>
      <c r="C330" s="831">
        <v>0.18</v>
      </c>
      <c r="D330" s="828" t="s">
        <v>205</v>
      </c>
      <c r="E330" s="963">
        <v>43</v>
      </c>
      <c r="F330" s="1074">
        <v>9.4499999999999993</v>
      </c>
      <c r="G330" s="965" t="s">
        <v>917</v>
      </c>
      <c r="H330" s="893" t="s">
        <v>520</v>
      </c>
      <c r="I330" s="1025">
        <v>25</v>
      </c>
      <c r="J330" s="1036"/>
      <c r="K330" s="1038" t="str">
        <f t="shared" si="120"/>
        <v>Included</v>
      </c>
      <c r="L330" s="953">
        <f t="shared" si="121"/>
        <v>0</v>
      </c>
      <c r="M330" s="847">
        <f t="shared" si="118"/>
        <v>0</v>
      </c>
      <c r="N330" s="847">
        <f t="shared" si="119"/>
        <v>0</v>
      </c>
    </row>
    <row r="331" spans="1:14" ht="32.25">
      <c r="A331" s="952">
        <v>995476</v>
      </c>
      <c r="B331" s="809"/>
      <c r="C331" s="831">
        <v>0.18</v>
      </c>
      <c r="D331" s="828" t="s">
        <v>205</v>
      </c>
      <c r="E331" s="963">
        <v>44</v>
      </c>
      <c r="F331" s="1074" t="s">
        <v>918</v>
      </c>
      <c r="G331" s="965" t="s">
        <v>919</v>
      </c>
      <c r="H331" s="893" t="s">
        <v>520</v>
      </c>
      <c r="I331" s="1025">
        <f>55+10</f>
        <v>65</v>
      </c>
      <c r="J331" s="1036"/>
      <c r="K331" s="1038" t="str">
        <f t="shared" si="120"/>
        <v>Included</v>
      </c>
      <c r="L331" s="953">
        <f t="shared" si="121"/>
        <v>0</v>
      </c>
      <c r="M331" s="847">
        <f t="shared" si="118"/>
        <v>0</v>
      </c>
      <c r="N331" s="847">
        <f t="shared" si="119"/>
        <v>0</v>
      </c>
    </row>
    <row r="332" spans="1:14" ht="48">
      <c r="A332" s="952">
        <v>995476</v>
      </c>
      <c r="B332" s="809"/>
      <c r="C332" s="831">
        <v>0.18</v>
      </c>
      <c r="D332" s="828" t="s">
        <v>205</v>
      </c>
      <c r="E332" s="963">
        <v>45</v>
      </c>
      <c r="F332" s="1074" t="s">
        <v>920</v>
      </c>
      <c r="G332" s="965" t="s">
        <v>921</v>
      </c>
      <c r="H332" s="893" t="s">
        <v>262</v>
      </c>
      <c r="I332" s="1025">
        <v>750</v>
      </c>
      <c r="J332" s="1036"/>
      <c r="K332" s="1038" t="str">
        <f t="shared" si="120"/>
        <v>Included</v>
      </c>
      <c r="L332" s="953">
        <f t="shared" si="121"/>
        <v>0</v>
      </c>
      <c r="M332" s="847">
        <f t="shared" si="118"/>
        <v>0</v>
      </c>
      <c r="N332" s="847">
        <f t="shared" si="119"/>
        <v>0</v>
      </c>
    </row>
    <row r="333" spans="1:14" ht="48">
      <c r="A333" s="952">
        <v>995476</v>
      </c>
      <c r="B333" s="809"/>
      <c r="C333" s="831">
        <v>0.18</v>
      </c>
      <c r="D333" s="828" t="s">
        <v>205</v>
      </c>
      <c r="E333" s="966">
        <v>46</v>
      </c>
      <c r="F333" s="1073" t="s">
        <v>920</v>
      </c>
      <c r="G333" s="967" t="s">
        <v>922</v>
      </c>
      <c r="H333" s="973" t="s">
        <v>262</v>
      </c>
      <c r="I333" s="1025">
        <v>542</v>
      </c>
      <c r="J333" s="1036"/>
      <c r="K333" s="1038" t="str">
        <f t="shared" si="120"/>
        <v>Included</v>
      </c>
      <c r="L333" s="953">
        <f t="shared" si="121"/>
        <v>0</v>
      </c>
      <c r="M333" s="847">
        <f t="shared" si="118"/>
        <v>0</v>
      </c>
      <c r="N333" s="847">
        <f t="shared" si="119"/>
        <v>0</v>
      </c>
    </row>
    <row r="334" spans="1:14" ht="32.25">
      <c r="A334" s="952"/>
      <c r="B334" s="809"/>
      <c r="C334" s="831"/>
      <c r="D334" s="828"/>
      <c r="E334" s="963">
        <v>47</v>
      </c>
      <c r="F334" s="1074">
        <v>9.5500000000000007</v>
      </c>
      <c r="G334" s="965" t="s">
        <v>923</v>
      </c>
      <c r="H334" s="893"/>
      <c r="I334" s="1025"/>
      <c r="J334" s="1036"/>
      <c r="K334" s="1038"/>
      <c r="L334" s="953"/>
      <c r="M334" s="847">
        <f t="shared" si="118"/>
        <v>0</v>
      </c>
      <c r="N334" s="847">
        <f t="shared" si="119"/>
        <v>0</v>
      </c>
    </row>
    <row r="335" spans="1:14">
      <c r="A335" s="952">
        <v>995476</v>
      </c>
      <c r="B335" s="809"/>
      <c r="C335" s="831">
        <v>0.18</v>
      </c>
      <c r="D335" s="828" t="s">
        <v>205</v>
      </c>
      <c r="E335" s="963" t="s">
        <v>924</v>
      </c>
      <c r="F335" s="1074" t="s">
        <v>925</v>
      </c>
      <c r="G335" s="965" t="s">
        <v>926</v>
      </c>
      <c r="H335" s="893" t="s">
        <v>107</v>
      </c>
      <c r="I335" s="1025">
        <v>15</v>
      </c>
      <c r="J335" s="1036"/>
      <c r="K335" s="1038" t="str">
        <f t="shared" si="120"/>
        <v>Included</v>
      </c>
      <c r="L335" s="953">
        <f t="shared" si="121"/>
        <v>0</v>
      </c>
      <c r="M335" s="847">
        <f t="shared" si="118"/>
        <v>0</v>
      </c>
      <c r="N335" s="847">
        <f t="shared" si="119"/>
        <v>0</v>
      </c>
    </row>
    <row r="336" spans="1:14">
      <c r="A336" s="952">
        <v>995476</v>
      </c>
      <c r="B336" s="809"/>
      <c r="C336" s="831">
        <v>0.18</v>
      </c>
      <c r="D336" s="828" t="s">
        <v>205</v>
      </c>
      <c r="E336" s="963" t="s">
        <v>927</v>
      </c>
      <c r="F336" s="1074" t="s">
        <v>928</v>
      </c>
      <c r="G336" s="965" t="s">
        <v>929</v>
      </c>
      <c r="H336" s="893" t="s">
        <v>107</v>
      </c>
      <c r="I336" s="1025">
        <v>10</v>
      </c>
      <c r="J336" s="1036"/>
      <c r="K336" s="1038" t="str">
        <f t="shared" si="120"/>
        <v>Included</v>
      </c>
      <c r="L336" s="953">
        <f t="shared" si="121"/>
        <v>0</v>
      </c>
      <c r="M336" s="847">
        <f t="shared" ref="M336:M399" si="122">IF(K336="Included",0,K336)</f>
        <v>0</v>
      </c>
      <c r="N336" s="847">
        <f t="shared" ref="N336:N399" si="123">IF(C336="confirmed",(M336*B336),(M336*C336))</f>
        <v>0</v>
      </c>
    </row>
    <row r="337" spans="1:14" ht="48">
      <c r="A337" s="952">
        <v>995476</v>
      </c>
      <c r="B337" s="809"/>
      <c r="C337" s="831">
        <v>0.18</v>
      </c>
      <c r="D337" s="828" t="s">
        <v>205</v>
      </c>
      <c r="E337" s="963">
        <v>48</v>
      </c>
      <c r="F337" s="1074" t="s">
        <v>287</v>
      </c>
      <c r="G337" s="965" t="s">
        <v>930</v>
      </c>
      <c r="H337" s="893" t="s">
        <v>520</v>
      </c>
      <c r="I337" s="1025">
        <f>38+50</f>
        <v>88</v>
      </c>
      <c r="J337" s="1036"/>
      <c r="K337" s="1038" t="str">
        <f t="shared" si="120"/>
        <v>Included</v>
      </c>
      <c r="L337" s="953">
        <f t="shared" si="121"/>
        <v>0</v>
      </c>
      <c r="M337" s="847">
        <f t="shared" si="122"/>
        <v>0</v>
      </c>
      <c r="N337" s="847">
        <f t="shared" si="123"/>
        <v>0</v>
      </c>
    </row>
    <row r="338" spans="1:14" ht="32.25">
      <c r="A338" s="952">
        <v>995476</v>
      </c>
      <c r="B338" s="809"/>
      <c r="C338" s="831">
        <v>0.18</v>
      </c>
      <c r="D338" s="828" t="s">
        <v>205</v>
      </c>
      <c r="E338" s="963">
        <v>49</v>
      </c>
      <c r="F338" s="1074">
        <v>9.8800000000000008</v>
      </c>
      <c r="G338" s="965" t="s">
        <v>931</v>
      </c>
      <c r="H338" s="893" t="s">
        <v>224</v>
      </c>
      <c r="I338" s="1025">
        <v>2</v>
      </c>
      <c r="J338" s="1036"/>
      <c r="K338" s="1038" t="str">
        <f t="shared" si="120"/>
        <v>Included</v>
      </c>
      <c r="L338" s="953">
        <f t="shared" si="121"/>
        <v>0</v>
      </c>
      <c r="M338" s="847">
        <f t="shared" si="122"/>
        <v>0</v>
      </c>
      <c r="N338" s="847">
        <f t="shared" si="123"/>
        <v>0</v>
      </c>
    </row>
    <row r="339" spans="1:14" ht="48">
      <c r="A339" s="952">
        <v>995476</v>
      </c>
      <c r="B339" s="809"/>
      <c r="C339" s="831">
        <v>0.18</v>
      </c>
      <c r="D339" s="828" t="s">
        <v>205</v>
      </c>
      <c r="E339" s="963">
        <v>50</v>
      </c>
      <c r="F339" s="1074" t="s">
        <v>289</v>
      </c>
      <c r="G339" s="965" t="s">
        <v>932</v>
      </c>
      <c r="H339" s="893" t="s">
        <v>224</v>
      </c>
      <c r="I339" s="1025">
        <f>4+4</f>
        <v>8</v>
      </c>
      <c r="J339" s="1036"/>
      <c r="K339" s="1038" t="str">
        <f t="shared" si="120"/>
        <v>Included</v>
      </c>
      <c r="L339" s="953">
        <f t="shared" si="121"/>
        <v>0</v>
      </c>
      <c r="M339" s="847">
        <f t="shared" si="122"/>
        <v>0</v>
      </c>
      <c r="N339" s="847">
        <f t="shared" si="123"/>
        <v>0</v>
      </c>
    </row>
    <row r="340" spans="1:14">
      <c r="A340" s="952">
        <v>995476</v>
      </c>
      <c r="B340" s="809"/>
      <c r="C340" s="831">
        <v>0.18</v>
      </c>
      <c r="D340" s="828" t="s">
        <v>205</v>
      </c>
      <c r="E340" s="963">
        <v>51</v>
      </c>
      <c r="F340" s="1074" t="s">
        <v>933</v>
      </c>
      <c r="G340" s="965" t="s">
        <v>934</v>
      </c>
      <c r="H340" s="893" t="s">
        <v>224</v>
      </c>
      <c r="I340" s="1025">
        <f>48+20</f>
        <v>68</v>
      </c>
      <c r="J340" s="1036"/>
      <c r="K340" s="1038" t="str">
        <f t="shared" si="120"/>
        <v>Included</v>
      </c>
      <c r="L340" s="953">
        <f t="shared" si="121"/>
        <v>0</v>
      </c>
      <c r="M340" s="847">
        <f t="shared" si="122"/>
        <v>0</v>
      </c>
      <c r="N340" s="847">
        <f t="shared" si="123"/>
        <v>0</v>
      </c>
    </row>
    <row r="341" spans="1:14" ht="63.75">
      <c r="A341" s="952">
        <v>995476</v>
      </c>
      <c r="B341" s="809"/>
      <c r="C341" s="831">
        <v>0.18</v>
      </c>
      <c r="D341" s="828" t="s">
        <v>205</v>
      </c>
      <c r="E341" s="963">
        <v>52</v>
      </c>
      <c r="F341" s="1078" t="s">
        <v>935</v>
      </c>
      <c r="G341" s="964" t="s">
        <v>936</v>
      </c>
      <c r="H341" s="893" t="s">
        <v>468</v>
      </c>
      <c r="I341" s="1025">
        <v>97</v>
      </c>
      <c r="J341" s="1036"/>
      <c r="K341" s="1038" t="str">
        <f t="shared" si="120"/>
        <v>Included</v>
      </c>
      <c r="L341" s="953">
        <f t="shared" si="121"/>
        <v>0</v>
      </c>
      <c r="M341" s="847">
        <f t="shared" si="122"/>
        <v>0</v>
      </c>
      <c r="N341" s="847">
        <f t="shared" si="123"/>
        <v>0</v>
      </c>
    </row>
    <row r="342" spans="1:14" ht="48">
      <c r="A342" s="952">
        <v>995476</v>
      </c>
      <c r="B342" s="809"/>
      <c r="C342" s="831">
        <v>0.18</v>
      </c>
      <c r="D342" s="828" t="s">
        <v>205</v>
      </c>
      <c r="E342" s="963">
        <v>53</v>
      </c>
      <c r="F342" s="1074" t="s">
        <v>293</v>
      </c>
      <c r="G342" s="965" t="s">
        <v>937</v>
      </c>
      <c r="H342" s="893" t="s">
        <v>224</v>
      </c>
      <c r="I342" s="1025">
        <f>24+20</f>
        <v>44</v>
      </c>
      <c r="J342" s="1036"/>
      <c r="K342" s="1038" t="str">
        <f t="shared" si="120"/>
        <v>Included</v>
      </c>
      <c r="L342" s="953">
        <f t="shared" si="121"/>
        <v>0</v>
      </c>
      <c r="M342" s="847">
        <f t="shared" si="122"/>
        <v>0</v>
      </c>
      <c r="N342" s="847">
        <f t="shared" si="123"/>
        <v>0</v>
      </c>
    </row>
    <row r="343" spans="1:14" ht="63.75">
      <c r="A343" s="952">
        <v>995476</v>
      </c>
      <c r="B343" s="809"/>
      <c r="C343" s="831">
        <v>0.18</v>
      </c>
      <c r="D343" s="828" t="s">
        <v>205</v>
      </c>
      <c r="E343" s="963">
        <v>54</v>
      </c>
      <c r="F343" s="1074" t="s">
        <v>274</v>
      </c>
      <c r="G343" s="965" t="s">
        <v>938</v>
      </c>
      <c r="H343" s="893" t="s">
        <v>224</v>
      </c>
      <c r="I343" s="1025">
        <f>24+20</f>
        <v>44</v>
      </c>
      <c r="J343" s="1036"/>
      <c r="K343" s="1038" t="str">
        <f t="shared" si="120"/>
        <v>Included</v>
      </c>
      <c r="L343" s="953">
        <f t="shared" si="121"/>
        <v>0</v>
      </c>
      <c r="M343" s="847">
        <f t="shared" si="122"/>
        <v>0</v>
      </c>
      <c r="N343" s="847">
        <f t="shared" si="123"/>
        <v>0</v>
      </c>
    </row>
    <row r="344" spans="1:14" ht="48">
      <c r="A344" s="952">
        <v>995476</v>
      </c>
      <c r="B344" s="809"/>
      <c r="C344" s="831">
        <v>0.18</v>
      </c>
      <c r="D344" s="828" t="s">
        <v>205</v>
      </c>
      <c r="E344" s="963">
        <v>55</v>
      </c>
      <c r="F344" s="1074" t="s">
        <v>295</v>
      </c>
      <c r="G344" s="965" t="s">
        <v>939</v>
      </c>
      <c r="H344" s="893" t="s">
        <v>224</v>
      </c>
      <c r="I344" s="1025">
        <f>24+8</f>
        <v>32</v>
      </c>
      <c r="J344" s="1036"/>
      <c r="K344" s="1038" t="str">
        <f t="shared" si="120"/>
        <v>Included</v>
      </c>
      <c r="L344" s="953">
        <f t="shared" si="121"/>
        <v>0</v>
      </c>
      <c r="M344" s="847">
        <f t="shared" si="122"/>
        <v>0</v>
      </c>
      <c r="N344" s="847">
        <f t="shared" si="123"/>
        <v>0</v>
      </c>
    </row>
    <row r="345" spans="1:14" ht="63.75">
      <c r="A345" s="952">
        <v>995476</v>
      </c>
      <c r="B345" s="809"/>
      <c r="C345" s="831">
        <v>0.18</v>
      </c>
      <c r="D345" s="828" t="s">
        <v>205</v>
      </c>
      <c r="E345" s="963">
        <v>56</v>
      </c>
      <c r="F345" s="1079" t="s">
        <v>940</v>
      </c>
      <c r="G345" s="968" t="s">
        <v>941</v>
      </c>
      <c r="H345" s="971" t="s">
        <v>468</v>
      </c>
      <c r="I345" s="1025">
        <v>16</v>
      </c>
      <c r="J345" s="1036"/>
      <c r="K345" s="1038" t="str">
        <f t="shared" si="120"/>
        <v>Included</v>
      </c>
      <c r="L345" s="953">
        <f t="shared" si="121"/>
        <v>0</v>
      </c>
      <c r="M345" s="847">
        <f t="shared" si="122"/>
        <v>0</v>
      </c>
      <c r="N345" s="847">
        <f t="shared" si="123"/>
        <v>0</v>
      </c>
    </row>
    <row r="346" spans="1:14" ht="63.75">
      <c r="A346" s="952">
        <v>995476</v>
      </c>
      <c r="B346" s="809"/>
      <c r="C346" s="831">
        <v>0.18</v>
      </c>
      <c r="D346" s="828" t="s">
        <v>205</v>
      </c>
      <c r="E346" s="963">
        <v>57</v>
      </c>
      <c r="F346" s="1074" t="s">
        <v>268</v>
      </c>
      <c r="G346" s="965" t="s">
        <v>942</v>
      </c>
      <c r="H346" s="893" t="s">
        <v>224</v>
      </c>
      <c r="I346" s="1025">
        <f>48+20</f>
        <v>68</v>
      </c>
      <c r="J346" s="1036"/>
      <c r="K346" s="1038" t="str">
        <f t="shared" si="120"/>
        <v>Included</v>
      </c>
      <c r="L346" s="953">
        <f t="shared" si="121"/>
        <v>0</v>
      </c>
      <c r="M346" s="847">
        <f t="shared" si="122"/>
        <v>0</v>
      </c>
      <c r="N346" s="847">
        <f t="shared" si="123"/>
        <v>0</v>
      </c>
    </row>
    <row r="347" spans="1:14" ht="63.75">
      <c r="A347" s="952">
        <v>995476</v>
      </c>
      <c r="B347" s="809"/>
      <c r="C347" s="831">
        <v>0.18</v>
      </c>
      <c r="D347" s="828" t="s">
        <v>205</v>
      </c>
      <c r="E347" s="963">
        <v>58</v>
      </c>
      <c r="F347" s="1074" t="s">
        <v>270</v>
      </c>
      <c r="G347" s="965" t="s">
        <v>943</v>
      </c>
      <c r="H347" s="893" t="s">
        <v>224</v>
      </c>
      <c r="I347" s="1025">
        <f>24+20</f>
        <v>44</v>
      </c>
      <c r="J347" s="1036"/>
      <c r="K347" s="1038" t="str">
        <f t="shared" si="120"/>
        <v>Included</v>
      </c>
      <c r="L347" s="953">
        <f t="shared" si="121"/>
        <v>0</v>
      </c>
      <c r="M347" s="847">
        <f t="shared" si="122"/>
        <v>0</v>
      </c>
      <c r="N347" s="847">
        <f t="shared" si="123"/>
        <v>0</v>
      </c>
    </row>
    <row r="348" spans="1:14" ht="48">
      <c r="A348" s="952">
        <v>995476</v>
      </c>
      <c r="B348" s="809"/>
      <c r="C348" s="831">
        <v>0.18</v>
      </c>
      <c r="D348" s="828" t="s">
        <v>205</v>
      </c>
      <c r="E348" s="963">
        <v>59</v>
      </c>
      <c r="F348" s="1079" t="s">
        <v>291</v>
      </c>
      <c r="G348" s="967" t="s">
        <v>944</v>
      </c>
      <c r="H348" s="972" t="s">
        <v>468</v>
      </c>
      <c r="I348" s="1025">
        <v>52</v>
      </c>
      <c r="J348" s="1036"/>
      <c r="K348" s="1038" t="str">
        <f t="shared" si="120"/>
        <v>Included</v>
      </c>
      <c r="L348" s="953">
        <f t="shared" si="121"/>
        <v>0</v>
      </c>
      <c r="M348" s="847">
        <f t="shared" si="122"/>
        <v>0</v>
      </c>
      <c r="N348" s="847">
        <f t="shared" si="123"/>
        <v>0</v>
      </c>
    </row>
    <row r="349" spans="1:14" ht="48">
      <c r="A349" s="952">
        <v>995476</v>
      </c>
      <c r="B349" s="809"/>
      <c r="C349" s="831">
        <v>0.18</v>
      </c>
      <c r="D349" s="828" t="s">
        <v>205</v>
      </c>
      <c r="E349" s="963">
        <v>60</v>
      </c>
      <c r="F349" s="1074" t="s">
        <v>945</v>
      </c>
      <c r="G349" s="965" t="s">
        <v>946</v>
      </c>
      <c r="H349" s="893" t="s">
        <v>224</v>
      </c>
      <c r="I349" s="1025">
        <v>50</v>
      </c>
      <c r="J349" s="1036"/>
      <c r="K349" s="1038" t="str">
        <f t="shared" si="120"/>
        <v>Included</v>
      </c>
      <c r="L349" s="953">
        <f t="shared" si="121"/>
        <v>0</v>
      </c>
      <c r="M349" s="847">
        <f t="shared" si="122"/>
        <v>0</v>
      </c>
      <c r="N349" s="847">
        <f t="shared" si="123"/>
        <v>0</v>
      </c>
    </row>
    <row r="350" spans="1:14" ht="63.75">
      <c r="A350" s="952">
        <v>995476</v>
      </c>
      <c r="B350" s="809"/>
      <c r="C350" s="831">
        <v>0.18</v>
      </c>
      <c r="D350" s="828" t="s">
        <v>205</v>
      </c>
      <c r="E350" s="963">
        <v>61</v>
      </c>
      <c r="F350" s="1074" t="s">
        <v>278</v>
      </c>
      <c r="G350" s="965" t="s">
        <v>947</v>
      </c>
      <c r="H350" s="893" t="s">
        <v>207</v>
      </c>
      <c r="I350" s="1025">
        <v>25</v>
      </c>
      <c r="J350" s="1036"/>
      <c r="K350" s="1038" t="str">
        <f t="shared" si="120"/>
        <v>Included</v>
      </c>
      <c r="L350" s="953">
        <f t="shared" si="121"/>
        <v>0</v>
      </c>
      <c r="M350" s="847">
        <f t="shared" si="122"/>
        <v>0</v>
      </c>
      <c r="N350" s="847">
        <f t="shared" si="123"/>
        <v>0</v>
      </c>
    </row>
    <row r="351" spans="1:14" ht="126.75">
      <c r="A351" s="952">
        <v>995476</v>
      </c>
      <c r="B351" s="809"/>
      <c r="C351" s="831">
        <v>0.18</v>
      </c>
      <c r="D351" s="828" t="s">
        <v>205</v>
      </c>
      <c r="E351" s="963">
        <v>62</v>
      </c>
      <c r="F351" s="1080" t="s">
        <v>948</v>
      </c>
      <c r="G351" s="964" t="s">
        <v>949</v>
      </c>
      <c r="H351" s="893" t="s">
        <v>514</v>
      </c>
      <c r="I351" s="1025">
        <v>45</v>
      </c>
      <c r="J351" s="1036"/>
      <c r="K351" s="1038" t="str">
        <f t="shared" si="120"/>
        <v>Included</v>
      </c>
      <c r="L351" s="953">
        <f t="shared" si="121"/>
        <v>0</v>
      </c>
      <c r="M351" s="847">
        <f t="shared" si="122"/>
        <v>0</v>
      </c>
      <c r="N351" s="847">
        <f t="shared" si="123"/>
        <v>0</v>
      </c>
    </row>
    <row r="352" spans="1:14" ht="32.25">
      <c r="A352" s="952">
        <v>995476</v>
      </c>
      <c r="B352" s="809"/>
      <c r="C352" s="831">
        <v>0.18</v>
      </c>
      <c r="D352" s="828" t="s">
        <v>205</v>
      </c>
      <c r="E352" s="963">
        <v>63</v>
      </c>
      <c r="F352" s="1074">
        <v>9.1319999999999997</v>
      </c>
      <c r="G352" s="964" t="s">
        <v>950</v>
      </c>
      <c r="H352" s="893" t="s">
        <v>522</v>
      </c>
      <c r="I352" s="1025">
        <v>76</v>
      </c>
      <c r="J352" s="1036"/>
      <c r="K352" s="1038" t="str">
        <f t="shared" si="120"/>
        <v>Included</v>
      </c>
      <c r="L352" s="953">
        <f t="shared" si="121"/>
        <v>0</v>
      </c>
      <c r="M352" s="847">
        <f t="shared" si="122"/>
        <v>0</v>
      </c>
      <c r="N352" s="847">
        <f t="shared" si="123"/>
        <v>0</v>
      </c>
    </row>
    <row r="353" spans="1:14" ht="268.5">
      <c r="A353" s="952"/>
      <c r="B353" s="809"/>
      <c r="C353" s="831"/>
      <c r="D353" s="828"/>
      <c r="E353" s="963">
        <v>64</v>
      </c>
      <c r="F353" s="1078" t="s">
        <v>523</v>
      </c>
      <c r="G353" s="964" t="s">
        <v>951</v>
      </c>
      <c r="H353" s="893"/>
      <c r="I353" s="1025"/>
      <c r="J353" s="1036"/>
      <c r="K353" s="1038"/>
      <c r="L353" s="953"/>
      <c r="M353" s="847">
        <f t="shared" si="122"/>
        <v>0</v>
      </c>
      <c r="N353" s="847">
        <f t="shared" si="123"/>
        <v>0</v>
      </c>
    </row>
    <row r="354" spans="1:14" ht="63.75">
      <c r="A354" s="952">
        <v>995476</v>
      </c>
      <c r="B354" s="809"/>
      <c r="C354" s="831">
        <v>0.18</v>
      </c>
      <c r="D354" s="828" t="s">
        <v>205</v>
      </c>
      <c r="E354" s="963">
        <v>65</v>
      </c>
      <c r="F354" s="1078" t="s">
        <v>952</v>
      </c>
      <c r="G354" s="964" t="s">
        <v>953</v>
      </c>
      <c r="H354" s="893" t="s">
        <v>207</v>
      </c>
      <c r="I354" s="1025">
        <f>26+10</f>
        <v>36</v>
      </c>
      <c r="J354" s="1036"/>
      <c r="K354" s="1038" t="str">
        <f t="shared" ref="K354:K383" si="124">IF(J354=0, "Included", IF(ISERROR(I354*J354), J354, I354*J354))</f>
        <v>Included</v>
      </c>
      <c r="L354" s="953">
        <f t="shared" ref="L354:L383" si="125">N354</f>
        <v>0</v>
      </c>
      <c r="M354" s="847">
        <f t="shared" si="122"/>
        <v>0</v>
      </c>
      <c r="N354" s="847">
        <f t="shared" si="123"/>
        <v>0</v>
      </c>
    </row>
    <row r="355" spans="1:14" ht="79.5">
      <c r="A355" s="952">
        <v>995476</v>
      </c>
      <c r="B355" s="809"/>
      <c r="C355" s="831">
        <v>0.18</v>
      </c>
      <c r="D355" s="828" t="s">
        <v>205</v>
      </c>
      <c r="E355" s="963">
        <v>66</v>
      </c>
      <c r="F355" s="1078" t="s">
        <v>954</v>
      </c>
      <c r="G355" s="964" t="s">
        <v>955</v>
      </c>
      <c r="H355" s="893" t="s">
        <v>207</v>
      </c>
      <c r="I355" s="1025">
        <v>20</v>
      </c>
      <c r="J355" s="1036"/>
      <c r="K355" s="1038" t="str">
        <f t="shared" si="124"/>
        <v>Included</v>
      </c>
      <c r="L355" s="953">
        <f t="shared" si="125"/>
        <v>0</v>
      </c>
      <c r="M355" s="847">
        <f t="shared" si="122"/>
        <v>0</v>
      </c>
      <c r="N355" s="847">
        <f t="shared" si="123"/>
        <v>0</v>
      </c>
    </row>
    <row r="356" spans="1:14" ht="32.25">
      <c r="A356" s="952">
        <v>995476</v>
      </c>
      <c r="B356" s="809"/>
      <c r="C356" s="831">
        <v>0.18</v>
      </c>
      <c r="D356" s="828" t="s">
        <v>205</v>
      </c>
      <c r="E356" s="963">
        <v>67</v>
      </c>
      <c r="F356" s="1078" t="s">
        <v>956</v>
      </c>
      <c r="G356" s="964" t="s">
        <v>957</v>
      </c>
      <c r="H356" s="893" t="s">
        <v>207</v>
      </c>
      <c r="I356" s="1025">
        <f>2+3</f>
        <v>5</v>
      </c>
      <c r="J356" s="1036"/>
      <c r="K356" s="1038" t="str">
        <f t="shared" si="124"/>
        <v>Included</v>
      </c>
      <c r="L356" s="953">
        <f t="shared" si="125"/>
        <v>0</v>
      </c>
      <c r="M356" s="847">
        <f t="shared" si="122"/>
        <v>0</v>
      </c>
      <c r="N356" s="847">
        <f t="shared" si="123"/>
        <v>0</v>
      </c>
    </row>
    <row r="357" spans="1:14" ht="79.5">
      <c r="A357" s="952">
        <v>995476</v>
      </c>
      <c r="B357" s="809"/>
      <c r="C357" s="831">
        <v>0.18</v>
      </c>
      <c r="D357" s="828" t="s">
        <v>205</v>
      </c>
      <c r="E357" s="963">
        <v>68</v>
      </c>
      <c r="F357" s="1078" t="s">
        <v>958</v>
      </c>
      <c r="G357" s="964" t="s">
        <v>1239</v>
      </c>
      <c r="H357" s="893" t="s">
        <v>207</v>
      </c>
      <c r="I357" s="1025">
        <v>15</v>
      </c>
      <c r="J357" s="1036"/>
      <c r="K357" s="1038" t="str">
        <f t="shared" si="124"/>
        <v>Included</v>
      </c>
      <c r="L357" s="953">
        <f t="shared" si="125"/>
        <v>0</v>
      </c>
      <c r="M357" s="847">
        <f t="shared" si="122"/>
        <v>0</v>
      </c>
      <c r="N357" s="847">
        <f t="shared" si="123"/>
        <v>0</v>
      </c>
    </row>
    <row r="358" spans="1:14" ht="48">
      <c r="A358" s="952">
        <v>995476</v>
      </c>
      <c r="B358" s="809"/>
      <c r="C358" s="831">
        <v>0.18</v>
      </c>
      <c r="D358" s="828" t="s">
        <v>205</v>
      </c>
      <c r="E358" s="963">
        <v>69</v>
      </c>
      <c r="F358" s="1079" t="s">
        <v>960</v>
      </c>
      <c r="G358" s="968" t="s">
        <v>1240</v>
      </c>
      <c r="H358" s="971" t="s">
        <v>468</v>
      </c>
      <c r="I358" s="1025">
        <v>88</v>
      </c>
      <c r="J358" s="1036"/>
      <c r="K358" s="1038" t="str">
        <f t="shared" si="124"/>
        <v>Included</v>
      </c>
      <c r="L358" s="953">
        <f t="shared" si="125"/>
        <v>0</v>
      </c>
      <c r="M358" s="847">
        <f t="shared" si="122"/>
        <v>0</v>
      </c>
      <c r="N358" s="847">
        <f t="shared" si="123"/>
        <v>0</v>
      </c>
    </row>
    <row r="359" spans="1:14" ht="79.5">
      <c r="A359" s="952">
        <v>995432</v>
      </c>
      <c r="B359" s="809"/>
      <c r="C359" s="831">
        <v>0.18</v>
      </c>
      <c r="D359" s="828" t="s">
        <v>205</v>
      </c>
      <c r="E359" s="963">
        <v>70</v>
      </c>
      <c r="F359" s="1074">
        <v>9.1679999999999993</v>
      </c>
      <c r="G359" s="965" t="s">
        <v>962</v>
      </c>
      <c r="H359" s="893" t="s">
        <v>207</v>
      </c>
      <c r="I359" s="1025">
        <v>20</v>
      </c>
      <c r="J359" s="1036"/>
      <c r="K359" s="1038" t="str">
        <f t="shared" si="124"/>
        <v>Included</v>
      </c>
      <c r="L359" s="953">
        <f t="shared" si="125"/>
        <v>0</v>
      </c>
      <c r="M359" s="847">
        <f t="shared" si="122"/>
        <v>0</v>
      </c>
      <c r="N359" s="847">
        <f t="shared" si="123"/>
        <v>0</v>
      </c>
    </row>
    <row r="360" spans="1:14" ht="63.75">
      <c r="A360" s="952">
        <v>995476</v>
      </c>
      <c r="B360" s="809"/>
      <c r="C360" s="831">
        <v>0.18</v>
      </c>
      <c r="D360" s="828" t="s">
        <v>205</v>
      </c>
      <c r="E360" s="963">
        <v>71</v>
      </c>
      <c r="F360" s="1074">
        <v>9.1690000000000005</v>
      </c>
      <c r="G360" s="965" t="s">
        <v>963</v>
      </c>
      <c r="H360" s="893" t="s">
        <v>207</v>
      </c>
      <c r="I360" s="1025">
        <v>75</v>
      </c>
      <c r="J360" s="1036"/>
      <c r="K360" s="1038" t="str">
        <f t="shared" si="124"/>
        <v>Included</v>
      </c>
      <c r="L360" s="953">
        <f t="shared" si="125"/>
        <v>0</v>
      </c>
      <c r="M360" s="847">
        <f t="shared" si="122"/>
        <v>0</v>
      </c>
      <c r="N360" s="847">
        <f t="shared" si="123"/>
        <v>0</v>
      </c>
    </row>
    <row r="361" spans="1:14" ht="63.75">
      <c r="A361" s="952">
        <v>995432</v>
      </c>
      <c r="B361" s="809"/>
      <c r="C361" s="831">
        <v>0.18</v>
      </c>
      <c r="D361" s="828" t="s">
        <v>205</v>
      </c>
      <c r="E361" s="963">
        <v>72</v>
      </c>
      <c r="F361" s="1074">
        <v>9.1709999999999994</v>
      </c>
      <c r="G361" s="965" t="s">
        <v>964</v>
      </c>
      <c r="H361" s="893" t="s">
        <v>468</v>
      </c>
      <c r="I361" s="1025">
        <v>50</v>
      </c>
      <c r="J361" s="1036"/>
      <c r="K361" s="1038" t="str">
        <f t="shared" si="124"/>
        <v>Included</v>
      </c>
      <c r="L361" s="953">
        <f t="shared" si="125"/>
        <v>0</v>
      </c>
      <c r="M361" s="847">
        <f t="shared" si="122"/>
        <v>0</v>
      </c>
      <c r="N361" s="847">
        <f t="shared" si="123"/>
        <v>0</v>
      </c>
    </row>
    <row r="362" spans="1:14" ht="48">
      <c r="A362" s="952">
        <v>995432</v>
      </c>
      <c r="B362" s="809"/>
      <c r="C362" s="831">
        <v>0.18</v>
      </c>
      <c r="D362" s="828" t="s">
        <v>205</v>
      </c>
      <c r="E362" s="963">
        <v>73</v>
      </c>
      <c r="F362" s="1074">
        <v>9.1720000000000006</v>
      </c>
      <c r="G362" s="965" t="s">
        <v>965</v>
      </c>
      <c r="H362" s="893" t="s">
        <v>1163</v>
      </c>
      <c r="I362" s="1025">
        <v>8</v>
      </c>
      <c r="J362" s="1036"/>
      <c r="K362" s="1038" t="str">
        <f t="shared" si="124"/>
        <v>Included</v>
      </c>
      <c r="L362" s="953">
        <f t="shared" si="125"/>
        <v>0</v>
      </c>
      <c r="M362" s="847">
        <f t="shared" si="122"/>
        <v>0</v>
      </c>
      <c r="N362" s="847">
        <f t="shared" si="123"/>
        <v>0</v>
      </c>
    </row>
    <row r="363" spans="1:14" ht="48">
      <c r="A363" s="952">
        <v>995476</v>
      </c>
      <c r="B363" s="809"/>
      <c r="C363" s="831">
        <v>0.18</v>
      </c>
      <c r="D363" s="828" t="s">
        <v>205</v>
      </c>
      <c r="E363" s="963">
        <v>74</v>
      </c>
      <c r="F363" s="1074">
        <v>10.17</v>
      </c>
      <c r="G363" s="965" t="s">
        <v>966</v>
      </c>
      <c r="H363" s="893" t="s">
        <v>224</v>
      </c>
      <c r="I363" s="1025">
        <v>8</v>
      </c>
      <c r="J363" s="1036"/>
      <c r="K363" s="1038" t="str">
        <f t="shared" si="124"/>
        <v>Included</v>
      </c>
      <c r="L363" s="953">
        <f t="shared" si="125"/>
        <v>0</v>
      </c>
      <c r="M363" s="847">
        <f t="shared" si="122"/>
        <v>0</v>
      </c>
      <c r="N363" s="847">
        <f t="shared" si="123"/>
        <v>0</v>
      </c>
    </row>
    <row r="364" spans="1:14" ht="79.5">
      <c r="A364" s="952">
        <v>995476</v>
      </c>
      <c r="B364" s="809"/>
      <c r="C364" s="831">
        <v>0.18</v>
      </c>
      <c r="D364" s="828" t="s">
        <v>205</v>
      </c>
      <c r="E364" s="963">
        <v>75</v>
      </c>
      <c r="F364" s="1074">
        <v>10.18</v>
      </c>
      <c r="G364" s="964" t="s">
        <v>967</v>
      </c>
      <c r="H364" s="893" t="s">
        <v>468</v>
      </c>
      <c r="I364" s="1025">
        <v>8</v>
      </c>
      <c r="J364" s="1036"/>
      <c r="K364" s="1038" t="str">
        <f t="shared" si="124"/>
        <v>Included</v>
      </c>
      <c r="L364" s="953">
        <f t="shared" si="125"/>
        <v>0</v>
      </c>
      <c r="M364" s="847">
        <f t="shared" si="122"/>
        <v>0</v>
      </c>
      <c r="N364" s="847">
        <f t="shared" si="123"/>
        <v>0</v>
      </c>
    </row>
    <row r="365" spans="1:14" ht="63.75">
      <c r="A365" s="952">
        <v>995476</v>
      </c>
      <c r="B365" s="809"/>
      <c r="C365" s="831">
        <v>0.18</v>
      </c>
      <c r="D365" s="828" t="s">
        <v>205</v>
      </c>
      <c r="E365" s="966">
        <v>76</v>
      </c>
      <c r="F365" s="1081" t="s">
        <v>968</v>
      </c>
      <c r="G365" s="967" t="s">
        <v>1241</v>
      </c>
      <c r="H365" s="973" t="s">
        <v>262</v>
      </c>
      <c r="I365" s="1025">
        <v>175</v>
      </c>
      <c r="J365" s="1036"/>
      <c r="K365" s="1038" t="str">
        <f t="shared" si="124"/>
        <v>Included</v>
      </c>
      <c r="L365" s="953">
        <f t="shared" si="125"/>
        <v>0</v>
      </c>
      <c r="M365" s="847">
        <f t="shared" si="122"/>
        <v>0</v>
      </c>
      <c r="N365" s="847">
        <f t="shared" si="123"/>
        <v>0</v>
      </c>
    </row>
    <row r="366" spans="1:14" ht="48">
      <c r="A366" s="952">
        <v>995476</v>
      </c>
      <c r="B366" s="809"/>
      <c r="C366" s="831">
        <v>0.18</v>
      </c>
      <c r="D366" s="828" t="s">
        <v>205</v>
      </c>
      <c r="E366" s="963">
        <v>77</v>
      </c>
      <c r="F366" s="1074" t="s">
        <v>968</v>
      </c>
      <c r="G366" s="965" t="s">
        <v>1242</v>
      </c>
      <c r="H366" s="893" t="s">
        <v>262</v>
      </c>
      <c r="I366" s="1025">
        <v>1300</v>
      </c>
      <c r="J366" s="1036"/>
      <c r="K366" s="1038" t="str">
        <f t="shared" si="124"/>
        <v>Included</v>
      </c>
      <c r="L366" s="953">
        <f t="shared" si="125"/>
        <v>0</v>
      </c>
      <c r="M366" s="847">
        <f t="shared" si="122"/>
        <v>0</v>
      </c>
      <c r="N366" s="847">
        <f t="shared" si="123"/>
        <v>0</v>
      </c>
    </row>
    <row r="367" spans="1:14" ht="63.75">
      <c r="A367" s="952">
        <v>995477</v>
      </c>
      <c r="B367" s="809"/>
      <c r="C367" s="831">
        <v>0.18</v>
      </c>
      <c r="D367" s="828" t="s">
        <v>205</v>
      </c>
      <c r="E367" s="963">
        <v>78</v>
      </c>
      <c r="F367" s="1079" t="s">
        <v>971</v>
      </c>
      <c r="G367" s="964" t="s">
        <v>972</v>
      </c>
      <c r="H367" s="893" t="s">
        <v>262</v>
      </c>
      <c r="I367" s="1025">
        <v>412</v>
      </c>
      <c r="J367" s="1036"/>
      <c r="K367" s="1038" t="str">
        <f t="shared" si="124"/>
        <v>Included</v>
      </c>
      <c r="L367" s="953">
        <f t="shared" si="125"/>
        <v>0</v>
      </c>
      <c r="M367" s="847">
        <f t="shared" si="122"/>
        <v>0</v>
      </c>
      <c r="N367" s="847">
        <f t="shared" si="123"/>
        <v>0</v>
      </c>
    </row>
    <row r="368" spans="1:14" ht="111">
      <c r="A368" s="952">
        <v>995476</v>
      </c>
      <c r="B368" s="809"/>
      <c r="C368" s="831">
        <v>0.18</v>
      </c>
      <c r="D368" s="828" t="s">
        <v>205</v>
      </c>
      <c r="E368" s="963">
        <v>79</v>
      </c>
      <c r="F368" s="1074">
        <v>10.28</v>
      </c>
      <c r="G368" s="965" t="s">
        <v>973</v>
      </c>
      <c r="H368" s="893" t="s">
        <v>1164</v>
      </c>
      <c r="I368" s="1025">
        <v>260</v>
      </c>
      <c r="J368" s="1036"/>
      <c r="K368" s="1038" t="str">
        <f t="shared" si="124"/>
        <v>Included</v>
      </c>
      <c r="L368" s="953">
        <f t="shared" si="125"/>
        <v>0</v>
      </c>
      <c r="M368" s="847">
        <f t="shared" si="122"/>
        <v>0</v>
      </c>
      <c r="N368" s="847">
        <f t="shared" si="123"/>
        <v>0</v>
      </c>
    </row>
    <row r="369" spans="1:14" ht="32.25">
      <c r="A369" s="952">
        <v>995474</v>
      </c>
      <c r="B369" s="809"/>
      <c r="C369" s="831">
        <v>0.18</v>
      </c>
      <c r="D369" s="828" t="s">
        <v>205</v>
      </c>
      <c r="E369" s="963">
        <v>80</v>
      </c>
      <c r="F369" s="1074">
        <v>11.2</v>
      </c>
      <c r="G369" s="965" t="s">
        <v>974</v>
      </c>
      <c r="H369" s="893" t="s">
        <v>207</v>
      </c>
      <c r="I369" s="1025">
        <v>65</v>
      </c>
      <c r="J369" s="1036"/>
      <c r="K369" s="1038" t="str">
        <f t="shared" si="124"/>
        <v>Included</v>
      </c>
      <c r="L369" s="953">
        <f t="shared" si="125"/>
        <v>0</v>
      </c>
      <c r="M369" s="847">
        <f t="shared" si="122"/>
        <v>0</v>
      </c>
      <c r="N369" s="847">
        <f t="shared" si="123"/>
        <v>0</v>
      </c>
    </row>
    <row r="370" spans="1:14" ht="63.75">
      <c r="A370" s="952">
        <v>995474</v>
      </c>
      <c r="B370" s="809"/>
      <c r="C370" s="831">
        <v>0.18</v>
      </c>
      <c r="D370" s="828" t="s">
        <v>205</v>
      </c>
      <c r="E370" s="963">
        <v>81</v>
      </c>
      <c r="F370" s="1078" t="s">
        <v>975</v>
      </c>
      <c r="G370" s="964" t="s">
        <v>976</v>
      </c>
      <c r="H370" s="893" t="s">
        <v>514</v>
      </c>
      <c r="I370" s="1025">
        <v>44</v>
      </c>
      <c r="J370" s="1036"/>
      <c r="K370" s="1038" t="str">
        <f t="shared" si="124"/>
        <v>Included</v>
      </c>
      <c r="L370" s="953">
        <f t="shared" si="125"/>
        <v>0</v>
      </c>
      <c r="M370" s="847">
        <f t="shared" si="122"/>
        <v>0</v>
      </c>
      <c r="N370" s="847">
        <f t="shared" si="123"/>
        <v>0</v>
      </c>
    </row>
    <row r="371" spans="1:14" ht="24" customHeight="1">
      <c r="A371" s="952">
        <v>995474</v>
      </c>
      <c r="B371" s="809"/>
      <c r="C371" s="831">
        <v>0.18</v>
      </c>
      <c r="D371" s="828" t="s">
        <v>205</v>
      </c>
      <c r="E371" s="963">
        <v>82</v>
      </c>
      <c r="F371" s="1078" t="s">
        <v>977</v>
      </c>
      <c r="G371" s="1073" t="s">
        <v>1283</v>
      </c>
      <c r="H371" s="893" t="s">
        <v>520</v>
      </c>
      <c r="I371" s="1025">
        <v>33</v>
      </c>
      <c r="J371" s="1036"/>
      <c r="K371" s="1038" t="str">
        <f t="shared" si="124"/>
        <v>Included</v>
      </c>
      <c r="L371" s="953">
        <f t="shared" si="125"/>
        <v>0</v>
      </c>
      <c r="M371" s="847">
        <f t="shared" si="122"/>
        <v>0</v>
      </c>
      <c r="N371" s="847">
        <f t="shared" si="123"/>
        <v>0</v>
      </c>
    </row>
    <row r="372" spans="1:14" ht="28.5" customHeight="1">
      <c r="A372" s="952">
        <v>995474</v>
      </c>
      <c r="B372" s="809"/>
      <c r="C372" s="831">
        <v>0.18</v>
      </c>
      <c r="D372" s="828" t="s">
        <v>205</v>
      </c>
      <c r="E372" s="963">
        <v>83</v>
      </c>
      <c r="F372" s="1078" t="s">
        <v>979</v>
      </c>
      <c r="G372" s="1073" t="s">
        <v>980</v>
      </c>
      <c r="H372" s="893" t="s">
        <v>207</v>
      </c>
      <c r="I372" s="1025">
        <v>15</v>
      </c>
      <c r="J372" s="1036"/>
      <c r="K372" s="1038" t="str">
        <f t="shared" si="124"/>
        <v>Included</v>
      </c>
      <c r="L372" s="953">
        <f t="shared" si="125"/>
        <v>0</v>
      </c>
      <c r="M372" s="847">
        <f t="shared" si="122"/>
        <v>0</v>
      </c>
      <c r="N372" s="847">
        <f t="shared" si="123"/>
        <v>0</v>
      </c>
    </row>
    <row r="373" spans="1:14" ht="79.5">
      <c r="A373" s="952">
        <v>995474</v>
      </c>
      <c r="B373" s="809"/>
      <c r="C373" s="831">
        <v>0.18</v>
      </c>
      <c r="D373" s="828" t="s">
        <v>205</v>
      </c>
      <c r="E373" s="963">
        <v>84</v>
      </c>
      <c r="F373" s="1082" t="s">
        <v>524</v>
      </c>
      <c r="G373" s="968" t="s">
        <v>981</v>
      </c>
      <c r="H373" s="893" t="s">
        <v>207</v>
      </c>
      <c r="I373" s="1026">
        <v>172</v>
      </c>
      <c r="J373" s="1036"/>
      <c r="K373" s="1038" t="str">
        <f t="shared" si="124"/>
        <v>Included</v>
      </c>
      <c r="L373" s="953">
        <f t="shared" si="125"/>
        <v>0</v>
      </c>
      <c r="M373" s="847">
        <f t="shared" si="122"/>
        <v>0</v>
      </c>
      <c r="N373" s="847">
        <f t="shared" si="123"/>
        <v>0</v>
      </c>
    </row>
    <row r="374" spans="1:14" ht="189.75">
      <c r="A374" s="952">
        <v>995432</v>
      </c>
      <c r="B374" s="809"/>
      <c r="C374" s="831">
        <v>0.18</v>
      </c>
      <c r="D374" s="828" t="s">
        <v>205</v>
      </c>
      <c r="E374" s="963">
        <v>85</v>
      </c>
      <c r="F374" s="1074" t="s">
        <v>982</v>
      </c>
      <c r="G374" s="965" t="s">
        <v>983</v>
      </c>
      <c r="H374" s="893" t="s">
        <v>207</v>
      </c>
      <c r="I374" s="1025">
        <v>30</v>
      </c>
      <c r="J374" s="1036"/>
      <c r="K374" s="1038" t="str">
        <f t="shared" si="124"/>
        <v>Included</v>
      </c>
      <c r="L374" s="953">
        <f t="shared" si="125"/>
        <v>0</v>
      </c>
      <c r="M374" s="847">
        <f t="shared" si="122"/>
        <v>0</v>
      </c>
      <c r="N374" s="847">
        <f t="shared" si="123"/>
        <v>0</v>
      </c>
    </row>
    <row r="375" spans="1:14" ht="126.75">
      <c r="A375" s="952">
        <v>995421</v>
      </c>
      <c r="B375" s="809"/>
      <c r="C375" s="831">
        <v>0.18</v>
      </c>
      <c r="D375" s="828" t="s">
        <v>205</v>
      </c>
      <c r="E375" s="963">
        <v>86</v>
      </c>
      <c r="F375" s="1074" t="s">
        <v>984</v>
      </c>
      <c r="G375" s="965" t="s">
        <v>985</v>
      </c>
      <c r="H375" s="893" t="s">
        <v>207</v>
      </c>
      <c r="I375" s="1025">
        <v>135</v>
      </c>
      <c r="J375" s="1036"/>
      <c r="K375" s="1038" t="str">
        <f t="shared" si="124"/>
        <v>Included</v>
      </c>
      <c r="L375" s="953">
        <f t="shared" si="125"/>
        <v>0</v>
      </c>
      <c r="M375" s="847">
        <f t="shared" si="122"/>
        <v>0</v>
      </c>
      <c r="N375" s="847">
        <f t="shared" si="123"/>
        <v>0</v>
      </c>
    </row>
    <row r="376" spans="1:14" ht="111">
      <c r="A376" s="952">
        <v>995474</v>
      </c>
      <c r="B376" s="809"/>
      <c r="C376" s="831">
        <v>0.18</v>
      </c>
      <c r="D376" s="828" t="s">
        <v>205</v>
      </c>
      <c r="E376" s="963">
        <v>87</v>
      </c>
      <c r="F376" s="1074" t="s">
        <v>215</v>
      </c>
      <c r="G376" s="965" t="s">
        <v>525</v>
      </c>
      <c r="H376" s="893" t="s">
        <v>207</v>
      </c>
      <c r="I376" s="1025">
        <f>24+14</f>
        <v>38</v>
      </c>
      <c r="J376" s="1036"/>
      <c r="K376" s="1038" t="str">
        <f t="shared" si="124"/>
        <v>Included</v>
      </c>
      <c r="L376" s="953">
        <f t="shared" si="125"/>
        <v>0</v>
      </c>
      <c r="M376" s="847">
        <f t="shared" si="122"/>
        <v>0</v>
      </c>
      <c r="N376" s="847">
        <f t="shared" si="123"/>
        <v>0</v>
      </c>
    </row>
    <row r="377" spans="1:14" ht="111">
      <c r="A377" s="952">
        <v>995474</v>
      </c>
      <c r="B377" s="809"/>
      <c r="C377" s="831">
        <v>0.18</v>
      </c>
      <c r="D377" s="828" t="s">
        <v>205</v>
      </c>
      <c r="E377" s="963">
        <v>88</v>
      </c>
      <c r="F377" s="1074" t="s">
        <v>526</v>
      </c>
      <c r="G377" s="965" t="s">
        <v>987</v>
      </c>
      <c r="H377" s="893" t="s">
        <v>207</v>
      </c>
      <c r="I377" s="1025">
        <v>22</v>
      </c>
      <c r="J377" s="1036"/>
      <c r="K377" s="1038" t="str">
        <f t="shared" si="124"/>
        <v>Included</v>
      </c>
      <c r="L377" s="953">
        <f t="shared" si="125"/>
        <v>0</v>
      </c>
      <c r="M377" s="847">
        <f t="shared" si="122"/>
        <v>0</v>
      </c>
      <c r="N377" s="847">
        <f t="shared" si="123"/>
        <v>0</v>
      </c>
    </row>
    <row r="378" spans="1:14" ht="63.75">
      <c r="A378" s="952">
        <v>995453</v>
      </c>
      <c r="B378" s="809"/>
      <c r="C378" s="831">
        <v>0.18</v>
      </c>
      <c r="D378" s="828" t="s">
        <v>205</v>
      </c>
      <c r="E378" s="963">
        <v>89</v>
      </c>
      <c r="F378" s="1074" t="s">
        <v>988</v>
      </c>
      <c r="G378" s="965" t="s">
        <v>1243</v>
      </c>
      <c r="H378" s="893" t="s">
        <v>520</v>
      </c>
      <c r="I378" s="1025">
        <v>13</v>
      </c>
      <c r="J378" s="1036"/>
      <c r="K378" s="1038" t="str">
        <f t="shared" si="124"/>
        <v>Included</v>
      </c>
      <c r="L378" s="953">
        <f t="shared" si="125"/>
        <v>0</v>
      </c>
      <c r="M378" s="847">
        <f t="shared" si="122"/>
        <v>0</v>
      </c>
      <c r="N378" s="847">
        <f t="shared" si="123"/>
        <v>0</v>
      </c>
    </row>
    <row r="379" spans="1:14" ht="63.75">
      <c r="A379" s="952">
        <v>995453</v>
      </c>
      <c r="B379" s="809"/>
      <c r="C379" s="831">
        <v>0.18</v>
      </c>
      <c r="D379" s="828" t="s">
        <v>205</v>
      </c>
      <c r="E379" s="963">
        <v>90</v>
      </c>
      <c r="F379" s="1074">
        <v>12.22</v>
      </c>
      <c r="G379" s="965" t="s">
        <v>990</v>
      </c>
      <c r="H379" s="893" t="s">
        <v>224</v>
      </c>
      <c r="I379" s="1025">
        <v>80</v>
      </c>
      <c r="J379" s="1036"/>
      <c r="K379" s="1038" t="str">
        <f t="shared" si="124"/>
        <v>Included</v>
      </c>
      <c r="L379" s="953">
        <f t="shared" si="125"/>
        <v>0</v>
      </c>
      <c r="M379" s="847">
        <f t="shared" si="122"/>
        <v>0</v>
      </c>
      <c r="N379" s="847">
        <f t="shared" si="123"/>
        <v>0</v>
      </c>
    </row>
    <row r="380" spans="1:14" ht="79.5">
      <c r="A380" s="952">
        <v>995416</v>
      </c>
      <c r="B380" s="809"/>
      <c r="C380" s="831">
        <v>0.18</v>
      </c>
      <c r="D380" s="828" t="s">
        <v>205</v>
      </c>
      <c r="E380" s="963">
        <v>91</v>
      </c>
      <c r="F380" s="1074" t="s">
        <v>303</v>
      </c>
      <c r="G380" s="965" t="s">
        <v>991</v>
      </c>
      <c r="H380" s="893" t="s">
        <v>246</v>
      </c>
      <c r="I380" s="1025">
        <v>29</v>
      </c>
      <c r="J380" s="1036"/>
      <c r="K380" s="1038" t="str">
        <f t="shared" si="124"/>
        <v>Included</v>
      </c>
      <c r="L380" s="953">
        <f t="shared" si="125"/>
        <v>0</v>
      </c>
      <c r="M380" s="847">
        <f t="shared" si="122"/>
        <v>0</v>
      </c>
      <c r="N380" s="847">
        <f t="shared" si="123"/>
        <v>0</v>
      </c>
    </row>
    <row r="381" spans="1:14" ht="63.75">
      <c r="A381" s="952"/>
      <c r="B381" s="809"/>
      <c r="C381" s="831"/>
      <c r="D381" s="828"/>
      <c r="E381" s="963">
        <v>92</v>
      </c>
      <c r="F381" s="1074">
        <v>12.42</v>
      </c>
      <c r="G381" s="965" t="s">
        <v>992</v>
      </c>
      <c r="H381" s="893"/>
      <c r="I381" s="1025"/>
      <c r="J381" s="1036"/>
      <c r="K381" s="1038"/>
      <c r="L381" s="953"/>
      <c r="M381" s="847">
        <f t="shared" si="122"/>
        <v>0</v>
      </c>
      <c r="N381" s="847">
        <f t="shared" si="123"/>
        <v>0</v>
      </c>
    </row>
    <row r="382" spans="1:14">
      <c r="A382" s="952">
        <v>995453</v>
      </c>
      <c r="B382" s="809"/>
      <c r="C382" s="831">
        <v>0.18</v>
      </c>
      <c r="D382" s="828" t="s">
        <v>205</v>
      </c>
      <c r="E382" s="963" t="s">
        <v>924</v>
      </c>
      <c r="F382" s="1074" t="s">
        <v>993</v>
      </c>
      <c r="G382" s="965" t="s">
        <v>994</v>
      </c>
      <c r="H382" s="893" t="s">
        <v>224</v>
      </c>
      <c r="I382" s="1025">
        <v>1</v>
      </c>
      <c r="J382" s="1036"/>
      <c r="K382" s="1038" t="str">
        <f t="shared" si="124"/>
        <v>Included</v>
      </c>
      <c r="L382" s="953">
        <f t="shared" si="125"/>
        <v>0</v>
      </c>
      <c r="M382" s="847">
        <f t="shared" si="122"/>
        <v>0</v>
      </c>
      <c r="N382" s="847">
        <f t="shared" si="123"/>
        <v>0</v>
      </c>
    </row>
    <row r="383" spans="1:14">
      <c r="A383" s="952">
        <v>995453</v>
      </c>
      <c r="B383" s="809"/>
      <c r="C383" s="831">
        <v>0.18</v>
      </c>
      <c r="D383" s="828" t="s">
        <v>205</v>
      </c>
      <c r="E383" s="963" t="s">
        <v>927</v>
      </c>
      <c r="F383" s="1074" t="s">
        <v>995</v>
      </c>
      <c r="G383" s="965" t="s">
        <v>996</v>
      </c>
      <c r="H383" s="893" t="s">
        <v>224</v>
      </c>
      <c r="I383" s="1025">
        <v>3</v>
      </c>
      <c r="J383" s="1036"/>
      <c r="K383" s="1038" t="str">
        <f t="shared" si="124"/>
        <v>Included</v>
      </c>
      <c r="L383" s="953">
        <f t="shared" si="125"/>
        <v>0</v>
      </c>
      <c r="M383" s="847">
        <f t="shared" si="122"/>
        <v>0</v>
      </c>
      <c r="N383" s="847">
        <f t="shared" si="123"/>
        <v>0</v>
      </c>
    </row>
    <row r="384" spans="1:14">
      <c r="A384" s="952">
        <v>995453</v>
      </c>
      <c r="B384" s="809"/>
      <c r="C384" s="831">
        <v>0.18</v>
      </c>
      <c r="D384" s="828" t="s">
        <v>205</v>
      </c>
      <c r="E384" s="963" t="s">
        <v>997</v>
      </c>
      <c r="F384" s="1074" t="s">
        <v>998</v>
      </c>
      <c r="G384" s="965" t="s">
        <v>999</v>
      </c>
      <c r="H384" s="893" t="s">
        <v>224</v>
      </c>
      <c r="I384" s="1025">
        <v>2</v>
      </c>
      <c r="J384" s="1036"/>
      <c r="K384" s="1038" t="str">
        <f t="shared" ref="K384:K446" si="126">IF(J384=0, "Included", IF(ISERROR(I384*J384), J384, I384*J384))</f>
        <v>Included</v>
      </c>
      <c r="L384" s="953">
        <f t="shared" ref="L384:L446" si="127">N384</f>
        <v>0</v>
      </c>
      <c r="M384" s="847">
        <f t="shared" si="122"/>
        <v>0</v>
      </c>
      <c r="N384" s="847">
        <f t="shared" si="123"/>
        <v>0</v>
      </c>
    </row>
    <row r="385" spans="1:14">
      <c r="A385" s="952">
        <v>995453</v>
      </c>
      <c r="B385" s="809"/>
      <c r="C385" s="831">
        <v>0.18</v>
      </c>
      <c r="D385" s="828" t="s">
        <v>205</v>
      </c>
      <c r="E385" s="963" t="s">
        <v>1000</v>
      </c>
      <c r="F385" s="1074" t="s">
        <v>1001</v>
      </c>
      <c r="G385" s="965" t="s">
        <v>1002</v>
      </c>
      <c r="H385" s="893" t="s">
        <v>224</v>
      </c>
      <c r="I385" s="1025">
        <f>3+2</f>
        <v>5</v>
      </c>
      <c r="J385" s="1036"/>
      <c r="K385" s="1038" t="str">
        <f t="shared" si="126"/>
        <v>Included</v>
      </c>
      <c r="L385" s="953">
        <f t="shared" si="127"/>
        <v>0</v>
      </c>
      <c r="M385" s="847">
        <f t="shared" si="122"/>
        <v>0</v>
      </c>
      <c r="N385" s="847">
        <f t="shared" si="123"/>
        <v>0</v>
      </c>
    </row>
    <row r="386" spans="1:14">
      <c r="A386" s="952">
        <v>995453</v>
      </c>
      <c r="B386" s="809"/>
      <c r="C386" s="831">
        <v>0.18</v>
      </c>
      <c r="D386" s="828" t="s">
        <v>205</v>
      </c>
      <c r="E386" s="963" t="s">
        <v>1003</v>
      </c>
      <c r="F386" s="1074" t="s">
        <v>305</v>
      </c>
      <c r="G386" s="965" t="s">
        <v>1004</v>
      </c>
      <c r="H386" s="893" t="s">
        <v>224</v>
      </c>
      <c r="I386" s="1025">
        <f>3+6</f>
        <v>9</v>
      </c>
      <c r="J386" s="1036"/>
      <c r="K386" s="1038" t="str">
        <f t="shared" si="126"/>
        <v>Included</v>
      </c>
      <c r="L386" s="953">
        <f t="shared" si="127"/>
        <v>0</v>
      </c>
      <c r="M386" s="847">
        <f t="shared" si="122"/>
        <v>0</v>
      </c>
      <c r="N386" s="847">
        <f t="shared" si="123"/>
        <v>0</v>
      </c>
    </row>
    <row r="387" spans="1:14" ht="63.75">
      <c r="A387" s="952">
        <v>995453</v>
      </c>
      <c r="B387" s="809"/>
      <c r="C387" s="831">
        <v>0.18</v>
      </c>
      <c r="D387" s="828" t="s">
        <v>205</v>
      </c>
      <c r="E387" s="963">
        <v>93</v>
      </c>
      <c r="F387" s="1074" t="s">
        <v>307</v>
      </c>
      <c r="G387" s="965" t="s">
        <v>1005</v>
      </c>
      <c r="H387" s="893" t="s">
        <v>224</v>
      </c>
      <c r="I387" s="1025">
        <f>27+2</f>
        <v>29</v>
      </c>
      <c r="J387" s="1036"/>
      <c r="K387" s="1038" t="str">
        <f t="shared" si="126"/>
        <v>Included</v>
      </c>
      <c r="L387" s="953">
        <f t="shared" si="127"/>
        <v>0</v>
      </c>
      <c r="M387" s="847">
        <f t="shared" si="122"/>
        <v>0</v>
      </c>
      <c r="N387" s="847">
        <f t="shared" si="123"/>
        <v>0</v>
      </c>
    </row>
    <row r="388" spans="1:14" ht="32.25">
      <c r="A388" s="952">
        <v>995453</v>
      </c>
      <c r="B388" s="809"/>
      <c r="C388" s="831">
        <v>0.18</v>
      </c>
      <c r="D388" s="828" t="s">
        <v>205</v>
      </c>
      <c r="E388" s="963">
        <v>94</v>
      </c>
      <c r="F388" s="1074">
        <v>12.44</v>
      </c>
      <c r="G388" s="965" t="s">
        <v>1006</v>
      </c>
      <c r="H388" s="893" t="s">
        <v>224</v>
      </c>
      <c r="I388" s="1025">
        <v>20</v>
      </c>
      <c r="J388" s="1036"/>
      <c r="K388" s="1038" t="str">
        <f t="shared" si="126"/>
        <v>Included</v>
      </c>
      <c r="L388" s="953">
        <f t="shared" si="127"/>
        <v>0</v>
      </c>
      <c r="M388" s="847">
        <f t="shared" si="122"/>
        <v>0</v>
      </c>
      <c r="N388" s="847">
        <f t="shared" si="123"/>
        <v>0</v>
      </c>
    </row>
    <row r="389" spans="1:14" ht="142.5">
      <c r="A389" s="952">
        <v>995453</v>
      </c>
      <c r="B389" s="809"/>
      <c r="C389" s="831">
        <v>0.18</v>
      </c>
      <c r="D389" s="828" t="s">
        <v>205</v>
      </c>
      <c r="E389" s="963">
        <v>95</v>
      </c>
      <c r="F389" s="1075">
        <v>12.5</v>
      </c>
      <c r="G389" s="965" t="s">
        <v>1007</v>
      </c>
      <c r="H389" s="893" t="s">
        <v>207</v>
      </c>
      <c r="I389" s="1025">
        <v>2</v>
      </c>
      <c r="J389" s="1036"/>
      <c r="K389" s="1038" t="str">
        <f t="shared" si="126"/>
        <v>Included</v>
      </c>
      <c r="L389" s="953">
        <f t="shared" si="127"/>
        <v>0</v>
      </c>
      <c r="M389" s="847">
        <f t="shared" si="122"/>
        <v>0</v>
      </c>
      <c r="N389" s="847">
        <f t="shared" si="123"/>
        <v>0</v>
      </c>
    </row>
    <row r="390" spans="1:14" ht="95.25">
      <c r="A390" s="952">
        <v>995453</v>
      </c>
      <c r="B390" s="809"/>
      <c r="C390" s="831">
        <v>0.18</v>
      </c>
      <c r="D390" s="828" t="s">
        <v>205</v>
      </c>
      <c r="E390" s="966">
        <v>96</v>
      </c>
      <c r="F390" s="1076">
        <v>12.55</v>
      </c>
      <c r="G390" s="969" t="s">
        <v>1008</v>
      </c>
      <c r="H390" s="970" t="s">
        <v>207</v>
      </c>
      <c r="I390" s="1025">
        <v>40</v>
      </c>
      <c r="J390" s="1036"/>
      <c r="K390" s="1038" t="str">
        <f t="shared" si="126"/>
        <v>Included</v>
      </c>
      <c r="L390" s="953">
        <f t="shared" si="127"/>
        <v>0</v>
      </c>
      <c r="M390" s="847">
        <f t="shared" si="122"/>
        <v>0</v>
      </c>
      <c r="N390" s="847">
        <f t="shared" si="123"/>
        <v>0</v>
      </c>
    </row>
    <row r="391" spans="1:14" ht="32.25">
      <c r="A391" s="952">
        <v>995472</v>
      </c>
      <c r="B391" s="809"/>
      <c r="C391" s="831">
        <v>0.18</v>
      </c>
      <c r="D391" s="828" t="s">
        <v>205</v>
      </c>
      <c r="E391" s="963">
        <v>97</v>
      </c>
      <c r="F391" s="1076" t="s">
        <v>309</v>
      </c>
      <c r="G391" s="965" t="s">
        <v>1009</v>
      </c>
      <c r="H391" s="893" t="s">
        <v>207</v>
      </c>
      <c r="I391" s="1025">
        <f>508+125</f>
        <v>633</v>
      </c>
      <c r="J391" s="1036"/>
      <c r="K391" s="1038" t="str">
        <f t="shared" si="126"/>
        <v>Included</v>
      </c>
      <c r="L391" s="953">
        <f t="shared" si="127"/>
        <v>0</v>
      </c>
      <c r="M391" s="847">
        <f t="shared" si="122"/>
        <v>0</v>
      </c>
      <c r="N391" s="847">
        <f t="shared" si="123"/>
        <v>0</v>
      </c>
    </row>
    <row r="392" spans="1:14" ht="27.75" customHeight="1">
      <c r="A392" s="952">
        <v>995472</v>
      </c>
      <c r="B392" s="809"/>
      <c r="C392" s="831">
        <v>0.18</v>
      </c>
      <c r="D392" s="828" t="s">
        <v>205</v>
      </c>
      <c r="E392" s="963">
        <v>98</v>
      </c>
      <c r="F392" s="1076" t="s">
        <v>1010</v>
      </c>
      <c r="G392" s="975" t="s">
        <v>1011</v>
      </c>
      <c r="H392" s="893" t="s">
        <v>207</v>
      </c>
      <c r="I392" s="1025">
        <f>196+215</f>
        <v>411</v>
      </c>
      <c r="J392" s="1036"/>
      <c r="K392" s="1038" t="str">
        <f t="shared" si="126"/>
        <v>Included</v>
      </c>
      <c r="L392" s="953">
        <f t="shared" si="127"/>
        <v>0</v>
      </c>
      <c r="M392" s="847">
        <f t="shared" si="122"/>
        <v>0</v>
      </c>
      <c r="N392" s="847">
        <f t="shared" si="123"/>
        <v>0</v>
      </c>
    </row>
    <row r="393" spans="1:14" ht="48">
      <c r="A393" s="952">
        <v>995472</v>
      </c>
      <c r="B393" s="809"/>
      <c r="C393" s="831">
        <v>0.18</v>
      </c>
      <c r="D393" s="828" t="s">
        <v>205</v>
      </c>
      <c r="E393" s="963">
        <v>99</v>
      </c>
      <c r="F393" s="1074" t="s">
        <v>1012</v>
      </c>
      <c r="G393" s="964" t="s">
        <v>1013</v>
      </c>
      <c r="H393" s="893" t="s">
        <v>514</v>
      </c>
      <c r="I393" s="1025">
        <v>32</v>
      </c>
      <c r="J393" s="1036"/>
      <c r="K393" s="1038" t="str">
        <f t="shared" si="126"/>
        <v>Included</v>
      </c>
      <c r="L393" s="953">
        <f t="shared" si="127"/>
        <v>0</v>
      </c>
      <c r="M393" s="847">
        <f t="shared" si="122"/>
        <v>0</v>
      </c>
      <c r="N393" s="847">
        <f t="shared" si="123"/>
        <v>0</v>
      </c>
    </row>
    <row r="394" spans="1:14" ht="48">
      <c r="A394" s="952">
        <v>995472</v>
      </c>
      <c r="B394" s="809"/>
      <c r="C394" s="831">
        <v>0.18</v>
      </c>
      <c r="D394" s="828" t="s">
        <v>205</v>
      </c>
      <c r="E394" s="963">
        <v>100</v>
      </c>
      <c r="F394" s="1076">
        <v>13.11</v>
      </c>
      <c r="G394" s="965" t="s">
        <v>1014</v>
      </c>
      <c r="H394" s="893" t="s">
        <v>207</v>
      </c>
      <c r="I394" s="1025">
        <f>593+195</f>
        <v>788</v>
      </c>
      <c r="J394" s="1036"/>
      <c r="K394" s="1038" t="str">
        <f t="shared" si="126"/>
        <v>Included</v>
      </c>
      <c r="L394" s="953">
        <f t="shared" si="127"/>
        <v>0</v>
      </c>
      <c r="M394" s="847">
        <f t="shared" si="122"/>
        <v>0</v>
      </c>
      <c r="N394" s="847">
        <f t="shared" si="123"/>
        <v>0</v>
      </c>
    </row>
    <row r="395" spans="1:14" ht="26.25" customHeight="1">
      <c r="A395" s="952">
        <v>995472</v>
      </c>
      <c r="B395" s="809"/>
      <c r="C395" s="831">
        <v>0.18</v>
      </c>
      <c r="D395" s="828" t="s">
        <v>205</v>
      </c>
      <c r="E395" s="963">
        <v>101</v>
      </c>
      <c r="F395" s="1076" t="s">
        <v>527</v>
      </c>
      <c r="G395" s="975" t="s">
        <v>1015</v>
      </c>
      <c r="H395" s="893" t="s">
        <v>207</v>
      </c>
      <c r="I395" s="1025">
        <f>137+425</f>
        <v>562</v>
      </c>
      <c r="J395" s="1036"/>
      <c r="K395" s="1038" t="str">
        <f t="shared" si="126"/>
        <v>Included</v>
      </c>
      <c r="L395" s="953">
        <f t="shared" si="127"/>
        <v>0</v>
      </c>
      <c r="M395" s="847">
        <f t="shared" si="122"/>
        <v>0</v>
      </c>
      <c r="N395" s="847">
        <f t="shared" si="123"/>
        <v>0</v>
      </c>
    </row>
    <row r="396" spans="1:14" ht="32.25">
      <c r="A396" s="952">
        <v>995472</v>
      </c>
      <c r="B396" s="809"/>
      <c r="C396" s="831">
        <v>0.18</v>
      </c>
      <c r="D396" s="828" t="s">
        <v>205</v>
      </c>
      <c r="E396" s="963">
        <v>102</v>
      </c>
      <c r="F396" s="1078" t="s">
        <v>1016</v>
      </c>
      <c r="G396" s="964" t="s">
        <v>1017</v>
      </c>
      <c r="H396" s="893" t="s">
        <v>514</v>
      </c>
      <c r="I396" s="1025">
        <v>7</v>
      </c>
      <c r="J396" s="1036"/>
      <c r="K396" s="1038" t="str">
        <f t="shared" si="126"/>
        <v>Included</v>
      </c>
      <c r="L396" s="953">
        <f t="shared" si="127"/>
        <v>0</v>
      </c>
      <c r="M396" s="847">
        <f t="shared" si="122"/>
        <v>0</v>
      </c>
      <c r="N396" s="847">
        <f t="shared" si="123"/>
        <v>0</v>
      </c>
    </row>
    <row r="397" spans="1:14" ht="32.25">
      <c r="A397" s="952">
        <v>995472</v>
      </c>
      <c r="B397" s="809"/>
      <c r="C397" s="831">
        <v>0.18</v>
      </c>
      <c r="D397" s="828" t="s">
        <v>205</v>
      </c>
      <c r="E397" s="963">
        <v>103</v>
      </c>
      <c r="F397" s="1075">
        <v>13.26</v>
      </c>
      <c r="G397" s="965" t="s">
        <v>1018</v>
      </c>
      <c r="H397" s="893" t="s">
        <v>207</v>
      </c>
      <c r="I397" s="1025">
        <v>150</v>
      </c>
      <c r="J397" s="1036"/>
      <c r="K397" s="1038" t="str">
        <f t="shared" si="126"/>
        <v>Included</v>
      </c>
      <c r="L397" s="953">
        <f t="shared" si="127"/>
        <v>0</v>
      </c>
      <c r="M397" s="847">
        <f t="shared" si="122"/>
        <v>0</v>
      </c>
      <c r="N397" s="847">
        <f t="shared" si="123"/>
        <v>0</v>
      </c>
    </row>
    <row r="398" spans="1:14" ht="48">
      <c r="A398" s="952">
        <v>995473</v>
      </c>
      <c r="B398" s="809"/>
      <c r="C398" s="831">
        <v>0.18</v>
      </c>
      <c r="D398" s="828" t="s">
        <v>205</v>
      </c>
      <c r="E398" s="963">
        <v>105</v>
      </c>
      <c r="F398" s="1078" t="s">
        <v>1019</v>
      </c>
      <c r="G398" s="964" t="s">
        <v>1020</v>
      </c>
      <c r="H398" s="893" t="s">
        <v>514</v>
      </c>
      <c r="I398" s="1025">
        <v>593</v>
      </c>
      <c r="J398" s="1036"/>
      <c r="K398" s="1038" t="str">
        <f t="shared" si="126"/>
        <v>Included</v>
      </c>
      <c r="L398" s="953">
        <f t="shared" si="127"/>
        <v>0</v>
      </c>
      <c r="M398" s="847">
        <f t="shared" si="122"/>
        <v>0</v>
      </c>
      <c r="N398" s="847">
        <f t="shared" si="123"/>
        <v>0</v>
      </c>
    </row>
    <row r="399" spans="1:14" ht="63.75">
      <c r="A399" s="952">
        <v>995473</v>
      </c>
      <c r="B399" s="809"/>
      <c r="C399" s="831">
        <v>0.18</v>
      </c>
      <c r="D399" s="828" t="s">
        <v>205</v>
      </c>
      <c r="E399" s="963">
        <v>106</v>
      </c>
      <c r="F399" s="1074" t="s">
        <v>1021</v>
      </c>
      <c r="G399" s="965" t="s">
        <v>1244</v>
      </c>
      <c r="H399" s="893" t="s">
        <v>207</v>
      </c>
      <c r="I399" s="1025">
        <v>500</v>
      </c>
      <c r="J399" s="1036"/>
      <c r="K399" s="1038" t="str">
        <f t="shared" si="126"/>
        <v>Included</v>
      </c>
      <c r="L399" s="953">
        <f t="shared" si="127"/>
        <v>0</v>
      </c>
      <c r="M399" s="847">
        <f t="shared" si="122"/>
        <v>0</v>
      </c>
      <c r="N399" s="847">
        <f t="shared" si="123"/>
        <v>0</v>
      </c>
    </row>
    <row r="400" spans="1:14" ht="32.25">
      <c r="A400" s="952">
        <v>995473</v>
      </c>
      <c r="B400" s="809"/>
      <c r="C400" s="831">
        <v>0.18</v>
      </c>
      <c r="D400" s="828" t="s">
        <v>205</v>
      </c>
      <c r="E400" s="963">
        <v>107</v>
      </c>
      <c r="F400" s="1074">
        <v>13.61</v>
      </c>
      <c r="G400" s="965" t="s">
        <v>1023</v>
      </c>
      <c r="H400" s="893" t="s">
        <v>207</v>
      </c>
      <c r="I400" s="1025">
        <v>425</v>
      </c>
      <c r="J400" s="1036"/>
      <c r="K400" s="1038" t="str">
        <f t="shared" si="126"/>
        <v>Included</v>
      </c>
      <c r="L400" s="953">
        <f t="shared" si="127"/>
        <v>0</v>
      </c>
      <c r="M400" s="847">
        <f t="shared" ref="M400:M462" si="128">IF(K400="Included",0,K400)</f>
        <v>0</v>
      </c>
      <c r="N400" s="847">
        <f t="shared" ref="N400:N462" si="129">IF(C400="confirmed",(M400*B400),(M400*C400))</f>
        <v>0</v>
      </c>
    </row>
    <row r="401" spans="1:14" ht="79.5">
      <c r="A401" s="952">
        <v>995472</v>
      </c>
      <c r="B401" s="809"/>
      <c r="C401" s="831">
        <v>0.18</v>
      </c>
      <c r="D401" s="828" t="s">
        <v>205</v>
      </c>
      <c r="E401" s="963">
        <v>108</v>
      </c>
      <c r="F401" s="1074" t="s">
        <v>1024</v>
      </c>
      <c r="G401" s="965" t="s">
        <v>1025</v>
      </c>
      <c r="H401" s="893" t="s">
        <v>1162</v>
      </c>
      <c r="I401" s="1025">
        <v>75</v>
      </c>
      <c r="J401" s="1036"/>
      <c r="K401" s="1038" t="str">
        <f t="shared" si="126"/>
        <v>Included</v>
      </c>
      <c r="L401" s="953">
        <f t="shared" si="127"/>
        <v>0</v>
      </c>
      <c r="M401" s="847">
        <f t="shared" si="128"/>
        <v>0</v>
      </c>
      <c r="N401" s="847">
        <f t="shared" si="129"/>
        <v>0</v>
      </c>
    </row>
    <row r="402" spans="1:14" ht="48">
      <c r="A402" s="952">
        <v>995472</v>
      </c>
      <c r="B402" s="809"/>
      <c r="C402" s="831">
        <v>0.18</v>
      </c>
      <c r="D402" s="828" t="s">
        <v>205</v>
      </c>
      <c r="E402" s="963">
        <v>109</v>
      </c>
      <c r="F402" s="1075">
        <v>13.8</v>
      </c>
      <c r="G402" s="965" t="s">
        <v>1026</v>
      </c>
      <c r="H402" s="893" t="s">
        <v>207</v>
      </c>
      <c r="I402" s="1025">
        <f>840+525</f>
        <v>1365</v>
      </c>
      <c r="J402" s="1036"/>
      <c r="K402" s="1038" t="str">
        <f t="shared" si="126"/>
        <v>Included</v>
      </c>
      <c r="L402" s="953">
        <f t="shared" si="127"/>
        <v>0</v>
      </c>
      <c r="M402" s="847">
        <f t="shared" si="128"/>
        <v>0</v>
      </c>
      <c r="N402" s="847">
        <f t="shared" si="129"/>
        <v>0</v>
      </c>
    </row>
    <row r="403" spans="1:14" ht="63.75">
      <c r="A403" s="952">
        <v>995473</v>
      </c>
      <c r="B403" s="809"/>
      <c r="C403" s="831">
        <v>0.18</v>
      </c>
      <c r="D403" s="828" t="s">
        <v>205</v>
      </c>
      <c r="E403" s="963">
        <v>110</v>
      </c>
      <c r="F403" s="1078" t="s">
        <v>1027</v>
      </c>
      <c r="G403" s="964" t="s">
        <v>1028</v>
      </c>
      <c r="H403" s="893" t="s">
        <v>514</v>
      </c>
      <c r="I403" s="1025">
        <f>840+500</f>
        <v>1340</v>
      </c>
      <c r="J403" s="1036"/>
      <c r="K403" s="1038" t="str">
        <f t="shared" si="126"/>
        <v>Included</v>
      </c>
      <c r="L403" s="953">
        <f t="shared" si="127"/>
        <v>0</v>
      </c>
      <c r="M403" s="847">
        <f t="shared" si="128"/>
        <v>0</v>
      </c>
      <c r="N403" s="847">
        <f t="shared" si="129"/>
        <v>0</v>
      </c>
    </row>
    <row r="404" spans="1:14" ht="63.75">
      <c r="A404" s="952">
        <v>995473</v>
      </c>
      <c r="B404" s="809"/>
      <c r="C404" s="831">
        <v>0.18</v>
      </c>
      <c r="D404" s="828" t="s">
        <v>205</v>
      </c>
      <c r="E404" s="963">
        <v>111</v>
      </c>
      <c r="F404" s="1078" t="s">
        <v>528</v>
      </c>
      <c r="G404" s="964" t="s">
        <v>529</v>
      </c>
      <c r="H404" s="893" t="s">
        <v>207</v>
      </c>
      <c r="I404" s="1025">
        <f>840+500</f>
        <v>1340</v>
      </c>
      <c r="J404" s="1036"/>
      <c r="K404" s="1038" t="str">
        <f t="shared" si="126"/>
        <v>Included</v>
      </c>
      <c r="L404" s="953">
        <f t="shared" si="127"/>
        <v>0</v>
      </c>
      <c r="M404" s="847">
        <f t="shared" si="128"/>
        <v>0</v>
      </c>
      <c r="N404" s="847">
        <f t="shared" si="129"/>
        <v>0</v>
      </c>
    </row>
    <row r="405" spans="1:14" ht="63.75">
      <c r="A405" s="952">
        <v>995473</v>
      </c>
      <c r="B405" s="809"/>
      <c r="C405" s="831">
        <v>0.18</v>
      </c>
      <c r="D405" s="828" t="s">
        <v>205</v>
      </c>
      <c r="E405" s="963">
        <v>112</v>
      </c>
      <c r="F405" s="1074" t="s">
        <v>1029</v>
      </c>
      <c r="G405" s="965" t="s">
        <v>1030</v>
      </c>
      <c r="H405" s="893" t="s">
        <v>207</v>
      </c>
      <c r="I405" s="1025">
        <v>35</v>
      </c>
      <c r="J405" s="1036"/>
      <c r="K405" s="1038" t="str">
        <f t="shared" si="126"/>
        <v>Included</v>
      </c>
      <c r="L405" s="953">
        <f t="shared" si="127"/>
        <v>0</v>
      </c>
      <c r="M405" s="847">
        <f t="shared" si="128"/>
        <v>0</v>
      </c>
      <c r="N405" s="847">
        <f t="shared" si="129"/>
        <v>0</v>
      </c>
    </row>
    <row r="406" spans="1:14" ht="63.75">
      <c r="A406" s="952">
        <v>995421</v>
      </c>
      <c r="B406" s="809"/>
      <c r="C406" s="831">
        <v>0.18</v>
      </c>
      <c r="D406" s="828" t="s">
        <v>205</v>
      </c>
      <c r="E406" s="963">
        <v>113</v>
      </c>
      <c r="F406" s="1074">
        <v>16.68</v>
      </c>
      <c r="G406" s="965" t="s">
        <v>1031</v>
      </c>
      <c r="H406" s="893" t="s">
        <v>207</v>
      </c>
      <c r="I406" s="1025">
        <v>18</v>
      </c>
      <c r="J406" s="1036"/>
      <c r="K406" s="1038" t="str">
        <f t="shared" si="126"/>
        <v>Included</v>
      </c>
      <c r="L406" s="953">
        <f t="shared" si="127"/>
        <v>0</v>
      </c>
      <c r="M406" s="847">
        <f t="shared" si="128"/>
        <v>0</v>
      </c>
      <c r="N406" s="847">
        <f t="shared" si="129"/>
        <v>0</v>
      </c>
    </row>
    <row r="407" spans="1:14" ht="95.25">
      <c r="A407" s="952">
        <v>995421</v>
      </c>
      <c r="B407" s="809"/>
      <c r="C407" s="831">
        <v>0.18</v>
      </c>
      <c r="D407" s="828" t="s">
        <v>205</v>
      </c>
      <c r="E407" s="963">
        <v>114</v>
      </c>
      <c r="F407" s="1074">
        <v>16.690000000000001</v>
      </c>
      <c r="G407" s="965" t="s">
        <v>1032</v>
      </c>
      <c r="H407" s="893" t="s">
        <v>251</v>
      </c>
      <c r="I407" s="1025">
        <v>15</v>
      </c>
      <c r="J407" s="1036"/>
      <c r="K407" s="1038" t="str">
        <f t="shared" si="126"/>
        <v>Included</v>
      </c>
      <c r="L407" s="953">
        <f t="shared" si="127"/>
        <v>0</v>
      </c>
      <c r="M407" s="847">
        <f t="shared" si="128"/>
        <v>0</v>
      </c>
      <c r="N407" s="847">
        <f t="shared" si="129"/>
        <v>0</v>
      </c>
    </row>
    <row r="408" spans="1:14" ht="95.25">
      <c r="A408" s="952">
        <v>995478</v>
      </c>
      <c r="B408" s="809"/>
      <c r="C408" s="831">
        <v>0.18</v>
      </c>
      <c r="D408" s="828" t="s">
        <v>205</v>
      </c>
      <c r="E408" s="963">
        <v>115</v>
      </c>
      <c r="F408" s="1074" t="s">
        <v>1033</v>
      </c>
      <c r="G408" s="965" t="s">
        <v>1034</v>
      </c>
      <c r="H408" s="893" t="s">
        <v>224</v>
      </c>
      <c r="I408" s="1025">
        <v>4</v>
      </c>
      <c r="J408" s="1036"/>
      <c r="K408" s="1038" t="str">
        <f t="shared" si="126"/>
        <v>Included</v>
      </c>
      <c r="L408" s="953">
        <f t="shared" si="127"/>
        <v>0</v>
      </c>
      <c r="M408" s="847">
        <f t="shared" si="128"/>
        <v>0</v>
      </c>
      <c r="N408" s="847">
        <f t="shared" si="129"/>
        <v>0</v>
      </c>
    </row>
    <row r="409" spans="1:14" ht="63.75">
      <c r="A409" s="952">
        <v>995478</v>
      </c>
      <c r="B409" s="809"/>
      <c r="C409" s="831">
        <v>0.18</v>
      </c>
      <c r="D409" s="828" t="s">
        <v>205</v>
      </c>
      <c r="E409" s="963">
        <v>116</v>
      </c>
      <c r="F409" s="1083" t="s">
        <v>389</v>
      </c>
      <c r="G409" s="964" t="s">
        <v>1035</v>
      </c>
      <c r="H409" s="970" t="s">
        <v>468</v>
      </c>
      <c r="I409" s="1025">
        <v>6</v>
      </c>
      <c r="J409" s="1036"/>
      <c r="K409" s="1038" t="str">
        <f t="shared" si="126"/>
        <v>Included</v>
      </c>
      <c r="L409" s="953">
        <f t="shared" si="127"/>
        <v>0</v>
      </c>
      <c r="M409" s="847">
        <f t="shared" si="128"/>
        <v>0</v>
      </c>
      <c r="N409" s="847">
        <f t="shared" si="129"/>
        <v>0</v>
      </c>
    </row>
    <row r="410" spans="1:14" ht="63.75">
      <c r="A410" s="952">
        <v>995478</v>
      </c>
      <c r="B410" s="809"/>
      <c r="C410" s="831">
        <v>0.18</v>
      </c>
      <c r="D410" s="828" t="s">
        <v>205</v>
      </c>
      <c r="E410" s="963">
        <v>117</v>
      </c>
      <c r="F410" s="1078" t="s">
        <v>1036</v>
      </c>
      <c r="G410" s="964" t="s">
        <v>1037</v>
      </c>
      <c r="H410" s="893" t="s">
        <v>468</v>
      </c>
      <c r="I410" s="1025">
        <v>4</v>
      </c>
      <c r="J410" s="1036"/>
      <c r="K410" s="1038" t="str">
        <f t="shared" si="126"/>
        <v>Included</v>
      </c>
      <c r="L410" s="953">
        <f t="shared" si="127"/>
        <v>0</v>
      </c>
      <c r="M410" s="847">
        <f t="shared" si="128"/>
        <v>0</v>
      </c>
      <c r="N410" s="847">
        <f t="shared" si="129"/>
        <v>0</v>
      </c>
    </row>
    <row r="411" spans="1:14" ht="84" customHeight="1">
      <c r="A411" s="952">
        <v>995478</v>
      </c>
      <c r="B411" s="809"/>
      <c r="C411" s="831">
        <v>0.18</v>
      </c>
      <c r="D411" s="828" t="s">
        <v>205</v>
      </c>
      <c r="E411" s="963">
        <v>118</v>
      </c>
      <c r="F411" s="1074" t="s">
        <v>1038</v>
      </c>
      <c r="G411" s="965" t="s">
        <v>1273</v>
      </c>
      <c r="H411" s="893" t="s">
        <v>224</v>
      </c>
      <c r="I411" s="1025">
        <f>2+2</f>
        <v>4</v>
      </c>
      <c r="J411" s="1036"/>
      <c r="K411" s="1038" t="str">
        <f t="shared" si="126"/>
        <v>Included</v>
      </c>
      <c r="L411" s="953">
        <f t="shared" si="127"/>
        <v>0</v>
      </c>
      <c r="M411" s="847">
        <f t="shared" si="128"/>
        <v>0</v>
      </c>
      <c r="N411" s="847">
        <f t="shared" si="129"/>
        <v>0</v>
      </c>
    </row>
    <row r="412" spans="1:14" ht="23.25" customHeight="1">
      <c r="A412" s="952">
        <v>995478</v>
      </c>
      <c r="B412" s="809"/>
      <c r="C412" s="831">
        <v>0.18</v>
      </c>
      <c r="D412" s="828" t="s">
        <v>205</v>
      </c>
      <c r="E412" s="963">
        <v>119</v>
      </c>
      <c r="F412" s="1074">
        <v>17.22</v>
      </c>
      <c r="G412" s="1073" t="s">
        <v>1040</v>
      </c>
      <c r="H412" s="893" t="s">
        <v>468</v>
      </c>
      <c r="I412" s="1025">
        <v>4</v>
      </c>
      <c r="J412" s="1036"/>
      <c r="K412" s="1038" t="str">
        <f t="shared" si="126"/>
        <v>Included</v>
      </c>
      <c r="L412" s="953">
        <f t="shared" si="127"/>
        <v>0</v>
      </c>
      <c r="M412" s="847">
        <f t="shared" si="128"/>
        <v>0</v>
      </c>
      <c r="N412" s="847">
        <f t="shared" si="129"/>
        <v>0</v>
      </c>
    </row>
    <row r="413" spans="1:14" ht="32.25">
      <c r="A413" s="952">
        <v>995478</v>
      </c>
      <c r="B413" s="809"/>
      <c r="C413" s="831">
        <v>0.18</v>
      </c>
      <c r="D413" s="828" t="s">
        <v>205</v>
      </c>
      <c r="E413" s="963">
        <v>120</v>
      </c>
      <c r="F413" s="1074" t="s">
        <v>391</v>
      </c>
      <c r="G413" s="965" t="s">
        <v>392</v>
      </c>
      <c r="H413" s="893" t="s">
        <v>224</v>
      </c>
      <c r="I413" s="1025">
        <v>4</v>
      </c>
      <c r="J413" s="1036"/>
      <c r="K413" s="1038" t="str">
        <f t="shared" si="126"/>
        <v>Included</v>
      </c>
      <c r="L413" s="953">
        <f t="shared" si="127"/>
        <v>0</v>
      </c>
      <c r="M413" s="847">
        <f t="shared" si="128"/>
        <v>0</v>
      </c>
      <c r="N413" s="847">
        <f t="shared" si="129"/>
        <v>0</v>
      </c>
    </row>
    <row r="414" spans="1:14" ht="48">
      <c r="A414" s="952">
        <v>995478</v>
      </c>
      <c r="B414" s="809"/>
      <c r="C414" s="831">
        <v>0.18</v>
      </c>
      <c r="D414" s="828" t="s">
        <v>205</v>
      </c>
      <c r="E414" s="963">
        <v>121</v>
      </c>
      <c r="F414" s="1074" t="s">
        <v>1041</v>
      </c>
      <c r="G414" s="965" t="s">
        <v>1042</v>
      </c>
      <c r="H414" s="893" t="s">
        <v>224</v>
      </c>
      <c r="I414" s="1025">
        <v>6</v>
      </c>
      <c r="J414" s="1036"/>
      <c r="K414" s="1038" t="str">
        <f t="shared" si="126"/>
        <v>Included</v>
      </c>
      <c r="L414" s="953">
        <f t="shared" si="127"/>
        <v>0</v>
      </c>
      <c r="M414" s="847">
        <f t="shared" si="128"/>
        <v>0</v>
      </c>
      <c r="N414" s="847">
        <f t="shared" si="129"/>
        <v>0</v>
      </c>
    </row>
    <row r="415" spans="1:14" ht="48">
      <c r="A415" s="952">
        <v>995478</v>
      </c>
      <c r="B415" s="809"/>
      <c r="C415" s="831">
        <v>0.18</v>
      </c>
      <c r="D415" s="828" t="s">
        <v>205</v>
      </c>
      <c r="E415" s="963">
        <v>122</v>
      </c>
      <c r="F415" s="1079" t="s">
        <v>1043</v>
      </c>
      <c r="G415" s="968" t="s">
        <v>1274</v>
      </c>
      <c r="H415" s="893" t="s">
        <v>468</v>
      </c>
      <c r="I415" s="1025">
        <v>2</v>
      </c>
      <c r="J415" s="1036"/>
      <c r="K415" s="1038" t="str">
        <f t="shared" si="126"/>
        <v>Included</v>
      </c>
      <c r="L415" s="953">
        <f t="shared" si="127"/>
        <v>0</v>
      </c>
      <c r="M415" s="847">
        <f t="shared" si="128"/>
        <v>0</v>
      </c>
      <c r="N415" s="847">
        <f t="shared" si="129"/>
        <v>0</v>
      </c>
    </row>
    <row r="416" spans="1:14" ht="48">
      <c r="A416" s="952">
        <v>995478</v>
      </c>
      <c r="B416" s="809"/>
      <c r="C416" s="831">
        <v>0.18</v>
      </c>
      <c r="D416" s="828" t="s">
        <v>205</v>
      </c>
      <c r="E416" s="963">
        <v>123</v>
      </c>
      <c r="F416" s="1074">
        <v>17.309999999999999</v>
      </c>
      <c r="G416" s="965" t="s">
        <v>1045</v>
      </c>
      <c r="H416" s="893" t="s">
        <v>224</v>
      </c>
      <c r="I416" s="1025">
        <f>4+4</f>
        <v>8</v>
      </c>
      <c r="J416" s="1036"/>
      <c r="K416" s="1038" t="str">
        <f t="shared" si="126"/>
        <v>Included</v>
      </c>
      <c r="L416" s="953">
        <f t="shared" si="127"/>
        <v>0</v>
      </c>
      <c r="M416" s="847">
        <f t="shared" si="128"/>
        <v>0</v>
      </c>
      <c r="N416" s="847">
        <f t="shared" si="129"/>
        <v>0</v>
      </c>
    </row>
    <row r="417" spans="1:14" ht="48">
      <c r="A417" s="952">
        <v>995478</v>
      </c>
      <c r="B417" s="809"/>
      <c r="C417" s="831">
        <v>0.18</v>
      </c>
      <c r="D417" s="828" t="s">
        <v>205</v>
      </c>
      <c r="E417" s="963">
        <v>124</v>
      </c>
      <c r="F417" s="1074">
        <v>17.329999999999998</v>
      </c>
      <c r="G417" s="964" t="s">
        <v>1046</v>
      </c>
      <c r="H417" s="893" t="s">
        <v>468</v>
      </c>
      <c r="I417" s="1025">
        <v>4</v>
      </c>
      <c r="J417" s="1036"/>
      <c r="K417" s="1038" t="str">
        <f t="shared" si="126"/>
        <v>Included</v>
      </c>
      <c r="L417" s="953">
        <f t="shared" si="127"/>
        <v>0</v>
      </c>
      <c r="M417" s="847">
        <f t="shared" si="128"/>
        <v>0</v>
      </c>
      <c r="N417" s="847">
        <f t="shared" si="129"/>
        <v>0</v>
      </c>
    </row>
    <row r="418" spans="1:14" ht="23.25" customHeight="1">
      <c r="A418" s="952">
        <v>995478</v>
      </c>
      <c r="B418" s="809"/>
      <c r="C418" s="831">
        <v>0.18</v>
      </c>
      <c r="D418" s="828" t="s">
        <v>205</v>
      </c>
      <c r="E418" s="963">
        <v>125</v>
      </c>
      <c r="F418" s="1079" t="s">
        <v>1047</v>
      </c>
      <c r="G418" s="968" t="s">
        <v>1048</v>
      </c>
      <c r="H418" s="971" t="s">
        <v>468</v>
      </c>
      <c r="I418" s="1025">
        <v>4</v>
      </c>
      <c r="J418" s="1036"/>
      <c r="K418" s="1038" t="str">
        <f t="shared" si="126"/>
        <v>Included</v>
      </c>
      <c r="L418" s="953">
        <f t="shared" si="127"/>
        <v>0</v>
      </c>
      <c r="M418" s="847">
        <f t="shared" si="128"/>
        <v>0</v>
      </c>
      <c r="N418" s="847">
        <f t="shared" si="129"/>
        <v>0</v>
      </c>
    </row>
    <row r="419" spans="1:14" ht="63.75">
      <c r="A419" s="952">
        <v>995478</v>
      </c>
      <c r="B419" s="809"/>
      <c r="C419" s="831">
        <v>0.18</v>
      </c>
      <c r="D419" s="828" t="s">
        <v>205</v>
      </c>
      <c r="E419" s="963">
        <v>126</v>
      </c>
      <c r="F419" s="1078" t="s">
        <v>1049</v>
      </c>
      <c r="G419" s="964" t="s">
        <v>1050</v>
      </c>
      <c r="H419" s="893" t="s">
        <v>468</v>
      </c>
      <c r="I419" s="1025">
        <v>4</v>
      </c>
      <c r="J419" s="1036"/>
      <c r="K419" s="1038" t="str">
        <f t="shared" si="126"/>
        <v>Included</v>
      </c>
      <c r="L419" s="953">
        <f t="shared" si="127"/>
        <v>0</v>
      </c>
      <c r="M419" s="847">
        <f t="shared" si="128"/>
        <v>0</v>
      </c>
      <c r="N419" s="847">
        <f t="shared" si="129"/>
        <v>0</v>
      </c>
    </row>
    <row r="420" spans="1:14" ht="111">
      <c r="A420" s="952">
        <v>995478</v>
      </c>
      <c r="B420" s="809"/>
      <c r="C420" s="831">
        <v>0.18</v>
      </c>
      <c r="D420" s="828" t="s">
        <v>205</v>
      </c>
      <c r="E420" s="963">
        <v>127</v>
      </c>
      <c r="F420" s="1078" t="s">
        <v>1051</v>
      </c>
      <c r="G420" s="964" t="s">
        <v>1052</v>
      </c>
      <c r="H420" s="893" t="s">
        <v>468</v>
      </c>
      <c r="I420" s="1025">
        <v>4</v>
      </c>
      <c r="J420" s="1036"/>
      <c r="K420" s="1038" t="str">
        <f t="shared" si="126"/>
        <v>Included</v>
      </c>
      <c r="L420" s="953">
        <f t="shared" si="127"/>
        <v>0</v>
      </c>
      <c r="M420" s="847">
        <f t="shared" si="128"/>
        <v>0</v>
      </c>
      <c r="N420" s="847">
        <f t="shared" si="129"/>
        <v>0</v>
      </c>
    </row>
    <row r="421" spans="1:14" ht="95.25">
      <c r="A421" s="952"/>
      <c r="B421" s="809"/>
      <c r="C421" s="831">
        <v>0.18</v>
      </c>
      <c r="D421" s="828" t="s">
        <v>205</v>
      </c>
      <c r="E421" s="963">
        <v>128</v>
      </c>
      <c r="F421" s="1078"/>
      <c r="G421" s="964" t="s">
        <v>1053</v>
      </c>
      <c r="H421" s="893"/>
      <c r="I421" s="1025"/>
      <c r="J421" s="1036"/>
      <c r="K421" s="1038"/>
      <c r="L421" s="953"/>
      <c r="M421" s="847">
        <f t="shared" si="128"/>
        <v>0</v>
      </c>
      <c r="N421" s="847">
        <f t="shared" si="129"/>
        <v>0</v>
      </c>
    </row>
    <row r="422" spans="1:14">
      <c r="A422" s="952">
        <v>995424</v>
      </c>
      <c r="B422" s="809"/>
      <c r="C422" s="831">
        <v>0.18</v>
      </c>
      <c r="D422" s="828" t="s">
        <v>205</v>
      </c>
      <c r="E422" s="963" t="s">
        <v>924</v>
      </c>
      <c r="F422" s="1078" t="s">
        <v>1054</v>
      </c>
      <c r="G422" s="964" t="s">
        <v>1055</v>
      </c>
      <c r="H422" s="893" t="s">
        <v>520</v>
      </c>
      <c r="I422" s="1025">
        <v>18.54</v>
      </c>
      <c r="J422" s="1036"/>
      <c r="K422" s="1038" t="str">
        <f t="shared" si="126"/>
        <v>Included</v>
      </c>
      <c r="L422" s="953">
        <f t="shared" si="127"/>
        <v>0</v>
      </c>
      <c r="M422" s="847">
        <f t="shared" si="128"/>
        <v>0</v>
      </c>
      <c r="N422" s="847">
        <f t="shared" si="129"/>
        <v>0</v>
      </c>
    </row>
    <row r="423" spans="1:14">
      <c r="A423" s="952">
        <v>995424</v>
      </c>
      <c r="B423" s="809"/>
      <c r="C423" s="831">
        <v>0.18</v>
      </c>
      <c r="D423" s="828" t="s">
        <v>205</v>
      </c>
      <c r="E423" s="963" t="s">
        <v>927</v>
      </c>
      <c r="F423" s="1078" t="s">
        <v>328</v>
      </c>
      <c r="G423" s="964" t="s">
        <v>1056</v>
      </c>
      <c r="H423" s="970" t="s">
        <v>520</v>
      </c>
      <c r="I423" s="1025">
        <v>70</v>
      </c>
      <c r="J423" s="1036"/>
      <c r="K423" s="1038" t="str">
        <f t="shared" si="126"/>
        <v>Included</v>
      </c>
      <c r="L423" s="953">
        <f t="shared" si="127"/>
        <v>0</v>
      </c>
      <c r="M423" s="847">
        <f t="shared" si="128"/>
        <v>0</v>
      </c>
      <c r="N423" s="847">
        <f t="shared" si="129"/>
        <v>0</v>
      </c>
    </row>
    <row r="424" spans="1:14" ht="79.5">
      <c r="A424" s="952">
        <v>995424</v>
      </c>
      <c r="B424" s="809"/>
      <c r="C424" s="831">
        <v>0.18</v>
      </c>
      <c r="D424" s="828" t="s">
        <v>205</v>
      </c>
      <c r="E424" s="963">
        <v>129</v>
      </c>
      <c r="F424" s="1078" t="s">
        <v>336</v>
      </c>
      <c r="G424" s="964" t="s">
        <v>1057</v>
      </c>
      <c r="H424" s="972" t="s">
        <v>520</v>
      </c>
      <c r="I424" s="1025">
        <v>20</v>
      </c>
      <c r="J424" s="1036"/>
      <c r="K424" s="1038" t="str">
        <f t="shared" si="126"/>
        <v>Included</v>
      </c>
      <c r="L424" s="953">
        <f t="shared" si="127"/>
        <v>0</v>
      </c>
      <c r="M424" s="847">
        <f t="shared" si="128"/>
        <v>0</v>
      </c>
      <c r="N424" s="847">
        <f t="shared" si="129"/>
        <v>0</v>
      </c>
    </row>
    <row r="425" spans="1:14" ht="32.25">
      <c r="A425" s="952">
        <v>995424</v>
      </c>
      <c r="B425" s="809"/>
      <c r="C425" s="831">
        <v>0.18</v>
      </c>
      <c r="D425" s="828" t="s">
        <v>205</v>
      </c>
      <c r="E425" s="963">
        <v>130</v>
      </c>
      <c r="F425" s="1078" t="s">
        <v>340</v>
      </c>
      <c r="G425" s="964" t="s">
        <v>1058</v>
      </c>
      <c r="H425" s="893" t="s">
        <v>468</v>
      </c>
      <c r="I425" s="1025">
        <v>8</v>
      </c>
      <c r="J425" s="1036"/>
      <c r="K425" s="1038" t="str">
        <f t="shared" si="126"/>
        <v>Included</v>
      </c>
      <c r="L425" s="953">
        <f t="shared" si="127"/>
        <v>0</v>
      </c>
      <c r="M425" s="847">
        <f t="shared" si="128"/>
        <v>0</v>
      </c>
      <c r="N425" s="847">
        <f t="shared" si="129"/>
        <v>0</v>
      </c>
    </row>
    <row r="426" spans="1:14" ht="32.25">
      <c r="A426" s="952"/>
      <c r="B426" s="809"/>
      <c r="C426" s="831">
        <v>0.18</v>
      </c>
      <c r="D426" s="828" t="s">
        <v>205</v>
      </c>
      <c r="E426" s="963">
        <v>131</v>
      </c>
      <c r="F426" s="1074">
        <v>18.170000000000002</v>
      </c>
      <c r="G426" s="965" t="s">
        <v>1059</v>
      </c>
      <c r="H426" s="893"/>
      <c r="I426" s="1025"/>
      <c r="J426" s="1036"/>
      <c r="K426" s="1038" t="str">
        <f t="shared" si="126"/>
        <v>Included</v>
      </c>
      <c r="L426" s="953">
        <f t="shared" si="127"/>
        <v>0</v>
      </c>
      <c r="M426" s="847">
        <f t="shared" si="128"/>
        <v>0</v>
      </c>
      <c r="N426" s="847">
        <f t="shared" si="129"/>
        <v>0</v>
      </c>
    </row>
    <row r="427" spans="1:14">
      <c r="A427" s="952">
        <v>995424</v>
      </c>
      <c r="B427" s="809"/>
      <c r="C427" s="831">
        <v>0.18</v>
      </c>
      <c r="D427" s="828" t="s">
        <v>205</v>
      </c>
      <c r="E427" s="963">
        <v>132</v>
      </c>
      <c r="F427" s="1074" t="s">
        <v>348</v>
      </c>
      <c r="G427" s="965" t="s">
        <v>1060</v>
      </c>
      <c r="H427" s="893" t="s">
        <v>224</v>
      </c>
      <c r="I427" s="1025">
        <v>1</v>
      </c>
      <c r="J427" s="1036"/>
      <c r="K427" s="1038" t="str">
        <f t="shared" si="126"/>
        <v>Included</v>
      </c>
      <c r="L427" s="953">
        <f t="shared" si="127"/>
        <v>0</v>
      </c>
      <c r="M427" s="847">
        <f t="shared" si="128"/>
        <v>0</v>
      </c>
      <c r="N427" s="847">
        <f t="shared" si="129"/>
        <v>0</v>
      </c>
    </row>
    <row r="428" spans="1:14">
      <c r="A428" s="952">
        <v>995424</v>
      </c>
      <c r="B428" s="809"/>
      <c r="C428" s="831">
        <v>0.18</v>
      </c>
      <c r="D428" s="828" t="s">
        <v>205</v>
      </c>
      <c r="E428" s="963">
        <v>133</v>
      </c>
      <c r="F428" s="1074" t="s">
        <v>1061</v>
      </c>
      <c r="G428" s="965" t="s">
        <v>1062</v>
      </c>
      <c r="H428" s="893" t="s">
        <v>224</v>
      </c>
      <c r="I428" s="1025">
        <v>2</v>
      </c>
      <c r="J428" s="1036"/>
      <c r="K428" s="1038" t="str">
        <f t="shared" si="126"/>
        <v>Included</v>
      </c>
      <c r="L428" s="953">
        <f t="shared" si="127"/>
        <v>0</v>
      </c>
      <c r="M428" s="847">
        <f t="shared" si="128"/>
        <v>0</v>
      </c>
      <c r="N428" s="847">
        <f t="shared" si="129"/>
        <v>0</v>
      </c>
    </row>
    <row r="429" spans="1:14">
      <c r="A429" s="952"/>
      <c r="B429" s="809"/>
      <c r="C429" s="831"/>
      <c r="D429" s="828"/>
      <c r="E429" s="963">
        <v>134</v>
      </c>
      <c r="F429" s="1078"/>
      <c r="G429" s="964" t="s">
        <v>1063</v>
      </c>
      <c r="H429" s="893"/>
      <c r="I429" s="1025"/>
      <c r="J429" s="1036"/>
      <c r="K429" s="1038"/>
      <c r="L429" s="953"/>
      <c r="M429" s="847">
        <f t="shared" si="128"/>
        <v>0</v>
      </c>
      <c r="N429" s="847">
        <f t="shared" si="129"/>
        <v>0</v>
      </c>
    </row>
    <row r="430" spans="1:14">
      <c r="A430" s="952">
        <v>995424</v>
      </c>
      <c r="B430" s="809"/>
      <c r="C430" s="831">
        <v>0.18</v>
      </c>
      <c r="D430" s="828" t="s">
        <v>205</v>
      </c>
      <c r="E430" s="963">
        <v>135</v>
      </c>
      <c r="F430" s="1078" t="s">
        <v>350</v>
      </c>
      <c r="G430" s="964" t="s">
        <v>1064</v>
      </c>
      <c r="H430" s="893" t="s">
        <v>468</v>
      </c>
      <c r="I430" s="1025">
        <v>5</v>
      </c>
      <c r="J430" s="1036"/>
      <c r="K430" s="1038" t="str">
        <f t="shared" si="126"/>
        <v>Included</v>
      </c>
      <c r="L430" s="953">
        <f t="shared" si="127"/>
        <v>0</v>
      </c>
      <c r="M430" s="847">
        <f t="shared" si="128"/>
        <v>0</v>
      </c>
      <c r="N430" s="847">
        <f t="shared" si="129"/>
        <v>0</v>
      </c>
    </row>
    <row r="431" spans="1:14">
      <c r="A431" s="952">
        <v>995424</v>
      </c>
      <c r="B431" s="809"/>
      <c r="C431" s="831">
        <v>0.18</v>
      </c>
      <c r="D431" s="828" t="s">
        <v>205</v>
      </c>
      <c r="E431" s="963">
        <v>136</v>
      </c>
      <c r="F431" s="1078" t="s">
        <v>352</v>
      </c>
      <c r="G431" s="964" t="s">
        <v>1065</v>
      </c>
      <c r="H431" s="893" t="s">
        <v>468</v>
      </c>
      <c r="I431" s="1025">
        <v>1</v>
      </c>
      <c r="J431" s="1036"/>
      <c r="K431" s="1038" t="str">
        <f t="shared" si="126"/>
        <v>Included</v>
      </c>
      <c r="L431" s="953">
        <f t="shared" si="127"/>
        <v>0</v>
      </c>
      <c r="M431" s="847">
        <f t="shared" si="128"/>
        <v>0</v>
      </c>
      <c r="N431" s="847">
        <f t="shared" si="129"/>
        <v>0</v>
      </c>
    </row>
    <row r="432" spans="1:14" ht="32.25">
      <c r="A432" s="952">
        <v>995424</v>
      </c>
      <c r="B432" s="809"/>
      <c r="C432" s="831">
        <v>0.18</v>
      </c>
      <c r="D432" s="828" t="s">
        <v>205</v>
      </c>
      <c r="E432" s="963">
        <v>137</v>
      </c>
      <c r="F432" s="1078" t="s">
        <v>1066</v>
      </c>
      <c r="G432" s="964" t="s">
        <v>1067</v>
      </c>
      <c r="H432" s="893" t="s">
        <v>468</v>
      </c>
      <c r="I432" s="1025">
        <v>6</v>
      </c>
      <c r="J432" s="1036"/>
      <c r="K432" s="1038" t="str">
        <f t="shared" si="126"/>
        <v>Included</v>
      </c>
      <c r="L432" s="953">
        <f t="shared" si="127"/>
        <v>0</v>
      </c>
      <c r="M432" s="847">
        <f t="shared" si="128"/>
        <v>0</v>
      </c>
      <c r="N432" s="847">
        <f t="shared" si="129"/>
        <v>0</v>
      </c>
    </row>
    <row r="433" spans="1:14" ht="32.25">
      <c r="A433" s="952">
        <v>995424</v>
      </c>
      <c r="B433" s="809"/>
      <c r="C433" s="831">
        <v>0.18</v>
      </c>
      <c r="D433" s="828" t="s">
        <v>205</v>
      </c>
      <c r="E433" s="963">
        <v>138</v>
      </c>
      <c r="F433" s="1074" t="s">
        <v>407</v>
      </c>
      <c r="G433" s="965" t="s">
        <v>1275</v>
      </c>
      <c r="H433" s="893" t="s">
        <v>224</v>
      </c>
      <c r="I433" s="1025">
        <v>4</v>
      </c>
      <c r="J433" s="1036"/>
      <c r="K433" s="1038" t="str">
        <f t="shared" si="126"/>
        <v>Included</v>
      </c>
      <c r="L433" s="953">
        <f t="shared" si="127"/>
        <v>0</v>
      </c>
      <c r="M433" s="847">
        <f t="shared" si="128"/>
        <v>0</v>
      </c>
      <c r="N433" s="847">
        <f t="shared" si="129"/>
        <v>0</v>
      </c>
    </row>
    <row r="434" spans="1:14" ht="32.25">
      <c r="A434" s="952">
        <v>995424</v>
      </c>
      <c r="B434" s="809"/>
      <c r="C434" s="831">
        <v>0.18</v>
      </c>
      <c r="D434" s="828" t="s">
        <v>205</v>
      </c>
      <c r="E434" s="963">
        <v>139</v>
      </c>
      <c r="F434" s="1074" t="s">
        <v>399</v>
      </c>
      <c r="G434" s="965" t="s">
        <v>400</v>
      </c>
      <c r="H434" s="893" t="s">
        <v>224</v>
      </c>
      <c r="I434" s="1025">
        <v>8</v>
      </c>
      <c r="J434" s="1036"/>
      <c r="K434" s="1038" t="str">
        <f t="shared" si="126"/>
        <v>Included</v>
      </c>
      <c r="L434" s="953">
        <f t="shared" si="127"/>
        <v>0</v>
      </c>
      <c r="M434" s="847">
        <f t="shared" si="128"/>
        <v>0</v>
      </c>
      <c r="N434" s="847">
        <f t="shared" si="129"/>
        <v>0</v>
      </c>
    </row>
    <row r="435" spans="1:14" ht="63.75">
      <c r="A435" s="952">
        <v>995424</v>
      </c>
      <c r="B435" s="809"/>
      <c r="C435" s="831">
        <v>0.18</v>
      </c>
      <c r="D435" s="828" t="s">
        <v>205</v>
      </c>
      <c r="E435" s="963">
        <v>140</v>
      </c>
      <c r="F435" s="1074">
        <v>18.48</v>
      </c>
      <c r="G435" s="965" t="s">
        <v>1069</v>
      </c>
      <c r="H435" s="893" t="s">
        <v>343</v>
      </c>
      <c r="I435" s="1025">
        <f>1000+2000</f>
        <v>3000</v>
      </c>
      <c r="J435" s="1036"/>
      <c r="K435" s="1038" t="str">
        <f t="shared" si="126"/>
        <v>Included</v>
      </c>
      <c r="L435" s="953">
        <f t="shared" si="127"/>
        <v>0</v>
      </c>
      <c r="M435" s="847">
        <f t="shared" si="128"/>
        <v>0</v>
      </c>
      <c r="N435" s="847">
        <f t="shared" si="129"/>
        <v>0</v>
      </c>
    </row>
    <row r="436" spans="1:14" ht="48">
      <c r="A436" s="952">
        <v>995424</v>
      </c>
      <c r="B436" s="809"/>
      <c r="C436" s="831">
        <v>0.18</v>
      </c>
      <c r="D436" s="828" t="s">
        <v>205</v>
      </c>
      <c r="E436" s="963">
        <v>141</v>
      </c>
      <c r="F436" s="1074">
        <v>18.510000000000002</v>
      </c>
      <c r="G436" s="965" t="s">
        <v>1070</v>
      </c>
      <c r="H436" s="893" t="s">
        <v>224</v>
      </c>
      <c r="I436" s="1025">
        <f>4+2</f>
        <v>6</v>
      </c>
      <c r="J436" s="1036"/>
      <c r="K436" s="1038" t="str">
        <f t="shared" si="126"/>
        <v>Included</v>
      </c>
      <c r="L436" s="953">
        <f t="shared" si="127"/>
        <v>0</v>
      </c>
      <c r="M436" s="847">
        <f t="shared" si="128"/>
        <v>0</v>
      </c>
      <c r="N436" s="847">
        <f t="shared" si="129"/>
        <v>0</v>
      </c>
    </row>
    <row r="437" spans="1:14" ht="48">
      <c r="A437" s="952">
        <v>995424</v>
      </c>
      <c r="B437" s="809"/>
      <c r="C437" s="831">
        <v>0.18</v>
      </c>
      <c r="D437" s="828" t="s">
        <v>205</v>
      </c>
      <c r="E437" s="963">
        <v>142</v>
      </c>
      <c r="F437" s="1074">
        <v>18.53</v>
      </c>
      <c r="G437" s="965" t="s">
        <v>1071</v>
      </c>
      <c r="H437" s="893" t="s">
        <v>224</v>
      </c>
      <c r="I437" s="1025">
        <f>16+25</f>
        <v>41</v>
      </c>
      <c r="J437" s="1036"/>
      <c r="K437" s="1038" t="str">
        <f t="shared" si="126"/>
        <v>Included</v>
      </c>
      <c r="L437" s="953">
        <f t="shared" si="127"/>
        <v>0</v>
      </c>
      <c r="M437" s="847">
        <f t="shared" si="128"/>
        <v>0</v>
      </c>
      <c r="N437" s="847">
        <f t="shared" si="129"/>
        <v>0</v>
      </c>
    </row>
    <row r="438" spans="1:14" ht="79.5">
      <c r="A438" s="952"/>
      <c r="B438" s="809"/>
      <c r="C438" s="831"/>
      <c r="D438" s="828"/>
      <c r="E438" s="963">
        <v>143</v>
      </c>
      <c r="F438" s="1074">
        <v>18.7</v>
      </c>
      <c r="G438" s="965" t="s">
        <v>1072</v>
      </c>
      <c r="H438" s="893"/>
      <c r="I438" s="1025">
        <v>0</v>
      </c>
      <c r="J438" s="1036"/>
      <c r="K438" s="1038"/>
      <c r="L438" s="953"/>
      <c r="M438" s="847">
        <f t="shared" si="128"/>
        <v>0</v>
      </c>
      <c r="N438" s="847">
        <f t="shared" si="129"/>
        <v>0</v>
      </c>
    </row>
    <row r="439" spans="1:14">
      <c r="A439" s="952">
        <v>995424</v>
      </c>
      <c r="B439" s="809"/>
      <c r="C439" s="831">
        <v>0.18</v>
      </c>
      <c r="D439" s="828" t="s">
        <v>205</v>
      </c>
      <c r="E439" s="963">
        <v>144</v>
      </c>
      <c r="F439" s="1074" t="s">
        <v>1073</v>
      </c>
      <c r="G439" s="965" t="s">
        <v>1055</v>
      </c>
      <c r="H439" s="893" t="s">
        <v>246</v>
      </c>
      <c r="I439" s="1025">
        <f>10+15</f>
        <v>25</v>
      </c>
      <c r="J439" s="1036"/>
      <c r="K439" s="1038" t="str">
        <f t="shared" si="126"/>
        <v>Included</v>
      </c>
      <c r="L439" s="953">
        <f t="shared" si="127"/>
        <v>0</v>
      </c>
      <c r="M439" s="847">
        <f t="shared" si="128"/>
        <v>0</v>
      </c>
      <c r="N439" s="847">
        <f t="shared" si="129"/>
        <v>0</v>
      </c>
    </row>
    <row r="440" spans="1:14">
      <c r="A440" s="952">
        <v>995424</v>
      </c>
      <c r="B440" s="809"/>
      <c r="C440" s="831">
        <v>0.18</v>
      </c>
      <c r="D440" s="828" t="s">
        <v>205</v>
      </c>
      <c r="E440" s="963">
        <v>145</v>
      </c>
      <c r="F440" s="1084" t="s">
        <v>1074</v>
      </c>
      <c r="G440" s="965" t="s">
        <v>1056</v>
      </c>
      <c r="H440" s="893" t="s">
        <v>246</v>
      </c>
      <c r="I440" s="1025">
        <f>15+25</f>
        <v>40</v>
      </c>
      <c r="J440" s="1036"/>
      <c r="K440" s="1038" t="str">
        <f t="shared" si="126"/>
        <v>Included</v>
      </c>
      <c r="L440" s="953">
        <f t="shared" si="127"/>
        <v>0</v>
      </c>
      <c r="M440" s="847">
        <f t="shared" si="128"/>
        <v>0</v>
      </c>
      <c r="N440" s="847">
        <f t="shared" si="129"/>
        <v>0</v>
      </c>
    </row>
    <row r="441" spans="1:14">
      <c r="A441" s="952">
        <v>995424</v>
      </c>
      <c r="B441" s="809"/>
      <c r="C441" s="831">
        <v>0.18</v>
      </c>
      <c r="D441" s="828" t="s">
        <v>205</v>
      </c>
      <c r="E441" s="963">
        <v>146</v>
      </c>
      <c r="F441" s="1074" t="s">
        <v>1075</v>
      </c>
      <c r="G441" s="965" t="s">
        <v>1076</v>
      </c>
      <c r="H441" s="893" t="s">
        <v>246</v>
      </c>
      <c r="I441" s="1025">
        <f>75+45</f>
        <v>120</v>
      </c>
      <c r="J441" s="1036"/>
      <c r="K441" s="1038" t="str">
        <f t="shared" si="126"/>
        <v>Included</v>
      </c>
      <c r="L441" s="953">
        <f t="shared" si="127"/>
        <v>0</v>
      </c>
      <c r="M441" s="847">
        <f t="shared" si="128"/>
        <v>0</v>
      </c>
      <c r="N441" s="847">
        <f t="shared" si="129"/>
        <v>0</v>
      </c>
    </row>
    <row r="442" spans="1:14">
      <c r="A442" s="952">
        <v>995424</v>
      </c>
      <c r="B442" s="809"/>
      <c r="C442" s="831">
        <v>0.18</v>
      </c>
      <c r="D442" s="828" t="s">
        <v>205</v>
      </c>
      <c r="E442" s="963">
        <v>147</v>
      </c>
      <c r="F442" s="1074" t="s">
        <v>1077</v>
      </c>
      <c r="G442" s="965" t="s">
        <v>1078</v>
      </c>
      <c r="H442" s="893" t="s">
        <v>246</v>
      </c>
      <c r="I442" s="1025">
        <f>35+15</f>
        <v>50</v>
      </c>
      <c r="J442" s="1036"/>
      <c r="K442" s="1038" t="str">
        <f t="shared" si="126"/>
        <v>Included</v>
      </c>
      <c r="L442" s="953">
        <f t="shared" si="127"/>
        <v>0</v>
      </c>
      <c r="M442" s="847">
        <f t="shared" si="128"/>
        <v>0</v>
      </c>
      <c r="N442" s="847">
        <f t="shared" si="129"/>
        <v>0</v>
      </c>
    </row>
    <row r="443" spans="1:14">
      <c r="A443" s="952">
        <v>995424</v>
      </c>
      <c r="B443" s="809"/>
      <c r="C443" s="831">
        <v>0.18</v>
      </c>
      <c r="D443" s="828" t="s">
        <v>205</v>
      </c>
      <c r="E443" s="963">
        <v>148</v>
      </c>
      <c r="F443" s="1074" t="s">
        <v>1079</v>
      </c>
      <c r="G443" s="965" t="s">
        <v>1080</v>
      </c>
      <c r="H443" s="893" t="s">
        <v>246</v>
      </c>
      <c r="I443" s="1025">
        <f>60+15</f>
        <v>75</v>
      </c>
      <c r="J443" s="1036"/>
      <c r="K443" s="1038" t="str">
        <f t="shared" si="126"/>
        <v>Included</v>
      </c>
      <c r="L443" s="953">
        <f t="shared" si="127"/>
        <v>0</v>
      </c>
      <c r="M443" s="847">
        <f t="shared" si="128"/>
        <v>0</v>
      </c>
      <c r="N443" s="847">
        <f t="shared" si="129"/>
        <v>0</v>
      </c>
    </row>
    <row r="444" spans="1:14" ht="111">
      <c r="A444" s="952"/>
      <c r="B444" s="809"/>
      <c r="C444" s="831"/>
      <c r="D444" s="828"/>
      <c r="E444" s="963">
        <v>149</v>
      </c>
      <c r="F444" s="1074">
        <v>18.8</v>
      </c>
      <c r="G444" s="965" t="s">
        <v>1081</v>
      </c>
      <c r="H444" s="893"/>
      <c r="I444" s="1025"/>
      <c r="J444" s="1036"/>
      <c r="K444" s="1038"/>
      <c r="L444" s="953"/>
      <c r="M444" s="847">
        <f t="shared" si="128"/>
        <v>0</v>
      </c>
      <c r="N444" s="847">
        <f t="shared" si="129"/>
        <v>0</v>
      </c>
    </row>
    <row r="445" spans="1:14">
      <c r="A445" s="952">
        <v>995424</v>
      </c>
      <c r="B445" s="809"/>
      <c r="C445" s="831">
        <v>0.18</v>
      </c>
      <c r="D445" s="828" t="s">
        <v>205</v>
      </c>
      <c r="E445" s="963" t="s">
        <v>924</v>
      </c>
      <c r="F445" s="1074" t="s">
        <v>1054</v>
      </c>
      <c r="G445" s="965" t="s">
        <v>1055</v>
      </c>
      <c r="H445" s="893" t="s">
        <v>1162</v>
      </c>
      <c r="I445" s="1025">
        <v>10</v>
      </c>
      <c r="J445" s="1036"/>
      <c r="K445" s="1038" t="str">
        <f t="shared" si="126"/>
        <v>Included</v>
      </c>
      <c r="L445" s="953">
        <f t="shared" si="127"/>
        <v>0</v>
      </c>
      <c r="M445" s="847">
        <f t="shared" si="128"/>
        <v>0</v>
      </c>
      <c r="N445" s="847">
        <f t="shared" si="129"/>
        <v>0</v>
      </c>
    </row>
    <row r="446" spans="1:14">
      <c r="A446" s="952">
        <v>995424</v>
      </c>
      <c r="B446" s="809"/>
      <c r="C446" s="831">
        <v>0.18</v>
      </c>
      <c r="D446" s="828" t="s">
        <v>205</v>
      </c>
      <c r="E446" s="963" t="s">
        <v>927</v>
      </c>
      <c r="F446" s="1074" t="s">
        <v>328</v>
      </c>
      <c r="G446" s="965" t="s">
        <v>1056</v>
      </c>
      <c r="H446" s="893" t="s">
        <v>1162</v>
      </c>
      <c r="I446" s="1025">
        <v>50</v>
      </c>
      <c r="J446" s="1036"/>
      <c r="K446" s="1038" t="str">
        <f t="shared" si="126"/>
        <v>Included</v>
      </c>
      <c r="L446" s="953">
        <f t="shared" si="127"/>
        <v>0</v>
      </c>
      <c r="M446" s="847">
        <f t="shared" si="128"/>
        <v>0</v>
      </c>
      <c r="N446" s="847">
        <f t="shared" si="129"/>
        <v>0</v>
      </c>
    </row>
    <row r="447" spans="1:14">
      <c r="A447" s="952">
        <v>995424</v>
      </c>
      <c r="B447" s="809"/>
      <c r="C447" s="831">
        <v>0.18</v>
      </c>
      <c r="D447" s="828" t="s">
        <v>205</v>
      </c>
      <c r="E447" s="963" t="s">
        <v>997</v>
      </c>
      <c r="F447" s="1074" t="s">
        <v>330</v>
      </c>
      <c r="G447" s="965" t="s">
        <v>1076</v>
      </c>
      <c r="H447" s="893" t="s">
        <v>1162</v>
      </c>
      <c r="I447" s="1025">
        <v>10</v>
      </c>
      <c r="J447" s="1036"/>
      <c r="K447" s="1038" t="str">
        <f t="shared" ref="K447:K503" si="130">IF(J447=0, "Included", IF(ISERROR(I447*J447), J447, I447*J447))</f>
        <v>Included</v>
      </c>
      <c r="L447" s="953">
        <f t="shared" ref="L447:L503" si="131">N447</f>
        <v>0</v>
      </c>
      <c r="M447" s="847">
        <f t="shared" si="128"/>
        <v>0</v>
      </c>
      <c r="N447" s="847">
        <f t="shared" si="129"/>
        <v>0</v>
      </c>
    </row>
    <row r="448" spans="1:14" ht="32.25">
      <c r="A448" s="952">
        <v>995424</v>
      </c>
      <c r="B448" s="809"/>
      <c r="C448" s="831">
        <v>0.18</v>
      </c>
      <c r="D448" s="828" t="s">
        <v>205</v>
      </c>
      <c r="E448" s="963">
        <v>150</v>
      </c>
      <c r="F448" s="1074" t="s">
        <v>340</v>
      </c>
      <c r="G448" s="965" t="s">
        <v>1082</v>
      </c>
      <c r="H448" s="893" t="s">
        <v>224</v>
      </c>
      <c r="I448" s="1025">
        <v>10</v>
      </c>
      <c r="J448" s="1036"/>
      <c r="K448" s="1038" t="str">
        <f t="shared" si="130"/>
        <v>Included</v>
      </c>
      <c r="L448" s="953">
        <f t="shared" si="131"/>
        <v>0</v>
      </c>
      <c r="M448" s="847">
        <f t="shared" si="128"/>
        <v>0</v>
      </c>
      <c r="N448" s="847">
        <f t="shared" si="129"/>
        <v>0</v>
      </c>
    </row>
    <row r="449" spans="1:14">
      <c r="A449" s="952">
        <v>995424</v>
      </c>
      <c r="B449" s="809"/>
      <c r="C449" s="831">
        <v>0.18</v>
      </c>
      <c r="D449" s="828" t="s">
        <v>205</v>
      </c>
      <c r="E449" s="963">
        <v>151</v>
      </c>
      <c r="F449" s="1079" t="s">
        <v>1083</v>
      </c>
      <c r="G449" s="964" t="s">
        <v>1084</v>
      </c>
      <c r="H449" s="893" t="s">
        <v>468</v>
      </c>
      <c r="I449" s="1025">
        <v>4</v>
      </c>
      <c r="J449" s="1036"/>
      <c r="K449" s="1038" t="str">
        <f t="shared" si="130"/>
        <v>Included</v>
      </c>
      <c r="L449" s="953">
        <f t="shared" si="131"/>
        <v>0</v>
      </c>
      <c r="M449" s="847">
        <f t="shared" si="128"/>
        <v>0</v>
      </c>
      <c r="N449" s="847">
        <f t="shared" si="129"/>
        <v>0</v>
      </c>
    </row>
    <row r="450" spans="1:14" ht="111">
      <c r="A450" s="952">
        <v>995424</v>
      </c>
      <c r="B450" s="809"/>
      <c r="C450" s="831">
        <v>0.18</v>
      </c>
      <c r="D450" s="828" t="s">
        <v>205</v>
      </c>
      <c r="E450" s="963">
        <v>152</v>
      </c>
      <c r="F450" s="1078" t="s">
        <v>1085</v>
      </c>
      <c r="G450" s="964" t="s">
        <v>1086</v>
      </c>
      <c r="H450" s="893" t="s">
        <v>468</v>
      </c>
      <c r="I450" s="1026">
        <v>2</v>
      </c>
      <c r="J450" s="1036"/>
      <c r="K450" s="1038" t="str">
        <f t="shared" si="130"/>
        <v>Included</v>
      </c>
      <c r="L450" s="953">
        <f t="shared" si="131"/>
        <v>0</v>
      </c>
      <c r="M450" s="847">
        <f t="shared" si="128"/>
        <v>0</v>
      </c>
      <c r="N450" s="847">
        <f t="shared" si="129"/>
        <v>0</v>
      </c>
    </row>
    <row r="451" spans="1:14" ht="32.25">
      <c r="A451" s="952">
        <v>995478</v>
      </c>
      <c r="B451" s="809"/>
      <c r="C451" s="831">
        <v>0.18</v>
      </c>
      <c r="D451" s="828" t="s">
        <v>205</v>
      </c>
      <c r="E451" s="963">
        <v>153</v>
      </c>
      <c r="F451" s="1074" t="s">
        <v>1087</v>
      </c>
      <c r="G451" s="965" t="s">
        <v>1088</v>
      </c>
      <c r="H451" s="893" t="s">
        <v>224</v>
      </c>
      <c r="I451" s="1025">
        <v>20</v>
      </c>
      <c r="J451" s="1036"/>
      <c r="K451" s="1038" t="str">
        <f t="shared" si="130"/>
        <v>Included</v>
      </c>
      <c r="L451" s="953">
        <f t="shared" si="131"/>
        <v>0</v>
      </c>
      <c r="M451" s="847">
        <f t="shared" si="128"/>
        <v>0</v>
      </c>
      <c r="N451" s="847">
        <f t="shared" si="129"/>
        <v>0</v>
      </c>
    </row>
    <row r="452" spans="1:14" ht="32.25">
      <c r="A452" s="952">
        <v>995424</v>
      </c>
      <c r="B452" s="809"/>
      <c r="C452" s="831">
        <v>0.18</v>
      </c>
      <c r="D452" s="828" t="s">
        <v>205</v>
      </c>
      <c r="E452" s="963">
        <v>154</v>
      </c>
      <c r="F452" s="1074" t="s">
        <v>1089</v>
      </c>
      <c r="G452" s="964" t="s">
        <v>1090</v>
      </c>
      <c r="H452" s="893" t="s">
        <v>468</v>
      </c>
      <c r="I452" s="1025">
        <v>4</v>
      </c>
      <c r="J452" s="1036"/>
      <c r="K452" s="1038" t="str">
        <f t="shared" si="130"/>
        <v>Included</v>
      </c>
      <c r="L452" s="953">
        <f t="shared" si="131"/>
        <v>0</v>
      </c>
      <c r="M452" s="847">
        <f t="shared" si="128"/>
        <v>0</v>
      </c>
      <c r="N452" s="847">
        <f t="shared" si="129"/>
        <v>0</v>
      </c>
    </row>
    <row r="453" spans="1:14" ht="48">
      <c r="A453" s="952">
        <v>995424</v>
      </c>
      <c r="B453" s="809"/>
      <c r="C453" s="831">
        <v>0.18</v>
      </c>
      <c r="D453" s="828" t="s">
        <v>205</v>
      </c>
      <c r="E453" s="963">
        <v>155</v>
      </c>
      <c r="F453" s="1074" t="s">
        <v>1091</v>
      </c>
      <c r="G453" s="965" t="s">
        <v>1092</v>
      </c>
      <c r="H453" s="893" t="s">
        <v>246</v>
      </c>
      <c r="I453" s="1025">
        <v>10</v>
      </c>
      <c r="J453" s="1036"/>
      <c r="K453" s="1038" t="str">
        <f t="shared" si="130"/>
        <v>Included</v>
      </c>
      <c r="L453" s="953">
        <f t="shared" si="131"/>
        <v>0</v>
      </c>
      <c r="M453" s="847">
        <f t="shared" si="128"/>
        <v>0</v>
      </c>
      <c r="N453" s="847">
        <f t="shared" si="129"/>
        <v>0</v>
      </c>
    </row>
    <row r="454" spans="1:14" ht="79.5">
      <c r="A454" s="952">
        <v>995424</v>
      </c>
      <c r="B454" s="809"/>
      <c r="C454" s="831">
        <v>0.18</v>
      </c>
      <c r="D454" s="828" t="s">
        <v>205</v>
      </c>
      <c r="E454" s="963">
        <v>156</v>
      </c>
      <c r="F454" s="1074" t="s">
        <v>356</v>
      </c>
      <c r="G454" s="965" t="s">
        <v>1093</v>
      </c>
      <c r="H454" s="893" t="s">
        <v>224</v>
      </c>
      <c r="I454" s="1025">
        <v>5</v>
      </c>
      <c r="J454" s="1036"/>
      <c r="K454" s="1038" t="str">
        <f t="shared" si="130"/>
        <v>Included</v>
      </c>
      <c r="L454" s="953">
        <f t="shared" si="131"/>
        <v>0</v>
      </c>
      <c r="M454" s="847">
        <f t="shared" si="128"/>
        <v>0</v>
      </c>
      <c r="N454" s="847">
        <f t="shared" si="129"/>
        <v>0</v>
      </c>
    </row>
    <row r="455" spans="1:14" ht="79.5">
      <c r="A455" s="952">
        <v>995424</v>
      </c>
      <c r="B455" s="809"/>
      <c r="C455" s="831">
        <v>0.18</v>
      </c>
      <c r="D455" s="828" t="s">
        <v>205</v>
      </c>
      <c r="E455" s="963">
        <v>157</v>
      </c>
      <c r="F455" s="1078" t="s">
        <v>1094</v>
      </c>
      <c r="G455" s="964" t="s">
        <v>1095</v>
      </c>
      <c r="H455" s="974" t="s">
        <v>468</v>
      </c>
      <c r="I455" s="1026">
        <v>2</v>
      </c>
      <c r="J455" s="1036"/>
      <c r="K455" s="1038" t="str">
        <f t="shared" si="130"/>
        <v>Included</v>
      </c>
      <c r="L455" s="953">
        <f t="shared" si="131"/>
        <v>0</v>
      </c>
      <c r="M455" s="847">
        <f t="shared" si="128"/>
        <v>0</v>
      </c>
      <c r="N455" s="847">
        <f t="shared" si="129"/>
        <v>0</v>
      </c>
    </row>
    <row r="456" spans="1:14" ht="48">
      <c r="A456" s="952">
        <v>995424</v>
      </c>
      <c r="B456" s="809"/>
      <c r="C456" s="831">
        <v>0.18</v>
      </c>
      <c r="D456" s="828" t="s">
        <v>205</v>
      </c>
      <c r="E456" s="963">
        <v>158</v>
      </c>
      <c r="F456" s="1074" t="s">
        <v>1096</v>
      </c>
      <c r="G456" s="965" t="s">
        <v>1097</v>
      </c>
      <c r="H456" s="893" t="s">
        <v>1165</v>
      </c>
      <c r="I456" s="1025">
        <v>5</v>
      </c>
      <c r="J456" s="1036"/>
      <c r="K456" s="1038" t="str">
        <f t="shared" si="130"/>
        <v>Included</v>
      </c>
      <c r="L456" s="953">
        <f t="shared" si="131"/>
        <v>0</v>
      </c>
      <c r="M456" s="847">
        <f t="shared" si="128"/>
        <v>0</v>
      </c>
      <c r="N456" s="847">
        <f t="shared" si="129"/>
        <v>0</v>
      </c>
    </row>
    <row r="457" spans="1:14" ht="174">
      <c r="A457" s="952">
        <v>995424</v>
      </c>
      <c r="B457" s="809"/>
      <c r="C457" s="831">
        <v>0.18</v>
      </c>
      <c r="D457" s="828" t="s">
        <v>205</v>
      </c>
      <c r="E457" s="963">
        <v>159</v>
      </c>
      <c r="F457" s="1074" t="s">
        <v>358</v>
      </c>
      <c r="G457" s="965" t="s">
        <v>1098</v>
      </c>
      <c r="H457" s="893" t="s">
        <v>224</v>
      </c>
      <c r="I457" s="1025">
        <f>4+1</f>
        <v>5</v>
      </c>
      <c r="J457" s="1036"/>
      <c r="K457" s="1038" t="str">
        <f t="shared" si="130"/>
        <v>Included</v>
      </c>
      <c r="L457" s="953">
        <f t="shared" si="131"/>
        <v>0</v>
      </c>
      <c r="M457" s="847">
        <f t="shared" si="128"/>
        <v>0</v>
      </c>
      <c r="N457" s="847">
        <f t="shared" si="129"/>
        <v>0</v>
      </c>
    </row>
    <row r="458" spans="1:14" ht="32.25">
      <c r="A458" s="952">
        <v>995424</v>
      </c>
      <c r="B458" s="809"/>
      <c r="C458" s="831">
        <v>0.18</v>
      </c>
      <c r="D458" s="828" t="s">
        <v>205</v>
      </c>
      <c r="E458" s="963">
        <v>160</v>
      </c>
      <c r="F458" s="1074" t="s">
        <v>360</v>
      </c>
      <c r="G458" s="965" t="s">
        <v>1099</v>
      </c>
      <c r="H458" s="893" t="s">
        <v>1162</v>
      </c>
      <c r="I458" s="1025">
        <v>7</v>
      </c>
      <c r="J458" s="1036"/>
      <c r="K458" s="1038" t="str">
        <f t="shared" si="130"/>
        <v>Included</v>
      </c>
      <c r="L458" s="953">
        <f t="shared" si="131"/>
        <v>0</v>
      </c>
      <c r="M458" s="847">
        <f t="shared" si="128"/>
        <v>0</v>
      </c>
      <c r="N458" s="847">
        <f t="shared" si="129"/>
        <v>0</v>
      </c>
    </row>
    <row r="459" spans="1:14" ht="48">
      <c r="A459" s="952">
        <v>995424</v>
      </c>
      <c r="B459" s="809"/>
      <c r="C459" s="831">
        <v>0.18</v>
      </c>
      <c r="D459" s="828" t="s">
        <v>205</v>
      </c>
      <c r="E459" s="963">
        <v>161</v>
      </c>
      <c r="F459" s="1078" t="s">
        <v>1100</v>
      </c>
      <c r="G459" s="964" t="s">
        <v>1101</v>
      </c>
      <c r="H459" s="974" t="s">
        <v>468</v>
      </c>
      <c r="I459" s="1026">
        <v>3</v>
      </c>
      <c r="J459" s="1036"/>
      <c r="K459" s="1038" t="str">
        <f t="shared" si="130"/>
        <v>Included</v>
      </c>
      <c r="L459" s="953">
        <f t="shared" si="131"/>
        <v>0</v>
      </c>
      <c r="M459" s="847">
        <f t="shared" si="128"/>
        <v>0</v>
      </c>
      <c r="N459" s="847">
        <f t="shared" si="129"/>
        <v>0</v>
      </c>
    </row>
    <row r="460" spans="1:14" ht="32.25">
      <c r="A460" s="952">
        <v>995424</v>
      </c>
      <c r="B460" s="809"/>
      <c r="C460" s="831">
        <v>0.18</v>
      </c>
      <c r="D460" s="828" t="s">
        <v>205</v>
      </c>
      <c r="E460" s="963">
        <v>162</v>
      </c>
      <c r="F460" s="1074" t="s">
        <v>1102</v>
      </c>
      <c r="G460" s="965" t="s">
        <v>1103</v>
      </c>
      <c r="H460" s="893" t="s">
        <v>224</v>
      </c>
      <c r="I460" s="1025">
        <v>1</v>
      </c>
      <c r="J460" s="1036"/>
      <c r="K460" s="1038" t="str">
        <f t="shared" si="130"/>
        <v>Included</v>
      </c>
      <c r="L460" s="953">
        <f t="shared" si="131"/>
        <v>0</v>
      </c>
      <c r="M460" s="847">
        <f t="shared" si="128"/>
        <v>0</v>
      </c>
      <c r="N460" s="847">
        <f t="shared" si="129"/>
        <v>0</v>
      </c>
    </row>
    <row r="461" spans="1:14" ht="79.5">
      <c r="A461" s="952">
        <v>995424</v>
      </c>
      <c r="B461" s="809"/>
      <c r="C461" s="831">
        <v>0.18</v>
      </c>
      <c r="D461" s="828" t="s">
        <v>205</v>
      </c>
      <c r="E461" s="963">
        <v>163</v>
      </c>
      <c r="F461" s="1074" t="s">
        <v>1104</v>
      </c>
      <c r="G461" s="965" t="s">
        <v>1105</v>
      </c>
      <c r="H461" s="893" t="s">
        <v>224</v>
      </c>
      <c r="I461" s="1025">
        <v>2</v>
      </c>
      <c r="J461" s="1036"/>
      <c r="K461" s="1038" t="str">
        <f t="shared" si="130"/>
        <v>Included</v>
      </c>
      <c r="L461" s="953">
        <f t="shared" si="131"/>
        <v>0</v>
      </c>
      <c r="M461" s="847">
        <f t="shared" si="128"/>
        <v>0</v>
      </c>
      <c r="N461" s="847">
        <f t="shared" si="129"/>
        <v>0</v>
      </c>
    </row>
    <row r="462" spans="1:14" ht="63.75">
      <c r="A462" s="952">
        <v>995462</v>
      </c>
      <c r="B462" s="809"/>
      <c r="C462" s="831">
        <v>0.18</v>
      </c>
      <c r="D462" s="828" t="s">
        <v>205</v>
      </c>
      <c r="E462" s="963">
        <v>164</v>
      </c>
      <c r="F462" s="1074" t="s">
        <v>1106</v>
      </c>
      <c r="G462" s="965" t="s">
        <v>1107</v>
      </c>
      <c r="H462" s="971" t="s">
        <v>224</v>
      </c>
      <c r="I462" s="1025">
        <v>1</v>
      </c>
      <c r="J462" s="1036"/>
      <c r="K462" s="1038" t="str">
        <f t="shared" si="130"/>
        <v>Included</v>
      </c>
      <c r="L462" s="953">
        <f t="shared" si="131"/>
        <v>0</v>
      </c>
      <c r="M462" s="847">
        <f t="shared" si="128"/>
        <v>0</v>
      </c>
      <c r="N462" s="847">
        <f t="shared" si="129"/>
        <v>0</v>
      </c>
    </row>
    <row r="463" spans="1:14" ht="174">
      <c r="A463" s="952">
        <v>995476</v>
      </c>
      <c r="B463" s="809"/>
      <c r="C463" s="831">
        <v>0.18</v>
      </c>
      <c r="D463" s="828" t="s">
        <v>205</v>
      </c>
      <c r="E463" s="963">
        <v>165</v>
      </c>
      <c r="F463" s="1078" t="s">
        <v>1108</v>
      </c>
      <c r="G463" s="964" t="s">
        <v>1109</v>
      </c>
      <c r="H463" s="893" t="s">
        <v>262</v>
      </c>
      <c r="I463" s="1025">
        <v>126</v>
      </c>
      <c r="J463" s="1036"/>
      <c r="K463" s="1038" t="str">
        <f t="shared" si="130"/>
        <v>Included</v>
      </c>
      <c r="L463" s="953">
        <f t="shared" si="131"/>
        <v>0</v>
      </c>
      <c r="M463" s="847">
        <f t="shared" ref="M463:M526" si="132">IF(K463="Included",0,K463)</f>
        <v>0</v>
      </c>
      <c r="N463" s="847">
        <f t="shared" ref="N463:N526" si="133">IF(C463="confirmed",(M463*B463),(M463*C463))</f>
        <v>0</v>
      </c>
    </row>
    <row r="464" spans="1:14" ht="205.5">
      <c r="A464" s="952">
        <v>995476</v>
      </c>
      <c r="B464" s="809"/>
      <c r="C464" s="831">
        <v>0.18</v>
      </c>
      <c r="D464" s="828" t="s">
        <v>205</v>
      </c>
      <c r="E464" s="963">
        <v>166</v>
      </c>
      <c r="F464" s="1078" t="s">
        <v>1110</v>
      </c>
      <c r="G464" s="964" t="s">
        <v>1276</v>
      </c>
      <c r="H464" s="893" t="s">
        <v>262</v>
      </c>
      <c r="I464" s="1025">
        <v>16</v>
      </c>
      <c r="J464" s="1036"/>
      <c r="K464" s="1038" t="str">
        <f t="shared" si="130"/>
        <v>Included</v>
      </c>
      <c r="L464" s="953">
        <f t="shared" si="131"/>
        <v>0</v>
      </c>
      <c r="M464" s="847">
        <f t="shared" si="132"/>
        <v>0</v>
      </c>
      <c r="N464" s="847">
        <f t="shared" si="133"/>
        <v>0</v>
      </c>
    </row>
    <row r="465" spans="1:14" ht="95.25">
      <c r="A465" s="952">
        <v>995476</v>
      </c>
      <c r="B465" s="809"/>
      <c r="C465" s="831">
        <v>0.18</v>
      </c>
      <c r="D465" s="828" t="s">
        <v>205</v>
      </c>
      <c r="E465" s="963">
        <v>167</v>
      </c>
      <c r="F465" s="1078" t="s">
        <v>1112</v>
      </c>
      <c r="G465" s="964" t="s">
        <v>1113</v>
      </c>
      <c r="H465" s="893" t="s">
        <v>207</v>
      </c>
      <c r="I465" s="1025">
        <v>65</v>
      </c>
      <c r="J465" s="1036"/>
      <c r="K465" s="1038" t="str">
        <f t="shared" si="130"/>
        <v>Included</v>
      </c>
      <c r="L465" s="953">
        <f t="shared" si="131"/>
        <v>0</v>
      </c>
      <c r="M465" s="847">
        <f t="shared" si="132"/>
        <v>0</v>
      </c>
      <c r="N465" s="847">
        <f t="shared" si="133"/>
        <v>0</v>
      </c>
    </row>
    <row r="466" spans="1:14" ht="63.75">
      <c r="A466" s="952">
        <v>995476</v>
      </c>
      <c r="B466" s="809"/>
      <c r="C466" s="831">
        <v>0.18</v>
      </c>
      <c r="D466" s="828" t="s">
        <v>205</v>
      </c>
      <c r="E466" s="963">
        <v>168</v>
      </c>
      <c r="F466" s="1078" t="s">
        <v>244</v>
      </c>
      <c r="G466" s="964" t="s">
        <v>1114</v>
      </c>
      <c r="H466" s="893" t="s">
        <v>246</v>
      </c>
      <c r="I466" s="1025">
        <v>22</v>
      </c>
      <c r="J466" s="1036"/>
      <c r="K466" s="1038" t="str">
        <f t="shared" si="130"/>
        <v>Included</v>
      </c>
      <c r="L466" s="953">
        <f t="shared" si="131"/>
        <v>0</v>
      </c>
      <c r="M466" s="847">
        <f t="shared" si="132"/>
        <v>0</v>
      </c>
      <c r="N466" s="847">
        <f t="shared" si="133"/>
        <v>0</v>
      </c>
    </row>
    <row r="467" spans="1:14" ht="158.25">
      <c r="A467" s="952">
        <v>995453</v>
      </c>
      <c r="B467" s="809"/>
      <c r="C467" s="831">
        <v>0.18</v>
      </c>
      <c r="D467" s="828" t="s">
        <v>205</v>
      </c>
      <c r="E467" s="963">
        <v>169</v>
      </c>
      <c r="F467" s="1078" t="s">
        <v>375</v>
      </c>
      <c r="G467" s="964" t="s">
        <v>1115</v>
      </c>
      <c r="H467" s="893" t="s">
        <v>1166</v>
      </c>
      <c r="I467" s="1025">
        <v>200</v>
      </c>
      <c r="J467" s="1036"/>
      <c r="K467" s="1038" t="str">
        <f t="shared" si="130"/>
        <v>Included</v>
      </c>
      <c r="L467" s="953">
        <f t="shared" si="131"/>
        <v>0</v>
      </c>
      <c r="M467" s="847">
        <f t="shared" si="132"/>
        <v>0</v>
      </c>
      <c r="N467" s="847">
        <f t="shared" si="133"/>
        <v>0</v>
      </c>
    </row>
    <row r="468" spans="1:14" ht="126.75">
      <c r="A468" s="952">
        <v>995453</v>
      </c>
      <c r="B468" s="809"/>
      <c r="C468" s="831">
        <v>0.18</v>
      </c>
      <c r="D468" s="828" t="s">
        <v>205</v>
      </c>
      <c r="E468" s="963">
        <v>170</v>
      </c>
      <c r="F468" s="1074">
        <v>22.5</v>
      </c>
      <c r="G468" s="965" t="s">
        <v>1116</v>
      </c>
      <c r="H468" s="893" t="s">
        <v>207</v>
      </c>
      <c r="I468" s="1025">
        <v>109.92</v>
      </c>
      <c r="J468" s="1036"/>
      <c r="K468" s="1038" t="str">
        <f t="shared" si="130"/>
        <v>Included</v>
      </c>
      <c r="L468" s="953">
        <f t="shared" si="131"/>
        <v>0</v>
      </c>
      <c r="M468" s="847">
        <f t="shared" si="132"/>
        <v>0</v>
      </c>
      <c r="N468" s="847">
        <f t="shared" si="133"/>
        <v>0</v>
      </c>
    </row>
    <row r="469" spans="1:14" ht="32.25">
      <c r="A469" s="952">
        <v>995453</v>
      </c>
      <c r="B469" s="809"/>
      <c r="C469" s="831">
        <v>0.18</v>
      </c>
      <c r="D469" s="828" t="s">
        <v>205</v>
      </c>
      <c r="E469" s="963">
        <v>171</v>
      </c>
      <c r="F469" s="1074" t="s">
        <v>1117</v>
      </c>
      <c r="G469" s="965" t="s">
        <v>1118</v>
      </c>
      <c r="H469" s="893" t="s">
        <v>512</v>
      </c>
      <c r="I469" s="1027">
        <v>15</v>
      </c>
      <c r="J469" s="1036"/>
      <c r="K469" s="1038" t="str">
        <f t="shared" si="130"/>
        <v>Included</v>
      </c>
      <c r="L469" s="953">
        <f t="shared" si="131"/>
        <v>0</v>
      </c>
      <c r="M469" s="847">
        <f t="shared" si="132"/>
        <v>0</v>
      </c>
      <c r="N469" s="847">
        <f t="shared" si="133"/>
        <v>0</v>
      </c>
    </row>
    <row r="470" spans="1:14" ht="189.75">
      <c r="A470" s="952">
        <v>995453</v>
      </c>
      <c r="B470" s="809"/>
      <c r="C470" s="831">
        <v>0.18</v>
      </c>
      <c r="D470" s="828" t="s">
        <v>205</v>
      </c>
      <c r="E470" s="963">
        <v>172</v>
      </c>
      <c r="F470" s="1074" t="s">
        <v>1119</v>
      </c>
      <c r="G470" s="965" t="s">
        <v>1120</v>
      </c>
      <c r="H470" s="893" t="s">
        <v>207</v>
      </c>
      <c r="I470" s="1025">
        <v>250</v>
      </c>
      <c r="J470" s="1036"/>
      <c r="K470" s="1038" t="str">
        <f t="shared" si="130"/>
        <v>Included</v>
      </c>
      <c r="L470" s="953">
        <f t="shared" si="131"/>
        <v>0</v>
      </c>
      <c r="M470" s="847">
        <f t="shared" si="132"/>
        <v>0</v>
      </c>
      <c r="N470" s="847">
        <f t="shared" si="133"/>
        <v>0</v>
      </c>
    </row>
    <row r="471" spans="1:14" ht="237">
      <c r="A471" s="952"/>
      <c r="B471" s="809"/>
      <c r="C471" s="831"/>
      <c r="D471" s="828"/>
      <c r="E471" s="963">
        <v>173</v>
      </c>
      <c r="F471" s="1074" t="s">
        <v>1121</v>
      </c>
      <c r="G471" s="965" t="s">
        <v>1122</v>
      </c>
      <c r="H471" s="893"/>
      <c r="I471" s="1025"/>
      <c r="J471" s="1036"/>
      <c r="K471" s="1038"/>
      <c r="L471" s="953"/>
      <c r="M471" s="847">
        <f t="shared" si="132"/>
        <v>0</v>
      </c>
      <c r="N471" s="847">
        <f t="shared" si="133"/>
        <v>0</v>
      </c>
    </row>
    <row r="472" spans="1:14">
      <c r="A472" s="952">
        <v>995428</v>
      </c>
      <c r="B472" s="809"/>
      <c r="C472" s="831">
        <v>0.18</v>
      </c>
      <c r="D472" s="828" t="s">
        <v>205</v>
      </c>
      <c r="E472" s="963" t="s">
        <v>924</v>
      </c>
      <c r="F472" s="1074" t="s">
        <v>1121</v>
      </c>
      <c r="G472" s="965" t="s">
        <v>1123</v>
      </c>
      <c r="H472" s="893" t="s">
        <v>1162</v>
      </c>
      <c r="I472" s="1025">
        <v>40</v>
      </c>
      <c r="J472" s="1036"/>
      <c r="K472" s="1038" t="str">
        <f t="shared" si="130"/>
        <v>Included</v>
      </c>
      <c r="L472" s="953">
        <f t="shared" si="131"/>
        <v>0</v>
      </c>
      <c r="M472" s="847">
        <f t="shared" si="132"/>
        <v>0</v>
      </c>
      <c r="N472" s="847">
        <f t="shared" si="133"/>
        <v>0</v>
      </c>
    </row>
    <row r="473" spans="1:14">
      <c r="A473" s="952">
        <v>995428</v>
      </c>
      <c r="B473" s="809"/>
      <c r="C473" s="831">
        <v>0.18</v>
      </c>
      <c r="D473" s="828" t="s">
        <v>205</v>
      </c>
      <c r="E473" s="963" t="s">
        <v>927</v>
      </c>
      <c r="F473" s="1074" t="s">
        <v>1124</v>
      </c>
      <c r="G473" s="965" t="s">
        <v>1125</v>
      </c>
      <c r="H473" s="893" t="s">
        <v>1162</v>
      </c>
      <c r="I473" s="1025">
        <v>115</v>
      </c>
      <c r="J473" s="1036"/>
      <c r="K473" s="1038" t="str">
        <f t="shared" si="130"/>
        <v>Included</v>
      </c>
      <c r="L473" s="953">
        <f t="shared" si="131"/>
        <v>0</v>
      </c>
      <c r="M473" s="847">
        <f t="shared" si="132"/>
        <v>0</v>
      </c>
      <c r="N473" s="847">
        <f t="shared" si="133"/>
        <v>0</v>
      </c>
    </row>
    <row r="474" spans="1:14" ht="174">
      <c r="A474" s="952"/>
      <c r="B474" s="809"/>
      <c r="C474" s="831"/>
      <c r="D474" s="828"/>
      <c r="E474" s="963">
        <v>174</v>
      </c>
      <c r="F474" s="1074">
        <v>26.87</v>
      </c>
      <c r="G474" s="965" t="s">
        <v>1277</v>
      </c>
      <c r="H474" s="893"/>
      <c r="I474" s="1025"/>
      <c r="J474" s="1036"/>
      <c r="K474" s="1038"/>
      <c r="L474" s="953"/>
      <c r="M474" s="847">
        <f t="shared" si="132"/>
        <v>0</v>
      </c>
      <c r="N474" s="847">
        <f t="shared" si="133"/>
        <v>0</v>
      </c>
    </row>
    <row r="475" spans="1:14" ht="18.75" customHeight="1">
      <c r="A475" s="952">
        <v>995428</v>
      </c>
      <c r="B475" s="809"/>
      <c r="C475" s="831">
        <v>0.18</v>
      </c>
      <c r="D475" s="828" t="s">
        <v>205</v>
      </c>
      <c r="E475" s="963" t="s">
        <v>924</v>
      </c>
      <c r="F475" s="1074" t="s">
        <v>1278</v>
      </c>
      <c r="G475" s="975" t="s">
        <v>1279</v>
      </c>
      <c r="H475" s="893" t="s">
        <v>207</v>
      </c>
      <c r="I475" s="1025">
        <v>30</v>
      </c>
      <c r="J475" s="1036"/>
      <c r="K475" s="1038" t="str">
        <f t="shared" si="130"/>
        <v>Included</v>
      </c>
      <c r="L475" s="953">
        <f t="shared" si="131"/>
        <v>0</v>
      </c>
      <c r="M475" s="847">
        <f t="shared" si="132"/>
        <v>0</v>
      </c>
      <c r="N475" s="847">
        <f t="shared" si="133"/>
        <v>0</v>
      </c>
    </row>
    <row r="476" spans="1:14">
      <c r="A476" s="952">
        <v>995428</v>
      </c>
      <c r="B476" s="809"/>
      <c r="C476" s="831">
        <v>0.18</v>
      </c>
      <c r="D476" s="828" t="s">
        <v>205</v>
      </c>
      <c r="E476" s="963" t="s">
        <v>927</v>
      </c>
      <c r="F476" s="1074" t="s">
        <v>1280</v>
      </c>
      <c r="G476" s="975" t="s">
        <v>1281</v>
      </c>
      <c r="H476" s="893" t="s">
        <v>207</v>
      </c>
      <c r="I476" s="1025">
        <v>5</v>
      </c>
      <c r="J476" s="1036"/>
      <c r="K476" s="1038" t="str">
        <f t="shared" si="130"/>
        <v>Included</v>
      </c>
      <c r="L476" s="953">
        <f t="shared" si="131"/>
        <v>0</v>
      </c>
      <c r="M476" s="847">
        <f t="shared" si="132"/>
        <v>0</v>
      </c>
      <c r="N476" s="847">
        <f t="shared" si="133"/>
        <v>0</v>
      </c>
    </row>
    <row r="477" spans="1:14" ht="26.25" customHeight="1">
      <c r="A477" s="1229" t="s">
        <v>1269</v>
      </c>
      <c r="B477" s="1230"/>
      <c r="C477" s="1230"/>
      <c r="D477" s="1230"/>
      <c r="E477" s="1230"/>
      <c r="F477" s="1230"/>
      <c r="G477" s="1230"/>
      <c r="H477" s="1230"/>
      <c r="I477" s="1230"/>
      <c r="J477" s="1230"/>
      <c r="K477" s="1043">
        <f>SUM(K288:K476)</f>
        <v>0</v>
      </c>
      <c r="L477" s="1043">
        <f>SUM(L288:L476)</f>
        <v>0</v>
      </c>
      <c r="M477" s="847">
        <f t="shared" si="132"/>
        <v>0</v>
      </c>
      <c r="N477" s="847">
        <f t="shared" si="133"/>
        <v>0</v>
      </c>
    </row>
    <row r="478" spans="1:14" ht="25.5" customHeight="1">
      <c r="A478" s="1221" t="s">
        <v>1246</v>
      </c>
      <c r="B478" s="1222"/>
      <c r="C478" s="1222"/>
      <c r="D478" s="1222"/>
      <c r="E478" s="1222"/>
      <c r="F478" s="1222"/>
      <c r="G478" s="1222"/>
      <c r="H478" s="1222"/>
      <c r="I478" s="1222"/>
      <c r="J478" s="1222"/>
      <c r="K478" s="1222"/>
      <c r="L478" s="1223"/>
      <c r="M478" s="847">
        <f t="shared" si="132"/>
        <v>0</v>
      </c>
      <c r="N478" s="847">
        <f t="shared" si="133"/>
        <v>0</v>
      </c>
    </row>
    <row r="479" spans="1:14" ht="48">
      <c r="A479" s="952">
        <v>995411</v>
      </c>
      <c r="B479" s="809"/>
      <c r="C479" s="831">
        <v>0.18</v>
      </c>
      <c r="D479" s="828" t="s">
        <v>205</v>
      </c>
      <c r="E479" s="963">
        <v>176</v>
      </c>
      <c r="F479" s="1083" t="s">
        <v>412</v>
      </c>
      <c r="G479" s="968" t="s">
        <v>530</v>
      </c>
      <c r="H479" s="803" t="s">
        <v>514</v>
      </c>
      <c r="I479" s="1023">
        <v>75</v>
      </c>
      <c r="J479" s="1036"/>
      <c r="K479" s="1038" t="str">
        <f t="shared" si="130"/>
        <v>Included</v>
      </c>
      <c r="L479" s="953">
        <f t="shared" si="131"/>
        <v>0</v>
      </c>
      <c r="M479" s="847">
        <f t="shared" si="132"/>
        <v>0</v>
      </c>
      <c r="N479" s="847">
        <f t="shared" si="133"/>
        <v>0</v>
      </c>
    </row>
    <row r="480" spans="1:14" ht="48">
      <c r="A480" s="952">
        <v>995424</v>
      </c>
      <c r="B480" s="809"/>
      <c r="C480" s="831">
        <v>0.18</v>
      </c>
      <c r="D480" s="828" t="s">
        <v>205</v>
      </c>
      <c r="E480" s="963">
        <v>177</v>
      </c>
      <c r="F480" s="1083" t="s">
        <v>414</v>
      </c>
      <c r="G480" s="968" t="s">
        <v>1126</v>
      </c>
      <c r="H480" s="803" t="s">
        <v>468</v>
      </c>
      <c r="I480" s="1023">
        <v>16</v>
      </c>
      <c r="J480" s="1036"/>
      <c r="K480" s="1038" t="str">
        <f t="shared" si="130"/>
        <v>Included</v>
      </c>
      <c r="L480" s="953">
        <f t="shared" si="131"/>
        <v>0</v>
      </c>
      <c r="M480" s="847">
        <f t="shared" si="132"/>
        <v>0</v>
      </c>
      <c r="N480" s="847">
        <f t="shared" si="133"/>
        <v>0</v>
      </c>
    </row>
    <row r="481" spans="1:14" ht="32.25">
      <c r="A481" s="952">
        <v>995416</v>
      </c>
      <c r="B481" s="809"/>
      <c r="C481" s="831">
        <v>0.18</v>
      </c>
      <c r="D481" s="828" t="s">
        <v>205</v>
      </c>
      <c r="E481" s="963">
        <v>178</v>
      </c>
      <c r="F481" s="1083" t="s">
        <v>416</v>
      </c>
      <c r="G481" s="968" t="s">
        <v>1127</v>
      </c>
      <c r="H481" s="803" t="s">
        <v>468</v>
      </c>
      <c r="I481" s="1023">
        <v>8</v>
      </c>
      <c r="J481" s="1036"/>
      <c r="K481" s="1038" t="str">
        <f t="shared" si="130"/>
        <v>Included</v>
      </c>
      <c r="L481" s="953">
        <f t="shared" si="131"/>
        <v>0</v>
      </c>
      <c r="M481" s="847">
        <f t="shared" si="132"/>
        <v>0</v>
      </c>
      <c r="N481" s="847">
        <f t="shared" si="133"/>
        <v>0</v>
      </c>
    </row>
    <row r="482" spans="1:14">
      <c r="A482" s="952">
        <v>995462</v>
      </c>
      <c r="B482" s="809"/>
      <c r="C482" s="831">
        <v>0.18</v>
      </c>
      <c r="D482" s="828" t="s">
        <v>205</v>
      </c>
      <c r="E482" s="963">
        <v>179</v>
      </c>
      <c r="F482" s="1083" t="s">
        <v>418</v>
      </c>
      <c r="G482" s="968" t="s">
        <v>1128</v>
      </c>
      <c r="H482" s="803" t="s">
        <v>468</v>
      </c>
      <c r="I482" s="1023">
        <v>39</v>
      </c>
      <c r="J482" s="1036"/>
      <c r="K482" s="1038" t="str">
        <f t="shared" si="130"/>
        <v>Included</v>
      </c>
      <c r="L482" s="953">
        <f t="shared" si="131"/>
        <v>0</v>
      </c>
      <c r="M482" s="847">
        <f t="shared" si="132"/>
        <v>0</v>
      </c>
      <c r="N482" s="847">
        <f t="shared" si="133"/>
        <v>0</v>
      </c>
    </row>
    <row r="483" spans="1:14">
      <c r="A483" s="952">
        <v>995411</v>
      </c>
      <c r="B483" s="809"/>
      <c r="C483" s="831">
        <v>0.18</v>
      </c>
      <c r="D483" s="828" t="s">
        <v>205</v>
      </c>
      <c r="E483" s="963">
        <v>180</v>
      </c>
      <c r="F483" s="1083" t="s">
        <v>420</v>
      </c>
      <c r="G483" s="968" t="s">
        <v>1129</v>
      </c>
      <c r="H483" s="803" t="s">
        <v>468</v>
      </c>
      <c r="I483" s="1023">
        <v>32</v>
      </c>
      <c r="J483" s="1036"/>
      <c r="K483" s="1038" t="str">
        <f t="shared" si="130"/>
        <v>Included</v>
      </c>
      <c r="L483" s="953">
        <f t="shared" si="131"/>
        <v>0</v>
      </c>
      <c r="M483" s="847">
        <f t="shared" si="132"/>
        <v>0</v>
      </c>
      <c r="N483" s="847">
        <f t="shared" si="133"/>
        <v>0</v>
      </c>
    </row>
    <row r="484" spans="1:14" ht="32.25">
      <c r="A484" s="952">
        <v>995412</v>
      </c>
      <c r="B484" s="809"/>
      <c r="C484" s="831">
        <v>0.18</v>
      </c>
      <c r="D484" s="828" t="s">
        <v>205</v>
      </c>
      <c r="E484" s="963">
        <v>181</v>
      </c>
      <c r="F484" s="1083" t="s">
        <v>422</v>
      </c>
      <c r="G484" s="968" t="s">
        <v>1130</v>
      </c>
      <c r="H484" s="803" t="s">
        <v>468</v>
      </c>
      <c r="I484" s="1023">
        <v>16</v>
      </c>
      <c r="J484" s="1036"/>
      <c r="K484" s="1038" t="str">
        <f t="shared" si="130"/>
        <v>Included</v>
      </c>
      <c r="L484" s="953">
        <f t="shared" si="131"/>
        <v>0</v>
      </c>
      <c r="M484" s="847">
        <f t="shared" si="132"/>
        <v>0</v>
      </c>
      <c r="N484" s="847">
        <f t="shared" si="133"/>
        <v>0</v>
      </c>
    </row>
    <row r="485" spans="1:14" ht="79.5">
      <c r="A485" s="952">
        <v>995424</v>
      </c>
      <c r="B485" s="809"/>
      <c r="C485" s="831">
        <v>0.18</v>
      </c>
      <c r="D485" s="828" t="s">
        <v>205</v>
      </c>
      <c r="E485" s="963">
        <v>182</v>
      </c>
      <c r="F485" s="1083" t="s">
        <v>424</v>
      </c>
      <c r="G485" s="968" t="s">
        <v>1131</v>
      </c>
      <c r="H485" s="803" t="s">
        <v>512</v>
      </c>
      <c r="I485" s="1023">
        <v>10</v>
      </c>
      <c r="J485" s="1036"/>
      <c r="K485" s="1038" t="str">
        <f t="shared" si="130"/>
        <v>Included</v>
      </c>
      <c r="L485" s="953">
        <f t="shared" si="131"/>
        <v>0</v>
      </c>
      <c r="M485" s="847">
        <f t="shared" si="132"/>
        <v>0</v>
      </c>
      <c r="N485" s="847">
        <f t="shared" si="133"/>
        <v>0</v>
      </c>
    </row>
    <row r="486" spans="1:14" ht="48">
      <c r="A486" s="952">
        <v>995416</v>
      </c>
      <c r="B486" s="809"/>
      <c r="C486" s="831">
        <v>0.18</v>
      </c>
      <c r="D486" s="828" t="s">
        <v>205</v>
      </c>
      <c r="E486" s="963">
        <v>183</v>
      </c>
      <c r="F486" s="1083" t="s">
        <v>426</v>
      </c>
      <c r="G486" s="968" t="s">
        <v>1132</v>
      </c>
      <c r="H486" s="803" t="s">
        <v>463</v>
      </c>
      <c r="I486" s="1023">
        <v>10</v>
      </c>
      <c r="J486" s="1036"/>
      <c r="K486" s="1038" t="str">
        <f t="shared" si="130"/>
        <v>Included</v>
      </c>
      <c r="L486" s="953">
        <f t="shared" si="131"/>
        <v>0</v>
      </c>
      <c r="M486" s="847">
        <f t="shared" si="132"/>
        <v>0</v>
      </c>
      <c r="N486" s="847">
        <f t="shared" si="133"/>
        <v>0</v>
      </c>
    </row>
    <row r="487" spans="1:14" ht="48">
      <c r="A487" s="952">
        <v>995478</v>
      </c>
      <c r="B487" s="809"/>
      <c r="C487" s="831">
        <v>0.18</v>
      </c>
      <c r="D487" s="828" t="s">
        <v>205</v>
      </c>
      <c r="E487" s="963">
        <v>184</v>
      </c>
      <c r="F487" s="1083" t="s">
        <v>428</v>
      </c>
      <c r="G487" s="968" t="s">
        <v>1133</v>
      </c>
      <c r="H487" s="803" t="s">
        <v>463</v>
      </c>
      <c r="I487" s="1023">
        <v>60</v>
      </c>
      <c r="J487" s="1036"/>
      <c r="K487" s="1038" t="str">
        <f t="shared" si="130"/>
        <v>Included</v>
      </c>
      <c r="L487" s="953">
        <f t="shared" si="131"/>
        <v>0</v>
      </c>
      <c r="M487" s="847">
        <f t="shared" si="132"/>
        <v>0</v>
      </c>
      <c r="N487" s="847">
        <f t="shared" si="133"/>
        <v>0</v>
      </c>
    </row>
    <row r="488" spans="1:14" ht="48">
      <c r="A488" s="952">
        <v>995416</v>
      </c>
      <c r="B488" s="809"/>
      <c r="C488" s="831">
        <v>0.18</v>
      </c>
      <c r="D488" s="828" t="s">
        <v>205</v>
      </c>
      <c r="E488" s="963">
        <v>185</v>
      </c>
      <c r="F488" s="1083" t="s">
        <v>430</v>
      </c>
      <c r="G488" s="968" t="s">
        <v>1134</v>
      </c>
      <c r="H488" s="803" t="s">
        <v>463</v>
      </c>
      <c r="I488" s="1023">
        <v>30</v>
      </c>
      <c r="J488" s="1036"/>
      <c r="K488" s="1038" t="str">
        <f t="shared" si="130"/>
        <v>Included</v>
      </c>
      <c r="L488" s="953">
        <f t="shared" si="131"/>
        <v>0</v>
      </c>
      <c r="M488" s="847">
        <f t="shared" si="132"/>
        <v>0</v>
      </c>
      <c r="N488" s="847">
        <f t="shared" si="133"/>
        <v>0</v>
      </c>
    </row>
    <row r="489" spans="1:14" ht="48">
      <c r="A489" s="952">
        <v>995421</v>
      </c>
      <c r="B489" s="809"/>
      <c r="C489" s="831">
        <v>0.18</v>
      </c>
      <c r="D489" s="828" t="s">
        <v>205</v>
      </c>
      <c r="E489" s="963">
        <v>186</v>
      </c>
      <c r="F489" s="1083" t="s">
        <v>432</v>
      </c>
      <c r="G489" s="968" t="s">
        <v>1135</v>
      </c>
      <c r="H489" s="803" t="s">
        <v>463</v>
      </c>
      <c r="I489" s="1023">
        <v>15</v>
      </c>
      <c r="J489" s="1036"/>
      <c r="K489" s="1038" t="str">
        <f t="shared" si="130"/>
        <v>Included</v>
      </c>
      <c r="L489" s="953">
        <f t="shared" si="131"/>
        <v>0</v>
      </c>
      <c r="M489" s="847">
        <f t="shared" si="132"/>
        <v>0</v>
      </c>
      <c r="N489" s="847">
        <f t="shared" si="133"/>
        <v>0</v>
      </c>
    </row>
    <row r="490" spans="1:14" ht="48">
      <c r="A490" s="952">
        <v>995416</v>
      </c>
      <c r="B490" s="809"/>
      <c r="C490" s="831">
        <v>0.18</v>
      </c>
      <c r="D490" s="828" t="s">
        <v>205</v>
      </c>
      <c r="E490" s="963">
        <v>187</v>
      </c>
      <c r="F490" s="1083" t="s">
        <v>434</v>
      </c>
      <c r="G490" s="968" t="s">
        <v>1136</v>
      </c>
      <c r="H490" s="803" t="s">
        <v>107</v>
      </c>
      <c r="I490" s="1023">
        <v>4</v>
      </c>
      <c r="J490" s="1036"/>
      <c r="K490" s="1038" t="str">
        <f t="shared" si="130"/>
        <v>Included</v>
      </c>
      <c r="L490" s="953">
        <f t="shared" si="131"/>
        <v>0</v>
      </c>
      <c r="M490" s="847">
        <f t="shared" si="132"/>
        <v>0</v>
      </c>
      <c r="N490" s="847">
        <f t="shared" si="133"/>
        <v>0</v>
      </c>
    </row>
    <row r="491" spans="1:14" ht="32.25">
      <c r="A491" s="952">
        <v>995476</v>
      </c>
      <c r="B491" s="809"/>
      <c r="C491" s="831">
        <v>0.18</v>
      </c>
      <c r="D491" s="828" t="s">
        <v>205</v>
      </c>
      <c r="E491" s="963">
        <v>188</v>
      </c>
      <c r="F491" s="1083" t="s">
        <v>436</v>
      </c>
      <c r="G491" s="968" t="s">
        <v>1137</v>
      </c>
      <c r="H491" s="803" t="s">
        <v>514</v>
      </c>
      <c r="I491" s="1023">
        <v>30</v>
      </c>
      <c r="J491" s="1036"/>
      <c r="K491" s="1038" t="str">
        <f t="shared" si="130"/>
        <v>Included</v>
      </c>
      <c r="L491" s="953">
        <f t="shared" si="131"/>
        <v>0</v>
      </c>
      <c r="M491" s="847">
        <f t="shared" si="132"/>
        <v>0</v>
      </c>
      <c r="N491" s="847">
        <f t="shared" si="133"/>
        <v>0</v>
      </c>
    </row>
    <row r="492" spans="1:14" ht="32.25">
      <c r="A492" s="952">
        <v>995411</v>
      </c>
      <c r="B492" s="809"/>
      <c r="C492" s="831">
        <v>0.18</v>
      </c>
      <c r="D492" s="828" t="s">
        <v>205</v>
      </c>
      <c r="E492" s="963">
        <v>189</v>
      </c>
      <c r="F492" s="1083" t="s">
        <v>1138</v>
      </c>
      <c r="G492" s="968" t="s">
        <v>1139</v>
      </c>
      <c r="H492" s="803" t="s">
        <v>468</v>
      </c>
      <c r="I492" s="1023">
        <v>4</v>
      </c>
      <c r="J492" s="1036"/>
      <c r="K492" s="1038" t="str">
        <f t="shared" si="130"/>
        <v>Included</v>
      </c>
      <c r="L492" s="953">
        <f t="shared" si="131"/>
        <v>0</v>
      </c>
      <c r="M492" s="847">
        <f t="shared" si="132"/>
        <v>0</v>
      </c>
      <c r="N492" s="847">
        <f t="shared" si="133"/>
        <v>0</v>
      </c>
    </row>
    <row r="493" spans="1:14" ht="32.25">
      <c r="A493" s="952">
        <v>995468</v>
      </c>
      <c r="B493" s="809"/>
      <c r="C493" s="831">
        <v>0.18</v>
      </c>
      <c r="D493" s="828" t="s">
        <v>205</v>
      </c>
      <c r="E493" s="963">
        <v>190</v>
      </c>
      <c r="F493" s="1083" t="s">
        <v>1140</v>
      </c>
      <c r="G493" s="968" t="s">
        <v>1141</v>
      </c>
      <c r="H493" s="803" t="s">
        <v>468</v>
      </c>
      <c r="I493" s="1023">
        <v>4</v>
      </c>
      <c r="J493" s="1036"/>
      <c r="K493" s="1038" t="str">
        <f t="shared" si="130"/>
        <v>Included</v>
      </c>
      <c r="L493" s="953">
        <f t="shared" si="131"/>
        <v>0</v>
      </c>
      <c r="M493" s="847">
        <f t="shared" si="132"/>
        <v>0</v>
      </c>
      <c r="N493" s="847">
        <f t="shared" si="133"/>
        <v>0</v>
      </c>
    </row>
    <row r="494" spans="1:14" ht="32.25">
      <c r="A494" s="952">
        <v>995478</v>
      </c>
      <c r="B494" s="809"/>
      <c r="C494" s="831">
        <v>0.18</v>
      </c>
      <c r="D494" s="828" t="s">
        <v>205</v>
      </c>
      <c r="E494" s="963">
        <v>191</v>
      </c>
      <c r="F494" s="1083" t="s">
        <v>1142</v>
      </c>
      <c r="G494" s="968" t="s">
        <v>1143</v>
      </c>
      <c r="H494" s="803" t="s">
        <v>468</v>
      </c>
      <c r="I494" s="1023">
        <v>6</v>
      </c>
      <c r="J494" s="1036"/>
      <c r="K494" s="1038" t="str">
        <f t="shared" si="130"/>
        <v>Included</v>
      </c>
      <c r="L494" s="953">
        <f t="shared" si="131"/>
        <v>0</v>
      </c>
      <c r="M494" s="847">
        <f t="shared" si="132"/>
        <v>0</v>
      </c>
      <c r="N494" s="847">
        <f t="shared" si="133"/>
        <v>0</v>
      </c>
    </row>
    <row r="495" spans="1:14" ht="32.25">
      <c r="A495" s="952">
        <v>995413</v>
      </c>
      <c r="B495" s="809"/>
      <c r="C495" s="831">
        <v>0.18</v>
      </c>
      <c r="D495" s="828" t="s">
        <v>205</v>
      </c>
      <c r="E495" s="963">
        <v>192</v>
      </c>
      <c r="F495" s="1083" t="s">
        <v>1144</v>
      </c>
      <c r="G495" s="968" t="s">
        <v>1145</v>
      </c>
      <c r="H495" s="803" t="s">
        <v>1167</v>
      </c>
      <c r="I495" s="1023">
        <v>19</v>
      </c>
      <c r="J495" s="1036"/>
      <c r="K495" s="1038" t="str">
        <f t="shared" si="130"/>
        <v>Included</v>
      </c>
      <c r="L495" s="953">
        <f t="shared" si="131"/>
        <v>0</v>
      </c>
      <c r="M495" s="847">
        <f t="shared" si="132"/>
        <v>0</v>
      </c>
      <c r="N495" s="847">
        <f t="shared" si="133"/>
        <v>0</v>
      </c>
    </row>
    <row r="496" spans="1:14" ht="32.25">
      <c r="A496" s="952">
        <v>995476</v>
      </c>
      <c r="B496" s="809"/>
      <c r="C496" s="831">
        <v>0.18</v>
      </c>
      <c r="D496" s="828" t="s">
        <v>205</v>
      </c>
      <c r="E496" s="963">
        <v>193</v>
      </c>
      <c r="F496" s="1083" t="s">
        <v>1146</v>
      </c>
      <c r="G496" s="964" t="s">
        <v>1137</v>
      </c>
      <c r="H496" s="803" t="s">
        <v>514</v>
      </c>
      <c r="I496" s="1023">
        <v>20</v>
      </c>
      <c r="J496" s="1036"/>
      <c r="K496" s="1038" t="str">
        <f t="shared" si="130"/>
        <v>Included</v>
      </c>
      <c r="L496" s="953">
        <f t="shared" si="131"/>
        <v>0</v>
      </c>
      <c r="M496" s="847">
        <f t="shared" si="132"/>
        <v>0</v>
      </c>
      <c r="N496" s="847">
        <f t="shared" si="133"/>
        <v>0</v>
      </c>
    </row>
    <row r="497" spans="1:14" ht="32.25">
      <c r="A497" s="952">
        <v>995411</v>
      </c>
      <c r="B497" s="809"/>
      <c r="C497" s="831">
        <v>0.18</v>
      </c>
      <c r="D497" s="828" t="s">
        <v>205</v>
      </c>
      <c r="E497" s="963">
        <v>194</v>
      </c>
      <c r="F497" s="1083" t="s">
        <v>1147</v>
      </c>
      <c r="G497" s="964" t="s">
        <v>1148</v>
      </c>
      <c r="H497" s="803" t="s">
        <v>468</v>
      </c>
      <c r="I497" s="1023">
        <v>4</v>
      </c>
      <c r="J497" s="1036"/>
      <c r="K497" s="1038" t="str">
        <f t="shared" si="130"/>
        <v>Included</v>
      </c>
      <c r="L497" s="953">
        <f t="shared" si="131"/>
        <v>0</v>
      </c>
      <c r="M497" s="847">
        <f t="shared" si="132"/>
        <v>0</v>
      </c>
      <c r="N497" s="847">
        <f t="shared" si="133"/>
        <v>0</v>
      </c>
    </row>
    <row r="498" spans="1:14" ht="32.25">
      <c r="A498" s="952">
        <v>995478</v>
      </c>
      <c r="B498" s="809"/>
      <c r="C498" s="831">
        <v>0.18</v>
      </c>
      <c r="D498" s="828" t="s">
        <v>205</v>
      </c>
      <c r="E498" s="963">
        <v>195</v>
      </c>
      <c r="F498" s="1083" t="s">
        <v>1149</v>
      </c>
      <c r="G498" s="964" t="s">
        <v>1150</v>
      </c>
      <c r="H498" s="803" t="s">
        <v>468</v>
      </c>
      <c r="I498" s="1023">
        <v>4</v>
      </c>
      <c r="J498" s="1036"/>
      <c r="K498" s="1038" t="str">
        <f t="shared" si="130"/>
        <v>Included</v>
      </c>
      <c r="L498" s="953">
        <f t="shared" si="131"/>
        <v>0</v>
      </c>
      <c r="M498" s="847">
        <f t="shared" si="132"/>
        <v>0</v>
      </c>
      <c r="N498" s="847">
        <f t="shared" si="133"/>
        <v>0</v>
      </c>
    </row>
    <row r="499" spans="1:14" ht="63.75">
      <c r="A499" s="952">
        <v>995474</v>
      </c>
      <c r="B499" s="809"/>
      <c r="C499" s="831">
        <v>0.18</v>
      </c>
      <c r="D499" s="828" t="s">
        <v>205</v>
      </c>
      <c r="E499" s="963">
        <v>196</v>
      </c>
      <c r="F499" s="1083" t="s">
        <v>1151</v>
      </c>
      <c r="G499" s="964" t="s">
        <v>1152</v>
      </c>
      <c r="H499" s="803" t="s">
        <v>514</v>
      </c>
      <c r="I499" s="1023">
        <v>12</v>
      </c>
      <c r="J499" s="1036"/>
      <c r="K499" s="1038" t="str">
        <f t="shared" si="130"/>
        <v>Included</v>
      </c>
      <c r="L499" s="953">
        <f t="shared" si="131"/>
        <v>0</v>
      </c>
      <c r="M499" s="847">
        <f t="shared" si="132"/>
        <v>0</v>
      </c>
      <c r="N499" s="847">
        <f t="shared" si="133"/>
        <v>0</v>
      </c>
    </row>
    <row r="500" spans="1:14" ht="174">
      <c r="A500" s="952">
        <v>995476</v>
      </c>
      <c r="B500" s="809"/>
      <c r="C500" s="831">
        <v>0.18</v>
      </c>
      <c r="D500" s="828" t="s">
        <v>205</v>
      </c>
      <c r="E500" s="963">
        <v>197</v>
      </c>
      <c r="F500" s="1083" t="s">
        <v>1153</v>
      </c>
      <c r="G500" s="968" t="s">
        <v>1154</v>
      </c>
      <c r="H500" s="819" t="s">
        <v>514</v>
      </c>
      <c r="I500" s="1023">
        <v>8</v>
      </c>
      <c r="J500" s="1036"/>
      <c r="K500" s="1038" t="str">
        <f t="shared" si="130"/>
        <v>Included</v>
      </c>
      <c r="L500" s="953">
        <f t="shared" si="131"/>
        <v>0</v>
      </c>
      <c r="M500" s="847">
        <f t="shared" si="132"/>
        <v>0</v>
      </c>
      <c r="N500" s="847">
        <f t="shared" si="133"/>
        <v>0</v>
      </c>
    </row>
    <row r="501" spans="1:14" ht="111">
      <c r="A501" s="952">
        <v>995476</v>
      </c>
      <c r="B501" s="809"/>
      <c r="C501" s="831">
        <v>0.18</v>
      </c>
      <c r="D501" s="828" t="s">
        <v>205</v>
      </c>
      <c r="E501" s="963">
        <v>198</v>
      </c>
      <c r="F501" s="1083" t="s">
        <v>1155</v>
      </c>
      <c r="G501" s="1054" t="s">
        <v>1156</v>
      </c>
      <c r="H501" s="819" t="s">
        <v>514</v>
      </c>
      <c r="I501" s="1023">
        <v>40</v>
      </c>
      <c r="J501" s="1057"/>
      <c r="K501" s="1038" t="str">
        <f t="shared" ref="K501" si="134">IF(J501=0, "Included", IF(ISERROR(I501*J501), J501, I501*J501))</f>
        <v>Included</v>
      </c>
      <c r="L501" s="953">
        <f t="shared" ref="L501" si="135">N501</f>
        <v>0</v>
      </c>
      <c r="M501" s="847">
        <f t="shared" si="132"/>
        <v>0</v>
      </c>
      <c r="N501" s="847">
        <f t="shared" si="133"/>
        <v>0</v>
      </c>
    </row>
    <row r="502" spans="1:14" ht="48">
      <c r="A502" s="952">
        <v>995478</v>
      </c>
      <c r="B502" s="809"/>
      <c r="C502" s="831">
        <v>0.18</v>
      </c>
      <c r="D502" s="828" t="s">
        <v>205</v>
      </c>
      <c r="E502" s="963">
        <v>199</v>
      </c>
      <c r="F502" s="1083" t="s">
        <v>1157</v>
      </c>
      <c r="G502" s="968" t="s">
        <v>1158</v>
      </c>
      <c r="H502" s="819" t="s">
        <v>514</v>
      </c>
      <c r="I502" s="1023">
        <v>29</v>
      </c>
      <c r="J502" s="1036"/>
      <c r="K502" s="1038" t="str">
        <f t="shared" si="130"/>
        <v>Included</v>
      </c>
      <c r="L502" s="953">
        <f t="shared" si="131"/>
        <v>0</v>
      </c>
      <c r="M502" s="847">
        <f t="shared" si="132"/>
        <v>0</v>
      </c>
      <c r="N502" s="847">
        <f t="shared" si="133"/>
        <v>0</v>
      </c>
    </row>
    <row r="503" spans="1:14" ht="32.25">
      <c r="A503" s="952">
        <v>995478</v>
      </c>
      <c r="B503" s="809"/>
      <c r="C503" s="831">
        <v>0.18</v>
      </c>
      <c r="D503" s="828" t="s">
        <v>205</v>
      </c>
      <c r="E503" s="963">
        <v>200</v>
      </c>
      <c r="F503" s="1083" t="s">
        <v>1159</v>
      </c>
      <c r="G503" s="965" t="s">
        <v>1160</v>
      </c>
      <c r="H503" s="803" t="s">
        <v>468</v>
      </c>
      <c r="I503" s="1023">
        <v>4</v>
      </c>
      <c r="J503" s="1036"/>
      <c r="K503" s="1038" t="str">
        <f t="shared" si="130"/>
        <v>Included</v>
      </c>
      <c r="L503" s="953">
        <f t="shared" si="131"/>
        <v>0</v>
      </c>
      <c r="M503" s="847">
        <f t="shared" si="132"/>
        <v>0</v>
      </c>
      <c r="N503" s="847">
        <f t="shared" si="133"/>
        <v>0</v>
      </c>
    </row>
    <row r="504" spans="1:14" ht="174">
      <c r="A504" s="952"/>
      <c r="B504" s="809"/>
      <c r="C504" s="831"/>
      <c r="D504" s="828"/>
      <c r="E504" s="963">
        <v>201</v>
      </c>
      <c r="F504" s="1083" t="s">
        <v>1247</v>
      </c>
      <c r="G504" s="968" t="s">
        <v>1248</v>
      </c>
      <c r="H504" s="803"/>
      <c r="I504" s="1023"/>
      <c r="J504" s="1036"/>
      <c r="K504" s="1038"/>
      <c r="L504" s="953"/>
      <c r="M504" s="847">
        <f t="shared" si="132"/>
        <v>0</v>
      </c>
      <c r="N504" s="847">
        <f t="shared" si="133"/>
        <v>0</v>
      </c>
    </row>
    <row r="505" spans="1:14">
      <c r="A505" s="952">
        <v>995478</v>
      </c>
      <c r="B505" s="809"/>
      <c r="C505" s="831">
        <v>0.18</v>
      </c>
      <c r="D505" s="828" t="s">
        <v>205</v>
      </c>
      <c r="E505" s="963"/>
      <c r="F505" s="1083" t="s">
        <v>924</v>
      </c>
      <c r="G505" s="968" t="s">
        <v>1249</v>
      </c>
      <c r="H505" s="803" t="s">
        <v>107</v>
      </c>
      <c r="I505" s="1023">
        <v>102</v>
      </c>
      <c r="J505" s="1057"/>
      <c r="K505" s="1038" t="str">
        <f t="shared" si="116"/>
        <v>Included</v>
      </c>
      <c r="L505" s="953">
        <f t="shared" si="117"/>
        <v>0</v>
      </c>
      <c r="M505" s="847">
        <f t="shared" si="132"/>
        <v>0</v>
      </c>
      <c r="N505" s="847">
        <f t="shared" si="133"/>
        <v>0</v>
      </c>
    </row>
    <row r="506" spans="1:14">
      <c r="A506" s="952">
        <v>995478</v>
      </c>
      <c r="B506" s="809"/>
      <c r="C506" s="831">
        <v>0.18</v>
      </c>
      <c r="D506" s="828" t="s">
        <v>205</v>
      </c>
      <c r="E506" s="963"/>
      <c r="F506" s="1083" t="s">
        <v>927</v>
      </c>
      <c r="G506" s="976" t="s">
        <v>1250</v>
      </c>
      <c r="H506" s="803" t="s">
        <v>107</v>
      </c>
      <c r="I506" s="1023">
        <v>84</v>
      </c>
      <c r="J506" s="1057"/>
      <c r="K506" s="1038" t="str">
        <f t="shared" si="116"/>
        <v>Included</v>
      </c>
      <c r="L506" s="953">
        <f t="shared" si="117"/>
        <v>0</v>
      </c>
      <c r="M506" s="847">
        <f t="shared" si="132"/>
        <v>0</v>
      </c>
      <c r="N506" s="847">
        <f t="shared" si="133"/>
        <v>0</v>
      </c>
    </row>
    <row r="507" spans="1:14">
      <c r="A507" s="952">
        <v>995478</v>
      </c>
      <c r="B507" s="809"/>
      <c r="C507" s="831">
        <v>0.18</v>
      </c>
      <c r="D507" s="828" t="s">
        <v>205</v>
      </c>
      <c r="E507" s="963"/>
      <c r="F507" s="1083" t="s">
        <v>997</v>
      </c>
      <c r="G507" s="976" t="s">
        <v>1251</v>
      </c>
      <c r="H507" s="803" t="s">
        <v>107</v>
      </c>
      <c r="I507" s="1023">
        <v>32</v>
      </c>
      <c r="J507" s="1057"/>
      <c r="K507" s="1038" t="str">
        <f t="shared" si="116"/>
        <v>Included</v>
      </c>
      <c r="L507" s="953">
        <f t="shared" si="117"/>
        <v>0</v>
      </c>
      <c r="M507" s="847">
        <f t="shared" si="132"/>
        <v>0</v>
      </c>
      <c r="N507" s="847">
        <f t="shared" si="133"/>
        <v>0</v>
      </c>
    </row>
    <row r="508" spans="1:14">
      <c r="A508" s="952">
        <v>995478</v>
      </c>
      <c r="B508" s="809"/>
      <c r="C508" s="831">
        <v>0.18</v>
      </c>
      <c r="D508" s="828" t="s">
        <v>205</v>
      </c>
      <c r="E508" s="963"/>
      <c r="F508" s="1083" t="s">
        <v>1000</v>
      </c>
      <c r="G508" s="968" t="s">
        <v>1252</v>
      </c>
      <c r="H508" s="803" t="s">
        <v>107</v>
      </c>
      <c r="I508" s="1023">
        <v>132</v>
      </c>
      <c r="J508" s="1057"/>
      <c r="K508" s="1038" t="str">
        <f t="shared" si="116"/>
        <v>Included</v>
      </c>
      <c r="L508" s="953">
        <f t="shared" si="117"/>
        <v>0</v>
      </c>
      <c r="M508" s="847">
        <f t="shared" si="132"/>
        <v>0</v>
      </c>
      <c r="N508" s="847">
        <f t="shared" si="133"/>
        <v>0</v>
      </c>
    </row>
    <row r="509" spans="1:14" ht="27" customHeight="1">
      <c r="A509" s="1229" t="s">
        <v>1270</v>
      </c>
      <c r="B509" s="1230"/>
      <c r="C509" s="1230"/>
      <c r="D509" s="1230"/>
      <c r="E509" s="1230"/>
      <c r="F509" s="1230"/>
      <c r="G509" s="1230"/>
      <c r="H509" s="1230"/>
      <c r="I509" s="1230"/>
      <c r="J509" s="1230"/>
      <c r="K509" s="1055">
        <f>SUM(K479:K508)+SUM(K288:K476)</f>
        <v>0</v>
      </c>
      <c r="L509" s="1055">
        <f>SUM(L479:L508)+SUM(L288:L476)</f>
        <v>0</v>
      </c>
      <c r="M509" s="847">
        <f t="shared" si="132"/>
        <v>0</v>
      </c>
      <c r="N509" s="847">
        <f t="shared" si="133"/>
        <v>0</v>
      </c>
    </row>
    <row r="510" spans="1:14" ht="48">
      <c r="A510" s="952">
        <v>995461</v>
      </c>
      <c r="B510" s="809"/>
      <c r="C510" s="831">
        <v>0.18</v>
      </c>
      <c r="D510" s="828" t="s">
        <v>205</v>
      </c>
      <c r="E510" s="977">
        <v>1</v>
      </c>
      <c r="F510" s="1085" t="s">
        <v>533</v>
      </c>
      <c r="G510" s="978" t="s">
        <v>1169</v>
      </c>
      <c r="H510" s="982" t="s">
        <v>463</v>
      </c>
      <c r="I510" s="1028">
        <f>66+150</f>
        <v>216</v>
      </c>
      <c r="J510" s="1036"/>
      <c r="K510" s="1038" t="str">
        <f t="shared" si="116"/>
        <v>Included</v>
      </c>
      <c r="L510" s="953">
        <f t="shared" si="117"/>
        <v>0</v>
      </c>
      <c r="M510" s="847">
        <f t="shared" si="132"/>
        <v>0</v>
      </c>
      <c r="N510" s="847">
        <f t="shared" si="133"/>
        <v>0</v>
      </c>
    </row>
    <row r="511" spans="1:14" ht="48">
      <c r="A511" s="952">
        <v>995461</v>
      </c>
      <c r="B511" s="809"/>
      <c r="C511" s="831">
        <v>0.18</v>
      </c>
      <c r="D511" s="828" t="s">
        <v>205</v>
      </c>
      <c r="E511" s="977">
        <v>2</v>
      </c>
      <c r="F511" s="1085" t="s">
        <v>461</v>
      </c>
      <c r="G511" s="978" t="s">
        <v>1170</v>
      </c>
      <c r="H511" s="982" t="s">
        <v>463</v>
      </c>
      <c r="I511" s="1028">
        <f>100+200</f>
        <v>300</v>
      </c>
      <c r="J511" s="1036"/>
      <c r="K511" s="1038" t="str">
        <f t="shared" si="116"/>
        <v>Included</v>
      </c>
      <c r="L511" s="953">
        <f t="shared" si="117"/>
        <v>0</v>
      </c>
      <c r="M511" s="847">
        <f t="shared" si="132"/>
        <v>0</v>
      </c>
      <c r="N511" s="847">
        <f t="shared" si="133"/>
        <v>0</v>
      </c>
    </row>
    <row r="512" spans="1:14" ht="32.25">
      <c r="A512" s="952">
        <v>995424</v>
      </c>
      <c r="B512" s="809"/>
      <c r="C512" s="831">
        <v>0.18</v>
      </c>
      <c r="D512" s="828" t="s">
        <v>205</v>
      </c>
      <c r="E512" s="977">
        <v>3</v>
      </c>
      <c r="F512" s="1085" t="s">
        <v>1171</v>
      </c>
      <c r="G512" s="978" t="s">
        <v>1172</v>
      </c>
      <c r="H512" s="982" t="s">
        <v>463</v>
      </c>
      <c r="I512" s="1028">
        <f>66+150</f>
        <v>216</v>
      </c>
      <c r="J512" s="1036"/>
      <c r="K512" s="1038" t="str">
        <f t="shared" si="116"/>
        <v>Included</v>
      </c>
      <c r="L512" s="953">
        <f t="shared" si="117"/>
        <v>0</v>
      </c>
      <c r="M512" s="847">
        <f t="shared" si="132"/>
        <v>0</v>
      </c>
      <c r="N512" s="847">
        <f t="shared" si="133"/>
        <v>0</v>
      </c>
    </row>
    <row r="513" spans="1:14" ht="48">
      <c r="A513" s="952">
        <v>995424</v>
      </c>
      <c r="B513" s="809"/>
      <c r="C513" s="831">
        <v>0.18</v>
      </c>
      <c r="D513" s="828" t="s">
        <v>205</v>
      </c>
      <c r="E513" s="977">
        <v>4</v>
      </c>
      <c r="F513" s="1085">
        <v>1.19</v>
      </c>
      <c r="G513" s="978" t="s">
        <v>1173</v>
      </c>
      <c r="H513" s="982" t="s">
        <v>463</v>
      </c>
      <c r="I513" s="1028">
        <f>66+150</f>
        <v>216</v>
      </c>
      <c r="J513" s="1036"/>
      <c r="K513" s="1038" t="str">
        <f t="shared" si="116"/>
        <v>Included</v>
      </c>
      <c r="L513" s="953">
        <f t="shared" si="117"/>
        <v>0</v>
      </c>
      <c r="M513" s="847">
        <f t="shared" si="132"/>
        <v>0</v>
      </c>
      <c r="N513" s="847">
        <f t="shared" si="133"/>
        <v>0</v>
      </c>
    </row>
    <row r="514" spans="1:14" ht="48">
      <c r="A514" s="952">
        <v>995461</v>
      </c>
      <c r="B514" s="809"/>
      <c r="C514" s="831">
        <v>0.18</v>
      </c>
      <c r="D514" s="828" t="s">
        <v>205</v>
      </c>
      <c r="E514" s="977">
        <v>5</v>
      </c>
      <c r="F514" s="1085" t="s">
        <v>454</v>
      </c>
      <c r="G514" s="978" t="s">
        <v>1174</v>
      </c>
      <c r="H514" s="982" t="s">
        <v>463</v>
      </c>
      <c r="I514" s="1028">
        <f>133+225</f>
        <v>358</v>
      </c>
      <c r="J514" s="1036"/>
      <c r="K514" s="1038" t="str">
        <f t="shared" si="116"/>
        <v>Included</v>
      </c>
      <c r="L514" s="953">
        <f t="shared" si="117"/>
        <v>0</v>
      </c>
      <c r="M514" s="847">
        <f t="shared" si="132"/>
        <v>0</v>
      </c>
      <c r="N514" s="847">
        <f t="shared" si="133"/>
        <v>0</v>
      </c>
    </row>
    <row r="515" spans="1:14" ht="48">
      <c r="A515" s="952">
        <v>995461</v>
      </c>
      <c r="B515" s="809"/>
      <c r="C515" s="831">
        <v>0.18</v>
      </c>
      <c r="D515" s="828" t="s">
        <v>205</v>
      </c>
      <c r="E515" s="977">
        <v>6</v>
      </c>
      <c r="F515" s="1085" t="s">
        <v>456</v>
      </c>
      <c r="G515" s="978" t="s">
        <v>1175</v>
      </c>
      <c r="H515" s="982" t="s">
        <v>463</v>
      </c>
      <c r="I515" s="1028">
        <f>85+225</f>
        <v>310</v>
      </c>
      <c r="J515" s="1036"/>
      <c r="K515" s="1038" t="str">
        <f t="shared" si="116"/>
        <v>Included</v>
      </c>
      <c r="L515" s="953">
        <f t="shared" si="117"/>
        <v>0</v>
      </c>
      <c r="M515" s="847">
        <f t="shared" si="132"/>
        <v>0</v>
      </c>
      <c r="N515" s="847">
        <f t="shared" si="133"/>
        <v>0</v>
      </c>
    </row>
    <row r="516" spans="1:14" ht="48">
      <c r="A516" s="952">
        <v>995461</v>
      </c>
      <c r="B516" s="809"/>
      <c r="C516" s="831">
        <v>0.18</v>
      </c>
      <c r="D516" s="828" t="s">
        <v>205</v>
      </c>
      <c r="E516" s="977">
        <v>7</v>
      </c>
      <c r="F516" s="1085" t="s">
        <v>1176</v>
      </c>
      <c r="G516" s="978" t="s">
        <v>1177</v>
      </c>
      <c r="H516" s="982" t="s">
        <v>463</v>
      </c>
      <c r="I516" s="1028">
        <f>44+75</f>
        <v>119</v>
      </c>
      <c r="J516" s="1036"/>
      <c r="K516" s="1038" t="str">
        <f t="shared" si="116"/>
        <v>Included</v>
      </c>
      <c r="L516" s="953">
        <f t="shared" si="117"/>
        <v>0</v>
      </c>
      <c r="M516" s="847">
        <f t="shared" si="132"/>
        <v>0</v>
      </c>
      <c r="N516" s="847">
        <f t="shared" si="133"/>
        <v>0</v>
      </c>
    </row>
    <row r="517" spans="1:14" ht="32.25">
      <c r="A517" s="952">
        <v>995461</v>
      </c>
      <c r="B517" s="809"/>
      <c r="C517" s="831">
        <v>0.18</v>
      </c>
      <c r="D517" s="828" t="s">
        <v>205</v>
      </c>
      <c r="E517" s="977">
        <v>8</v>
      </c>
      <c r="F517" s="1085" t="s">
        <v>531</v>
      </c>
      <c r="G517" s="978" t="s">
        <v>1178</v>
      </c>
      <c r="H517" s="982" t="s">
        <v>532</v>
      </c>
      <c r="I517" s="1028">
        <f>40+100</f>
        <v>140</v>
      </c>
      <c r="J517" s="1036"/>
      <c r="K517" s="1038" t="str">
        <f t="shared" ref="K517:K524" si="136">IF(J517=0, "Included", IF(ISERROR(I517*J517), J517, I517*J517))</f>
        <v>Included</v>
      </c>
      <c r="L517" s="953">
        <f t="shared" ref="L517:L524" si="137">N517</f>
        <v>0</v>
      </c>
      <c r="M517" s="847">
        <f t="shared" si="132"/>
        <v>0</v>
      </c>
      <c r="N517" s="847">
        <f t="shared" si="133"/>
        <v>0</v>
      </c>
    </row>
    <row r="518" spans="1:14" ht="32.25">
      <c r="A518" s="952">
        <v>995461</v>
      </c>
      <c r="B518" s="809"/>
      <c r="C518" s="831">
        <v>0.18</v>
      </c>
      <c r="D518" s="828" t="s">
        <v>205</v>
      </c>
      <c r="E518" s="977">
        <v>9</v>
      </c>
      <c r="F518" s="1085" t="s">
        <v>442</v>
      </c>
      <c r="G518" s="978" t="s">
        <v>1179</v>
      </c>
      <c r="H518" s="982" t="s">
        <v>532</v>
      </c>
      <c r="I518" s="1028">
        <f>14+38</f>
        <v>52</v>
      </c>
      <c r="J518" s="1036"/>
      <c r="K518" s="1038" t="str">
        <f t="shared" si="136"/>
        <v>Included</v>
      </c>
      <c r="L518" s="953">
        <f t="shared" si="137"/>
        <v>0</v>
      </c>
      <c r="M518" s="847">
        <f t="shared" si="132"/>
        <v>0</v>
      </c>
      <c r="N518" s="847">
        <f t="shared" si="133"/>
        <v>0</v>
      </c>
    </row>
    <row r="519" spans="1:14" ht="63.75">
      <c r="A519" s="952">
        <v>995461</v>
      </c>
      <c r="B519" s="809"/>
      <c r="C519" s="831">
        <v>0.18</v>
      </c>
      <c r="D519" s="828" t="s">
        <v>205</v>
      </c>
      <c r="E519" s="977">
        <v>10</v>
      </c>
      <c r="F519" s="1086">
        <v>1.1100000000000001</v>
      </c>
      <c r="G519" s="978" t="s">
        <v>1180</v>
      </c>
      <c r="H519" s="983" t="s">
        <v>532</v>
      </c>
      <c r="I519" s="1029">
        <f>10+20</f>
        <v>30</v>
      </c>
      <c r="J519" s="1036"/>
      <c r="K519" s="1038" t="str">
        <f t="shared" si="136"/>
        <v>Included</v>
      </c>
      <c r="L519" s="953">
        <f t="shared" si="137"/>
        <v>0</v>
      </c>
      <c r="M519" s="847">
        <f t="shared" si="132"/>
        <v>0</v>
      </c>
      <c r="N519" s="847">
        <f t="shared" si="133"/>
        <v>0</v>
      </c>
    </row>
    <row r="520" spans="1:14" ht="32.25">
      <c r="A520" s="952">
        <v>995461</v>
      </c>
      <c r="B520" s="809"/>
      <c r="C520" s="831">
        <v>0.18</v>
      </c>
      <c r="D520" s="828" t="s">
        <v>205</v>
      </c>
      <c r="E520" s="977">
        <v>11</v>
      </c>
      <c r="F520" s="1087" t="s">
        <v>1181</v>
      </c>
      <c r="G520" s="978" t="s">
        <v>1182</v>
      </c>
      <c r="H520" s="982" t="s">
        <v>107</v>
      </c>
      <c r="I520" s="1028">
        <f>16+16</f>
        <v>32</v>
      </c>
      <c r="J520" s="1036"/>
      <c r="K520" s="1038" t="str">
        <f t="shared" si="136"/>
        <v>Included</v>
      </c>
      <c r="L520" s="953">
        <f t="shared" si="137"/>
        <v>0</v>
      </c>
      <c r="M520" s="847">
        <f t="shared" si="132"/>
        <v>0</v>
      </c>
      <c r="N520" s="847">
        <f t="shared" si="133"/>
        <v>0</v>
      </c>
    </row>
    <row r="521" spans="1:14" ht="32.25">
      <c r="A521" s="952">
        <v>995461</v>
      </c>
      <c r="B521" s="809"/>
      <c r="C521" s="831">
        <v>0.18</v>
      </c>
      <c r="D521" s="828" t="s">
        <v>205</v>
      </c>
      <c r="E521" s="977">
        <v>12</v>
      </c>
      <c r="F521" s="1086" t="s">
        <v>1183</v>
      </c>
      <c r="G521" s="978" t="s">
        <v>1184</v>
      </c>
      <c r="H521" s="983" t="s">
        <v>107</v>
      </c>
      <c r="I521" s="1029">
        <f>10+20</f>
        <v>30</v>
      </c>
      <c r="J521" s="1036"/>
      <c r="K521" s="1038" t="str">
        <f t="shared" si="136"/>
        <v>Included</v>
      </c>
      <c r="L521" s="953">
        <f t="shared" si="137"/>
        <v>0</v>
      </c>
      <c r="M521" s="847">
        <f t="shared" si="132"/>
        <v>0</v>
      </c>
      <c r="N521" s="847">
        <f t="shared" si="133"/>
        <v>0</v>
      </c>
    </row>
    <row r="522" spans="1:14" ht="32.25">
      <c r="A522" s="952">
        <v>995461</v>
      </c>
      <c r="B522" s="809"/>
      <c r="C522" s="831">
        <v>0.18</v>
      </c>
      <c r="D522" s="828" t="s">
        <v>205</v>
      </c>
      <c r="E522" s="977">
        <v>13</v>
      </c>
      <c r="F522" s="1085" t="s">
        <v>534</v>
      </c>
      <c r="G522" s="978" t="s">
        <v>1185</v>
      </c>
      <c r="H522" s="982" t="s">
        <v>492</v>
      </c>
      <c r="I522" s="1028">
        <v>10</v>
      </c>
      <c r="J522" s="1036"/>
      <c r="K522" s="1038" t="str">
        <f t="shared" si="136"/>
        <v>Included</v>
      </c>
      <c r="L522" s="953">
        <f t="shared" si="137"/>
        <v>0</v>
      </c>
      <c r="M522" s="847">
        <f t="shared" si="132"/>
        <v>0</v>
      </c>
      <c r="N522" s="847">
        <f t="shared" si="133"/>
        <v>0</v>
      </c>
    </row>
    <row r="523" spans="1:14" ht="32.25">
      <c r="A523" s="952">
        <v>995461</v>
      </c>
      <c r="B523" s="809"/>
      <c r="C523" s="831">
        <v>0.18</v>
      </c>
      <c r="D523" s="828" t="s">
        <v>205</v>
      </c>
      <c r="E523" s="977">
        <v>14</v>
      </c>
      <c r="F523" s="1085" t="s">
        <v>535</v>
      </c>
      <c r="G523" s="978" t="s">
        <v>1186</v>
      </c>
      <c r="H523" s="982" t="s">
        <v>492</v>
      </c>
      <c r="I523" s="1028">
        <f>8+8</f>
        <v>16</v>
      </c>
      <c r="J523" s="1036"/>
      <c r="K523" s="1038" t="str">
        <f t="shared" si="136"/>
        <v>Included</v>
      </c>
      <c r="L523" s="953">
        <f t="shared" si="137"/>
        <v>0</v>
      </c>
      <c r="M523" s="847">
        <f t="shared" si="132"/>
        <v>0</v>
      </c>
      <c r="N523" s="847">
        <f t="shared" si="133"/>
        <v>0</v>
      </c>
    </row>
    <row r="524" spans="1:14" ht="32.25">
      <c r="A524" s="952">
        <v>995461</v>
      </c>
      <c r="B524" s="809"/>
      <c r="C524" s="831">
        <v>0.18</v>
      </c>
      <c r="D524" s="828" t="s">
        <v>205</v>
      </c>
      <c r="E524" s="977">
        <v>15</v>
      </c>
      <c r="F524" s="1085" t="s">
        <v>536</v>
      </c>
      <c r="G524" s="978" t="s">
        <v>1187</v>
      </c>
      <c r="H524" s="982" t="s">
        <v>492</v>
      </c>
      <c r="I524" s="1028">
        <v>6</v>
      </c>
      <c r="J524" s="1036"/>
      <c r="K524" s="1038" t="str">
        <f t="shared" si="136"/>
        <v>Included</v>
      </c>
      <c r="L524" s="953">
        <f t="shared" si="137"/>
        <v>0</v>
      </c>
      <c r="M524" s="847">
        <f t="shared" si="132"/>
        <v>0</v>
      </c>
      <c r="N524" s="847">
        <f t="shared" si="133"/>
        <v>0</v>
      </c>
    </row>
    <row r="525" spans="1:14" ht="32.25">
      <c r="A525" s="952">
        <v>995461</v>
      </c>
      <c r="B525" s="809"/>
      <c r="C525" s="831">
        <v>0.18</v>
      </c>
      <c r="D525" s="828" t="s">
        <v>205</v>
      </c>
      <c r="E525" s="977">
        <v>16</v>
      </c>
      <c r="F525" s="1085" t="s">
        <v>1188</v>
      </c>
      <c r="G525" s="978" t="s">
        <v>1189</v>
      </c>
      <c r="H525" s="982" t="s">
        <v>492</v>
      </c>
      <c r="I525" s="1028">
        <v>4</v>
      </c>
      <c r="J525" s="1036"/>
      <c r="K525" s="1038" t="str">
        <f>IF(J525=0, "Included", IF(ISERROR(I525*J525), J525, I525*J525))</f>
        <v>Included</v>
      </c>
      <c r="L525" s="953">
        <f>N525</f>
        <v>0</v>
      </c>
      <c r="M525" s="847">
        <f t="shared" si="132"/>
        <v>0</v>
      </c>
      <c r="N525" s="847">
        <f t="shared" si="133"/>
        <v>0</v>
      </c>
    </row>
    <row r="526" spans="1:14" ht="48">
      <c r="A526" s="952">
        <v>995461</v>
      </c>
      <c r="B526" s="809"/>
      <c r="C526" s="831">
        <v>0.18</v>
      </c>
      <c r="D526" s="828" t="s">
        <v>205</v>
      </c>
      <c r="E526" s="977">
        <v>17</v>
      </c>
      <c r="F526" s="1085" t="s">
        <v>466</v>
      </c>
      <c r="G526" s="978" t="s">
        <v>1190</v>
      </c>
      <c r="H526" s="982" t="s">
        <v>107</v>
      </c>
      <c r="I526" s="1028">
        <f>20+2412</f>
        <v>2432</v>
      </c>
      <c r="J526" s="1036"/>
      <c r="K526" s="1038" t="str">
        <f t="shared" ref="K526:K563" si="138">IF(J526=0, "Included", IF(ISERROR(I526*J526), J526, I526*J526))</f>
        <v>Included</v>
      </c>
      <c r="L526" s="953">
        <f t="shared" ref="L526:L563" si="139">N526</f>
        <v>0</v>
      </c>
      <c r="M526" s="847">
        <f t="shared" si="132"/>
        <v>0</v>
      </c>
      <c r="N526" s="847">
        <f t="shared" si="133"/>
        <v>0</v>
      </c>
    </row>
    <row r="527" spans="1:14" ht="32.25">
      <c r="A527" s="952">
        <v>995461</v>
      </c>
      <c r="B527" s="809"/>
      <c r="C527" s="831">
        <v>0.18</v>
      </c>
      <c r="D527" s="828" t="s">
        <v>205</v>
      </c>
      <c r="E527" s="977">
        <v>18</v>
      </c>
      <c r="F527" s="1085" t="s">
        <v>1191</v>
      </c>
      <c r="G527" s="978" t="s">
        <v>1192</v>
      </c>
      <c r="H527" s="982" t="s">
        <v>107</v>
      </c>
      <c r="I527" s="1028">
        <f>10+12</f>
        <v>22</v>
      </c>
      <c r="J527" s="1036"/>
      <c r="K527" s="1038" t="str">
        <f t="shared" si="138"/>
        <v>Included</v>
      </c>
      <c r="L527" s="953">
        <f t="shared" si="139"/>
        <v>0</v>
      </c>
      <c r="M527" s="847">
        <f t="shared" ref="M527:M563" si="140">IF(K527="Included",0,K527)</f>
        <v>0</v>
      </c>
      <c r="N527" s="847">
        <f t="shared" ref="N527:N563" si="141">IF(C527="confirmed",(M527*B527),(M527*C527))</f>
        <v>0</v>
      </c>
    </row>
    <row r="528" spans="1:14" ht="32.25">
      <c r="A528" s="952">
        <v>995461</v>
      </c>
      <c r="B528" s="809"/>
      <c r="C528" s="831">
        <v>0.18</v>
      </c>
      <c r="D528" s="828" t="s">
        <v>205</v>
      </c>
      <c r="E528" s="977">
        <v>19</v>
      </c>
      <c r="F528" s="1085" t="s">
        <v>469</v>
      </c>
      <c r="G528" s="978" t="s">
        <v>1193</v>
      </c>
      <c r="H528" s="982" t="s">
        <v>107</v>
      </c>
      <c r="I528" s="1028">
        <f>20+24</f>
        <v>44</v>
      </c>
      <c r="J528" s="1036"/>
      <c r="K528" s="1038" t="str">
        <f t="shared" si="138"/>
        <v>Included</v>
      </c>
      <c r="L528" s="953">
        <f t="shared" si="139"/>
        <v>0</v>
      </c>
      <c r="M528" s="847">
        <f t="shared" si="140"/>
        <v>0</v>
      </c>
      <c r="N528" s="847">
        <f t="shared" si="141"/>
        <v>0</v>
      </c>
    </row>
    <row r="529" spans="1:14" ht="32.25">
      <c r="A529" s="952">
        <v>995461</v>
      </c>
      <c r="B529" s="809"/>
      <c r="C529" s="831">
        <v>0.18</v>
      </c>
      <c r="D529" s="828" t="s">
        <v>205</v>
      </c>
      <c r="E529" s="977">
        <v>20</v>
      </c>
      <c r="F529" s="1085" t="s">
        <v>1194</v>
      </c>
      <c r="G529" s="978" t="s">
        <v>1195</v>
      </c>
      <c r="H529" s="982" t="s">
        <v>107</v>
      </c>
      <c r="I529" s="1028">
        <f>10+12</f>
        <v>22</v>
      </c>
      <c r="J529" s="1036"/>
      <c r="K529" s="1038" t="str">
        <f t="shared" si="138"/>
        <v>Included</v>
      </c>
      <c r="L529" s="953">
        <f t="shared" si="139"/>
        <v>0</v>
      </c>
      <c r="M529" s="847">
        <f t="shared" si="140"/>
        <v>0</v>
      </c>
      <c r="N529" s="847">
        <f t="shared" si="141"/>
        <v>0</v>
      </c>
    </row>
    <row r="530" spans="1:14" ht="32.25">
      <c r="A530" s="952">
        <v>995461</v>
      </c>
      <c r="B530" s="809"/>
      <c r="C530" s="831">
        <v>0.18</v>
      </c>
      <c r="D530" s="828" t="s">
        <v>205</v>
      </c>
      <c r="E530" s="977">
        <v>21</v>
      </c>
      <c r="F530" s="1085" t="s">
        <v>471</v>
      </c>
      <c r="G530" s="978" t="s">
        <v>1196</v>
      </c>
      <c r="H530" s="982" t="s">
        <v>107</v>
      </c>
      <c r="I530" s="1028">
        <f>8+6</f>
        <v>14</v>
      </c>
      <c r="J530" s="1036"/>
      <c r="K530" s="1038" t="str">
        <f t="shared" si="138"/>
        <v>Included</v>
      </c>
      <c r="L530" s="953">
        <f t="shared" si="139"/>
        <v>0</v>
      </c>
      <c r="M530" s="847">
        <f t="shared" si="140"/>
        <v>0</v>
      </c>
      <c r="N530" s="847">
        <f t="shared" si="141"/>
        <v>0</v>
      </c>
    </row>
    <row r="531" spans="1:14" ht="32.25">
      <c r="A531" s="952">
        <v>995461</v>
      </c>
      <c r="B531" s="809"/>
      <c r="C531" s="831">
        <v>0.18</v>
      </c>
      <c r="D531" s="828" t="s">
        <v>205</v>
      </c>
      <c r="E531" s="977">
        <v>22</v>
      </c>
      <c r="F531" s="1085" t="s">
        <v>1197</v>
      </c>
      <c r="G531" s="978" t="s">
        <v>1198</v>
      </c>
      <c r="H531" s="982" t="s">
        <v>1214</v>
      </c>
      <c r="I531" s="1028">
        <f>8+6</f>
        <v>14</v>
      </c>
      <c r="J531" s="1036"/>
      <c r="K531" s="1038" t="str">
        <f t="shared" si="138"/>
        <v>Included</v>
      </c>
      <c r="L531" s="953">
        <f t="shared" si="139"/>
        <v>0</v>
      </c>
      <c r="M531" s="847">
        <f t="shared" si="140"/>
        <v>0</v>
      </c>
      <c r="N531" s="847">
        <f t="shared" si="141"/>
        <v>0</v>
      </c>
    </row>
    <row r="532" spans="1:14" ht="32.25">
      <c r="A532" s="952">
        <v>995461</v>
      </c>
      <c r="B532" s="809"/>
      <c r="C532" s="831">
        <v>0.18</v>
      </c>
      <c r="D532" s="828" t="s">
        <v>205</v>
      </c>
      <c r="E532" s="977">
        <v>23</v>
      </c>
      <c r="F532" s="1085" t="s">
        <v>473</v>
      </c>
      <c r="G532" s="978" t="s">
        <v>1199</v>
      </c>
      <c r="H532" s="982" t="s">
        <v>107</v>
      </c>
      <c r="I532" s="1028">
        <f>2+2</f>
        <v>4</v>
      </c>
      <c r="J532" s="1036"/>
      <c r="K532" s="1038" t="str">
        <f t="shared" si="138"/>
        <v>Included</v>
      </c>
      <c r="L532" s="953">
        <f t="shared" si="139"/>
        <v>0</v>
      </c>
      <c r="M532" s="847">
        <f t="shared" si="140"/>
        <v>0</v>
      </c>
      <c r="N532" s="847">
        <f t="shared" si="141"/>
        <v>0</v>
      </c>
    </row>
    <row r="533" spans="1:14">
      <c r="A533" s="952">
        <v>995461</v>
      </c>
      <c r="B533" s="809"/>
      <c r="C533" s="831">
        <v>0.18</v>
      </c>
      <c r="D533" s="828" t="s">
        <v>205</v>
      </c>
      <c r="E533" s="977">
        <v>24</v>
      </c>
      <c r="F533" s="1088">
        <v>1.38</v>
      </c>
      <c r="G533" s="979" t="s">
        <v>1200</v>
      </c>
      <c r="H533" s="984" t="s">
        <v>107</v>
      </c>
      <c r="I533" s="1028">
        <f>2+2</f>
        <v>4</v>
      </c>
      <c r="J533" s="1036"/>
      <c r="K533" s="1038" t="str">
        <f t="shared" si="138"/>
        <v>Included</v>
      </c>
      <c r="L533" s="953">
        <f t="shared" si="139"/>
        <v>0</v>
      </c>
      <c r="M533" s="847">
        <f t="shared" si="140"/>
        <v>0</v>
      </c>
      <c r="N533" s="847">
        <f t="shared" si="141"/>
        <v>0</v>
      </c>
    </row>
    <row r="534" spans="1:14" ht="32.25">
      <c r="A534" s="952">
        <v>995461</v>
      </c>
      <c r="B534" s="809"/>
      <c r="C534" s="831">
        <v>0.18</v>
      </c>
      <c r="D534" s="828" t="s">
        <v>205</v>
      </c>
      <c r="E534" s="977">
        <v>25</v>
      </c>
      <c r="F534" s="1089">
        <v>1.35</v>
      </c>
      <c r="G534" s="980" t="s">
        <v>1201</v>
      </c>
      <c r="H534" s="985" t="s">
        <v>107</v>
      </c>
      <c r="I534" s="1030">
        <f>33+70</f>
        <v>103</v>
      </c>
      <c r="J534" s="1036"/>
      <c r="K534" s="1038" t="str">
        <f t="shared" si="138"/>
        <v>Included</v>
      </c>
      <c r="L534" s="953">
        <f t="shared" si="139"/>
        <v>0</v>
      </c>
      <c r="M534" s="847">
        <f t="shared" si="140"/>
        <v>0</v>
      </c>
      <c r="N534" s="847">
        <f t="shared" si="141"/>
        <v>0</v>
      </c>
    </row>
    <row r="535" spans="1:14" ht="32.25">
      <c r="A535" s="952">
        <v>995461</v>
      </c>
      <c r="B535" s="809"/>
      <c r="C535" s="831">
        <v>0.18</v>
      </c>
      <c r="D535" s="828" t="s">
        <v>205</v>
      </c>
      <c r="E535" s="977">
        <v>26</v>
      </c>
      <c r="F535" s="1074" t="s">
        <v>483</v>
      </c>
      <c r="G535" s="968" t="s">
        <v>1202</v>
      </c>
      <c r="H535" s="971" t="s">
        <v>107</v>
      </c>
      <c r="I535" s="1025">
        <v>8</v>
      </c>
      <c r="J535" s="1036"/>
      <c r="K535" s="1038" t="str">
        <f t="shared" si="138"/>
        <v>Included</v>
      </c>
      <c r="L535" s="953">
        <f t="shared" si="139"/>
        <v>0</v>
      </c>
      <c r="M535" s="847">
        <f t="shared" si="140"/>
        <v>0</v>
      </c>
      <c r="N535" s="847">
        <f t="shared" si="141"/>
        <v>0</v>
      </c>
    </row>
    <row r="536" spans="1:14" ht="48">
      <c r="A536" s="952">
        <v>998739</v>
      </c>
      <c r="B536" s="809"/>
      <c r="C536" s="831">
        <v>0.18</v>
      </c>
      <c r="D536" s="828" t="s">
        <v>205</v>
      </c>
      <c r="E536" s="977">
        <v>27</v>
      </c>
      <c r="F536" s="1089" t="s">
        <v>1203</v>
      </c>
      <c r="G536" s="980" t="s">
        <v>1204</v>
      </c>
      <c r="H536" s="984" t="s">
        <v>468</v>
      </c>
      <c r="I536" s="1031">
        <f>2+1</f>
        <v>3</v>
      </c>
      <c r="J536" s="1036"/>
      <c r="K536" s="1038" t="str">
        <f t="shared" si="138"/>
        <v>Included</v>
      </c>
      <c r="L536" s="953">
        <f t="shared" si="139"/>
        <v>0</v>
      </c>
      <c r="M536" s="847">
        <f t="shared" si="140"/>
        <v>0</v>
      </c>
      <c r="N536" s="847">
        <f t="shared" si="141"/>
        <v>0</v>
      </c>
    </row>
    <row r="537" spans="1:14" ht="32.25">
      <c r="A537" s="952">
        <v>998739</v>
      </c>
      <c r="B537" s="809"/>
      <c r="C537" s="831">
        <v>0.18</v>
      </c>
      <c r="D537" s="828" t="s">
        <v>205</v>
      </c>
      <c r="E537" s="977">
        <v>28</v>
      </c>
      <c r="F537" s="1074">
        <v>5.7</v>
      </c>
      <c r="G537" s="968" t="s">
        <v>1205</v>
      </c>
      <c r="H537" s="971" t="s">
        <v>463</v>
      </c>
      <c r="I537" s="1025">
        <v>17</v>
      </c>
      <c r="J537" s="1036"/>
      <c r="K537" s="1038" t="str">
        <f t="shared" si="138"/>
        <v>Included</v>
      </c>
      <c r="L537" s="953">
        <f t="shared" si="139"/>
        <v>0</v>
      </c>
      <c r="M537" s="847">
        <f t="shared" si="140"/>
        <v>0</v>
      </c>
      <c r="N537" s="847">
        <f t="shared" si="141"/>
        <v>0</v>
      </c>
    </row>
    <row r="538" spans="1:14" ht="32.25">
      <c r="A538" s="952">
        <v>998739</v>
      </c>
      <c r="B538" s="809"/>
      <c r="C538" s="831">
        <v>0.18</v>
      </c>
      <c r="D538" s="828" t="s">
        <v>205</v>
      </c>
      <c r="E538" s="977">
        <v>29</v>
      </c>
      <c r="F538" s="1088">
        <v>5.15</v>
      </c>
      <c r="G538" s="979" t="s">
        <v>1206</v>
      </c>
      <c r="H538" s="984" t="s">
        <v>1162</v>
      </c>
      <c r="I538" s="1031">
        <f>17+20</f>
        <v>37</v>
      </c>
      <c r="J538" s="1036"/>
      <c r="K538" s="1038" t="str">
        <f t="shared" si="138"/>
        <v>Included</v>
      </c>
      <c r="L538" s="953">
        <f t="shared" si="139"/>
        <v>0</v>
      </c>
      <c r="M538" s="847">
        <f t="shared" si="140"/>
        <v>0</v>
      </c>
      <c r="N538" s="847">
        <f t="shared" si="141"/>
        <v>0</v>
      </c>
    </row>
    <row r="539" spans="1:14" ht="48">
      <c r="A539" s="952">
        <v>995461</v>
      </c>
      <c r="B539" s="809"/>
      <c r="C539" s="831">
        <v>0.18</v>
      </c>
      <c r="D539" s="828" t="s">
        <v>205</v>
      </c>
      <c r="E539" s="977">
        <v>30</v>
      </c>
      <c r="F539" s="1086">
        <v>1.57</v>
      </c>
      <c r="G539" s="981" t="s">
        <v>1207</v>
      </c>
      <c r="H539" s="986" t="s">
        <v>107</v>
      </c>
      <c r="I539" s="1032">
        <f>8+10</f>
        <v>18</v>
      </c>
      <c r="J539" s="1036"/>
      <c r="K539" s="1038" t="str">
        <f t="shared" si="138"/>
        <v>Included</v>
      </c>
      <c r="L539" s="953">
        <f t="shared" si="139"/>
        <v>0</v>
      </c>
      <c r="M539" s="847">
        <f t="shared" si="140"/>
        <v>0</v>
      </c>
      <c r="N539" s="847">
        <f t="shared" si="141"/>
        <v>0</v>
      </c>
    </row>
    <row r="540" spans="1:14" ht="32.25">
      <c r="A540" s="952">
        <v>995461</v>
      </c>
      <c r="B540" s="809"/>
      <c r="C540" s="831">
        <v>0.18</v>
      </c>
      <c r="D540" s="828" t="s">
        <v>205</v>
      </c>
      <c r="E540" s="977">
        <v>31</v>
      </c>
      <c r="F540" s="1086">
        <v>1.33</v>
      </c>
      <c r="G540" s="981" t="s">
        <v>1208</v>
      </c>
      <c r="H540" s="986" t="s">
        <v>107</v>
      </c>
      <c r="I540" s="1032">
        <f>5+14</f>
        <v>19</v>
      </c>
      <c r="J540" s="1036"/>
      <c r="K540" s="1038" t="str">
        <f t="shared" si="138"/>
        <v>Included</v>
      </c>
      <c r="L540" s="953">
        <f t="shared" si="139"/>
        <v>0</v>
      </c>
      <c r="M540" s="847">
        <f t="shared" si="140"/>
        <v>0</v>
      </c>
      <c r="N540" s="847">
        <f t="shared" si="141"/>
        <v>0</v>
      </c>
    </row>
    <row r="541" spans="1:14" ht="32.25">
      <c r="A541" s="952">
        <v>995461</v>
      </c>
      <c r="B541" s="809"/>
      <c r="C541" s="831">
        <v>0.18</v>
      </c>
      <c r="D541" s="828" t="s">
        <v>205</v>
      </c>
      <c r="E541" s="977">
        <v>32</v>
      </c>
      <c r="F541" s="1086">
        <v>1.26</v>
      </c>
      <c r="G541" s="981" t="s">
        <v>1209</v>
      </c>
      <c r="H541" s="986" t="s">
        <v>107</v>
      </c>
      <c r="I541" s="1032">
        <f>5+12</f>
        <v>17</v>
      </c>
      <c r="J541" s="1036"/>
      <c r="K541" s="1038" t="str">
        <f t="shared" si="138"/>
        <v>Included</v>
      </c>
      <c r="L541" s="953">
        <f t="shared" si="139"/>
        <v>0</v>
      </c>
      <c r="M541" s="847">
        <f t="shared" si="140"/>
        <v>0</v>
      </c>
      <c r="N541" s="847">
        <f t="shared" si="141"/>
        <v>0</v>
      </c>
    </row>
    <row r="542" spans="1:14" ht="48">
      <c r="A542" s="952">
        <v>998736</v>
      </c>
      <c r="B542" s="809"/>
      <c r="C542" s="831">
        <v>0.18</v>
      </c>
      <c r="D542" s="828" t="s">
        <v>205</v>
      </c>
      <c r="E542" s="977">
        <v>33</v>
      </c>
      <c r="F542" s="1086" t="s">
        <v>537</v>
      </c>
      <c r="G542" s="981" t="s">
        <v>1210</v>
      </c>
      <c r="H542" s="984" t="s">
        <v>468</v>
      </c>
      <c r="I542" s="1028">
        <f>4+12</f>
        <v>16</v>
      </c>
      <c r="J542" s="1036"/>
      <c r="K542" s="1038" t="str">
        <f t="shared" si="138"/>
        <v>Included</v>
      </c>
      <c r="L542" s="953">
        <f t="shared" si="139"/>
        <v>0</v>
      </c>
      <c r="M542" s="847">
        <f t="shared" si="140"/>
        <v>0</v>
      </c>
      <c r="N542" s="847">
        <f t="shared" si="141"/>
        <v>0</v>
      </c>
    </row>
    <row r="543" spans="1:14" ht="48">
      <c r="A543" s="952">
        <v>998736</v>
      </c>
      <c r="B543" s="809"/>
      <c r="C543" s="831">
        <v>0.18</v>
      </c>
      <c r="D543" s="828" t="s">
        <v>205</v>
      </c>
      <c r="E543" s="977">
        <v>34</v>
      </c>
      <c r="F543" s="1086" t="s">
        <v>1211</v>
      </c>
      <c r="G543" s="981" t="s">
        <v>1212</v>
      </c>
      <c r="H543" s="984" t="s">
        <v>468</v>
      </c>
      <c r="I543" s="1028">
        <f>4+8</f>
        <v>12</v>
      </c>
      <c r="J543" s="1036"/>
      <c r="K543" s="1038" t="str">
        <f t="shared" si="138"/>
        <v>Included</v>
      </c>
      <c r="L543" s="953">
        <f t="shared" si="139"/>
        <v>0</v>
      </c>
      <c r="M543" s="847">
        <f t="shared" si="140"/>
        <v>0</v>
      </c>
      <c r="N543" s="847">
        <f t="shared" si="141"/>
        <v>0</v>
      </c>
    </row>
    <row r="544" spans="1:14" ht="174">
      <c r="A544" s="952">
        <v>995416</v>
      </c>
      <c r="B544" s="809"/>
      <c r="C544" s="831">
        <v>0.18</v>
      </c>
      <c r="D544" s="828" t="s">
        <v>205</v>
      </c>
      <c r="E544" s="977">
        <v>35</v>
      </c>
      <c r="F544" s="1090">
        <v>19.100000000000001</v>
      </c>
      <c r="G544" s="981" t="s">
        <v>1213</v>
      </c>
      <c r="H544" s="984" t="s">
        <v>468</v>
      </c>
      <c r="I544" s="1028">
        <f>10+14</f>
        <v>24</v>
      </c>
      <c r="J544" s="1036"/>
      <c r="K544" s="1038" t="str">
        <f t="shared" si="138"/>
        <v>Included</v>
      </c>
      <c r="L544" s="953">
        <f t="shared" si="139"/>
        <v>0</v>
      </c>
      <c r="M544" s="847">
        <f t="shared" si="140"/>
        <v>0</v>
      </c>
      <c r="N544" s="847">
        <f t="shared" si="141"/>
        <v>0</v>
      </c>
    </row>
    <row r="545" spans="1:14">
      <c r="A545" s="1221" t="s">
        <v>1253</v>
      </c>
      <c r="B545" s="1222"/>
      <c r="C545" s="1222"/>
      <c r="D545" s="1222"/>
      <c r="E545" s="1222"/>
      <c r="F545" s="1222"/>
      <c r="G545" s="1222"/>
      <c r="H545" s="1222"/>
      <c r="I545" s="1222"/>
      <c r="J545" s="1222"/>
      <c r="K545" s="1222"/>
      <c r="L545" s="1223"/>
      <c r="M545" s="847">
        <f t="shared" si="140"/>
        <v>0</v>
      </c>
      <c r="N545" s="847">
        <f t="shared" si="141"/>
        <v>0</v>
      </c>
    </row>
    <row r="546" spans="1:14" ht="363">
      <c r="A546" s="952">
        <v>998736</v>
      </c>
      <c r="B546" s="809"/>
      <c r="C546" s="831">
        <v>0.18</v>
      </c>
      <c r="D546" s="828" t="s">
        <v>205</v>
      </c>
      <c r="E546" s="963">
        <v>1</v>
      </c>
      <c r="F546" s="1082" t="s">
        <v>412</v>
      </c>
      <c r="G546" s="968" t="s">
        <v>1254</v>
      </c>
      <c r="H546" s="971" t="s">
        <v>488</v>
      </c>
      <c r="I546" s="1028">
        <f>1+1</f>
        <v>2</v>
      </c>
      <c r="J546" s="1036"/>
      <c r="K546" s="1038" t="str">
        <f t="shared" ref="K546:K562" si="142">IF(J546=0, "Included", IF(ISERROR(I546*J546), J546, I546*J546))</f>
        <v>Included</v>
      </c>
      <c r="L546" s="953">
        <f t="shared" ref="L546:L562" si="143">N546</f>
        <v>0</v>
      </c>
      <c r="M546" s="847">
        <f t="shared" si="140"/>
        <v>0</v>
      </c>
      <c r="N546" s="847">
        <f t="shared" si="141"/>
        <v>0</v>
      </c>
    </row>
    <row r="547" spans="1:14" ht="237">
      <c r="A547" s="952">
        <v>998736</v>
      </c>
      <c r="B547" s="809"/>
      <c r="C547" s="831">
        <v>0.18</v>
      </c>
      <c r="D547" s="828" t="s">
        <v>205</v>
      </c>
      <c r="E547" s="963">
        <v>2</v>
      </c>
      <c r="F547" s="1082" t="s">
        <v>414</v>
      </c>
      <c r="G547" s="978" t="s">
        <v>1255</v>
      </c>
      <c r="H547" s="971" t="s">
        <v>488</v>
      </c>
      <c r="I547" s="1028">
        <f>2+2</f>
        <v>4</v>
      </c>
      <c r="J547" s="1036"/>
      <c r="K547" s="1038" t="str">
        <f t="shared" ref="K547:K555" si="144">IF(J547=0, "Included", IF(ISERROR(I547*J547), J547, I547*J547))</f>
        <v>Included</v>
      </c>
      <c r="L547" s="953">
        <f t="shared" ref="L547:L555" si="145">N547</f>
        <v>0</v>
      </c>
      <c r="M547" s="847">
        <f t="shared" si="140"/>
        <v>0</v>
      </c>
      <c r="N547" s="847">
        <f t="shared" si="141"/>
        <v>0</v>
      </c>
    </row>
    <row r="548" spans="1:14" ht="32.25">
      <c r="A548" s="952">
        <v>998736</v>
      </c>
      <c r="B548" s="809"/>
      <c r="C548" s="831">
        <v>0.18</v>
      </c>
      <c r="D548" s="828" t="s">
        <v>205</v>
      </c>
      <c r="E548" s="963">
        <v>3</v>
      </c>
      <c r="F548" s="1082" t="s">
        <v>416</v>
      </c>
      <c r="G548" s="978" t="s">
        <v>1218</v>
      </c>
      <c r="H548" s="971" t="s">
        <v>463</v>
      </c>
      <c r="I548" s="1028">
        <f>17+75</f>
        <v>92</v>
      </c>
      <c r="J548" s="1036"/>
      <c r="K548" s="1038" t="str">
        <f t="shared" si="144"/>
        <v>Included</v>
      </c>
      <c r="L548" s="953">
        <f t="shared" si="145"/>
        <v>0</v>
      </c>
      <c r="M548" s="847">
        <f t="shared" si="140"/>
        <v>0</v>
      </c>
      <c r="N548" s="847">
        <f t="shared" si="141"/>
        <v>0</v>
      </c>
    </row>
    <row r="549" spans="1:14" ht="32.25">
      <c r="A549" s="952">
        <v>998736</v>
      </c>
      <c r="B549" s="809"/>
      <c r="C549" s="831">
        <v>0.18</v>
      </c>
      <c r="D549" s="828" t="s">
        <v>205</v>
      </c>
      <c r="E549" s="963">
        <v>4</v>
      </c>
      <c r="F549" s="1082" t="s">
        <v>418</v>
      </c>
      <c r="G549" s="978" t="s">
        <v>1219</v>
      </c>
      <c r="H549" s="971" t="s">
        <v>463</v>
      </c>
      <c r="I549" s="1028">
        <f>25+75</f>
        <v>100</v>
      </c>
      <c r="J549" s="1036"/>
      <c r="K549" s="1038" t="str">
        <f t="shared" si="144"/>
        <v>Included</v>
      </c>
      <c r="L549" s="953">
        <f t="shared" si="145"/>
        <v>0</v>
      </c>
      <c r="M549" s="847">
        <f t="shared" si="140"/>
        <v>0</v>
      </c>
      <c r="N549" s="847">
        <f t="shared" si="141"/>
        <v>0</v>
      </c>
    </row>
    <row r="550" spans="1:14" ht="32.25">
      <c r="A550" s="952">
        <v>998736</v>
      </c>
      <c r="B550" s="809"/>
      <c r="C550" s="831">
        <v>0.18</v>
      </c>
      <c r="D550" s="828" t="s">
        <v>205</v>
      </c>
      <c r="E550" s="963">
        <v>5</v>
      </c>
      <c r="F550" s="1082" t="s">
        <v>420</v>
      </c>
      <c r="G550" s="978" t="s">
        <v>1220</v>
      </c>
      <c r="H550" s="982" t="s">
        <v>107</v>
      </c>
      <c r="I550" s="1028">
        <f>6+4</f>
        <v>10</v>
      </c>
      <c r="J550" s="1036"/>
      <c r="K550" s="1038" t="str">
        <f t="shared" si="144"/>
        <v>Included</v>
      </c>
      <c r="L550" s="953">
        <f t="shared" si="145"/>
        <v>0</v>
      </c>
      <c r="M550" s="847">
        <f t="shared" si="140"/>
        <v>0</v>
      </c>
      <c r="N550" s="847">
        <f t="shared" si="141"/>
        <v>0</v>
      </c>
    </row>
    <row r="551" spans="1:14" ht="32.25">
      <c r="A551" s="952">
        <v>995461</v>
      </c>
      <c r="B551" s="809"/>
      <c r="C551" s="831">
        <v>0.18</v>
      </c>
      <c r="D551" s="828" t="s">
        <v>205</v>
      </c>
      <c r="E551" s="963">
        <v>6</v>
      </c>
      <c r="F551" s="1082" t="s">
        <v>422</v>
      </c>
      <c r="G551" s="978" t="s">
        <v>1221</v>
      </c>
      <c r="H551" s="982" t="s">
        <v>107</v>
      </c>
      <c r="I551" s="1028">
        <f>3+2</f>
        <v>5</v>
      </c>
      <c r="J551" s="1036"/>
      <c r="K551" s="1038" t="str">
        <f t="shared" si="144"/>
        <v>Included</v>
      </c>
      <c r="L551" s="953">
        <f t="shared" si="145"/>
        <v>0</v>
      </c>
      <c r="M551" s="847">
        <f t="shared" si="140"/>
        <v>0</v>
      </c>
      <c r="N551" s="847">
        <f t="shared" si="141"/>
        <v>0</v>
      </c>
    </row>
    <row r="552" spans="1:14" ht="32.25">
      <c r="A552" s="952">
        <v>995461</v>
      </c>
      <c r="B552" s="809"/>
      <c r="C552" s="831">
        <v>0.18</v>
      </c>
      <c r="D552" s="828" t="s">
        <v>205</v>
      </c>
      <c r="E552" s="963">
        <v>7</v>
      </c>
      <c r="F552" s="1082" t="s">
        <v>424</v>
      </c>
      <c r="G552" s="978" t="s">
        <v>1222</v>
      </c>
      <c r="H552" s="982" t="s">
        <v>107</v>
      </c>
      <c r="I552" s="1028">
        <f>6+4</f>
        <v>10</v>
      </c>
      <c r="J552" s="1036"/>
      <c r="K552" s="1038" t="str">
        <f t="shared" si="144"/>
        <v>Included</v>
      </c>
      <c r="L552" s="953">
        <f t="shared" si="145"/>
        <v>0</v>
      </c>
      <c r="M552" s="847">
        <f t="shared" si="140"/>
        <v>0</v>
      </c>
      <c r="N552" s="847">
        <f t="shared" si="141"/>
        <v>0</v>
      </c>
    </row>
    <row r="553" spans="1:14">
      <c r="A553" s="952">
        <v>995461</v>
      </c>
      <c r="B553" s="809"/>
      <c r="C553" s="831">
        <v>0.18</v>
      </c>
      <c r="D553" s="828" t="s">
        <v>205</v>
      </c>
      <c r="E553" s="963">
        <v>8</v>
      </c>
      <c r="F553" s="1082" t="s">
        <v>426</v>
      </c>
      <c r="G553" s="978" t="s">
        <v>1223</v>
      </c>
      <c r="H553" s="982" t="s">
        <v>107</v>
      </c>
      <c r="I553" s="1028">
        <f>6+18</f>
        <v>24</v>
      </c>
      <c r="J553" s="1036"/>
      <c r="K553" s="1038" t="str">
        <f t="shared" si="144"/>
        <v>Included</v>
      </c>
      <c r="L553" s="953">
        <f t="shared" si="145"/>
        <v>0</v>
      </c>
      <c r="M553" s="847">
        <f t="shared" si="140"/>
        <v>0</v>
      </c>
      <c r="N553" s="847">
        <f t="shared" si="141"/>
        <v>0</v>
      </c>
    </row>
    <row r="554" spans="1:14" ht="32.25">
      <c r="A554" s="952">
        <v>995421</v>
      </c>
      <c r="B554" s="809"/>
      <c r="C554" s="831">
        <v>0.18</v>
      </c>
      <c r="D554" s="828" t="s">
        <v>205</v>
      </c>
      <c r="E554" s="963">
        <v>9</v>
      </c>
      <c r="F554" s="1082" t="s">
        <v>428</v>
      </c>
      <c r="G554" s="978" t="s">
        <v>1224</v>
      </c>
      <c r="H554" s="982" t="s">
        <v>107</v>
      </c>
      <c r="I554" s="1028">
        <f>8+18</f>
        <v>26</v>
      </c>
      <c r="J554" s="1036"/>
      <c r="K554" s="1038" t="str">
        <f t="shared" si="144"/>
        <v>Included</v>
      </c>
      <c r="L554" s="953">
        <f t="shared" si="145"/>
        <v>0</v>
      </c>
      <c r="M554" s="847">
        <f t="shared" si="140"/>
        <v>0</v>
      </c>
      <c r="N554" s="847">
        <f t="shared" si="141"/>
        <v>0</v>
      </c>
    </row>
    <row r="555" spans="1:14">
      <c r="A555" s="952">
        <v>995461</v>
      </c>
      <c r="B555" s="809"/>
      <c r="C555" s="831">
        <v>0.18</v>
      </c>
      <c r="D555" s="828" t="s">
        <v>205</v>
      </c>
      <c r="E555" s="963">
        <v>10</v>
      </c>
      <c r="F555" s="1082" t="s">
        <v>430</v>
      </c>
      <c r="G555" s="978" t="s">
        <v>1225</v>
      </c>
      <c r="H555" s="982" t="s">
        <v>107</v>
      </c>
      <c r="I555" s="1028">
        <f>6+12</f>
        <v>18</v>
      </c>
      <c r="J555" s="1036"/>
      <c r="K555" s="1038" t="str">
        <f t="shared" si="144"/>
        <v>Included</v>
      </c>
      <c r="L555" s="953">
        <f t="shared" si="145"/>
        <v>0</v>
      </c>
      <c r="M555" s="847">
        <f t="shared" si="140"/>
        <v>0</v>
      </c>
      <c r="N555" s="847">
        <f t="shared" si="141"/>
        <v>0</v>
      </c>
    </row>
    <row r="556" spans="1:14">
      <c r="A556" s="952">
        <v>998731</v>
      </c>
      <c r="B556" s="809"/>
      <c r="C556" s="831">
        <v>0.18</v>
      </c>
      <c r="D556" s="828" t="s">
        <v>205</v>
      </c>
      <c r="E556" s="963">
        <v>11</v>
      </c>
      <c r="F556" s="1082" t="s">
        <v>432</v>
      </c>
      <c r="G556" s="978" t="s">
        <v>1226</v>
      </c>
      <c r="H556" s="982" t="s">
        <v>107</v>
      </c>
      <c r="I556" s="1028">
        <f>8+12</f>
        <v>20</v>
      </c>
      <c r="J556" s="1036"/>
      <c r="K556" s="1038" t="str">
        <f t="shared" si="142"/>
        <v>Included</v>
      </c>
      <c r="L556" s="953">
        <f t="shared" si="143"/>
        <v>0</v>
      </c>
      <c r="M556" s="847">
        <f t="shared" si="140"/>
        <v>0</v>
      </c>
      <c r="N556" s="847">
        <f t="shared" si="141"/>
        <v>0</v>
      </c>
    </row>
    <row r="557" spans="1:14" ht="18" customHeight="1">
      <c r="A557" s="952">
        <v>995461</v>
      </c>
      <c r="B557" s="809"/>
      <c r="C557" s="831">
        <v>0.18</v>
      </c>
      <c r="D557" s="828" t="s">
        <v>205</v>
      </c>
      <c r="E557" s="963">
        <v>12</v>
      </c>
      <c r="F557" s="1082" t="s">
        <v>434</v>
      </c>
      <c r="G557" s="978" t="s">
        <v>1227</v>
      </c>
      <c r="H557" s="982" t="s">
        <v>107</v>
      </c>
      <c r="I557" s="1028">
        <f>5+12</f>
        <v>17</v>
      </c>
      <c r="J557" s="1036"/>
      <c r="K557" s="1038" t="str">
        <f t="shared" si="142"/>
        <v>Included</v>
      </c>
      <c r="L557" s="953">
        <f t="shared" si="143"/>
        <v>0</v>
      </c>
      <c r="M557" s="847">
        <f t="shared" si="140"/>
        <v>0</v>
      </c>
      <c r="N557" s="847">
        <f t="shared" si="141"/>
        <v>0</v>
      </c>
    </row>
    <row r="558" spans="1:14">
      <c r="A558" s="952">
        <v>995461</v>
      </c>
      <c r="B558" s="809"/>
      <c r="C558" s="831">
        <v>0.18</v>
      </c>
      <c r="D558" s="828" t="s">
        <v>205</v>
      </c>
      <c r="E558" s="963">
        <v>13</v>
      </c>
      <c r="F558" s="1082" t="s">
        <v>436</v>
      </c>
      <c r="G558" s="978" t="s">
        <v>1228</v>
      </c>
      <c r="H558" s="982" t="s">
        <v>1214</v>
      </c>
      <c r="I558" s="1028">
        <f>6+12</f>
        <v>18</v>
      </c>
      <c r="J558" s="1036"/>
      <c r="K558" s="1038" t="str">
        <f t="shared" si="142"/>
        <v>Included</v>
      </c>
      <c r="L558" s="953">
        <f t="shared" si="143"/>
        <v>0</v>
      </c>
      <c r="M558" s="847">
        <f t="shared" si="140"/>
        <v>0</v>
      </c>
      <c r="N558" s="847">
        <f t="shared" si="141"/>
        <v>0</v>
      </c>
    </row>
    <row r="559" spans="1:14" ht="32.25">
      <c r="A559" s="952">
        <v>995461</v>
      </c>
      <c r="B559" s="809"/>
      <c r="C559" s="831">
        <v>0.18</v>
      </c>
      <c r="D559" s="828" t="s">
        <v>205</v>
      </c>
      <c r="E559" s="963">
        <v>14</v>
      </c>
      <c r="F559" s="1082" t="s">
        <v>1138</v>
      </c>
      <c r="G559" s="978" t="s">
        <v>1229</v>
      </c>
      <c r="H559" s="982" t="s">
        <v>1214</v>
      </c>
      <c r="I559" s="1028">
        <v>1</v>
      </c>
      <c r="J559" s="1036"/>
      <c r="K559" s="1038" t="str">
        <f t="shared" si="142"/>
        <v>Included</v>
      </c>
      <c r="L559" s="953">
        <f t="shared" si="143"/>
        <v>0</v>
      </c>
      <c r="M559" s="847">
        <f t="shared" si="140"/>
        <v>0</v>
      </c>
      <c r="N559" s="847">
        <f t="shared" si="141"/>
        <v>0</v>
      </c>
    </row>
    <row r="560" spans="1:14" ht="32.25">
      <c r="A560" s="952">
        <v>998731</v>
      </c>
      <c r="B560" s="809"/>
      <c r="C560" s="831">
        <v>0.18</v>
      </c>
      <c r="D560" s="828" t="s">
        <v>205</v>
      </c>
      <c r="E560" s="963">
        <v>15</v>
      </c>
      <c r="F560" s="1082" t="s">
        <v>1140</v>
      </c>
      <c r="G560" s="978" t="s">
        <v>1230</v>
      </c>
      <c r="H560" s="982" t="s">
        <v>1214</v>
      </c>
      <c r="I560" s="1028">
        <v>2</v>
      </c>
      <c r="J560" s="1036"/>
      <c r="K560" s="1038" t="str">
        <f t="shared" si="142"/>
        <v>Included</v>
      </c>
      <c r="L560" s="953">
        <f t="shared" si="143"/>
        <v>0</v>
      </c>
      <c r="M560" s="847">
        <f t="shared" si="140"/>
        <v>0</v>
      </c>
      <c r="N560" s="847">
        <f t="shared" si="141"/>
        <v>0</v>
      </c>
    </row>
    <row r="561" spans="1:14">
      <c r="A561" s="952">
        <v>998734</v>
      </c>
      <c r="B561" s="809"/>
      <c r="C561" s="831">
        <v>0.18</v>
      </c>
      <c r="D561" s="828" t="s">
        <v>205</v>
      </c>
      <c r="E561" s="963">
        <v>16</v>
      </c>
      <c r="F561" s="1082" t="s">
        <v>1142</v>
      </c>
      <c r="G561" s="978" t="s">
        <v>1231</v>
      </c>
      <c r="H561" s="982" t="s">
        <v>1214</v>
      </c>
      <c r="I561" s="1028">
        <v>4</v>
      </c>
      <c r="J561" s="1036"/>
      <c r="K561" s="1038" t="str">
        <f t="shared" si="142"/>
        <v>Included</v>
      </c>
      <c r="L561" s="953">
        <f t="shared" si="143"/>
        <v>0</v>
      </c>
      <c r="M561" s="847">
        <f t="shared" si="140"/>
        <v>0</v>
      </c>
      <c r="N561" s="847">
        <f t="shared" si="141"/>
        <v>0</v>
      </c>
    </row>
    <row r="562" spans="1:14" ht="35.25" customHeight="1">
      <c r="A562" s="952">
        <v>995461</v>
      </c>
      <c r="B562" s="809"/>
      <c r="C562" s="831">
        <v>0.18</v>
      </c>
      <c r="D562" s="828" t="s">
        <v>205</v>
      </c>
      <c r="E562" s="963">
        <v>17</v>
      </c>
      <c r="F562" s="1082" t="s">
        <v>1144</v>
      </c>
      <c r="G562" s="978" t="s">
        <v>1232</v>
      </c>
      <c r="H562" s="982" t="s">
        <v>463</v>
      </c>
      <c r="I562" s="1028">
        <v>50</v>
      </c>
      <c r="J562" s="1036"/>
      <c r="K562" s="1038" t="str">
        <f t="shared" si="142"/>
        <v>Included</v>
      </c>
      <c r="L562" s="953">
        <f t="shared" si="143"/>
        <v>0</v>
      </c>
      <c r="M562" s="847">
        <f t="shared" si="140"/>
        <v>0</v>
      </c>
      <c r="N562" s="847">
        <f t="shared" si="141"/>
        <v>0</v>
      </c>
    </row>
    <row r="563" spans="1:14" ht="48.75" thickBot="1">
      <c r="A563" s="1044">
        <v>995424</v>
      </c>
      <c r="B563" s="938"/>
      <c r="C563" s="939">
        <v>0.18</v>
      </c>
      <c r="D563" s="940" t="s">
        <v>205</v>
      </c>
      <c r="E563" s="1045">
        <v>18</v>
      </c>
      <c r="F563" s="1091" t="s">
        <v>1146</v>
      </c>
      <c r="G563" s="1046" t="s">
        <v>1233</v>
      </c>
      <c r="H563" s="1047" t="s">
        <v>463</v>
      </c>
      <c r="I563" s="1048">
        <v>75</v>
      </c>
      <c r="J563" s="1049"/>
      <c r="K563" s="1050" t="str">
        <f t="shared" si="138"/>
        <v>Included</v>
      </c>
      <c r="L563" s="1051">
        <f t="shared" si="139"/>
        <v>0</v>
      </c>
      <c r="M563" s="847">
        <f t="shared" si="140"/>
        <v>0</v>
      </c>
      <c r="N563" s="847">
        <f t="shared" si="141"/>
        <v>0</v>
      </c>
    </row>
    <row r="564" spans="1:14" ht="17.25" thickBot="1">
      <c r="A564" s="1226" t="s">
        <v>1271</v>
      </c>
      <c r="B564" s="1227"/>
      <c r="C564" s="1227"/>
      <c r="D564" s="1227"/>
      <c r="E564" s="1227"/>
      <c r="F564" s="1227"/>
      <c r="G564" s="1227"/>
      <c r="H564" s="1227"/>
      <c r="I564" s="1227"/>
      <c r="J564" s="1228"/>
      <c r="K564" s="1056">
        <f>SUM(K546:K563)+SUM(K510:K544)</f>
        <v>0</v>
      </c>
      <c r="L564" s="1056">
        <f>SUM(L546:L563)+SUM(L510:L544)</f>
        <v>0</v>
      </c>
      <c r="M564" s="847"/>
      <c r="N564" s="847"/>
    </row>
    <row r="565" spans="1:14" ht="23.25" customHeight="1" thickBot="1">
      <c r="A565" s="1224" t="s">
        <v>1257</v>
      </c>
      <c r="B565" s="1224"/>
      <c r="C565" s="1224"/>
      <c r="D565" s="1224"/>
      <c r="E565" s="1224"/>
      <c r="F565" s="1224"/>
      <c r="G565" s="1224"/>
      <c r="H565" s="1224"/>
      <c r="I565" s="1224"/>
      <c r="J565" s="1224"/>
      <c r="K565" s="1052">
        <f>K509+K564</f>
        <v>0</v>
      </c>
      <c r="L565" s="1052">
        <f>L509+L564</f>
        <v>0</v>
      </c>
      <c r="M565" s="847">
        <f>K565*0.18</f>
        <v>0</v>
      </c>
    </row>
    <row r="566" spans="1:14" ht="22.5" customHeight="1" thickBot="1">
      <c r="A566" s="1225" t="s">
        <v>1256</v>
      </c>
      <c r="B566" s="1225"/>
      <c r="C566" s="1225"/>
      <c r="D566" s="1225"/>
      <c r="E566" s="1225"/>
      <c r="F566" s="1225"/>
      <c r="G566" s="1225"/>
      <c r="H566" s="1225"/>
      <c r="I566" s="1225"/>
      <c r="J566" s="1225"/>
      <c r="K566" s="1053">
        <f>K565+K286</f>
        <v>0</v>
      </c>
      <c r="L566" s="1053">
        <f>L565+L286</f>
        <v>0</v>
      </c>
    </row>
    <row r="567" spans="1:14" ht="25.5" customHeight="1">
      <c r="A567" s="1216" t="s">
        <v>506</v>
      </c>
      <c r="B567" s="1217"/>
      <c r="C567" s="1217"/>
      <c r="D567" s="1217"/>
      <c r="E567" s="1217"/>
      <c r="F567" s="1217"/>
      <c r="G567" s="1217"/>
      <c r="H567" s="1217"/>
      <c r="I567" s="1217"/>
      <c r="J567" s="1218"/>
      <c r="K567" s="1219">
        <f>K566+L566</f>
        <v>0</v>
      </c>
      <c r="L567" s="1220"/>
    </row>
  </sheetData>
  <sheetProtection algorithmName="SHA-512" hashValue="vB3siFhmxugTdmTraaO06dm3e1phBESpjwMMrB6gE/Sq2HSlpBa8q5T19iL2VUmbHvTxYZ2Cotmh+IbZHL7tLg==" saltValue="YQpXGDf8906L2LjQzeHfKQ==" spinCount="100000" sheet="1" objects="1" scenarios="1"/>
  <protectedRanges>
    <protectedRange sqref="G99" name="Range5_80_1_1_1_1"/>
    <protectedRange sqref="G372" name="Range5_80_1_1_1_3"/>
    <protectedRange sqref="G497" name="Range5_1_28_1_1_1_2_1"/>
    <protectedRange sqref="E510:E545" name="Range5_80_1_1_6_3"/>
  </protectedRanges>
  <mergeCells count="33">
    <mergeCell ref="A1:L1"/>
    <mergeCell ref="H8:L8"/>
    <mergeCell ref="H9:L9"/>
    <mergeCell ref="D8:F8"/>
    <mergeCell ref="D9:F9"/>
    <mergeCell ref="B6:F6"/>
    <mergeCell ref="B7:F7"/>
    <mergeCell ref="A2:L2"/>
    <mergeCell ref="H4:L4"/>
    <mergeCell ref="H5:L5"/>
    <mergeCell ref="H6:L6"/>
    <mergeCell ref="H7:L7"/>
    <mergeCell ref="A509:J509"/>
    <mergeCell ref="A13:L13"/>
    <mergeCell ref="A14:L14"/>
    <mergeCell ref="A202:L202"/>
    <mergeCell ref="A286:J286"/>
    <mergeCell ref="A266:L266"/>
    <mergeCell ref="A230:L230"/>
    <mergeCell ref="A229:J229"/>
    <mergeCell ref="A285:J285"/>
    <mergeCell ref="A201:J201"/>
    <mergeCell ref="A228:J228"/>
    <mergeCell ref="A477:J477"/>
    <mergeCell ref="A478:L478"/>
    <mergeCell ref="A287:J287"/>
    <mergeCell ref="K287:L287"/>
    <mergeCell ref="A567:J567"/>
    <mergeCell ref="K567:L567"/>
    <mergeCell ref="A545:L545"/>
    <mergeCell ref="A565:J565"/>
    <mergeCell ref="A566:J566"/>
    <mergeCell ref="A564:J564"/>
  </mergeCells>
  <phoneticPr fontId="28" type="noConversion"/>
  <conditionalFormatting sqref="B15:B200 D15:D200 J15:J200 B203:B227 D203:D227 J203:J227 B231:B265 D231:D265 J231:J265 B267:B284 D267:D284 J267:J284 B288:B476 D288:D476 J288:J476 B479:B508 D479:D508 B510:B544 D510:D544 J510:J544 B546:B563 D546:D563">
    <cfRule type="expression" dxfId="9" priority="7" stopIfTrue="1">
      <formula>A15&gt;0</formula>
    </cfRule>
  </conditionalFormatting>
  <conditionalFormatting sqref="J479:J508">
    <cfRule type="expression" dxfId="8" priority="2" stopIfTrue="1">
      <formula>I479&gt;0</formula>
    </cfRule>
  </conditionalFormatting>
  <conditionalFormatting sqref="J546:J563">
    <cfRule type="expression" dxfId="7" priority="1" stopIfTrue="1">
      <formula>I546&gt;0</formula>
    </cfRule>
  </conditionalFormatting>
  <dataValidations count="2">
    <dataValidation operator="greaterThan" allowBlank="1" showInputMessage="1" showErrorMessage="1" sqref="B479:B508 B231:B265 B267:B284 B203:B227 B510:B544 B546:B563 B288:B476 B15:B200" xr:uid="{C4C1B349-0386-4FA2-89C7-96BF981781E9}"/>
    <dataValidation type="list" operator="greaterThan" allowBlank="1" showInputMessage="1" showErrorMessage="1" error="Enter only Numeric Value greater than zero or leave the cell blank !" sqref="D479:D508 D231:D265 D267:D284 D203:D227 D510:D544 D546:D563 D288:D476 D15:D200" xr:uid="{8775D33E-4D89-44D7-96B7-09CA50C06749}">
      <formula1>"confirmed,0%,5%,12%,18%,28%"</formula1>
    </dataValidation>
  </dataValidations>
  <pageMargins left="0.7" right="0.7" top="0.75" bottom="0.75" header="0.3" footer="0.3"/>
  <pageSetup scale="36" orientation="portrait" r:id="rId1"/>
  <headerFooter>
    <oddHeader>&amp;C&amp;"Calibri"&amp;12&amp;KFF0000 डेटा वर्गीकरण : प्रतिबंधित/RESTRICTED&amp;1#_x000D_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indexed="33"/>
  </sheetPr>
  <dimension ref="A1:X69"/>
  <sheetViews>
    <sheetView tabSelected="1" view="pageBreakPreview" zoomScaleNormal="100" zoomScaleSheetLayoutView="100" workbookViewId="0">
      <selection activeCell="C20" sqref="C20"/>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6" width="10" style="146" customWidth="1"/>
    <col min="7" max="7" width="29.875" style="146" customWidth="1"/>
    <col min="8" max="8" width="10" style="146" customWidth="1"/>
    <col min="9" max="9" width="12.25" style="146" hidden="1" customWidth="1"/>
    <col min="10" max="10" width="12.625" style="146" hidden="1" customWidth="1"/>
    <col min="11" max="11" width="15" style="146" hidden="1" customWidth="1"/>
    <col min="12" max="13" width="10" style="146" hidden="1" customWidth="1"/>
    <col min="14" max="14" width="18.625" style="146" hidden="1" customWidth="1"/>
    <col min="15" max="15" width="16" style="146" hidden="1" customWidth="1"/>
    <col min="16" max="16" width="10" style="146" hidden="1" customWidth="1"/>
    <col min="17" max="17" width="10" style="146" customWidth="1"/>
    <col min="18" max="18" width="10" style="36" customWidth="1"/>
    <col min="19" max="24" width="10" style="146" customWidth="1"/>
    <col min="25" max="16384" width="10" style="36"/>
  </cols>
  <sheetData>
    <row r="1" spans="1:15" ht="18" customHeight="1">
      <c r="A1" s="56" t="str">
        <f>Cover!B3</f>
        <v>NR3/NT/W-CIVIL/DOM/K00/25/09879 (Rfx No.5002004724)</v>
      </c>
      <c r="B1" s="57"/>
      <c r="C1" s="58"/>
      <c r="D1" s="58"/>
      <c r="E1" s="8" t="s">
        <v>144</v>
      </c>
    </row>
    <row r="2" spans="1:15" ht="8.1" customHeight="1">
      <c r="A2" s="4"/>
      <c r="B2" s="13"/>
      <c r="C2" s="6"/>
      <c r="D2" s="6"/>
      <c r="E2" s="1"/>
      <c r="F2" s="180"/>
    </row>
    <row r="3" spans="1:15" ht="33.75" customHeight="1">
      <c r="A3" s="1259" t="str">
        <f>Cover!$B$2</f>
        <v>Extension of residential quarters 2 nos C type &amp; 2 nos B2 type quarters over the existing C type &amp; B2 type at 400/220 KV Shahjahanpur &amp; 765/400 KV Sohawal Substation</v>
      </c>
      <c r="B3" s="1259"/>
      <c r="C3" s="1259"/>
      <c r="D3" s="1259"/>
      <c r="E3" s="1259"/>
    </row>
    <row r="4" spans="1:15" ht="21.95" customHeight="1">
      <c r="A4" s="1263" t="s">
        <v>538</v>
      </c>
      <c r="B4" s="1263"/>
      <c r="C4" s="1263"/>
      <c r="D4" s="1263"/>
      <c r="E4" s="1263"/>
    </row>
    <row r="5" spans="1:15" ht="12" customHeight="1">
      <c r="A5" s="42"/>
      <c r="B5" s="37"/>
      <c r="C5" s="37"/>
      <c r="D5" s="37"/>
      <c r="E5" s="37"/>
    </row>
    <row r="6" spans="1:15" ht="18" customHeight="1">
      <c r="A6" s="29" t="str">
        <f>'Sch-1'!A7</f>
        <v>Bidder’s Name and Address (Bidder) :</v>
      </c>
      <c r="D6" s="61" t="s">
        <v>79</v>
      </c>
    </row>
    <row r="7" spans="1:15" ht="18" customHeight="1">
      <c r="A7" s="167" t="str">
        <f>'Sch-1'!A8</f>
        <v/>
      </c>
      <c r="D7" s="62" t="s">
        <v>1261</v>
      </c>
    </row>
    <row r="8" spans="1:15" ht="18" customHeight="1">
      <c r="A8" s="40" t="s">
        <v>539</v>
      </c>
      <c r="B8" s="1262" t="str">
        <f>IF('Sch-1'!G9=0, "", 'Sch-1'!G9)</f>
        <v/>
      </c>
      <c r="C8" s="1262"/>
      <c r="D8" s="62" t="s">
        <v>187</v>
      </c>
    </row>
    <row r="9" spans="1:15" ht="18" customHeight="1">
      <c r="A9" s="40" t="s">
        <v>540</v>
      </c>
      <c r="B9" s="1262" t="str">
        <f>IF('Sch-1'!G10=0, "", 'Sch-1'!G10)</f>
        <v/>
      </c>
      <c r="C9" s="1262"/>
      <c r="D9" s="62" t="s">
        <v>1262</v>
      </c>
    </row>
    <row r="10" spans="1:15" ht="18" customHeight="1">
      <c r="A10" s="41"/>
      <c r="B10" s="1262" t="str">
        <f>IF('Sch-1'!G11=0, "", 'Sch-1'!G11)</f>
        <v/>
      </c>
      <c r="C10" s="1262"/>
      <c r="D10" s="62" t="s">
        <v>1263</v>
      </c>
    </row>
    <row r="11" spans="1:15" ht="18" customHeight="1">
      <c r="A11" s="41"/>
      <c r="B11" s="1262" t="str">
        <f>IF('Sch-1'!G12=0, "", 'Sch-1'!G12)</f>
        <v/>
      </c>
      <c r="C11" s="1262"/>
      <c r="D11" s="62" t="s">
        <v>1264</v>
      </c>
    </row>
    <row r="12" spans="1:15" ht="8.1" customHeight="1"/>
    <row r="13" spans="1:15" ht="21.95" customHeight="1">
      <c r="A13" s="70" t="s">
        <v>541</v>
      </c>
      <c r="B13" s="1255" t="s">
        <v>542</v>
      </c>
      <c r="C13" s="1256"/>
      <c r="D13" s="1260" t="s">
        <v>543</v>
      </c>
      <c r="E13" s="1261"/>
      <c r="I13" s="1252" t="s">
        <v>544</v>
      </c>
      <c r="J13" s="1252"/>
      <c r="K13" s="1252"/>
      <c r="M13" s="1252" t="s">
        <v>545</v>
      </c>
      <c r="N13" s="1252"/>
      <c r="O13" s="1252"/>
    </row>
    <row r="14" spans="1:15" ht="18" customHeight="1">
      <c r="A14" s="755" t="s">
        <v>546</v>
      </c>
      <c r="B14" s="1248" t="s">
        <v>547</v>
      </c>
      <c r="C14" s="1248"/>
      <c r="D14" s="756"/>
      <c r="E14" s="757"/>
      <c r="I14" s="256" t="s">
        <v>548</v>
      </c>
      <c r="K14" s="256" t="e">
        <f>ROUND('Sch-1'!#REF!*#REF!,0)</f>
        <v>#REF!</v>
      </c>
      <c r="M14" s="256" t="s">
        <v>548</v>
      </c>
      <c r="O14" s="256" t="e">
        <f>ROUND('Sch-1'!#REF!*#REF!,0)</f>
        <v>#REF!</v>
      </c>
    </row>
    <row r="15" spans="1:15" ht="75.75" customHeight="1">
      <c r="A15" s="747"/>
      <c r="B15" s="1253" t="s">
        <v>549</v>
      </c>
      <c r="C15" s="1254"/>
      <c r="D15" s="1257">
        <f>'Schedule-1'!L566</f>
        <v>0</v>
      </c>
      <c r="E15" s="1258"/>
      <c r="G15" s="470"/>
    </row>
    <row r="16" spans="1:15" hidden="1">
      <c r="A16" s="747">
        <v>2</v>
      </c>
      <c r="B16" s="1248" t="s">
        <v>550</v>
      </c>
      <c r="C16" s="1248"/>
      <c r="D16" s="758"/>
      <c r="E16" s="758"/>
      <c r="G16" s="470"/>
    </row>
    <row r="17" spans="1:7" hidden="1">
      <c r="A17" s="747"/>
      <c r="B17" s="1249" t="s">
        <v>551</v>
      </c>
      <c r="C17" s="1249"/>
      <c r="D17" s="1250"/>
      <c r="E17" s="1251"/>
      <c r="G17" s="470"/>
    </row>
    <row r="18" spans="1:7" ht="18" customHeight="1">
      <c r="B18" s="46"/>
      <c r="C18" s="46"/>
      <c r="D18" s="47"/>
      <c r="E18" s="47"/>
    </row>
    <row r="19" spans="1:7" ht="30" customHeight="1">
      <c r="A19" s="33" t="s">
        <v>552</v>
      </c>
      <c r="B19" s="101" t="str">
        <f>IF('Sch-1'!F28=0,"", 'Sch-1'!F28)</f>
        <v>--2025</v>
      </c>
      <c r="C19" s="34" t="s">
        <v>120</v>
      </c>
      <c r="D19" s="95" t="str">
        <f>IF('Sch-1'!M29=0,"",'Sch-1'!M29)</f>
        <v/>
      </c>
      <c r="F19" s="257"/>
    </row>
    <row r="20" spans="1:7" ht="30" customHeight="1">
      <c r="A20" s="33" t="s">
        <v>553</v>
      </c>
      <c r="B20" s="94" t="str">
        <f>IF('Sch-1'!F29=0,"", 'Sch-1'!F29)</f>
        <v/>
      </c>
      <c r="C20" s="34" t="s">
        <v>121</v>
      </c>
      <c r="D20" s="95" t="str">
        <f>IF('Sch-1'!M30=0,"",'Sch-1'!M30)</f>
        <v/>
      </c>
      <c r="F20" s="257"/>
    </row>
    <row r="21" spans="1:7" ht="30" customHeight="1">
      <c r="A21" s="187"/>
      <c r="B21" s="186"/>
      <c r="C21" s="34"/>
      <c r="D21" s="146"/>
      <c r="E21" s="146"/>
      <c r="F21" s="257"/>
    </row>
    <row r="22" spans="1:7" ht="33" customHeight="1">
      <c r="A22" s="187"/>
      <c r="B22" s="186"/>
      <c r="C22" s="180"/>
      <c r="D22" s="195"/>
      <c r="E22" s="210"/>
      <c r="F22" s="257"/>
    </row>
    <row r="23" spans="1:7" ht="21.95" customHeight="1">
      <c r="A23" s="211"/>
      <c r="B23" s="211"/>
      <c r="C23" s="211"/>
      <c r="D23" s="211"/>
      <c r="E23" s="212"/>
    </row>
    <row r="24" spans="1:7" ht="21.95" customHeight="1">
      <c r="A24" s="211"/>
      <c r="B24" s="211"/>
      <c r="C24" s="211"/>
      <c r="D24" s="211"/>
      <c r="E24" s="212"/>
    </row>
    <row r="25" spans="1:7" ht="21.95" customHeight="1">
      <c r="A25" s="211"/>
      <c r="B25" s="211"/>
      <c r="C25" s="211"/>
      <c r="D25" s="211"/>
      <c r="E25" s="212"/>
    </row>
    <row r="26" spans="1:7" ht="21.95" customHeight="1">
      <c r="A26" s="211"/>
      <c r="B26" s="211"/>
      <c r="C26" s="211"/>
      <c r="D26" s="211"/>
      <c r="E26" s="212"/>
    </row>
    <row r="27" spans="1:7" ht="21.95" customHeight="1">
      <c r="A27" s="211"/>
      <c r="B27" s="211"/>
      <c r="C27" s="211"/>
      <c r="D27" s="211"/>
      <c r="E27" s="212"/>
    </row>
    <row r="28" spans="1:7" ht="21.95" customHeight="1">
      <c r="A28" s="211"/>
      <c r="B28" s="211"/>
      <c r="C28" s="211"/>
      <c r="D28" s="211"/>
      <c r="E28" s="212"/>
    </row>
    <row r="29" spans="1:7" ht="24.95" customHeight="1">
      <c r="A29" s="210"/>
      <c r="B29" s="210"/>
      <c r="C29" s="210"/>
      <c r="D29" s="210"/>
      <c r="E29" s="210"/>
    </row>
    <row r="30" spans="1:7" ht="24.95" customHeight="1">
      <c r="A30" s="210"/>
      <c r="B30" s="210"/>
      <c r="C30" s="210"/>
      <c r="D30" s="210"/>
      <c r="E30" s="210"/>
    </row>
    <row r="31" spans="1:7" ht="24.95" customHeight="1">
      <c r="A31" s="210"/>
      <c r="B31" s="210"/>
      <c r="C31" s="210"/>
      <c r="D31" s="210"/>
      <c r="E31" s="210"/>
    </row>
    <row r="32" spans="1:7"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c r="A52" s="210"/>
      <c r="B52" s="210"/>
      <c r="C52" s="210"/>
      <c r="D52" s="210"/>
      <c r="E52" s="210"/>
    </row>
    <row r="53" spans="1:5">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sheetData>
  <sheetProtection algorithmName="SHA-512" hashValue="mO+rsfa9uJFxQeNCuKp4Gi0LR7JRTol0pt/thOX/C2vRlLLItm6dmlUtgmMpTbMny0zXt5z7islkZkNrVZbRqw==" saltValue="4/EBHhvOdE/lasx6zMLIig==" spinCount="100000" sheet="1" objects="1" scenarios="1"/>
  <dataConsolidate/>
  <customSheetViews>
    <customSheetView guid="{B48B8B4C-A880-453D-8729-90D004BEF0DB}"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hiddenColumns="1" view="pageBreakPreview" topLeftCell="A7">
      <selection activeCell="D14" sqref="D14"/>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hiddenColumns="1" view="pageBreakPreview" topLeftCell="A7">
      <selection activeCell="D18" sqref="D18:E18"/>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hiddenColumns="1" topLeftCell="A22">
      <selection activeCell="C26" sqref="C2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B835C05C-B615-4DCB-982D-4519616B3CD8}"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17F5C48B-526E-48D2-9F97-823D578F9893}" showPageBreaks="1" printArea="1" hiddenColumns="1" view="pageBreakPreview" topLeftCell="A4">
      <selection activeCell="B15" sqref="B15:C15"/>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7F1A5DE7-1043-4C11-AB2C-CC6BC6A0F482}" showPageBreaks="1" printArea="1" hiddenColumns="1" view="pageBreakPreview" topLeftCell="A10">
      <selection activeCell="D18" sqref="D18:E18"/>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75D87FDD-0292-4E5A-8E8F-63018B009393}" showPageBreaks="1" printArea="1" hiddenRows="1" hiddenColumns="1" view="pageBreakPreview" topLeftCell="A4">
      <selection activeCell="D15" sqref="D15:E1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s>
  <mergeCells count="16">
    <mergeCell ref="A3:E3"/>
    <mergeCell ref="D13:E13"/>
    <mergeCell ref="B8:C8"/>
    <mergeCell ref="B10:C10"/>
    <mergeCell ref="A4:E4"/>
    <mergeCell ref="B11:C11"/>
    <mergeCell ref="B9:C9"/>
    <mergeCell ref="B16:C16"/>
    <mergeCell ref="B17:C17"/>
    <mergeCell ref="D17:E17"/>
    <mergeCell ref="M13:O13"/>
    <mergeCell ref="I13:K13"/>
    <mergeCell ref="B15:C15"/>
    <mergeCell ref="B14:C14"/>
    <mergeCell ref="B13:C13"/>
    <mergeCell ref="D15:E15"/>
  </mergeCells>
  <phoneticPr fontId="3" type="noConversion"/>
  <dataValidations xWindow="1008" yWindow="507" count="1">
    <dataValidation allowBlank="1" showInputMessage="1" showErrorMessage="1" prompt="You may write remarks regarding Excise Duty here." sqref="D15:D17" xr:uid="{00000000-0002-0000-0B00-000000000000}"/>
  </dataValidations>
  <printOptions horizontalCentered="1"/>
  <pageMargins left="0.31" right="0.25" top="0.52" bottom="0.67" header="0.23" footer="0.24"/>
  <pageSetup paperSize="9" scale="90" fitToHeight="0" orientation="portrait" r:id="rId24"/>
  <headerFooter alignWithMargins="0">
    <oddHeader>&amp;C&amp;"Calibri"&amp;12&amp;KFF0000 डेटा वर्गीकरण : प्रतिबंधित/RESTRICTED&amp;1#_x000D_</oddHeader>
    <oddFooter>&amp;R&amp;"Book Antiqua,Bold"&amp;10Schedule-5/ Page &amp;P of &amp;N</oddFooter>
  </headerFooter>
  <drawing r:id="rId2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indexed="33"/>
  </sheetPr>
  <dimension ref="A1:K71"/>
  <sheetViews>
    <sheetView view="pageBreakPreview" zoomScaleNormal="90" zoomScaleSheetLayoutView="100" workbookViewId="0">
      <selection activeCell="D15" sqref="D15:E15"/>
    </sheetView>
  </sheetViews>
  <sheetFormatPr defaultColWidth="10" defaultRowHeight="16.5"/>
  <cols>
    <col min="1" max="1" width="10.375" style="39" customWidth="1"/>
    <col min="2" max="2" width="40.875" style="39" customWidth="1"/>
    <col min="3" max="3" width="17.5" style="39" customWidth="1"/>
    <col min="4" max="4" width="20.5" style="39" customWidth="1"/>
    <col min="5" max="5" width="20" style="39" customWidth="1"/>
    <col min="6" max="11" width="10" style="146" customWidth="1"/>
    <col min="12" max="16384" width="10" style="36"/>
  </cols>
  <sheetData>
    <row r="1" spans="1:6" ht="18" customHeight="1">
      <c r="A1" s="56" t="str">
        <f>Cover!B3</f>
        <v>NR3/NT/W-CIVIL/DOM/K00/25/09879 (Rfx No.5002004724)</v>
      </c>
      <c r="B1" s="57"/>
      <c r="C1" s="58"/>
      <c r="D1" s="58"/>
      <c r="E1" s="8" t="s">
        <v>554</v>
      </c>
    </row>
    <row r="2" spans="1:6" ht="8.1" customHeight="1">
      <c r="A2" s="4"/>
      <c r="B2" s="13"/>
      <c r="C2" s="6"/>
      <c r="D2" s="6"/>
      <c r="E2" s="1"/>
      <c r="F2" s="180"/>
    </row>
    <row r="3" spans="1:6" ht="39.950000000000003" customHeight="1">
      <c r="A3" s="1279" t="str">
        <f>Cover!$B$2</f>
        <v>Extension of residential quarters 2 nos C type &amp; 2 nos B2 type quarters over the existing C type &amp; B2 type at 400/220 KV Shahjahanpur &amp; 765/400 KV Sohawal Substation</v>
      </c>
      <c r="B3" s="1279"/>
      <c r="C3" s="1279"/>
      <c r="D3" s="1279"/>
      <c r="E3" s="1279"/>
    </row>
    <row r="4" spans="1:6" ht="21.95" customHeight="1">
      <c r="A4" s="1263" t="s">
        <v>555</v>
      </c>
      <c r="B4" s="1263"/>
      <c r="C4" s="1263"/>
      <c r="D4" s="1263"/>
      <c r="E4" s="1263"/>
    </row>
    <row r="5" spans="1:6" ht="12" customHeight="1">
      <c r="A5" s="42"/>
      <c r="B5" s="37"/>
      <c r="C5" s="37"/>
      <c r="D5" s="37"/>
      <c r="E5" s="37"/>
    </row>
    <row r="6" spans="1:6" ht="18" customHeight="1">
      <c r="A6" s="29" t="str">
        <f>'Sch-1'!A7</f>
        <v>Bidder’s Name and Address (Bidder) :</v>
      </c>
      <c r="D6" s="61" t="s">
        <v>79</v>
      </c>
    </row>
    <row r="7" spans="1:6" ht="18" customHeight="1">
      <c r="A7" s="167" t="str">
        <f>'Sch-1'!A8</f>
        <v/>
      </c>
      <c r="D7" s="62" t="str">
        <f>'Sch-1'!M8</f>
        <v>Sr.GM , Contracts &amp; Materials Department,</v>
      </c>
    </row>
    <row r="8" spans="1:6" ht="18" customHeight="1">
      <c r="A8" s="40" t="s">
        <v>539</v>
      </c>
      <c r="B8" s="1262" t="str">
        <f>IF('Sch-1'!G9=0, "", 'Sch-1'!G9)</f>
        <v/>
      </c>
      <c r="C8" s="1262"/>
      <c r="D8" s="62" t="str">
        <f>'Sch-1'!M9</f>
        <v>Power Grid Corporation of India Ltd.,</v>
      </c>
    </row>
    <row r="9" spans="1:6" ht="18" customHeight="1">
      <c r="A9" s="40" t="s">
        <v>540</v>
      </c>
      <c r="B9" s="1262" t="str">
        <f>IF('Sch-1'!G10=0, "", 'Sch-1'!G10)</f>
        <v/>
      </c>
      <c r="C9" s="1262"/>
      <c r="D9" s="62" t="str">
        <f>'Sch-1'!M10</f>
        <v>SRTS-II, RHQ</v>
      </c>
    </row>
    <row r="10" spans="1:6" ht="18" customHeight="1">
      <c r="A10" s="41"/>
      <c r="B10" s="1262" t="str">
        <f>IF('Sch-1'!G11=0, "", 'Sch-1'!G11)</f>
        <v/>
      </c>
      <c r="C10" s="1262"/>
      <c r="D10" s="62" t="str">
        <f>'Sch-1'!M11</f>
        <v>Singanayakanahalli</v>
      </c>
    </row>
    <row r="11" spans="1:6" ht="18" customHeight="1">
      <c r="A11" s="41"/>
      <c r="B11" s="1262" t="str">
        <f>IF('Sch-1'!G12=0, "", 'Sch-1'!G12)</f>
        <v/>
      </c>
      <c r="C11" s="1262"/>
      <c r="D11" s="62" t="str">
        <f>'Sch-1'!M12</f>
        <v>Bengaluru-560064</v>
      </c>
    </row>
    <row r="12" spans="1:6" ht="8.1" customHeight="1"/>
    <row r="13" spans="1:6" ht="21.95" customHeight="1">
      <c r="A13" s="70" t="s">
        <v>541</v>
      </c>
      <c r="B13" s="1255" t="s">
        <v>542</v>
      </c>
      <c r="C13" s="1256"/>
      <c r="D13" s="1260" t="s">
        <v>543</v>
      </c>
      <c r="E13" s="1261"/>
    </row>
    <row r="14" spans="1:6" ht="18" customHeight="1">
      <c r="A14" s="43" t="s">
        <v>546</v>
      </c>
      <c r="B14" s="1273" t="s">
        <v>550</v>
      </c>
      <c r="C14" s="1280"/>
      <c r="D14" s="1266" t="e">
        <f>'Sch-1'!#REF!*(1-#REF!)</f>
        <v>#REF!</v>
      </c>
      <c r="E14" s="1267"/>
    </row>
    <row r="15" spans="1:6" ht="75.75" customHeight="1">
      <c r="A15" s="44"/>
      <c r="B15" s="1253" t="s">
        <v>556</v>
      </c>
      <c r="C15" s="1254"/>
      <c r="D15" s="1264"/>
      <c r="E15" s="1265"/>
    </row>
    <row r="16" spans="1:6" ht="18" customHeight="1">
      <c r="A16" s="43" t="s">
        <v>557</v>
      </c>
      <c r="B16" s="1273" t="s">
        <v>558</v>
      </c>
      <c r="C16" s="1274"/>
      <c r="D16" s="1266" t="e">
        <f>#REF!*(1-#REF!)</f>
        <v>#REF!</v>
      </c>
      <c r="E16" s="1267"/>
    </row>
    <row r="17" spans="1:6" ht="38.25" customHeight="1">
      <c r="A17" s="44"/>
      <c r="B17" s="1253" t="s">
        <v>559</v>
      </c>
      <c r="C17" s="1254"/>
      <c r="D17" s="1264"/>
      <c r="E17" s="1265"/>
    </row>
    <row r="18" spans="1:6" ht="18" customHeight="1">
      <c r="A18" s="1268"/>
      <c r="B18" s="1269" t="s">
        <v>560</v>
      </c>
      <c r="C18" s="1270"/>
      <c r="D18" s="1275" t="e">
        <f>D14+D16</f>
        <v>#REF!</v>
      </c>
      <c r="E18" s="1276"/>
    </row>
    <row r="19" spans="1:6" ht="23.25" customHeight="1">
      <c r="A19" s="1268"/>
      <c r="B19" s="1271"/>
      <c r="C19" s="1272"/>
      <c r="D19" s="1277"/>
      <c r="E19" s="1278"/>
    </row>
    <row r="20" spans="1:6" ht="18" customHeight="1">
      <c r="B20" s="46"/>
      <c r="C20" s="46"/>
      <c r="D20" s="47"/>
      <c r="E20" s="47"/>
    </row>
    <row r="21" spans="1:6" ht="30" customHeight="1">
      <c r="A21" s="33" t="s">
        <v>552</v>
      </c>
      <c r="B21" s="101" t="str">
        <f>IF('Sch-1'!F28=0,"", 'Sch-1'!F28)</f>
        <v>--2025</v>
      </c>
      <c r="C21" s="34" t="s">
        <v>120</v>
      </c>
      <c r="D21" s="95" t="str">
        <f>IF('Sch-1'!M29=0,"",'Sch-1'!M29)</f>
        <v/>
      </c>
      <c r="F21" s="257"/>
    </row>
    <row r="22" spans="1:6" ht="30" customHeight="1">
      <c r="A22" s="33" t="s">
        <v>553</v>
      </c>
      <c r="B22" s="94" t="str">
        <f>IF('Sch-1'!F29=0,"", 'Sch-1'!F29)</f>
        <v/>
      </c>
      <c r="C22" s="34" t="s">
        <v>121</v>
      </c>
      <c r="D22" s="95" t="str">
        <f>IF('Sch-1'!M30=0,"",'Sch-1'!M30)</f>
        <v/>
      </c>
      <c r="F22" s="257"/>
    </row>
    <row r="23" spans="1:6" ht="30" customHeight="1">
      <c r="A23" s="187"/>
      <c r="B23" s="186"/>
      <c r="C23" s="34"/>
      <c r="D23" s="146"/>
      <c r="E23" s="146"/>
      <c r="F23" s="257"/>
    </row>
    <row r="24" spans="1:6" ht="33" customHeight="1">
      <c r="A24" s="187"/>
      <c r="B24" s="186"/>
      <c r="C24" s="180"/>
      <c r="D24" s="195"/>
      <c r="E24" s="210"/>
      <c r="F24" s="257"/>
    </row>
    <row r="25" spans="1:6" ht="21.95" customHeight="1">
      <c r="A25" s="211"/>
      <c r="B25" s="211"/>
      <c r="C25" s="211"/>
      <c r="D25" s="211"/>
      <c r="E25" s="212"/>
    </row>
    <row r="26" spans="1:6" ht="21.95" customHeight="1">
      <c r="A26" s="211"/>
      <c r="B26" s="211"/>
      <c r="C26" s="211"/>
      <c r="D26" s="211"/>
      <c r="E26" s="212"/>
    </row>
    <row r="27" spans="1:6" ht="21.95" customHeight="1">
      <c r="A27" s="211"/>
      <c r="B27" s="211"/>
      <c r="C27" s="211"/>
      <c r="D27" s="211"/>
      <c r="E27" s="212"/>
    </row>
    <row r="28" spans="1:6" ht="21.95" customHeight="1">
      <c r="A28" s="211"/>
      <c r="B28" s="211"/>
      <c r="C28" s="211"/>
      <c r="D28" s="211"/>
      <c r="E28" s="212"/>
    </row>
    <row r="29" spans="1:6" ht="21.95" customHeight="1">
      <c r="A29" s="211"/>
      <c r="B29" s="211"/>
      <c r="C29" s="211"/>
      <c r="D29" s="211"/>
      <c r="E29" s="212"/>
    </row>
    <row r="30" spans="1:6" ht="21.95" customHeight="1">
      <c r="A30" s="211"/>
      <c r="B30" s="211"/>
      <c r="C30" s="211"/>
      <c r="D30" s="211"/>
      <c r="E30" s="212"/>
    </row>
    <row r="31" spans="1:6" ht="24.95" customHeight="1">
      <c r="A31" s="210"/>
      <c r="B31" s="210"/>
      <c r="C31" s="210"/>
      <c r="D31" s="210"/>
      <c r="E31" s="210"/>
    </row>
    <row r="32" spans="1:6" ht="24.95" customHeight="1">
      <c r="A32" s="210"/>
      <c r="B32" s="210"/>
      <c r="C32" s="210"/>
      <c r="D32" s="210"/>
      <c r="E32" s="210"/>
    </row>
    <row r="33" spans="1:5" ht="24.95" customHeight="1">
      <c r="A33" s="210"/>
      <c r="B33" s="210"/>
      <c r="C33" s="210"/>
      <c r="D33" s="210"/>
      <c r="E33" s="210"/>
    </row>
    <row r="34" spans="1:5" ht="24.95" customHeight="1">
      <c r="A34" s="210"/>
      <c r="B34" s="210"/>
      <c r="C34" s="210"/>
      <c r="D34" s="210"/>
      <c r="E34" s="210"/>
    </row>
    <row r="35" spans="1:5" ht="24.95" customHeight="1">
      <c r="A35" s="210"/>
      <c r="B35" s="210"/>
      <c r="C35" s="210"/>
      <c r="D35" s="210"/>
      <c r="E35" s="210"/>
    </row>
    <row r="36" spans="1:5" ht="24.95" customHeight="1">
      <c r="A36" s="210"/>
      <c r="B36" s="210"/>
      <c r="C36" s="210"/>
      <c r="D36" s="210"/>
      <c r="E36" s="210"/>
    </row>
    <row r="37" spans="1:5" ht="24.95" customHeight="1">
      <c r="A37" s="210"/>
      <c r="B37" s="210"/>
      <c r="C37" s="210"/>
      <c r="D37" s="210"/>
      <c r="E37" s="210"/>
    </row>
    <row r="38" spans="1:5" ht="24.95" customHeight="1">
      <c r="A38" s="210"/>
      <c r="B38" s="210"/>
      <c r="C38" s="210"/>
      <c r="D38" s="210"/>
      <c r="E38" s="210"/>
    </row>
    <row r="39" spans="1:5" ht="24.95" customHeight="1">
      <c r="A39" s="210"/>
      <c r="B39" s="210"/>
      <c r="C39" s="210"/>
      <c r="D39" s="210"/>
      <c r="E39" s="210"/>
    </row>
    <row r="40" spans="1:5" ht="24.95" customHeight="1">
      <c r="A40" s="210"/>
      <c r="B40" s="210"/>
      <c r="C40" s="210"/>
      <c r="D40" s="210"/>
      <c r="E40" s="210"/>
    </row>
    <row r="41" spans="1:5" ht="24.95" customHeight="1">
      <c r="A41" s="210"/>
      <c r="B41" s="210"/>
      <c r="C41" s="210"/>
      <c r="D41" s="210"/>
      <c r="E41" s="210"/>
    </row>
    <row r="42" spans="1:5" ht="24.95" customHeight="1">
      <c r="A42" s="210"/>
      <c r="B42" s="210"/>
      <c r="C42" s="210"/>
      <c r="D42" s="210"/>
      <c r="E42" s="210"/>
    </row>
    <row r="43" spans="1:5" ht="24.95" customHeight="1">
      <c r="A43" s="210"/>
      <c r="B43" s="210"/>
      <c r="C43" s="210"/>
      <c r="D43" s="210"/>
      <c r="E43" s="210"/>
    </row>
    <row r="44" spans="1:5" ht="24.95" customHeight="1">
      <c r="A44" s="210"/>
      <c r="B44" s="210"/>
      <c r="C44" s="210"/>
      <c r="D44" s="210"/>
      <c r="E44" s="210"/>
    </row>
    <row r="45" spans="1:5" ht="24.95" customHeight="1">
      <c r="A45" s="210"/>
      <c r="B45" s="210"/>
      <c r="C45" s="210"/>
      <c r="D45" s="210"/>
      <c r="E45" s="210"/>
    </row>
    <row r="46" spans="1:5" ht="24.95" customHeight="1">
      <c r="A46" s="210"/>
      <c r="B46" s="210"/>
      <c r="C46" s="210"/>
      <c r="D46" s="210"/>
      <c r="E46" s="210"/>
    </row>
    <row r="47" spans="1:5" ht="24.95" customHeight="1">
      <c r="A47" s="210"/>
      <c r="B47" s="210"/>
      <c r="C47" s="210"/>
      <c r="D47" s="210"/>
      <c r="E47" s="210"/>
    </row>
    <row r="48" spans="1:5" ht="24.95" customHeight="1">
      <c r="A48" s="210"/>
      <c r="B48" s="210"/>
      <c r="C48" s="210"/>
      <c r="D48" s="210"/>
      <c r="E48" s="210"/>
    </row>
    <row r="49" spans="1:5" ht="24.95" customHeight="1">
      <c r="A49" s="210"/>
      <c r="B49" s="210"/>
      <c r="C49" s="210"/>
      <c r="D49" s="210"/>
      <c r="E49" s="210"/>
    </row>
    <row r="50" spans="1:5" ht="24.95" customHeight="1">
      <c r="A50" s="210"/>
      <c r="B50" s="210"/>
      <c r="C50" s="210"/>
      <c r="D50" s="210"/>
      <c r="E50" s="210"/>
    </row>
    <row r="51" spans="1:5" ht="24.95" customHeight="1">
      <c r="A51" s="210"/>
      <c r="B51" s="210"/>
      <c r="C51" s="210"/>
      <c r="D51" s="210"/>
      <c r="E51" s="210"/>
    </row>
    <row r="52" spans="1:5" ht="24.95" customHeight="1">
      <c r="A52" s="210"/>
      <c r="B52" s="210"/>
      <c r="C52" s="210"/>
      <c r="D52" s="210"/>
      <c r="E52" s="210"/>
    </row>
    <row r="53" spans="1:5" ht="24.95" customHeight="1">
      <c r="A53" s="210"/>
      <c r="B53" s="210"/>
      <c r="C53" s="210"/>
      <c r="D53" s="210"/>
      <c r="E53" s="210"/>
    </row>
    <row r="54" spans="1:5">
      <c r="A54" s="210"/>
      <c r="B54" s="210"/>
      <c r="C54" s="210"/>
      <c r="D54" s="210"/>
      <c r="E54" s="210"/>
    </row>
    <row r="55" spans="1:5">
      <c r="A55" s="210"/>
      <c r="B55" s="210"/>
      <c r="C55" s="210"/>
      <c r="D55" s="210"/>
      <c r="E55" s="210"/>
    </row>
    <row r="56" spans="1:5">
      <c r="A56" s="210"/>
      <c r="B56" s="210"/>
      <c r="C56" s="210"/>
      <c r="D56" s="210"/>
      <c r="E56" s="210"/>
    </row>
    <row r="57" spans="1:5">
      <c r="A57" s="210"/>
      <c r="B57" s="210"/>
      <c r="C57" s="210"/>
      <c r="D57" s="210"/>
      <c r="E57" s="210"/>
    </row>
    <row r="58" spans="1:5">
      <c r="A58" s="210"/>
      <c r="B58" s="210"/>
      <c r="C58" s="210"/>
      <c r="D58" s="210"/>
      <c r="E58" s="210"/>
    </row>
    <row r="59" spans="1:5">
      <c r="A59" s="210"/>
      <c r="B59" s="210"/>
      <c r="C59" s="210"/>
      <c r="D59" s="210"/>
      <c r="E59" s="210"/>
    </row>
    <row r="60" spans="1:5">
      <c r="A60" s="210"/>
      <c r="B60" s="210"/>
      <c r="C60" s="210"/>
      <c r="D60" s="210"/>
      <c r="E60" s="210"/>
    </row>
    <row r="61" spans="1:5">
      <c r="A61" s="210"/>
      <c r="B61" s="210"/>
      <c r="C61" s="210"/>
      <c r="D61" s="210"/>
      <c r="E61" s="210"/>
    </row>
    <row r="62" spans="1:5">
      <c r="A62" s="210"/>
      <c r="B62" s="210"/>
      <c r="C62" s="210"/>
      <c r="D62" s="210"/>
      <c r="E62" s="210"/>
    </row>
    <row r="63" spans="1:5">
      <c r="A63" s="210"/>
      <c r="B63" s="210"/>
      <c r="C63" s="210"/>
      <c r="D63" s="210"/>
      <c r="E63" s="210"/>
    </row>
    <row r="64" spans="1:5">
      <c r="A64" s="210"/>
      <c r="B64" s="210"/>
      <c r="C64" s="210"/>
      <c r="D64" s="210"/>
      <c r="E64" s="210"/>
    </row>
    <row r="65" spans="1:5">
      <c r="A65" s="210"/>
      <c r="B65" s="210"/>
      <c r="C65" s="210"/>
      <c r="D65" s="210"/>
      <c r="E65" s="210"/>
    </row>
    <row r="66" spans="1:5">
      <c r="A66" s="210"/>
      <c r="B66" s="210"/>
      <c r="C66" s="210"/>
      <c r="D66" s="210"/>
      <c r="E66" s="210"/>
    </row>
    <row r="67" spans="1:5">
      <c r="A67" s="210"/>
      <c r="B67" s="210"/>
      <c r="C67" s="210"/>
      <c r="D67" s="210"/>
      <c r="E67" s="210"/>
    </row>
    <row r="68" spans="1:5">
      <c r="A68" s="210"/>
      <c r="B68" s="210"/>
      <c r="C68" s="210"/>
      <c r="D68" s="210"/>
      <c r="E68" s="210"/>
    </row>
    <row r="69" spans="1:5">
      <c r="A69" s="210"/>
      <c r="B69" s="210"/>
      <c r="C69" s="210"/>
      <c r="D69" s="210"/>
      <c r="E69" s="210"/>
    </row>
    <row r="70" spans="1:5">
      <c r="A70" s="210"/>
      <c r="B70" s="210"/>
      <c r="C70" s="210"/>
      <c r="D70" s="210"/>
      <c r="E70" s="210"/>
    </row>
    <row r="71" spans="1:5">
      <c r="A71" s="210"/>
      <c r="B71" s="210"/>
      <c r="C71" s="210"/>
      <c r="D71" s="210"/>
      <c r="E71" s="210"/>
    </row>
  </sheetData>
  <dataConsolidate/>
  <customSheetViews>
    <customSheetView guid="{B48B8B4C-A880-453D-8729-90D004BEF0DB}" showPageBreaks="1" printArea="1" state="hidden" view="pageBreakPreview">
      <selection activeCell="D15" sqref="D15:E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7043F04C-1FA3-449D-BEB8-4AC08DF68A5A}" showPageBreaks="1" printArea="1" state="hidden" view="pageBreakPreview" topLeftCell="A7">
      <selection activeCell="D15" sqref="D15:E15"/>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D0757F9E-DF41-4B40-A5E5-F4F8FDD8D61D}" showPageBreaks="1" printArea="1" state="hidden" view="pageBreakPreview" topLeftCell="A7">
      <selection activeCell="D15" sqref="D15:E1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E81F0721-C35D-4189-B675-E46A21339863}" scale="90" state="hidden">
      <selection activeCell="D15" sqref="D15:E16"/>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17F5C48B-526E-48D2-9F97-823D578F9893}" showPageBreaks="1" printArea="1" state="hidden" view="pageBreakPreview" topLeftCell="A7">
      <selection activeCell="D15" sqref="D15:E1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7F1A5DE7-1043-4C11-AB2C-CC6BC6A0F482}" showPageBreaks="1" printArea="1" state="hidden" view="pageBreakPreview" topLeftCell="A7">
      <selection activeCell="D15" sqref="D15:E15"/>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75D87FDD-0292-4E5A-8E8F-63018B009393}" showPageBreaks="1" printArea="1" state="hidden" view="pageBreakPreview">
      <selection activeCell="D15" sqref="D15:E15"/>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s>
  <mergeCells count="21">
    <mergeCell ref="A3:E3"/>
    <mergeCell ref="A4:E4"/>
    <mergeCell ref="B8:C8"/>
    <mergeCell ref="B9:C9"/>
    <mergeCell ref="B14:C14"/>
    <mergeCell ref="B10:C10"/>
    <mergeCell ref="B13:C13"/>
    <mergeCell ref="D15:E15"/>
    <mergeCell ref="B11:C11"/>
    <mergeCell ref="D14:E14"/>
    <mergeCell ref="D13:E13"/>
    <mergeCell ref="A18:A19"/>
    <mergeCell ref="B18:C18"/>
    <mergeCell ref="B19:C19"/>
    <mergeCell ref="D17:E17"/>
    <mergeCell ref="B16:C16"/>
    <mergeCell ref="D18:E18"/>
    <mergeCell ref="D16:E16"/>
    <mergeCell ref="D19:E19"/>
    <mergeCell ref="B17:C17"/>
    <mergeCell ref="B15:C15"/>
  </mergeCells>
  <phoneticPr fontId="28" type="noConversion"/>
  <dataValidations xWindow="962" yWindow="443" count="2">
    <dataValidation allowBlank="1" showInputMessage="1" showErrorMessage="1" prompt="You may write remarks regarding Sales Tax here." sqref="D17:E17" xr:uid="{00000000-0002-0000-0C00-000000000000}"/>
    <dataValidation allowBlank="1" showInputMessage="1" showErrorMessage="1" prompt="You may write remarks regarding Excise Duty here." sqref="D15" xr:uid="{00000000-0002-0000-0C00-000001000000}"/>
  </dataValidations>
  <printOptions horizontalCentered="1"/>
  <pageMargins left="0.31" right="0.25" top="0.52" bottom="0.67" header="0.23" footer="0.24"/>
  <pageSetup paperSize="9" scale="90" fitToHeight="0" orientation="portrait" r:id="rId21"/>
  <headerFooter alignWithMargins="0">
    <oddHeader>&amp;C&amp;"Calibri"&amp;12&amp;KFF0000 डेटा वर्गीकरण : प्रतिबंधित/RESTRICTED&amp;1#_x000D_</oddHeader>
    <oddFooter>&amp;R&amp;"Book Antiqua,Bold"&amp;10Schedule-5/ Page &amp;P of &amp;N</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indexed="13"/>
  </sheetPr>
  <dimension ref="A1:F31"/>
  <sheetViews>
    <sheetView view="pageBreakPreview" zoomScaleNormal="100" zoomScaleSheetLayoutView="100" workbookViewId="0">
      <selection activeCell="D27" sqref="D27"/>
    </sheetView>
  </sheetViews>
  <sheetFormatPr defaultColWidth="10" defaultRowHeight="16.5"/>
  <cols>
    <col min="1" max="1" width="10.625" style="39" customWidth="1"/>
    <col min="2" max="2" width="27.5" style="39" customWidth="1"/>
    <col min="3" max="3" width="21" style="39" customWidth="1"/>
    <col min="4" max="4" width="38.125" style="39" customWidth="1"/>
    <col min="5" max="16384" width="10" style="36"/>
  </cols>
  <sheetData>
    <row r="1" spans="1:6" ht="18" customHeight="1">
      <c r="A1" s="75" t="str">
        <f>Cover!B3</f>
        <v>NR3/NT/W-CIVIL/DOM/K00/25/09879 (Rfx No.5002004724)</v>
      </c>
      <c r="B1" s="76"/>
      <c r="C1" s="78"/>
      <c r="D1" s="79" t="s">
        <v>166</v>
      </c>
    </row>
    <row r="2" spans="1:6" ht="18" customHeight="1">
      <c r="A2" s="64"/>
      <c r="B2" s="82"/>
      <c r="C2" s="32"/>
      <c r="D2" s="32"/>
    </row>
    <row r="3" spans="1:6" ht="36" customHeight="1">
      <c r="A3" s="1259" t="str">
        <f>Cover!$B$2</f>
        <v>Extension of residential quarters 2 nos C type &amp; 2 nos B2 type quarters over the existing C type &amp; B2 type at 400/220 KV Shahjahanpur &amp; 765/400 KV Sohawal Substation</v>
      </c>
      <c r="B3" s="1259"/>
      <c r="C3" s="1259"/>
      <c r="D3" s="1259"/>
      <c r="E3" s="49"/>
      <c r="F3" s="49"/>
    </row>
    <row r="4" spans="1:6" ht="21.95" customHeight="1">
      <c r="A4" s="1263" t="s">
        <v>561</v>
      </c>
      <c r="B4" s="1263"/>
      <c r="C4" s="1263"/>
      <c r="D4" s="1263"/>
    </row>
    <row r="5" spans="1:6" ht="18" customHeight="1">
      <c r="A5" s="38"/>
    </row>
    <row r="6" spans="1:6" ht="18" customHeight="1">
      <c r="A6" s="29" t="str">
        <f>'Sch-1'!A7</f>
        <v>Bidder’s Name and Address (Bidder) :</v>
      </c>
      <c r="D6" s="61" t="s">
        <v>79</v>
      </c>
    </row>
    <row r="7" spans="1:6" ht="25.5" customHeight="1">
      <c r="A7" s="1290" t="str">
        <f>'Sch-1'!A8</f>
        <v/>
      </c>
      <c r="B7" s="1290"/>
      <c r="C7" s="1290"/>
      <c r="D7" s="62" t="s">
        <v>1261</v>
      </c>
      <c r="E7" s="39"/>
    </row>
    <row r="8" spans="1:6" ht="18" customHeight="1">
      <c r="A8" s="40" t="s">
        <v>539</v>
      </c>
      <c r="B8" s="1262" t="str">
        <f>IF('Sch-1'!G9=0, "", 'Sch-1'!G9)</f>
        <v/>
      </c>
      <c r="C8" s="1262"/>
      <c r="D8" s="62" t="s">
        <v>187</v>
      </c>
      <c r="E8" s="39"/>
    </row>
    <row r="9" spans="1:6" ht="18" customHeight="1">
      <c r="A9" s="40" t="s">
        <v>540</v>
      </c>
      <c r="B9" s="1262" t="str">
        <f>IF('Sch-1'!G10=0, "", 'Sch-1'!G10)</f>
        <v/>
      </c>
      <c r="C9" s="1262"/>
      <c r="D9" s="62" t="s">
        <v>1262</v>
      </c>
      <c r="E9" s="39"/>
    </row>
    <row r="10" spans="1:6" ht="18" customHeight="1">
      <c r="A10" s="41"/>
      <c r="B10" s="1262" t="str">
        <f>IF('Sch-1'!G11=0, "", 'Sch-1'!G11)</f>
        <v/>
      </c>
      <c r="C10" s="1262"/>
      <c r="D10" s="62" t="s">
        <v>1263</v>
      </c>
      <c r="E10" s="39"/>
    </row>
    <row r="11" spans="1:6" ht="18" customHeight="1">
      <c r="A11" s="41"/>
      <c r="B11" s="1262" t="str">
        <f>IF('Sch-1'!G12=0, "", 'Sch-1'!G12)</f>
        <v/>
      </c>
      <c r="C11" s="1262"/>
      <c r="D11" s="62" t="s">
        <v>1264</v>
      </c>
      <c r="E11" s="39"/>
    </row>
    <row r="12" spans="1:6" ht="18" customHeight="1">
      <c r="A12" s="50"/>
      <c r="B12" s="50"/>
      <c r="C12" s="50"/>
      <c r="D12" s="61"/>
    </row>
    <row r="13" spans="1:6" ht="21.95" customHeight="1">
      <c r="A13" s="51" t="s">
        <v>541</v>
      </c>
      <c r="B13" s="1260" t="s">
        <v>147</v>
      </c>
      <c r="C13" s="1261"/>
      <c r="D13" s="52" t="s">
        <v>543</v>
      </c>
    </row>
    <row r="14" spans="1:6" ht="21.95" hidden="1" customHeight="1">
      <c r="A14" s="43" t="s">
        <v>546</v>
      </c>
      <c r="B14" s="1283" t="s">
        <v>562</v>
      </c>
      <c r="C14" s="1283"/>
      <c r="D14" s="1286">
        <f>'Sch-1'!N23</f>
        <v>0</v>
      </c>
    </row>
    <row r="15" spans="1:6" ht="35.1" hidden="1" customHeight="1">
      <c r="A15" s="53"/>
      <c r="B15" s="1284" t="s">
        <v>563</v>
      </c>
      <c r="C15" s="1285"/>
      <c r="D15" s="1287"/>
    </row>
    <row r="16" spans="1:6" ht="21.95" hidden="1" customHeight="1">
      <c r="A16" s="43" t="s">
        <v>557</v>
      </c>
      <c r="B16" s="1283" t="s">
        <v>564</v>
      </c>
      <c r="C16" s="1283"/>
      <c r="D16" s="1286">
        <f>'Sch-2'!J20</f>
        <v>0</v>
      </c>
    </row>
    <row r="17" spans="1:6" ht="35.1" hidden="1" customHeight="1">
      <c r="A17" s="53"/>
      <c r="B17" s="1284" t="s">
        <v>565</v>
      </c>
      <c r="C17" s="1285"/>
      <c r="D17" s="1287"/>
    </row>
    <row r="18" spans="1:6" ht="15.75">
      <c r="A18" s="43" t="s">
        <v>546</v>
      </c>
      <c r="B18" s="1283" t="s">
        <v>562</v>
      </c>
      <c r="C18" s="1283"/>
      <c r="D18" s="1286">
        <f>'Schedule-1'!K566</f>
        <v>0</v>
      </c>
    </row>
    <row r="19" spans="1:6">
      <c r="A19" s="53"/>
      <c r="B19" s="1284" t="s">
        <v>2</v>
      </c>
      <c r="C19" s="1285"/>
      <c r="D19" s="1287"/>
    </row>
    <row r="20" spans="1:6" ht="23.25" customHeight="1">
      <c r="A20" s="43" t="s">
        <v>557</v>
      </c>
      <c r="B20" s="1283" t="s">
        <v>564</v>
      </c>
      <c r="C20" s="1283"/>
      <c r="D20" s="1286">
        <f>'Schedule-2'!D15:E15+'Schedule-2'!D17:E17</f>
        <v>0</v>
      </c>
    </row>
    <row r="21" spans="1:6" ht="14.25" customHeight="1">
      <c r="A21" s="53"/>
      <c r="B21" s="1284" t="s">
        <v>103</v>
      </c>
      <c r="C21" s="1285"/>
      <c r="D21" s="1287"/>
    </row>
    <row r="22" spans="1:6" ht="15.75" hidden="1">
      <c r="A22" s="43" t="s">
        <v>566</v>
      </c>
      <c r="B22" s="1283" t="s">
        <v>567</v>
      </c>
      <c r="C22" s="1283"/>
      <c r="D22" s="241">
        <f>'Sch-7'!F20</f>
        <v>0</v>
      </c>
    </row>
    <row r="23" spans="1:6" ht="6.75" hidden="1" customHeight="1">
      <c r="A23" s="53"/>
      <c r="B23" s="1288" t="s">
        <v>568</v>
      </c>
      <c r="C23" s="1285"/>
      <c r="D23" s="45"/>
    </row>
    <row r="24" spans="1:6" ht="28.5" customHeight="1">
      <c r="A24" s="1268"/>
      <c r="B24" s="1289" t="s">
        <v>569</v>
      </c>
      <c r="C24" s="1289"/>
      <c r="D24" s="1281">
        <f>D18+D20</f>
        <v>0</v>
      </c>
    </row>
    <row r="25" spans="1:6" ht="15.75">
      <c r="A25" s="1268"/>
      <c r="B25" s="1289"/>
      <c r="C25" s="1289"/>
      <c r="D25" s="1282"/>
    </row>
    <row r="26" spans="1:6" ht="18.75" customHeight="1">
      <c r="A26" s="71"/>
      <c r="B26" s="72"/>
      <c r="C26" s="72"/>
      <c r="D26" s="73"/>
    </row>
    <row r="27" spans="1:6" ht="27.95" customHeight="1">
      <c r="A27" s="89" t="s">
        <v>118</v>
      </c>
      <c r="B27" s="103" t="str">
        <f>IF('Sch-1'!F28=0,"", 'Sch-1'!F28)</f>
        <v>--2025</v>
      </c>
      <c r="C27" s="90" t="s">
        <v>120</v>
      </c>
      <c r="D27" s="99" t="str">
        <f>IF('Sch-1'!M29=0,"",'Sch-1'!M29)</f>
        <v/>
      </c>
      <c r="F27" s="91"/>
    </row>
    <row r="28" spans="1:6" ht="27.95" customHeight="1">
      <c r="A28" s="89" t="s">
        <v>119</v>
      </c>
      <c r="B28" s="103" t="str">
        <f>IF('Sch-1'!F29=0,"", 'Sch-1'!F29)</f>
        <v/>
      </c>
      <c r="C28" s="90" t="s">
        <v>121</v>
      </c>
      <c r="D28" s="99" t="str">
        <f>IF('Sch-1'!M30=0,"",'Sch-1'!M30)</f>
        <v/>
      </c>
      <c r="F28" s="64"/>
    </row>
    <row r="29" spans="1:6" ht="27.95" customHeight="1">
      <c r="A29" s="83"/>
      <c r="B29" s="82"/>
      <c r="C29" s="90"/>
      <c r="F29" s="64"/>
    </row>
    <row r="30" spans="1:6" ht="30" customHeight="1">
      <c r="A30" s="83"/>
      <c r="B30" s="82"/>
      <c r="C30" s="90"/>
      <c r="D30" s="83"/>
      <c r="F30" s="91"/>
    </row>
    <row r="31" spans="1:6" ht="30" customHeight="1">
      <c r="A31" s="48"/>
      <c r="B31" s="48"/>
      <c r="C31" s="54"/>
      <c r="E31" s="55"/>
    </row>
  </sheetData>
  <sheetProtection algorithmName="SHA-512" hashValue="ymZ3hesx0sH5TaX7d8PijLqZsu7m2sG88C041MKJHSWhBpZT5aCjnhFEOJ02/+SRB/uldOabhmeEOhD4KD1wpQ==" saltValue="g7IaQsNs22X55oCObEKfew==" spinCount="100000" sheet="1" objects="1" scenarios="1"/>
  <customSheetViews>
    <customSheetView guid="{B48B8B4C-A880-453D-8729-90D004BEF0DB}" showPageBreaks="1" printArea="1" hiddenRows="1" view="pageBreakPreview" topLeftCell="A4">
      <selection activeCell="I20" sqref="I20"/>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7043F04C-1FA3-449D-BEB8-4AC08DF68A5A}" showPageBreaks="1" printArea="1" hiddenRows="1" view="pageBreakPreview" topLeftCell="A11">
      <selection activeCell="B26" sqref="B26"/>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D0757F9E-DF41-4B40-A5E5-F4F8FDD8D61D}" showPageBreaks="1" printArea="1" view="pageBreakPreview" topLeftCell="A4">
      <selection activeCell="D22" sqref="D22"/>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E81F0721-C35D-4189-B675-E46A21339863}" showPageBreaks="1" printArea="1" view="pageBreakPreview" topLeftCell="A17">
      <selection activeCell="D9" sqref="D9"/>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B835C05C-B615-4DCB-982D-4519616B3CD8}" showPageBreaks="1" printArea="1" view="pageBreakPreview" topLeftCell="A17">
      <selection activeCell="D9" sqref="D9"/>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17F5C48B-526E-48D2-9F97-823D578F9893}" showPageBreaks="1" printArea="1" view="pageBreakPreview" topLeftCell="A16">
      <selection activeCell="D19" sqref="D19"/>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7F1A5DE7-1043-4C11-AB2C-CC6BC6A0F482}" showPageBreaks="1" printArea="1" view="pageBreakPreview" topLeftCell="A22">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75D87FDD-0292-4E5A-8E8F-63018B009393}" showPageBreaks="1" printArea="1" hiddenRows="1" view="pageBreakPreview" topLeftCell="A4">
      <selection activeCell="I20" sqref="I20"/>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s>
  <mergeCells count="25">
    <mergeCell ref="A3:D3"/>
    <mergeCell ref="A4:D4"/>
    <mergeCell ref="B13:C13"/>
    <mergeCell ref="B8:C8"/>
    <mergeCell ref="B9:C9"/>
    <mergeCell ref="A7:C7"/>
    <mergeCell ref="B10:C10"/>
    <mergeCell ref="A24:A25"/>
    <mergeCell ref="B23:C23"/>
    <mergeCell ref="B24:C25"/>
    <mergeCell ref="B21:C21"/>
    <mergeCell ref="B18:C18"/>
    <mergeCell ref="D24:D25"/>
    <mergeCell ref="B14:C14"/>
    <mergeCell ref="B15:C15"/>
    <mergeCell ref="B11:C11"/>
    <mergeCell ref="B17:C17"/>
    <mergeCell ref="B22:C22"/>
    <mergeCell ref="B19:C19"/>
    <mergeCell ref="B20:C20"/>
    <mergeCell ref="B16:C16"/>
    <mergeCell ref="D14:D15"/>
    <mergeCell ref="D16:D17"/>
    <mergeCell ref="D20:D21"/>
    <mergeCell ref="D18:D19"/>
  </mergeCells>
  <phoneticPr fontId="3" type="noConversion"/>
  <printOptions horizontalCentered="1"/>
  <pageMargins left="0.5" right="0.38" top="0.56999999999999995" bottom="0.48" header="0.38" footer="0.24"/>
  <pageSetup paperSize="9" scale="98" fitToHeight="0" orientation="portrait" r:id="rId24"/>
  <headerFooter alignWithMargins="0">
    <oddHeader>&amp;C&amp;"Calibri"&amp;12&amp;KFF0000 डेटा वर्गीकरण : प्रतिबंधित/RESTRICTED&amp;1#_x000D_</oddHeader>
    <oddFooter>&amp;R&amp;"Book Antiqua,Bold"&amp;10Schedule-6/ Page &amp;P of &amp;N</oddFooter>
  </headerFooter>
  <drawing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3"/>
    <pageSetUpPr autoPageBreaks="0"/>
  </sheetPr>
  <dimension ref="A1:AS219"/>
  <sheetViews>
    <sheetView view="pageBreakPreview" topLeftCell="A13" zoomScaleNormal="100" zoomScaleSheetLayoutView="100" workbookViewId="0">
      <selection activeCell="A16" sqref="A16:F16"/>
    </sheetView>
  </sheetViews>
  <sheetFormatPr defaultColWidth="9" defaultRowHeight="16.5"/>
  <cols>
    <col min="1" max="1" width="11.375" style="349" customWidth="1"/>
    <col min="2" max="2" width="31.375" style="308" customWidth="1"/>
    <col min="3" max="3" width="7.625" style="308" customWidth="1"/>
    <col min="4" max="4" width="10.25" style="308" customWidth="1"/>
    <col min="5" max="5" width="15.375" style="308" customWidth="1"/>
    <col min="6" max="6" width="15.75" style="308" customWidth="1"/>
    <col min="7" max="7" width="13.625" style="308" customWidth="1"/>
    <col min="8" max="8" width="20.875" style="243" customWidth="1"/>
    <col min="9" max="11" width="9" style="354" hidden="1" customWidth="1"/>
    <col min="12" max="12" width="0" style="354" hidden="1" customWidth="1"/>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NR3/NT/W-CIVIL/DOM/K00/25/09879 (Rfx No.5002004724)</v>
      </c>
      <c r="B1" s="76"/>
      <c r="C1" s="77"/>
      <c r="D1" s="77"/>
      <c r="E1" s="77"/>
      <c r="F1" s="79" t="s">
        <v>570</v>
      </c>
      <c r="G1" s="30"/>
      <c r="I1" s="254"/>
      <c r="J1" s="254"/>
      <c r="K1" s="254"/>
      <c r="L1" s="254"/>
    </row>
    <row r="2" spans="1:35" ht="3" customHeight="1">
      <c r="A2" s="64"/>
      <c r="B2" s="82"/>
      <c r="C2" s="83"/>
      <c r="D2" s="83"/>
      <c r="E2" s="83"/>
      <c r="F2" s="83"/>
      <c r="G2" s="83"/>
      <c r="I2" s="254"/>
      <c r="J2" s="254"/>
      <c r="K2" s="254"/>
      <c r="L2" s="254"/>
    </row>
    <row r="3" spans="1:35" ht="132.75" customHeight="1">
      <c r="A3" s="1299" t="str">
        <f>Cover!$B$2</f>
        <v>Extension of residential quarters 2 nos C type &amp; 2 nos B2 type quarters over the existing C type &amp; B2 type at 400/220 KV Shahjahanpur &amp; 765/400 KV Sohawal Substation</v>
      </c>
      <c r="B3" s="1299"/>
      <c r="C3" s="1299"/>
      <c r="D3" s="1299"/>
      <c r="E3" s="1299"/>
      <c r="F3" s="1299"/>
      <c r="G3" s="469"/>
      <c r="I3" s="254"/>
      <c r="J3" s="254"/>
      <c r="K3" s="254"/>
      <c r="L3" s="254"/>
      <c r="AD3" s="185" t="s">
        <v>155</v>
      </c>
      <c r="AF3" s="206">
        <f>IF(ISERROR(#REF!/('Sch-3'!D14+'Sch-3'!D16+'Sch-3'!#REF!)),0,#REF!/( 'Sch-3'!D14+'Sch-3'!D16+'Sch-3'!#REF!))</f>
        <v>0</v>
      </c>
    </row>
    <row r="4" spans="1:35" ht="21.95" customHeight="1">
      <c r="A4" s="1207" t="s">
        <v>182</v>
      </c>
      <c r="B4" s="1207"/>
      <c r="C4" s="1207"/>
      <c r="D4" s="1207"/>
      <c r="E4" s="1207"/>
      <c r="F4" s="1207"/>
      <c r="G4" s="194"/>
      <c r="I4" s="254"/>
      <c r="J4" s="254"/>
      <c r="K4" s="254"/>
      <c r="L4" s="254"/>
      <c r="AD4" s="185" t="s">
        <v>157</v>
      </c>
      <c r="AF4" s="206" t="e">
        <f>#REF!</f>
        <v>#REF!</v>
      </c>
    </row>
    <row r="5" spans="1:35" ht="18.600000000000001" customHeight="1">
      <c r="A5" s="65"/>
      <c r="B5" s="96"/>
      <c r="C5" s="96"/>
      <c r="D5" s="96"/>
      <c r="E5" s="96"/>
      <c r="F5" s="96"/>
      <c r="G5" s="96"/>
      <c r="I5" s="254"/>
      <c r="J5" s="254"/>
      <c r="K5" s="254"/>
      <c r="L5" s="254"/>
      <c r="AD5" s="185" t="s">
        <v>571</v>
      </c>
      <c r="AF5" s="206">
        <f>IF(ISERROR(#REF!/#REF!),0,#REF! /#REF!)</f>
        <v>0</v>
      </c>
    </row>
    <row r="6" spans="1:35" ht="27.95" customHeight="1">
      <c r="A6" s="29" t="str">
        <f>'Sch-1'!A7</f>
        <v>Bidder’s Name and Address (Bidder) :</v>
      </c>
      <c r="B6" s="39"/>
      <c r="C6" s="39"/>
      <c r="D6" s="448" t="s">
        <v>79</v>
      </c>
      <c r="E6" s="30"/>
      <c r="F6" s="39"/>
      <c r="G6" s="60"/>
      <c r="I6" s="254"/>
      <c r="J6" s="254"/>
      <c r="K6" s="254"/>
      <c r="L6" s="254"/>
      <c r="AD6" s="185" t="s">
        <v>572</v>
      </c>
      <c r="AF6" s="206" t="e">
        <f>#REF!</f>
        <v>#REF!</v>
      </c>
    </row>
    <row r="7" spans="1:35" ht="36" customHeight="1">
      <c r="A7" s="1295" t="str">
        <f>'Sch-1'!A8</f>
        <v/>
      </c>
      <c r="B7" s="1295"/>
      <c r="C7" s="1295"/>
      <c r="D7" s="84" t="str">
        <f>'Sch-1'!M8</f>
        <v>Sr.GM , Contracts &amp; Materials Department,</v>
      </c>
      <c r="E7" s="30"/>
      <c r="F7" s="406"/>
      <c r="G7" s="59"/>
      <c r="I7" s="254"/>
      <c r="J7" s="254"/>
      <c r="K7" s="254"/>
      <c r="L7" s="254"/>
      <c r="AD7" s="185" t="s">
        <v>160</v>
      </c>
      <c r="AF7" s="206" t="e">
        <f>SUM(AF3:AF6)</f>
        <v>#REF!</v>
      </c>
    </row>
    <row r="8" spans="1:35" ht="27.95" customHeight="1">
      <c r="A8" s="40" t="s">
        <v>539</v>
      </c>
      <c r="B8" s="1262" t="str">
        <f>IF('Sch-1'!G9=0, "", 'Sch-1'!G9)</f>
        <v/>
      </c>
      <c r="C8" s="1262"/>
      <c r="D8" s="84" t="str">
        <f>'Sch-1'!M9</f>
        <v>Power Grid Corporation of India Ltd.,</v>
      </c>
      <c r="E8" s="30"/>
      <c r="F8" s="405"/>
      <c r="G8" s="59"/>
      <c r="I8" s="254"/>
      <c r="J8" s="254"/>
      <c r="K8" s="254"/>
      <c r="L8" s="254"/>
    </row>
    <row r="9" spans="1:35" ht="27.95" customHeight="1">
      <c r="A9" s="40" t="s">
        <v>540</v>
      </c>
      <c r="B9" s="1262" t="str">
        <f>IF('Sch-1'!G10=0, "", 'Sch-1'!G10)</f>
        <v/>
      </c>
      <c r="C9" s="1262"/>
      <c r="D9" s="84" t="str">
        <f>'Sch-1'!M10</f>
        <v>SRTS-II, RHQ</v>
      </c>
      <c r="E9" s="30"/>
      <c r="F9" s="405"/>
      <c r="G9" s="59"/>
      <c r="I9" s="254"/>
      <c r="J9" s="254"/>
      <c r="K9" s="254"/>
      <c r="L9" s="254"/>
    </row>
    <row r="10" spans="1:35" ht="27.95" customHeight="1">
      <c r="A10" s="41"/>
      <c r="B10" s="1262" t="str">
        <f>IF('Sch-1'!G11=0, "", 'Sch-1'!G11)</f>
        <v/>
      </c>
      <c r="C10" s="1262"/>
      <c r="D10" s="84" t="str">
        <f>'Sch-1'!M11</f>
        <v>Singanayakanahalli</v>
      </c>
      <c r="E10" s="30"/>
      <c r="F10" s="405"/>
      <c r="G10" s="59"/>
      <c r="I10" s="254"/>
      <c r="J10" s="254"/>
      <c r="K10" s="254"/>
      <c r="L10" s="254"/>
      <c r="AD10" s="185" t="s">
        <v>161</v>
      </c>
      <c r="AF10" s="213" t="e">
        <f>'Sch-1'!#REF!</f>
        <v>#REF!</v>
      </c>
    </row>
    <row r="11" spans="1:35" ht="27.95" customHeight="1">
      <c r="A11" s="41"/>
      <c r="B11" s="1262" t="str">
        <f>IF('Sch-1'!G12=0, "", 'Sch-1'!G12)</f>
        <v/>
      </c>
      <c r="C11" s="1262"/>
      <c r="D11" s="84" t="str">
        <f>'Sch-1'!M12</f>
        <v>Bengaluru-560064</v>
      </c>
      <c r="E11" s="30"/>
      <c r="F11" s="405"/>
      <c r="G11" s="59"/>
      <c r="I11" s="254"/>
      <c r="J11" s="254"/>
      <c r="K11" s="254"/>
      <c r="L11" s="254"/>
      <c r="AD11" s="185"/>
      <c r="AF11" s="206"/>
    </row>
    <row r="12" spans="1:35" ht="8.25" customHeight="1">
      <c r="A12" s="41"/>
      <c r="B12" s="405"/>
      <c r="C12" s="405"/>
      <c r="D12" s="405"/>
      <c r="E12" s="405"/>
      <c r="F12" s="405"/>
      <c r="G12" s="59"/>
      <c r="H12" s="194"/>
      <c r="I12" s="171"/>
      <c r="J12" s="171"/>
      <c r="K12" s="171"/>
      <c r="L12" s="171"/>
      <c r="AD12" s="185"/>
      <c r="AF12" s="206"/>
    </row>
    <row r="13" spans="1:35" ht="27.95" customHeight="1">
      <c r="A13" s="29" t="s">
        <v>573</v>
      </c>
      <c r="B13" s="29"/>
      <c r="C13" s="29"/>
      <c r="D13" s="29"/>
      <c r="E13" s="29"/>
      <c r="F13" s="29"/>
      <c r="G13" s="29"/>
      <c r="H13" s="194"/>
      <c r="I13" s="171"/>
      <c r="J13" s="171"/>
      <c r="K13" s="171"/>
      <c r="L13" s="171"/>
    </row>
    <row r="14" spans="1:35" ht="33.75" customHeight="1">
      <c r="A14" s="97" t="s">
        <v>574</v>
      </c>
      <c r="B14" s="434" t="s">
        <v>575</v>
      </c>
      <c r="C14" s="434" t="s">
        <v>99</v>
      </c>
      <c r="D14" s="434" t="s">
        <v>148</v>
      </c>
      <c r="E14" s="434" t="s">
        <v>576</v>
      </c>
      <c r="F14" s="98" t="s">
        <v>577</v>
      </c>
      <c r="G14" s="290"/>
      <c r="H14" s="194"/>
      <c r="I14" s="171" t="e">
        <f>#REF!</f>
        <v>#REF!</v>
      </c>
      <c r="J14" s="171"/>
      <c r="K14" s="171"/>
      <c r="L14" s="171"/>
      <c r="AE14" s="1294" t="s">
        <v>578</v>
      </c>
      <c r="AF14" s="1294"/>
      <c r="AG14" s="187" t="s">
        <v>142</v>
      </c>
      <c r="AH14" s="1294" t="s">
        <v>579</v>
      </c>
      <c r="AI14" s="1294"/>
    </row>
    <row r="15" spans="1:35" s="409" customFormat="1">
      <c r="A15" s="581"/>
      <c r="B15" s="582"/>
      <c r="C15" s="454"/>
      <c r="D15" s="455"/>
      <c r="E15" s="451"/>
      <c r="F15" s="452"/>
      <c r="H15" s="471"/>
      <c r="I15" s="471"/>
      <c r="J15" s="471"/>
      <c r="K15" s="471"/>
      <c r="L15" s="471"/>
      <c r="M15" s="471"/>
      <c r="N15" s="471"/>
      <c r="O15" s="471"/>
      <c r="P15" s="471"/>
      <c r="Q15" s="471"/>
    </row>
    <row r="16" spans="1:35" s="409" customFormat="1" ht="15">
      <c r="A16" s="1298" t="s">
        <v>580</v>
      </c>
      <c r="B16" s="1298"/>
      <c r="C16" s="1298"/>
      <c r="D16" s="1298"/>
      <c r="E16" s="1298"/>
      <c r="F16" s="1298"/>
      <c r="H16" s="471"/>
      <c r="I16" s="471"/>
      <c r="J16" s="471"/>
      <c r="K16" s="471"/>
      <c r="L16" s="471"/>
      <c r="M16" s="471"/>
      <c r="N16" s="471"/>
      <c r="O16" s="471"/>
      <c r="P16" s="471"/>
      <c r="Q16" s="471"/>
    </row>
    <row r="17" spans="1:35" s="409" customFormat="1">
      <c r="A17" s="583"/>
      <c r="B17" s="584"/>
      <c r="C17" s="458"/>
      <c r="D17" s="459"/>
      <c r="E17" s="453"/>
      <c r="F17" s="452"/>
      <c r="H17" s="471"/>
      <c r="I17" s="471" t="e">
        <f>E17*(1-$I$14)</f>
        <v>#REF!</v>
      </c>
      <c r="J17" s="471"/>
      <c r="K17" s="471"/>
      <c r="L17" s="471"/>
      <c r="M17" s="471"/>
      <c r="N17" s="471"/>
      <c r="O17" s="471"/>
      <c r="P17" s="471"/>
      <c r="Q17" s="471"/>
    </row>
    <row r="18" spans="1:35" s="409" customFormat="1">
      <c r="A18" s="583"/>
      <c r="B18" s="585"/>
      <c r="C18" s="458"/>
      <c r="D18" s="459"/>
      <c r="E18" s="453"/>
      <c r="F18" s="452"/>
      <c r="H18" s="471"/>
      <c r="I18" s="471" t="e">
        <f>E18*(1-$I$14)</f>
        <v>#REF!</v>
      </c>
      <c r="J18" s="471"/>
      <c r="K18" s="471"/>
      <c r="L18" s="471"/>
      <c r="M18" s="471"/>
      <c r="N18" s="471"/>
      <c r="O18" s="471"/>
      <c r="P18" s="471"/>
      <c r="Q18" s="471"/>
    </row>
    <row r="19" spans="1:35" s="409" customFormat="1">
      <c r="A19" s="583"/>
      <c r="B19" s="585"/>
      <c r="C19" s="458"/>
      <c r="D19" s="459"/>
      <c r="E19" s="453"/>
      <c r="F19" s="452"/>
      <c r="H19" s="471"/>
      <c r="I19" s="471" t="e">
        <f>E19*(1-$I$14)</f>
        <v>#REF!</v>
      </c>
      <c r="J19" s="471"/>
      <c r="K19" s="471"/>
      <c r="L19" s="471"/>
      <c r="M19" s="471"/>
      <c r="N19" s="471"/>
      <c r="O19" s="471"/>
      <c r="P19" s="471"/>
      <c r="Q19" s="471"/>
    </row>
    <row r="20" spans="1:35" s="409" customFormat="1" ht="24.75" customHeight="1">
      <c r="A20" s="461"/>
      <c r="B20" s="462" t="s">
        <v>581</v>
      </c>
      <c r="C20" s="462"/>
      <c r="D20" s="462"/>
      <c r="E20" s="462"/>
      <c r="F20" s="464">
        <f>SUM(F18:F19)</f>
        <v>0</v>
      </c>
      <c r="H20" s="471"/>
      <c r="I20" s="471"/>
      <c r="J20" s="471"/>
      <c r="K20" s="471"/>
      <c r="L20" s="471"/>
      <c r="M20" s="471"/>
      <c r="N20" s="471"/>
      <c r="O20" s="471"/>
      <c r="P20" s="471"/>
      <c r="Q20" s="471"/>
    </row>
    <row r="21" spans="1:35" ht="12.75" customHeight="1">
      <c r="A21" s="301"/>
      <c r="B21" s="284"/>
      <c r="C21" s="284"/>
      <c r="D21" s="284"/>
      <c r="E21" s="284"/>
      <c r="F21" s="284"/>
      <c r="G21" s="447"/>
      <c r="H21" s="194"/>
      <c r="I21" s="171"/>
      <c r="J21" s="171"/>
      <c r="K21" s="171"/>
      <c r="L21" s="171"/>
      <c r="AE21" s="214"/>
      <c r="AF21" s="214"/>
      <c r="AH21" s="214"/>
      <c r="AI21" s="214"/>
    </row>
    <row r="22" spans="1:35" ht="24.75" customHeight="1">
      <c r="A22" s="1297"/>
      <c r="B22" s="1297"/>
      <c r="C22" s="1297"/>
      <c r="D22" s="1297"/>
      <c r="E22" s="1297"/>
      <c r="F22" s="1297"/>
      <c r="G22" s="1297"/>
      <c r="H22" s="194"/>
      <c r="I22" s="171"/>
      <c r="J22" s="171"/>
      <c r="K22" s="171"/>
      <c r="L22" s="171"/>
      <c r="AD22" s="171" t="s">
        <v>142</v>
      </c>
      <c r="AE22" s="242" t="e">
        <f>IF(#REF!&gt;0,#REF!&amp; " Item(s) in Sch-3", "")</f>
        <v>#REF!</v>
      </c>
      <c r="AF22" s="215"/>
    </row>
    <row r="23" spans="1:35" ht="27.75" customHeight="1">
      <c r="A23" s="355"/>
      <c r="B23" s="355"/>
      <c r="C23" s="1296"/>
      <c r="D23" s="1296"/>
      <c r="E23" s="1296"/>
      <c r="F23" s="1296"/>
      <c r="G23" s="1296"/>
      <c r="I23" s="254"/>
      <c r="J23" s="254"/>
      <c r="K23" s="254"/>
      <c r="L23" s="254"/>
      <c r="AE23" s="242"/>
      <c r="AF23" s="215"/>
    </row>
    <row r="24" spans="1:35" ht="27.95" customHeight="1">
      <c r="A24" s="89" t="s">
        <v>118</v>
      </c>
      <c r="B24" s="103" t="str">
        <f>'Sch-1'!F28</f>
        <v>--2025</v>
      </c>
      <c r="C24" s="1296" t="str">
        <f>"Printed Name   : " &amp; 'Sch-1'!M29</f>
        <v xml:space="preserve">Printed Name   : </v>
      </c>
      <c r="D24" s="1296"/>
      <c r="E24" s="1296"/>
      <c r="F24" s="1296"/>
      <c r="G24" s="1296"/>
      <c r="I24" s="254"/>
      <c r="J24" s="254"/>
      <c r="K24" s="254"/>
      <c r="L24" s="254"/>
    </row>
    <row r="25" spans="1:35" ht="27.95" customHeight="1">
      <c r="A25" s="89" t="s">
        <v>119</v>
      </c>
      <c r="B25" s="99" t="str">
        <f>'Sch-1'!F29</f>
        <v/>
      </c>
      <c r="C25" s="1296" t="str">
        <f>"Designation      : " &amp; 'Sch-1'!M30</f>
        <v xml:space="preserve">Designation      : </v>
      </c>
      <c r="D25" s="1296"/>
      <c r="E25" s="1296"/>
      <c r="F25" s="1296"/>
      <c r="G25" s="1296"/>
      <c r="I25" s="254"/>
      <c r="J25" s="254"/>
      <c r="K25" s="254"/>
      <c r="L25" s="254"/>
    </row>
    <row r="26" spans="1:35" ht="36.75" customHeight="1">
      <c r="A26" s="100" t="s">
        <v>582</v>
      </c>
      <c r="B26" s="1302" t="s">
        <v>583</v>
      </c>
      <c r="C26" s="1302"/>
      <c r="D26" s="1302"/>
      <c r="E26" s="1302"/>
      <c r="F26" s="1302"/>
      <c r="G26" s="539"/>
      <c r="I26" s="254"/>
      <c r="J26" s="254"/>
      <c r="K26" s="254"/>
      <c r="L26" s="254"/>
    </row>
    <row r="27" spans="1:35" ht="31.5" customHeight="1">
      <c r="A27" s="286"/>
      <c r="B27" s="30"/>
      <c r="C27" s="30"/>
      <c r="D27" s="30"/>
      <c r="E27" s="30"/>
      <c r="F27" s="30"/>
      <c r="G27" s="30"/>
      <c r="H27" s="245"/>
      <c r="I27" s="254"/>
      <c r="J27" s="254"/>
      <c r="K27" s="254"/>
      <c r="L27" s="254"/>
    </row>
    <row r="95" spans="1:12" s="171" customFormat="1">
      <c r="A95" s="191"/>
      <c r="B95" s="179"/>
      <c r="C95" s="179"/>
      <c r="D95" s="179"/>
      <c r="E95" s="179"/>
      <c r="F95" s="179"/>
      <c r="G95" s="179"/>
      <c r="H95" s="243"/>
      <c r="I95" s="254"/>
      <c r="J95" s="254"/>
      <c r="K95" s="254"/>
      <c r="L95" s="254"/>
    </row>
    <row r="96" spans="1:12" s="171" customFormat="1">
      <c r="A96" s="191"/>
      <c r="B96" s="179"/>
      <c r="C96" s="179"/>
      <c r="D96" s="179"/>
      <c r="E96" s="179"/>
      <c r="F96" s="179"/>
      <c r="G96" s="179"/>
      <c r="H96" s="243"/>
      <c r="I96" s="254"/>
      <c r="J96" s="254"/>
      <c r="K96" s="254"/>
      <c r="L96" s="254"/>
    </row>
    <row r="97" spans="1:35" s="171" customFormat="1">
      <c r="A97" s="191"/>
      <c r="B97" s="179"/>
      <c r="C97" s="179"/>
      <c r="D97" s="179"/>
      <c r="E97" s="179"/>
      <c r="F97" s="179"/>
      <c r="G97" s="179"/>
      <c r="H97" s="243"/>
      <c r="I97" s="254"/>
      <c r="J97" s="254"/>
      <c r="K97" s="254"/>
      <c r="L97" s="254"/>
    </row>
    <row r="98" spans="1:35" s="254" customFormat="1" hidden="1">
      <c r="A98" s="173" t="str">
        <f>A1</f>
        <v>NR3/NT/W-CIVIL/DOM/K00/25/09879 (Rfx No.5002004724)</v>
      </c>
      <c r="B98" s="89"/>
      <c r="C98" s="175"/>
      <c r="D98" s="175"/>
      <c r="E98" s="175"/>
      <c r="F98" s="175"/>
      <c r="G98" s="175"/>
      <c r="H98" s="174"/>
    </row>
    <row r="99" spans="1:35" s="254" customFormat="1" hidden="1">
      <c r="A99" s="64"/>
      <c r="B99" s="82"/>
      <c r="C99" s="83"/>
      <c r="D99" s="83"/>
      <c r="E99" s="83"/>
      <c r="F99" s="83"/>
      <c r="G99" s="83"/>
      <c r="H99" s="174"/>
    </row>
    <row r="100" spans="1:35" s="254" customFormat="1" ht="35.25" hidden="1" customHeight="1">
      <c r="A100" s="1300" t="str">
        <f t="shared" ref="A100:C101" si="0">A3</f>
        <v>Extension of residential quarters 2 nos C type &amp; 2 nos B2 type quarters over the existing C type &amp; B2 type at 400/220 KV Shahjahanpur &amp; 765/400 KV Sohawal Substation</v>
      </c>
      <c r="B100" s="1300">
        <f t="shared" si="0"/>
        <v>0</v>
      </c>
      <c r="C100" s="1300">
        <f t="shared" si="0"/>
        <v>0</v>
      </c>
      <c r="D100" s="1300"/>
      <c r="E100" s="1300"/>
      <c r="F100" s="1300"/>
      <c r="G100" s="1300">
        <f>G3</f>
        <v>0</v>
      </c>
      <c r="H100" s="174"/>
    </row>
    <row r="101" spans="1:35" s="254" customFormat="1" hidden="1">
      <c r="A101" s="1301" t="str">
        <f t="shared" si="0"/>
        <v>(SCHEDULE OF RATES AND PRICES )</v>
      </c>
      <c r="B101" s="1301">
        <f t="shared" si="0"/>
        <v>0</v>
      </c>
      <c r="C101" s="1301">
        <f t="shared" si="0"/>
        <v>0</v>
      </c>
      <c r="D101" s="1301"/>
      <c r="E101" s="1301"/>
      <c r="F101" s="1301"/>
      <c r="G101" s="1301">
        <f>G4</f>
        <v>0</v>
      </c>
      <c r="H101" s="174"/>
    </row>
    <row r="102" spans="1:35" s="254" customFormat="1" hidden="1">
      <c r="A102" s="65"/>
      <c r="B102" s="96"/>
      <c r="C102" s="96"/>
      <c r="D102" s="96"/>
      <c r="E102" s="96"/>
      <c r="F102" s="96"/>
      <c r="G102" s="96"/>
      <c r="H102" s="174"/>
    </row>
    <row r="103" spans="1:35" s="254" customFormat="1" hidden="1">
      <c r="A103" s="29" t="str">
        <f>A6</f>
        <v>Bidder’s Name and Address (Bidder) :</v>
      </c>
      <c r="B103" s="39"/>
      <c r="C103" s="39"/>
      <c r="D103" s="39"/>
      <c r="E103" s="39"/>
      <c r="F103" s="39"/>
      <c r="G103" s="60">
        <f t="shared" ref="G103:G108" si="1">G6</f>
        <v>0</v>
      </c>
      <c r="H103" s="174"/>
    </row>
    <row r="104" spans="1:35" s="254" customFormat="1" hidden="1">
      <c r="A104" s="1295" t="str">
        <f>A7</f>
        <v/>
      </c>
      <c r="B104" s="1295">
        <f t="shared" ref="B104:C108" si="2">B7</f>
        <v>0</v>
      </c>
      <c r="C104" s="1295">
        <f t="shared" si="2"/>
        <v>0</v>
      </c>
      <c r="D104" s="406"/>
      <c r="E104" s="406"/>
      <c r="F104" s="406"/>
      <c r="G104" s="59">
        <f t="shared" si="1"/>
        <v>0</v>
      </c>
      <c r="H104" s="174"/>
    </row>
    <row r="105" spans="1:35" s="254" customFormat="1" hidden="1">
      <c r="A105" s="40" t="str">
        <f>A8</f>
        <v>Name     :</v>
      </c>
      <c r="B105" s="1262" t="str">
        <f t="shared" si="2"/>
        <v/>
      </c>
      <c r="C105" s="1262">
        <f t="shared" si="2"/>
        <v>0</v>
      </c>
      <c r="D105" s="405"/>
      <c r="E105" s="405"/>
      <c r="F105" s="405"/>
      <c r="G105" s="59">
        <f t="shared" si="1"/>
        <v>0</v>
      </c>
      <c r="H105" s="174"/>
    </row>
    <row r="106" spans="1:35" s="254" customFormat="1" hidden="1">
      <c r="A106" s="40" t="str">
        <f>A9</f>
        <v>Address :</v>
      </c>
      <c r="B106" s="1262" t="str">
        <f t="shared" si="2"/>
        <v/>
      </c>
      <c r="C106" s="1262">
        <f t="shared" si="2"/>
        <v>0</v>
      </c>
      <c r="D106" s="405"/>
      <c r="E106" s="405"/>
      <c r="F106" s="405"/>
      <c r="G106" s="59">
        <f t="shared" si="1"/>
        <v>0</v>
      </c>
      <c r="H106" s="174"/>
    </row>
    <row r="107" spans="1:35" s="254" customFormat="1" hidden="1">
      <c r="A107" s="41"/>
      <c r="B107" s="1262" t="str">
        <f t="shared" si="2"/>
        <v/>
      </c>
      <c r="C107" s="1262">
        <f t="shared" si="2"/>
        <v>0</v>
      </c>
      <c r="D107" s="405"/>
      <c r="E107" s="405"/>
      <c r="F107" s="405"/>
      <c r="G107" s="59">
        <f t="shared" si="1"/>
        <v>0</v>
      </c>
      <c r="H107" s="174"/>
    </row>
    <row r="108" spans="1:35" s="254" customFormat="1" hidden="1">
      <c r="A108" s="41"/>
      <c r="B108" s="1262" t="str">
        <f t="shared" si="2"/>
        <v/>
      </c>
      <c r="C108" s="1262">
        <f t="shared" si="2"/>
        <v>0</v>
      </c>
      <c r="D108" s="405"/>
      <c r="E108" s="405"/>
      <c r="F108" s="405"/>
      <c r="G108" s="59">
        <f t="shared" si="1"/>
        <v>0</v>
      </c>
      <c r="H108" s="174"/>
    </row>
    <row r="109" spans="1:35" s="254" customFormat="1" hidden="1">
      <c r="A109" s="286"/>
      <c r="B109" s="30"/>
      <c r="C109" s="30"/>
      <c r="D109" s="30"/>
      <c r="E109" s="30"/>
      <c r="F109" s="30"/>
      <c r="G109" s="30"/>
      <c r="H109" s="174"/>
    </row>
    <row r="110" spans="1:35" s="254" customFormat="1" ht="33.75" hidden="1" customHeight="1">
      <c r="A110" s="284" t="str">
        <f>A14</f>
        <v>SL. NO.</v>
      </c>
      <c r="B110" s="289" t="str">
        <f>B14</f>
        <v>Description of Test</v>
      </c>
      <c r="C110" s="1292">
        <f>G14</f>
        <v>0</v>
      </c>
      <c r="D110" s="1292"/>
      <c r="E110" s="1292"/>
      <c r="F110" s="1292"/>
      <c r="G110" s="1292"/>
      <c r="H110" s="174"/>
      <c r="AE110" s="1292"/>
      <c r="AF110" s="1292"/>
      <c r="AH110" s="1292"/>
      <c r="AI110" s="1292"/>
    </row>
    <row r="111" spans="1:35" s="254" customFormat="1" hidden="1">
      <c r="A111" s="96" t="e">
        <f>#REF!</f>
        <v>#REF!</v>
      </c>
      <c r="B111" s="96" t="e">
        <f>#REF!</f>
        <v>#REF!</v>
      </c>
      <c r="C111" s="1293" t="e">
        <f>#REF!</f>
        <v>#REF!</v>
      </c>
      <c r="D111" s="1293"/>
      <c r="E111" s="1293"/>
      <c r="F111" s="1293"/>
      <c r="G111" s="1293"/>
      <c r="H111" s="174"/>
      <c r="AE111" s="1293"/>
      <c r="AF111" s="1293"/>
      <c r="AH111" s="1293"/>
      <c r="AI111" s="1293"/>
    </row>
    <row r="112" spans="1:35" s="254" customFormat="1" hidden="1">
      <c r="A112" s="291" t="e">
        <f>#REF!</f>
        <v>#REF!</v>
      </c>
      <c r="B112" s="292" t="e">
        <f>#REF!</f>
        <v>#REF!</v>
      </c>
      <c r="C112" s="1293"/>
      <c r="D112" s="1293"/>
      <c r="E112" s="1293"/>
      <c r="F112" s="1293"/>
      <c r="G112" s="1293"/>
      <c r="H112" s="174"/>
      <c r="AE112" s="1293"/>
      <c r="AF112" s="1293"/>
      <c r="AH112" s="1293"/>
      <c r="AI112" s="1293"/>
    </row>
    <row r="113" spans="1:35" s="254" customFormat="1" hidden="1">
      <c r="A113" s="293" t="e">
        <f>#REF!</f>
        <v>#REF!</v>
      </c>
      <c r="B113" s="294" t="e">
        <f>#REF!</f>
        <v>#REF!</v>
      </c>
      <c r="C113" s="1291" t="e">
        <f>#REF!</f>
        <v>#REF!</v>
      </c>
      <c r="D113" s="1291"/>
      <c r="E113" s="1291"/>
      <c r="F113" s="1291"/>
      <c r="G113" s="1291"/>
      <c r="H113" s="173"/>
      <c r="AE113" s="295"/>
      <c r="AF113" s="295"/>
      <c r="AH113" s="295"/>
      <c r="AI113" s="295"/>
    </row>
    <row r="114" spans="1:35" s="254" customFormat="1" hidden="1">
      <c r="A114" s="293" t="e">
        <f>#REF!</f>
        <v>#REF!</v>
      </c>
      <c r="B114" s="294" t="e">
        <f>#REF!</f>
        <v>#REF!</v>
      </c>
      <c r="C114" s="1291" t="e">
        <f>#REF!</f>
        <v>#REF!</v>
      </c>
      <c r="D114" s="1291"/>
      <c r="E114" s="1291"/>
      <c r="F114" s="1291"/>
      <c r="G114" s="1291"/>
      <c r="H114" s="173"/>
      <c r="AE114" s="296"/>
      <c r="AF114" s="296"/>
      <c r="AH114" s="295"/>
      <c r="AI114" s="296"/>
    </row>
    <row r="115" spans="1:35" s="254" customFormat="1" ht="20.100000000000001" hidden="1" customHeight="1">
      <c r="A115" s="297"/>
      <c r="B115" s="292" t="e">
        <f>#REF!</f>
        <v>#REF!</v>
      </c>
      <c r="C115" s="1291" t="e">
        <f>#REF!</f>
        <v>#REF!</v>
      </c>
      <c r="D115" s="1291"/>
      <c r="E115" s="1291"/>
      <c r="F115" s="1291"/>
      <c r="G115" s="1291"/>
      <c r="H115" s="174"/>
      <c r="AE115" s="296"/>
      <c r="AF115" s="296"/>
      <c r="AH115" s="296"/>
      <c r="AI115" s="296"/>
    </row>
    <row r="116" spans="1:35" s="254" customFormat="1" hidden="1">
      <c r="A116" s="291" t="e">
        <f>#REF!</f>
        <v>#REF!</v>
      </c>
      <c r="B116" s="292" t="e">
        <f>#REF!</f>
        <v>#REF!</v>
      </c>
      <c r="C116" s="1291"/>
      <c r="D116" s="1291"/>
      <c r="E116" s="1291"/>
      <c r="F116" s="1291"/>
      <c r="G116" s="1291"/>
      <c r="H116" s="174"/>
      <c r="AE116" s="1291"/>
      <c r="AF116" s="1291"/>
      <c r="AH116" s="1291"/>
      <c r="AI116" s="1291"/>
    </row>
    <row r="117" spans="1:35" s="254" customFormat="1" hidden="1">
      <c r="A117" s="298" t="e">
        <f>#REF!</f>
        <v>#REF!</v>
      </c>
      <c r="B117" s="292" t="e">
        <f>#REF!</f>
        <v>#REF!</v>
      </c>
      <c r="C117" s="1291"/>
      <c r="D117" s="1291"/>
      <c r="E117" s="1291"/>
      <c r="F117" s="1291"/>
      <c r="G117" s="1291"/>
      <c r="H117" s="174"/>
      <c r="AE117" s="1291"/>
      <c r="AF117" s="1291"/>
      <c r="AH117" s="1291"/>
      <c r="AI117" s="1291"/>
    </row>
    <row r="118" spans="1:35" s="254" customFormat="1" hidden="1">
      <c r="A118" s="299" t="e">
        <f>#REF!</f>
        <v>#REF!</v>
      </c>
      <c r="B118" s="292" t="e">
        <f>#REF!</f>
        <v>#REF!</v>
      </c>
      <c r="C118" s="1291"/>
      <c r="D118" s="1291"/>
      <c r="E118" s="1291"/>
      <c r="F118" s="1291"/>
      <c r="G118" s="1291"/>
      <c r="H118" s="174"/>
      <c r="AE118" s="1291"/>
      <c r="AF118" s="1291"/>
      <c r="AH118" s="1291"/>
      <c r="AI118" s="1291"/>
    </row>
    <row r="119" spans="1:35" s="254" customFormat="1" hidden="1">
      <c r="A119" s="293" t="e">
        <f>#REF!</f>
        <v>#REF!</v>
      </c>
      <c r="B119" s="294" t="e">
        <f>#REF!</f>
        <v>#REF!</v>
      </c>
      <c r="C119" s="1291" t="e">
        <f>#REF!</f>
        <v>#REF!</v>
      </c>
      <c r="D119" s="1291"/>
      <c r="E119" s="1291"/>
      <c r="F119" s="1291"/>
      <c r="G119" s="1291"/>
      <c r="H119" s="173"/>
      <c r="AE119" s="296"/>
      <c r="AF119" s="296"/>
      <c r="AH119" s="295"/>
      <c r="AI119" s="296"/>
    </row>
    <row r="120" spans="1:35" s="254" customFormat="1" hidden="1">
      <c r="A120" s="293" t="e">
        <f>#REF!</f>
        <v>#REF!</v>
      </c>
      <c r="B120" s="294" t="e">
        <f>#REF!</f>
        <v>#REF!</v>
      </c>
      <c r="C120" s="1291" t="e">
        <f>#REF!</f>
        <v>#REF!</v>
      </c>
      <c r="D120" s="1291"/>
      <c r="E120" s="1291"/>
      <c r="F120" s="1291"/>
      <c r="G120" s="1291"/>
      <c r="H120" s="173"/>
      <c r="AE120" s="296"/>
      <c r="AF120" s="296"/>
      <c r="AH120" s="295"/>
      <c r="AI120" s="296"/>
    </row>
    <row r="121" spans="1:35" s="254" customFormat="1" hidden="1">
      <c r="A121" s="293" t="e">
        <f>#REF!</f>
        <v>#REF!</v>
      </c>
      <c r="B121" s="294" t="e">
        <f>#REF!</f>
        <v>#REF!</v>
      </c>
      <c r="C121" s="1291" t="e">
        <f>#REF!</f>
        <v>#REF!</v>
      </c>
      <c r="D121" s="1291"/>
      <c r="E121" s="1291"/>
      <c r="F121" s="1291"/>
      <c r="G121" s="1291"/>
      <c r="H121" s="173"/>
      <c r="AE121" s="296"/>
      <c r="AF121" s="296"/>
      <c r="AH121" s="295"/>
      <c r="AI121" s="296"/>
    </row>
    <row r="122" spans="1:35" s="254" customFormat="1" hidden="1">
      <c r="A122" s="293" t="e">
        <f>#REF!</f>
        <v>#REF!</v>
      </c>
      <c r="B122" s="294" t="e">
        <f>#REF!</f>
        <v>#REF!</v>
      </c>
      <c r="C122" s="1291" t="e">
        <f>#REF!</f>
        <v>#REF!</v>
      </c>
      <c r="D122" s="1291"/>
      <c r="E122" s="1291"/>
      <c r="F122" s="1291"/>
      <c r="G122" s="1291"/>
      <c r="H122" s="173"/>
      <c r="AE122" s="296"/>
      <c r="AF122" s="296"/>
      <c r="AH122" s="295"/>
      <c r="AI122" s="296"/>
    </row>
    <row r="123" spans="1:35" s="254" customFormat="1" hidden="1">
      <c r="A123" s="293"/>
      <c r="B123" s="292" t="e">
        <f>#REF!</f>
        <v>#REF!</v>
      </c>
      <c r="C123" s="1291" t="e">
        <f>#REF!</f>
        <v>#REF!</v>
      </c>
      <c r="D123" s="1291"/>
      <c r="E123" s="1291"/>
      <c r="F123" s="1291"/>
      <c r="G123" s="1291"/>
      <c r="H123" s="173"/>
      <c r="AE123" s="296"/>
      <c r="AF123" s="296"/>
      <c r="AH123" s="296"/>
      <c r="AI123" s="296"/>
    </row>
    <row r="124" spans="1:35" s="254" customFormat="1" ht="20.100000000000001" hidden="1" customHeight="1">
      <c r="A124" s="299" t="e">
        <f>#REF!</f>
        <v>#REF!</v>
      </c>
      <c r="B124" s="292" t="e">
        <f>#REF!</f>
        <v>#REF!</v>
      </c>
      <c r="C124" s="1291"/>
      <c r="D124" s="1291"/>
      <c r="E124" s="1291"/>
      <c r="F124" s="1291"/>
      <c r="G124" s="1291"/>
      <c r="H124" s="173"/>
      <c r="AE124" s="296"/>
      <c r="AF124" s="296"/>
      <c r="AH124" s="296"/>
      <c r="AI124" s="296"/>
    </row>
    <row r="125" spans="1:35" s="254" customFormat="1" hidden="1">
      <c r="A125" s="293" t="e">
        <f>#REF!</f>
        <v>#REF!</v>
      </c>
      <c r="B125" s="294" t="e">
        <f>#REF!</f>
        <v>#REF!</v>
      </c>
      <c r="C125" s="1291" t="e">
        <f>#REF!</f>
        <v>#REF!</v>
      </c>
      <c r="D125" s="1291"/>
      <c r="E125" s="1291"/>
      <c r="F125" s="1291"/>
      <c r="G125" s="1291"/>
      <c r="H125" s="173"/>
      <c r="AE125" s="296"/>
      <c r="AF125" s="296"/>
      <c r="AH125" s="295"/>
      <c r="AI125" s="296"/>
    </row>
    <row r="126" spans="1:35" s="254" customFormat="1" hidden="1">
      <c r="A126" s="293" t="e">
        <f>#REF!</f>
        <v>#REF!</v>
      </c>
      <c r="B126" s="294" t="e">
        <f>#REF!</f>
        <v>#REF!</v>
      </c>
      <c r="C126" s="1291" t="e">
        <f>#REF!</f>
        <v>#REF!</v>
      </c>
      <c r="D126" s="1291"/>
      <c r="E126" s="1291"/>
      <c r="F126" s="1291"/>
      <c r="G126" s="1291"/>
      <c r="H126" s="173"/>
      <c r="AE126" s="296"/>
      <c r="AF126" s="296"/>
      <c r="AH126" s="295"/>
      <c r="AI126" s="296"/>
    </row>
    <row r="127" spans="1:35" s="254" customFormat="1" ht="20.100000000000001" hidden="1" customHeight="1">
      <c r="A127" s="293" t="e">
        <f>#REF!</f>
        <v>#REF!</v>
      </c>
      <c r="B127" s="294" t="e">
        <f>#REF!</f>
        <v>#REF!</v>
      </c>
      <c r="C127" s="1291" t="e">
        <f>#REF!</f>
        <v>#REF!</v>
      </c>
      <c r="D127" s="1291"/>
      <c r="E127" s="1291"/>
      <c r="F127" s="1291"/>
      <c r="G127" s="1291"/>
      <c r="H127" s="173"/>
      <c r="AE127" s="296"/>
      <c r="AF127" s="296"/>
      <c r="AH127" s="295"/>
      <c r="AI127" s="296"/>
    </row>
    <row r="128" spans="1:35" s="254" customFormat="1" hidden="1">
      <c r="A128" s="293" t="e">
        <f>#REF!</f>
        <v>#REF!</v>
      </c>
      <c r="B128" s="294" t="e">
        <f>#REF!</f>
        <v>#REF!</v>
      </c>
      <c r="C128" s="1291" t="e">
        <f>#REF!</f>
        <v>#REF!</v>
      </c>
      <c r="D128" s="1291"/>
      <c r="E128" s="1291"/>
      <c r="F128" s="1291"/>
      <c r="G128" s="1291"/>
      <c r="H128" s="173"/>
      <c r="AE128" s="296"/>
      <c r="AF128" s="296"/>
      <c r="AH128" s="295"/>
      <c r="AI128" s="296"/>
    </row>
    <row r="129" spans="1:35" s="255" customFormat="1" ht="20.100000000000001" hidden="1" customHeight="1">
      <c r="A129" s="300"/>
      <c r="B129" s="292" t="e">
        <f>#REF!</f>
        <v>#REF!</v>
      </c>
      <c r="C129" s="1291" t="e">
        <f>#REF!</f>
        <v>#REF!</v>
      </c>
      <c r="D129" s="1291"/>
      <c r="E129" s="1291"/>
      <c r="F129" s="1291"/>
      <c r="G129" s="1291"/>
      <c r="H129" s="173"/>
      <c r="AE129" s="296"/>
      <c r="AF129" s="296"/>
      <c r="AH129" s="296"/>
      <c r="AI129" s="296"/>
    </row>
    <row r="130" spans="1:35" s="254" customFormat="1" ht="24" hidden="1" customHeight="1">
      <c r="A130" s="299" t="e">
        <f>#REF!</f>
        <v>#REF!</v>
      </c>
      <c r="B130" s="292" t="e">
        <f>#REF!</f>
        <v>#REF!</v>
      </c>
      <c r="C130" s="1291"/>
      <c r="D130" s="1291"/>
      <c r="E130" s="1291"/>
      <c r="F130" s="1291"/>
      <c r="G130" s="1291"/>
      <c r="H130" s="173"/>
      <c r="AE130" s="296"/>
      <c r="AF130" s="296"/>
      <c r="AH130" s="296"/>
      <c r="AI130" s="296"/>
    </row>
    <row r="131" spans="1:35" s="254" customFormat="1" hidden="1">
      <c r="A131" s="293" t="e">
        <f>#REF!</f>
        <v>#REF!</v>
      </c>
      <c r="B131" s="294" t="e">
        <f>#REF!</f>
        <v>#REF!</v>
      </c>
      <c r="C131" s="1291" t="e">
        <f>#REF!</f>
        <v>#REF!</v>
      </c>
      <c r="D131" s="1291"/>
      <c r="E131" s="1291"/>
      <c r="F131" s="1291"/>
      <c r="G131" s="1291"/>
      <c r="H131" s="173"/>
      <c r="AE131" s="296"/>
      <c r="AF131" s="296"/>
      <c r="AH131" s="295"/>
      <c r="AI131" s="296"/>
    </row>
    <row r="132" spans="1:35" s="254" customFormat="1" hidden="1">
      <c r="A132" s="293" t="e">
        <f>#REF!</f>
        <v>#REF!</v>
      </c>
      <c r="B132" s="294" t="e">
        <f>#REF!</f>
        <v>#REF!</v>
      </c>
      <c r="C132" s="1291" t="e">
        <f>#REF!</f>
        <v>#REF!</v>
      </c>
      <c r="D132" s="1291"/>
      <c r="E132" s="1291"/>
      <c r="F132" s="1291"/>
      <c r="G132" s="1291"/>
      <c r="H132" s="173"/>
      <c r="AE132" s="296"/>
      <c r="AF132" s="296"/>
      <c r="AH132" s="295"/>
      <c r="AI132" s="296"/>
    </row>
    <row r="133" spans="1:35" s="254" customFormat="1" ht="33" hidden="1" customHeight="1">
      <c r="A133" s="293" t="e">
        <f>#REF!</f>
        <v>#REF!</v>
      </c>
      <c r="B133" s="294" t="e">
        <f>#REF!</f>
        <v>#REF!</v>
      </c>
      <c r="C133" s="1291" t="e">
        <f>#REF!</f>
        <v>#REF!</v>
      </c>
      <c r="D133" s="1291"/>
      <c r="E133" s="1291"/>
      <c r="F133" s="1291"/>
      <c r="G133" s="1291"/>
      <c r="H133" s="173"/>
      <c r="AE133" s="296"/>
      <c r="AF133" s="296"/>
      <c r="AH133" s="295"/>
      <c r="AI133" s="296"/>
    </row>
    <row r="134" spans="1:35" s="255" customFormat="1" ht="20.100000000000001" hidden="1" customHeight="1">
      <c r="A134" s="293"/>
      <c r="B134" s="292" t="e">
        <f>#REF!</f>
        <v>#REF!</v>
      </c>
      <c r="C134" s="1291" t="e">
        <f>#REF!</f>
        <v>#REF!</v>
      </c>
      <c r="D134" s="1291"/>
      <c r="E134" s="1291"/>
      <c r="F134" s="1291"/>
      <c r="G134" s="1291"/>
      <c r="H134" s="173"/>
      <c r="AE134" s="296"/>
      <c r="AF134" s="296"/>
      <c r="AH134" s="296"/>
      <c r="AI134" s="296"/>
    </row>
    <row r="135" spans="1:35" s="254" customFormat="1" ht="20.100000000000001" hidden="1" customHeight="1">
      <c r="A135" s="299" t="e">
        <f>#REF!</f>
        <v>#REF!</v>
      </c>
      <c r="B135" s="292" t="e">
        <f>#REF!</f>
        <v>#REF!</v>
      </c>
      <c r="C135" s="1291"/>
      <c r="D135" s="1291"/>
      <c r="E135" s="1291"/>
      <c r="F135" s="1291"/>
      <c r="G135" s="1291"/>
      <c r="H135" s="173"/>
      <c r="AE135" s="296"/>
      <c r="AF135" s="296"/>
      <c r="AH135" s="296"/>
      <c r="AI135" s="296"/>
    </row>
    <row r="136" spans="1:35" s="254" customFormat="1" hidden="1">
      <c r="A136" s="293" t="e">
        <f>#REF!</f>
        <v>#REF!</v>
      </c>
      <c r="B136" s="294" t="e">
        <f>#REF!</f>
        <v>#REF!</v>
      </c>
      <c r="C136" s="1291" t="e">
        <f>#REF!</f>
        <v>#REF!</v>
      </c>
      <c r="D136" s="1291"/>
      <c r="E136" s="1291"/>
      <c r="F136" s="1291"/>
      <c r="G136" s="1291"/>
      <c r="H136" s="173"/>
      <c r="AE136" s="296"/>
      <c r="AF136" s="296"/>
      <c r="AH136" s="295"/>
      <c r="AI136" s="296"/>
    </row>
    <row r="137" spans="1:35" s="254" customFormat="1" hidden="1">
      <c r="A137" s="293" t="e">
        <f>#REF!</f>
        <v>#REF!</v>
      </c>
      <c r="B137" s="294" t="e">
        <f>#REF!</f>
        <v>#REF!</v>
      </c>
      <c r="C137" s="1291" t="e">
        <f>#REF!</f>
        <v>#REF!</v>
      </c>
      <c r="D137" s="1291"/>
      <c r="E137" s="1291"/>
      <c r="F137" s="1291"/>
      <c r="G137" s="1291"/>
      <c r="H137" s="173"/>
      <c r="AE137" s="296"/>
      <c r="AF137" s="296"/>
      <c r="AH137" s="295"/>
      <c r="AI137" s="296"/>
    </row>
    <row r="138" spans="1:35" s="254" customFormat="1" hidden="1">
      <c r="A138" s="293" t="e">
        <f>#REF!</f>
        <v>#REF!</v>
      </c>
      <c r="B138" s="294" t="e">
        <f>#REF!</f>
        <v>#REF!</v>
      </c>
      <c r="C138" s="1291" t="e">
        <f>#REF!</f>
        <v>#REF!</v>
      </c>
      <c r="D138" s="1291"/>
      <c r="E138" s="1291"/>
      <c r="F138" s="1291"/>
      <c r="G138" s="1291"/>
      <c r="H138" s="173"/>
      <c r="AE138" s="296"/>
      <c r="AF138" s="296"/>
      <c r="AH138" s="295"/>
      <c r="AI138" s="296"/>
    </row>
    <row r="139" spans="1:35" s="254" customFormat="1" hidden="1">
      <c r="A139" s="293"/>
      <c r="B139" s="292" t="e">
        <f>#REF!</f>
        <v>#REF!</v>
      </c>
      <c r="C139" s="1291" t="e">
        <f>#REF!</f>
        <v>#REF!</v>
      </c>
      <c r="D139" s="1291"/>
      <c r="E139" s="1291"/>
      <c r="F139" s="1291"/>
      <c r="G139" s="1291"/>
      <c r="H139" s="173"/>
      <c r="AE139" s="296"/>
      <c r="AF139" s="296"/>
      <c r="AH139" s="296"/>
      <c r="AI139" s="296"/>
    </row>
    <row r="140" spans="1:35" s="254" customFormat="1" ht="20.100000000000001" hidden="1" customHeight="1">
      <c r="A140" s="299" t="e">
        <f>#REF!</f>
        <v>#REF!</v>
      </c>
      <c r="B140" s="292" t="e">
        <f>#REF!</f>
        <v>#REF!</v>
      </c>
      <c r="C140" s="1291"/>
      <c r="D140" s="1291"/>
      <c r="E140" s="1291"/>
      <c r="F140" s="1291"/>
      <c r="G140" s="1291"/>
      <c r="H140" s="173"/>
      <c r="AE140" s="296"/>
      <c r="AF140" s="296"/>
      <c r="AH140" s="296"/>
      <c r="AI140" s="296"/>
    </row>
    <row r="141" spans="1:35" s="254" customFormat="1" hidden="1">
      <c r="A141" s="293" t="e">
        <f>#REF!</f>
        <v>#REF!</v>
      </c>
      <c r="B141" s="294" t="e">
        <f>#REF!</f>
        <v>#REF!</v>
      </c>
      <c r="C141" s="1291" t="e">
        <f>#REF!</f>
        <v>#REF!</v>
      </c>
      <c r="D141" s="1291"/>
      <c r="E141" s="1291"/>
      <c r="F141" s="1291"/>
      <c r="G141" s="1291"/>
      <c r="H141" s="173"/>
      <c r="AE141" s="296"/>
      <c r="AF141" s="296"/>
      <c r="AH141" s="295"/>
      <c r="AI141" s="296"/>
    </row>
    <row r="142" spans="1:35" s="254" customFormat="1" hidden="1">
      <c r="A142" s="293" t="e">
        <f>#REF!</f>
        <v>#REF!</v>
      </c>
      <c r="B142" s="294" t="e">
        <f>#REF!</f>
        <v>#REF!</v>
      </c>
      <c r="C142" s="1291" t="e">
        <f>#REF!</f>
        <v>#REF!</v>
      </c>
      <c r="D142" s="1291"/>
      <c r="E142" s="1291"/>
      <c r="F142" s="1291"/>
      <c r="G142" s="1291"/>
      <c r="H142" s="173"/>
      <c r="AE142" s="296"/>
      <c r="AF142" s="296"/>
      <c r="AH142" s="295"/>
      <c r="AI142" s="296"/>
    </row>
    <row r="143" spans="1:35" s="254" customFormat="1" hidden="1">
      <c r="A143" s="293" t="e">
        <f>#REF!</f>
        <v>#REF!</v>
      </c>
      <c r="B143" s="294" t="e">
        <f>#REF!</f>
        <v>#REF!</v>
      </c>
      <c r="C143" s="1291" t="e">
        <f>#REF!</f>
        <v>#REF!</v>
      </c>
      <c r="D143" s="1291"/>
      <c r="E143" s="1291"/>
      <c r="F143" s="1291"/>
      <c r="G143" s="1291"/>
      <c r="H143" s="173"/>
      <c r="AE143" s="296"/>
      <c r="AF143" s="296"/>
      <c r="AH143" s="295"/>
      <c r="AI143" s="296"/>
    </row>
    <row r="144" spans="1:35" s="254" customFormat="1" hidden="1">
      <c r="A144" s="293" t="e">
        <f>#REF!</f>
        <v>#REF!</v>
      </c>
      <c r="B144" s="294" t="e">
        <f>#REF!</f>
        <v>#REF!</v>
      </c>
      <c r="C144" s="1291" t="e">
        <f>#REF!</f>
        <v>#REF!</v>
      </c>
      <c r="D144" s="1291"/>
      <c r="E144" s="1291"/>
      <c r="F144" s="1291"/>
      <c r="G144" s="1291"/>
      <c r="H144" s="173"/>
      <c r="AE144" s="296"/>
      <c r="AF144" s="296"/>
      <c r="AH144" s="295"/>
      <c r="AI144" s="296"/>
    </row>
    <row r="145" spans="1:35" s="255" customFormat="1" ht="20.100000000000001" hidden="1" customHeight="1">
      <c r="A145" s="293"/>
      <c r="B145" s="292" t="e">
        <f>#REF!</f>
        <v>#REF!</v>
      </c>
      <c r="C145" s="1291" t="e">
        <f>#REF!</f>
        <v>#REF!</v>
      </c>
      <c r="D145" s="1291"/>
      <c r="E145" s="1291"/>
      <c r="F145" s="1291"/>
      <c r="G145" s="1291"/>
      <c r="H145" s="173"/>
      <c r="AE145" s="296"/>
      <c r="AF145" s="296"/>
      <c r="AH145" s="296"/>
      <c r="AI145" s="296"/>
    </row>
    <row r="146" spans="1:35" s="254" customFormat="1" ht="20.100000000000001" hidden="1" customHeight="1">
      <c r="A146" s="301"/>
      <c r="B146" s="292" t="e">
        <f>#REF!</f>
        <v>#REF!</v>
      </c>
      <c r="C146" s="1291" t="e">
        <f>#REF!</f>
        <v>#REF!</v>
      </c>
      <c r="D146" s="1291"/>
      <c r="E146" s="1291"/>
      <c r="F146" s="1291"/>
      <c r="G146" s="1291"/>
      <c r="H146" s="173"/>
      <c r="AE146" s="296"/>
      <c r="AF146" s="296"/>
      <c r="AH146" s="296"/>
      <c r="AI146" s="296"/>
    </row>
    <row r="147" spans="1:35" s="254" customFormat="1" hidden="1">
      <c r="A147" s="301"/>
      <c r="B147" s="292"/>
      <c r="C147" s="1291"/>
      <c r="D147" s="1291"/>
      <c r="E147" s="1291"/>
      <c r="F147" s="1291"/>
      <c r="G147" s="1291"/>
      <c r="H147" s="173"/>
      <c r="AE147" s="296"/>
      <c r="AF147" s="296"/>
      <c r="AH147" s="296"/>
      <c r="AI147" s="296"/>
    </row>
    <row r="148" spans="1:35" s="254" customFormat="1" ht="20.100000000000001" hidden="1" customHeight="1">
      <c r="A148" s="298" t="e">
        <f>#REF!</f>
        <v>#REF!</v>
      </c>
      <c r="B148" s="292" t="e">
        <f>#REF!</f>
        <v>#REF!</v>
      </c>
      <c r="C148" s="1291"/>
      <c r="D148" s="1291"/>
      <c r="E148" s="1291"/>
      <c r="F148" s="1291"/>
      <c r="G148" s="1291"/>
      <c r="H148" s="173"/>
      <c r="AE148" s="296"/>
      <c r="AF148" s="296"/>
      <c r="AH148" s="296"/>
      <c r="AI148" s="296"/>
    </row>
    <row r="149" spans="1:35" s="254" customFormat="1" ht="30" hidden="1" customHeight="1">
      <c r="A149" s="299" t="e">
        <f>#REF!</f>
        <v>#REF!</v>
      </c>
      <c r="B149" s="292" t="e">
        <f>#REF!</f>
        <v>#REF!</v>
      </c>
      <c r="C149" s="1291"/>
      <c r="D149" s="1291"/>
      <c r="E149" s="1291"/>
      <c r="F149" s="1291"/>
      <c r="G149" s="1291"/>
      <c r="H149" s="173"/>
      <c r="AE149" s="296"/>
      <c r="AF149" s="296"/>
      <c r="AH149" s="296"/>
      <c r="AI149" s="296"/>
    </row>
    <row r="150" spans="1:35" s="254" customFormat="1" hidden="1">
      <c r="A150" s="293" t="e">
        <f>#REF!</f>
        <v>#REF!</v>
      </c>
      <c r="B150" s="294" t="e">
        <f>#REF!</f>
        <v>#REF!</v>
      </c>
      <c r="C150" s="1291" t="e">
        <f>#REF!</f>
        <v>#REF!</v>
      </c>
      <c r="D150" s="1291"/>
      <c r="E150" s="1291"/>
      <c r="F150" s="1291"/>
      <c r="G150" s="1291"/>
      <c r="H150" s="173"/>
      <c r="AE150" s="296"/>
      <c r="AF150" s="296"/>
      <c r="AH150" s="295"/>
      <c r="AI150" s="296"/>
    </row>
    <row r="151" spans="1:35" s="254" customFormat="1" hidden="1">
      <c r="A151" s="293" t="e">
        <f>#REF!</f>
        <v>#REF!</v>
      </c>
      <c r="B151" s="294" t="e">
        <f>#REF!</f>
        <v>#REF!</v>
      </c>
      <c r="C151" s="1291" t="e">
        <f>#REF!</f>
        <v>#REF!</v>
      </c>
      <c r="D151" s="1291"/>
      <c r="E151" s="1291"/>
      <c r="F151" s="1291"/>
      <c r="G151" s="1291"/>
      <c r="H151" s="173"/>
      <c r="AE151" s="296"/>
      <c r="AF151" s="296"/>
      <c r="AH151" s="295"/>
      <c r="AI151" s="296"/>
    </row>
    <row r="152" spans="1:35" s="254" customFormat="1" hidden="1">
      <c r="A152" s="293" t="e">
        <f>#REF!</f>
        <v>#REF!</v>
      </c>
      <c r="B152" s="294" t="e">
        <f>#REF!</f>
        <v>#REF!</v>
      </c>
      <c r="C152" s="1291" t="e">
        <f>#REF!</f>
        <v>#REF!</v>
      </c>
      <c r="D152" s="1291"/>
      <c r="E152" s="1291"/>
      <c r="F152" s="1291"/>
      <c r="G152" s="1291"/>
      <c r="H152" s="173"/>
      <c r="AE152" s="296"/>
      <c r="AF152" s="296"/>
      <c r="AH152" s="295"/>
      <c r="AI152" s="296"/>
    </row>
    <row r="153" spans="1:35" s="254" customFormat="1" ht="20.100000000000001" hidden="1" customHeight="1">
      <c r="A153" s="302"/>
      <c r="B153" s="292" t="e">
        <f>#REF!</f>
        <v>#REF!</v>
      </c>
      <c r="C153" s="1291" t="e">
        <f>#REF!</f>
        <v>#REF!</v>
      </c>
      <c r="D153" s="1291"/>
      <c r="E153" s="1291"/>
      <c r="F153" s="1291"/>
      <c r="G153" s="1291"/>
      <c r="H153" s="173"/>
      <c r="AE153" s="296"/>
      <c r="AF153" s="296"/>
      <c r="AH153" s="296"/>
      <c r="AI153" s="296"/>
    </row>
    <row r="154" spans="1:35" s="254" customFormat="1" ht="20.100000000000001" hidden="1" customHeight="1">
      <c r="A154" s="301"/>
      <c r="B154" s="292" t="e">
        <f>#REF!</f>
        <v>#REF!</v>
      </c>
      <c r="C154" s="1291" t="e">
        <f>#REF!</f>
        <v>#REF!</v>
      </c>
      <c r="D154" s="1291"/>
      <c r="E154" s="1291"/>
      <c r="F154" s="1291"/>
      <c r="G154" s="1291"/>
      <c r="H154" s="173"/>
      <c r="AE154" s="296"/>
      <c r="AF154" s="296"/>
      <c r="AH154" s="296"/>
      <c r="AI154" s="296"/>
    </row>
    <row r="155" spans="1:35" s="254" customFormat="1" ht="20.100000000000001" hidden="1" customHeight="1">
      <c r="A155" s="291" t="e">
        <f>#REF!</f>
        <v>#REF!</v>
      </c>
      <c r="B155" s="292" t="e">
        <f>#REF!</f>
        <v>#REF!</v>
      </c>
      <c r="C155" s="1291"/>
      <c r="D155" s="1291"/>
      <c r="E155" s="1291"/>
      <c r="F155" s="1291"/>
      <c r="G155" s="1291"/>
      <c r="H155" s="173"/>
      <c r="AE155" s="296"/>
      <c r="AF155" s="296"/>
      <c r="AH155" s="296"/>
      <c r="AI155" s="296"/>
    </row>
    <row r="156" spans="1:35" s="254" customFormat="1" ht="30" hidden="1" customHeight="1">
      <c r="A156" s="298" t="e">
        <f>#REF!</f>
        <v>#REF!</v>
      </c>
      <c r="B156" s="292" t="e">
        <f>#REF!</f>
        <v>#REF!</v>
      </c>
      <c r="C156" s="1291"/>
      <c r="D156" s="1291"/>
      <c r="E156" s="1291"/>
      <c r="F156" s="1291"/>
      <c r="G156" s="1291"/>
      <c r="H156" s="173"/>
      <c r="AE156" s="296"/>
      <c r="AF156" s="296"/>
      <c r="AH156" s="296"/>
      <c r="AI156" s="296"/>
    </row>
    <row r="157" spans="1:35" s="254" customFormat="1" ht="20.100000000000001" hidden="1" customHeight="1">
      <c r="A157" s="293" t="e">
        <f>#REF!</f>
        <v>#REF!</v>
      </c>
      <c r="B157" s="294" t="e">
        <f>#REF!</f>
        <v>#REF!</v>
      </c>
      <c r="C157" s="1291" t="e">
        <f>#REF!</f>
        <v>#REF!</v>
      </c>
      <c r="D157" s="1291"/>
      <c r="E157" s="1291"/>
      <c r="F157" s="1291"/>
      <c r="G157" s="1291"/>
      <c r="H157" s="173"/>
      <c r="AE157" s="296"/>
      <c r="AF157" s="296"/>
      <c r="AH157" s="295"/>
      <c r="AI157" s="296"/>
    </row>
    <row r="158" spans="1:35" s="254" customFormat="1" ht="20.100000000000001" hidden="1" customHeight="1">
      <c r="A158" s="293" t="e">
        <f>#REF!</f>
        <v>#REF!</v>
      </c>
      <c r="B158" s="294" t="e">
        <f>#REF!</f>
        <v>#REF!</v>
      </c>
      <c r="C158" s="1291" t="e">
        <f>#REF!</f>
        <v>#REF!</v>
      </c>
      <c r="D158" s="1291"/>
      <c r="E158" s="1291"/>
      <c r="F158" s="1291"/>
      <c r="G158" s="1291"/>
      <c r="H158" s="173"/>
      <c r="AE158" s="296"/>
      <c r="AF158" s="296"/>
      <c r="AH158" s="295"/>
      <c r="AI158" s="296"/>
    </row>
    <row r="159" spans="1:35" s="254" customFormat="1" ht="20.100000000000001" hidden="1" customHeight="1">
      <c r="A159" s="293" t="e">
        <f>#REF!</f>
        <v>#REF!</v>
      </c>
      <c r="B159" s="294" t="e">
        <f>#REF!</f>
        <v>#REF!</v>
      </c>
      <c r="C159" s="1291" t="e">
        <f>#REF!</f>
        <v>#REF!</v>
      </c>
      <c r="D159" s="1291"/>
      <c r="E159" s="1291"/>
      <c r="F159" s="1291"/>
      <c r="G159" s="1291"/>
      <c r="H159" s="173"/>
      <c r="AE159" s="296"/>
      <c r="AF159" s="296"/>
      <c r="AH159" s="295"/>
      <c r="AI159" s="296"/>
    </row>
    <row r="160" spans="1:35" s="254" customFormat="1" ht="20.100000000000001" hidden="1" customHeight="1">
      <c r="A160" s="293" t="e">
        <f>#REF!</f>
        <v>#REF!</v>
      </c>
      <c r="B160" s="294" t="e">
        <f>#REF!</f>
        <v>#REF!</v>
      </c>
      <c r="C160" s="1291" t="e">
        <f>#REF!</f>
        <v>#REF!</v>
      </c>
      <c r="D160" s="1291"/>
      <c r="E160" s="1291"/>
      <c r="F160" s="1291"/>
      <c r="G160" s="1291"/>
      <c r="H160" s="173"/>
      <c r="AE160" s="296"/>
      <c r="AF160" s="296"/>
      <c r="AH160" s="295"/>
      <c r="AI160" s="296"/>
    </row>
    <row r="161" spans="1:35" s="254" customFormat="1" ht="20.100000000000001" hidden="1" customHeight="1">
      <c r="A161" s="293" t="e">
        <f>#REF!</f>
        <v>#REF!</v>
      </c>
      <c r="B161" s="294" t="e">
        <f>#REF!</f>
        <v>#REF!</v>
      </c>
      <c r="C161" s="1291" t="e">
        <f>#REF!</f>
        <v>#REF!</v>
      </c>
      <c r="D161" s="1291"/>
      <c r="E161" s="1291"/>
      <c r="F161" s="1291"/>
      <c r="G161" s="1291"/>
      <c r="H161" s="173"/>
      <c r="AE161" s="296"/>
      <c r="AF161" s="296"/>
      <c r="AH161" s="295"/>
      <c r="AI161" s="296"/>
    </row>
    <row r="162" spans="1:35" s="254" customFormat="1" ht="20.100000000000001" hidden="1" customHeight="1">
      <c r="A162" s="297"/>
      <c r="B162" s="292" t="e">
        <f>#REF!</f>
        <v>#REF!</v>
      </c>
      <c r="C162" s="1291" t="e">
        <f>#REF!</f>
        <v>#REF!</v>
      </c>
      <c r="D162" s="1291"/>
      <c r="E162" s="1291"/>
      <c r="F162" s="1291"/>
      <c r="G162" s="1291"/>
      <c r="H162" s="173"/>
      <c r="AE162" s="296"/>
      <c r="AF162" s="296"/>
      <c r="AH162" s="296"/>
      <c r="AI162" s="296"/>
    </row>
    <row r="163" spans="1:35" s="254" customFormat="1" ht="20.100000000000001" hidden="1" customHeight="1">
      <c r="A163" s="298" t="e">
        <f>#REF!</f>
        <v>#REF!</v>
      </c>
      <c r="B163" s="292" t="e">
        <f>#REF!</f>
        <v>#REF!</v>
      </c>
      <c r="C163" s="1291"/>
      <c r="D163" s="1291"/>
      <c r="E163" s="1291"/>
      <c r="F163" s="1291"/>
      <c r="G163" s="1291"/>
      <c r="H163" s="173"/>
      <c r="AE163" s="296"/>
      <c r="AF163" s="296"/>
      <c r="AH163" s="296"/>
      <c r="AI163" s="296"/>
    </row>
    <row r="164" spans="1:35" s="254" customFormat="1" ht="20.100000000000001" hidden="1" customHeight="1">
      <c r="A164" s="293" t="e">
        <f>#REF!</f>
        <v>#REF!</v>
      </c>
      <c r="B164" s="303" t="e">
        <f>#REF!</f>
        <v>#REF!</v>
      </c>
      <c r="C164" s="1291" t="e">
        <f>#REF!</f>
        <v>#REF!</v>
      </c>
      <c r="D164" s="1291"/>
      <c r="E164" s="1291"/>
      <c r="F164" s="1291"/>
      <c r="G164" s="1291"/>
      <c r="H164" s="173"/>
      <c r="AE164" s="296"/>
      <c r="AF164" s="296"/>
      <c r="AH164" s="295"/>
      <c r="AI164" s="296"/>
    </row>
    <row r="165" spans="1:35" s="254" customFormat="1" ht="20.100000000000001" hidden="1" customHeight="1">
      <c r="A165" s="293" t="e">
        <f>#REF!</f>
        <v>#REF!</v>
      </c>
      <c r="B165" s="303" t="e">
        <f>#REF!</f>
        <v>#REF!</v>
      </c>
      <c r="C165" s="1291" t="e">
        <f>#REF!</f>
        <v>#REF!</v>
      </c>
      <c r="D165" s="1291"/>
      <c r="E165" s="1291"/>
      <c r="F165" s="1291"/>
      <c r="G165" s="1291"/>
      <c r="H165" s="173"/>
      <c r="AE165" s="296"/>
      <c r="AF165" s="296"/>
      <c r="AH165" s="295"/>
      <c r="AI165" s="296"/>
    </row>
    <row r="166" spans="1:35" s="254" customFormat="1" ht="20.100000000000001" hidden="1" customHeight="1">
      <c r="A166" s="293" t="e">
        <f>#REF!</f>
        <v>#REF!</v>
      </c>
      <c r="B166" s="303" t="e">
        <f>#REF!</f>
        <v>#REF!</v>
      </c>
      <c r="C166" s="1291" t="e">
        <f>#REF!</f>
        <v>#REF!</v>
      </c>
      <c r="D166" s="1291"/>
      <c r="E166" s="1291"/>
      <c r="F166" s="1291"/>
      <c r="G166" s="1291"/>
      <c r="H166" s="173"/>
      <c r="AE166" s="296"/>
      <c r="AF166" s="296"/>
      <c r="AH166" s="295"/>
      <c r="AI166" s="296"/>
    </row>
    <row r="167" spans="1:35" s="254" customFormat="1" ht="20.100000000000001" hidden="1" customHeight="1">
      <c r="A167" s="293" t="e">
        <f>#REF!</f>
        <v>#REF!</v>
      </c>
      <c r="B167" s="303" t="e">
        <f>#REF!</f>
        <v>#REF!</v>
      </c>
      <c r="C167" s="1291" t="e">
        <f>#REF!</f>
        <v>#REF!</v>
      </c>
      <c r="D167" s="1291"/>
      <c r="E167" s="1291"/>
      <c r="F167" s="1291"/>
      <c r="G167" s="1291"/>
      <c r="H167" s="173"/>
      <c r="AE167" s="296"/>
      <c r="AF167" s="296"/>
      <c r="AH167" s="295"/>
      <c r="AI167" s="296"/>
    </row>
    <row r="168" spans="1:35" s="254" customFormat="1" ht="20.100000000000001" hidden="1" customHeight="1">
      <c r="A168" s="293" t="e">
        <f>#REF!</f>
        <v>#REF!</v>
      </c>
      <c r="B168" s="303" t="e">
        <f>#REF!</f>
        <v>#REF!</v>
      </c>
      <c r="C168" s="1291" t="e">
        <f>#REF!</f>
        <v>#REF!</v>
      </c>
      <c r="D168" s="1291"/>
      <c r="E168" s="1291"/>
      <c r="F168" s="1291"/>
      <c r="G168" s="1291"/>
      <c r="H168" s="173"/>
      <c r="AE168" s="296"/>
      <c r="AF168" s="296"/>
      <c r="AH168" s="295"/>
      <c r="AI168" s="296"/>
    </row>
    <row r="169" spans="1:35" s="254" customFormat="1" ht="20.100000000000001" hidden="1" customHeight="1">
      <c r="A169" s="293" t="e">
        <f>#REF!</f>
        <v>#REF!</v>
      </c>
      <c r="B169" s="303" t="e">
        <f>#REF!</f>
        <v>#REF!</v>
      </c>
      <c r="C169" s="1291" t="e">
        <f>#REF!</f>
        <v>#REF!</v>
      </c>
      <c r="D169" s="1291"/>
      <c r="E169" s="1291"/>
      <c r="F169" s="1291"/>
      <c r="G169" s="1291"/>
      <c r="H169" s="173"/>
      <c r="AE169" s="296"/>
      <c r="AF169" s="296"/>
      <c r="AH169" s="295"/>
      <c r="AI169" s="296"/>
    </row>
    <row r="170" spans="1:35" s="254" customFormat="1" ht="20.100000000000001" hidden="1" customHeight="1">
      <c r="A170" s="304"/>
      <c r="B170" s="292" t="e">
        <f>#REF!</f>
        <v>#REF!</v>
      </c>
      <c r="C170" s="1291" t="e">
        <f>#REF!</f>
        <v>#REF!</v>
      </c>
      <c r="D170" s="1291"/>
      <c r="E170" s="1291"/>
      <c r="F170" s="1291"/>
      <c r="G170" s="1291"/>
      <c r="H170" s="173"/>
      <c r="AE170" s="296"/>
      <c r="AF170" s="296"/>
      <c r="AH170" s="296"/>
      <c r="AI170" s="296"/>
    </row>
    <row r="171" spans="1:35" s="254" customFormat="1" ht="35.25" hidden="1" customHeight="1">
      <c r="A171" s="298" t="e">
        <f>#REF!</f>
        <v>#REF!</v>
      </c>
      <c r="B171" s="292" t="e">
        <f>#REF!</f>
        <v>#REF!</v>
      </c>
      <c r="C171" s="1291"/>
      <c r="D171" s="1291"/>
      <c r="E171" s="1291"/>
      <c r="F171" s="1291"/>
      <c r="G171" s="1291"/>
      <c r="H171" s="173"/>
      <c r="AE171" s="296"/>
      <c r="AF171" s="296"/>
      <c r="AH171" s="296"/>
      <c r="AI171" s="296"/>
    </row>
    <row r="172" spans="1:35" s="254" customFormat="1" ht="19.5" hidden="1" customHeight="1">
      <c r="A172" s="293" t="e">
        <f>#REF!</f>
        <v>#REF!</v>
      </c>
      <c r="B172" s="303" t="e">
        <f>#REF!</f>
        <v>#REF!</v>
      </c>
      <c r="C172" s="1291" t="e">
        <f>#REF!</f>
        <v>#REF!</v>
      </c>
      <c r="D172" s="1291"/>
      <c r="E172" s="1291"/>
      <c r="F172" s="1291"/>
      <c r="G172" s="1291"/>
      <c r="H172" s="173"/>
      <c r="AE172" s="296"/>
      <c r="AF172" s="296"/>
      <c r="AH172" s="295"/>
      <c r="AI172" s="296"/>
    </row>
    <row r="173" spans="1:35" s="254" customFormat="1" ht="19.5" hidden="1" customHeight="1">
      <c r="A173" s="293" t="e">
        <f>#REF!</f>
        <v>#REF!</v>
      </c>
      <c r="B173" s="303" t="e">
        <f>#REF!</f>
        <v>#REF!</v>
      </c>
      <c r="C173" s="1291" t="e">
        <f>#REF!</f>
        <v>#REF!</v>
      </c>
      <c r="D173" s="1291"/>
      <c r="E173" s="1291"/>
      <c r="F173" s="1291"/>
      <c r="G173" s="1291"/>
      <c r="H173" s="173"/>
      <c r="AE173" s="296"/>
      <c r="AF173" s="296"/>
      <c r="AH173" s="295"/>
      <c r="AI173" s="296"/>
    </row>
    <row r="174" spans="1:35" s="254" customFormat="1" ht="19.5" hidden="1" customHeight="1">
      <c r="A174" s="293" t="e">
        <f>#REF!</f>
        <v>#REF!</v>
      </c>
      <c r="B174" s="303" t="e">
        <f>#REF!</f>
        <v>#REF!</v>
      </c>
      <c r="C174" s="1291" t="e">
        <f>#REF!</f>
        <v>#REF!</v>
      </c>
      <c r="D174" s="1291"/>
      <c r="E174" s="1291"/>
      <c r="F174" s="1291"/>
      <c r="G174" s="1291"/>
      <c r="H174" s="173"/>
      <c r="AE174" s="296"/>
      <c r="AF174" s="296"/>
      <c r="AH174" s="295"/>
      <c r="AI174" s="296"/>
    </row>
    <row r="175" spans="1:35" s="254" customFormat="1" ht="19.5" hidden="1" customHeight="1">
      <c r="A175" s="293" t="e">
        <f>#REF!</f>
        <v>#REF!</v>
      </c>
      <c r="B175" s="303" t="e">
        <f>#REF!</f>
        <v>#REF!</v>
      </c>
      <c r="C175" s="1291" t="e">
        <f>#REF!</f>
        <v>#REF!</v>
      </c>
      <c r="D175" s="1291"/>
      <c r="E175" s="1291"/>
      <c r="F175" s="1291"/>
      <c r="G175" s="1291"/>
      <c r="H175" s="173"/>
      <c r="AE175" s="296"/>
      <c r="AF175" s="296"/>
      <c r="AH175" s="295"/>
      <c r="AI175" s="296"/>
    </row>
    <row r="176" spans="1:35" s="254" customFormat="1" ht="33" hidden="1" customHeight="1">
      <c r="A176" s="293" t="e">
        <f>#REF!</f>
        <v>#REF!</v>
      </c>
      <c r="B176" s="303" t="e">
        <f>#REF!</f>
        <v>#REF!</v>
      </c>
      <c r="C176" s="1291" t="e">
        <f>#REF!</f>
        <v>#REF!</v>
      </c>
      <c r="D176" s="1291"/>
      <c r="E176" s="1291"/>
      <c r="F176" s="1291"/>
      <c r="G176" s="1291"/>
      <c r="H176" s="173"/>
      <c r="AE176" s="296"/>
      <c r="AF176" s="296"/>
      <c r="AH176" s="295"/>
      <c r="AI176" s="296"/>
    </row>
    <row r="177" spans="1:35" s="254" customFormat="1" ht="19.5" hidden="1" customHeight="1">
      <c r="A177" s="293" t="e">
        <f>#REF!</f>
        <v>#REF!</v>
      </c>
      <c r="B177" s="303" t="e">
        <f>#REF!</f>
        <v>#REF!</v>
      </c>
      <c r="C177" s="1291" t="e">
        <f>#REF!</f>
        <v>#REF!</v>
      </c>
      <c r="D177" s="1291"/>
      <c r="E177" s="1291"/>
      <c r="F177" s="1291"/>
      <c r="G177" s="1291"/>
      <c r="H177" s="173"/>
      <c r="AE177" s="296"/>
      <c r="AF177" s="296"/>
      <c r="AH177" s="295"/>
      <c r="AI177" s="296"/>
    </row>
    <row r="178" spans="1:35" s="254" customFormat="1" ht="19.5" hidden="1" customHeight="1">
      <c r="A178" s="293" t="e">
        <f>#REF!</f>
        <v>#REF!</v>
      </c>
      <c r="B178" s="303" t="e">
        <f>#REF!</f>
        <v>#REF!</v>
      </c>
      <c r="C178" s="1291" t="e">
        <f>#REF!</f>
        <v>#REF!</v>
      </c>
      <c r="D178" s="1291"/>
      <c r="E178" s="1291"/>
      <c r="F178" s="1291"/>
      <c r="G178" s="1291"/>
      <c r="H178" s="173"/>
      <c r="AE178" s="296"/>
      <c r="AF178" s="296"/>
      <c r="AH178" s="295"/>
      <c r="AI178" s="296"/>
    </row>
    <row r="179" spans="1:35" s="254" customFormat="1" ht="19.5" hidden="1" customHeight="1">
      <c r="A179" s="293" t="e">
        <f>#REF!</f>
        <v>#REF!</v>
      </c>
      <c r="B179" s="303" t="e">
        <f>#REF!</f>
        <v>#REF!</v>
      </c>
      <c r="C179" s="1291" t="e">
        <f>#REF!</f>
        <v>#REF!</v>
      </c>
      <c r="D179" s="1291"/>
      <c r="E179" s="1291"/>
      <c r="F179" s="1291"/>
      <c r="G179" s="1291"/>
      <c r="H179" s="173"/>
      <c r="AE179" s="296"/>
      <c r="AF179" s="296"/>
      <c r="AH179" s="295"/>
      <c r="AI179" s="296"/>
    </row>
    <row r="180" spans="1:35" s="254" customFormat="1" ht="19.5" hidden="1" customHeight="1">
      <c r="A180" s="293" t="e">
        <f>#REF!</f>
        <v>#REF!</v>
      </c>
      <c r="B180" s="303" t="e">
        <f>#REF!</f>
        <v>#REF!</v>
      </c>
      <c r="C180" s="1291" t="e">
        <f>#REF!</f>
        <v>#REF!</v>
      </c>
      <c r="D180" s="1291"/>
      <c r="E180" s="1291"/>
      <c r="F180" s="1291"/>
      <c r="G180" s="1291"/>
      <c r="H180" s="173"/>
      <c r="AE180" s="296"/>
      <c r="AF180" s="296"/>
      <c r="AH180" s="295"/>
      <c r="AI180" s="296"/>
    </row>
    <row r="181" spans="1:35" s="254" customFormat="1" ht="19.5" hidden="1" customHeight="1">
      <c r="A181" s="304"/>
      <c r="B181" s="292" t="e">
        <f>#REF!</f>
        <v>#REF!</v>
      </c>
      <c r="C181" s="1291" t="e">
        <f>#REF!</f>
        <v>#REF!</v>
      </c>
      <c r="D181" s="1291"/>
      <c r="E181" s="1291"/>
      <c r="F181" s="1291"/>
      <c r="G181" s="1291"/>
      <c r="H181" s="173"/>
      <c r="AE181" s="296"/>
      <c r="AF181" s="296"/>
      <c r="AH181" s="296"/>
      <c r="AI181" s="296"/>
    </row>
    <row r="182" spans="1:35" s="254" customFormat="1" ht="19.5" hidden="1" customHeight="1">
      <c r="A182" s="298" t="e">
        <f>#REF!</f>
        <v>#REF!</v>
      </c>
      <c r="B182" s="292" t="e">
        <f>#REF!</f>
        <v>#REF!</v>
      </c>
      <c r="C182" s="1291"/>
      <c r="D182" s="1291"/>
      <c r="E182" s="1291"/>
      <c r="F182" s="1291"/>
      <c r="G182" s="1291"/>
      <c r="H182" s="173"/>
      <c r="AE182" s="296"/>
      <c r="AF182" s="296"/>
      <c r="AH182" s="296"/>
      <c r="AI182" s="296"/>
    </row>
    <row r="183" spans="1:35" s="254" customFormat="1" ht="19.5" hidden="1" customHeight="1">
      <c r="A183" s="293" t="e">
        <f>#REF!</f>
        <v>#REF!</v>
      </c>
      <c r="B183" s="294" t="e">
        <f>#REF!</f>
        <v>#REF!</v>
      </c>
      <c r="C183" s="1291" t="e">
        <f>#REF!</f>
        <v>#REF!</v>
      </c>
      <c r="D183" s="1291"/>
      <c r="E183" s="1291"/>
      <c r="F183" s="1291"/>
      <c r="G183" s="1291"/>
      <c r="H183" s="173"/>
      <c r="AE183" s="296"/>
      <c r="AF183" s="296"/>
      <c r="AH183" s="295"/>
      <c r="AI183" s="296"/>
    </row>
    <row r="184" spans="1:35" s="254" customFormat="1" ht="19.5" hidden="1" customHeight="1">
      <c r="A184" s="293" t="e">
        <f>#REF!</f>
        <v>#REF!</v>
      </c>
      <c r="B184" s="294" t="e">
        <f>#REF!</f>
        <v>#REF!</v>
      </c>
      <c r="C184" s="1291" t="e">
        <f>#REF!</f>
        <v>#REF!</v>
      </c>
      <c r="D184" s="1291"/>
      <c r="E184" s="1291"/>
      <c r="F184" s="1291"/>
      <c r="G184" s="1291"/>
      <c r="H184" s="173"/>
      <c r="AE184" s="296"/>
      <c r="AF184" s="296"/>
      <c r="AH184" s="295"/>
      <c r="AI184" s="296"/>
    </row>
    <row r="185" spans="1:35" s="254" customFormat="1" ht="19.5" hidden="1" customHeight="1">
      <c r="A185" s="293" t="e">
        <f>#REF!</f>
        <v>#REF!</v>
      </c>
      <c r="B185" s="294" t="e">
        <f>#REF!</f>
        <v>#REF!</v>
      </c>
      <c r="C185" s="1291" t="e">
        <f>#REF!</f>
        <v>#REF!</v>
      </c>
      <c r="D185" s="1291"/>
      <c r="E185" s="1291"/>
      <c r="F185" s="1291"/>
      <c r="G185" s="1291"/>
      <c r="H185" s="173"/>
      <c r="AE185" s="296"/>
      <c r="AF185" s="296"/>
      <c r="AH185" s="295"/>
      <c r="AI185" s="296"/>
    </row>
    <row r="186" spans="1:35" s="254" customFormat="1" ht="19.5" hidden="1" customHeight="1">
      <c r="A186" s="304"/>
      <c r="B186" s="292" t="e">
        <f>#REF!</f>
        <v>#REF!</v>
      </c>
      <c r="C186" s="1291" t="e">
        <f>#REF!</f>
        <v>#REF!</v>
      </c>
      <c r="D186" s="1291"/>
      <c r="E186" s="1291"/>
      <c r="F186" s="1291"/>
      <c r="G186" s="1291"/>
      <c r="H186" s="173"/>
      <c r="AE186" s="296"/>
      <c r="AF186" s="296"/>
      <c r="AH186" s="296"/>
      <c r="AI186" s="296"/>
    </row>
    <row r="187" spans="1:35" s="254" customFormat="1" ht="33" hidden="1" customHeight="1">
      <c r="A187" s="298" t="e">
        <f>#REF!</f>
        <v>#REF!</v>
      </c>
      <c r="B187" s="292" t="e">
        <f>#REF!</f>
        <v>#REF!</v>
      </c>
      <c r="C187" s="1291"/>
      <c r="D187" s="1291"/>
      <c r="E187" s="1291"/>
      <c r="F187" s="1291"/>
      <c r="G187" s="1291"/>
      <c r="H187" s="173"/>
      <c r="AE187" s="296"/>
      <c r="AF187" s="296"/>
      <c r="AH187" s="296"/>
      <c r="AI187" s="296"/>
    </row>
    <row r="188" spans="1:35" s="254" customFormat="1" ht="19.5" hidden="1" customHeight="1">
      <c r="A188" s="304" t="e">
        <f>#REF!</f>
        <v>#REF!</v>
      </c>
      <c r="B188" s="294" t="e">
        <f>#REF!</f>
        <v>#REF!</v>
      </c>
      <c r="C188" s="1291" t="e">
        <f>#REF!</f>
        <v>#REF!</v>
      </c>
      <c r="D188" s="1291"/>
      <c r="E188" s="1291"/>
      <c r="F188" s="1291"/>
      <c r="G188" s="1291"/>
      <c r="H188" s="173"/>
      <c r="AE188" s="296"/>
      <c r="AF188" s="296"/>
      <c r="AH188" s="295"/>
      <c r="AI188" s="296"/>
    </row>
    <row r="189" spans="1:35" s="254" customFormat="1" ht="19.5" hidden="1" customHeight="1">
      <c r="A189" s="304" t="e">
        <f>#REF!</f>
        <v>#REF!</v>
      </c>
      <c r="B189" s="294" t="e">
        <f>#REF!</f>
        <v>#REF!</v>
      </c>
      <c r="C189" s="1291" t="e">
        <f>#REF!</f>
        <v>#REF!</v>
      </c>
      <c r="D189" s="1291"/>
      <c r="E189" s="1291"/>
      <c r="F189" s="1291"/>
      <c r="G189" s="1291"/>
      <c r="H189" s="173"/>
      <c r="AE189" s="296"/>
      <c r="AF189" s="296"/>
      <c r="AH189" s="295"/>
      <c r="AI189" s="296"/>
    </row>
    <row r="190" spans="1:35" s="254" customFormat="1" ht="19.5" hidden="1" customHeight="1">
      <c r="A190" s="304" t="e">
        <f>#REF!</f>
        <v>#REF!</v>
      </c>
      <c r="B190" s="294" t="e">
        <f>#REF!</f>
        <v>#REF!</v>
      </c>
      <c r="C190" s="1291" t="e">
        <f>#REF!</f>
        <v>#REF!</v>
      </c>
      <c r="D190" s="1291"/>
      <c r="E190" s="1291"/>
      <c r="F190" s="1291"/>
      <c r="G190" s="1291"/>
      <c r="H190" s="173"/>
      <c r="AE190" s="296"/>
      <c r="AF190" s="296"/>
      <c r="AH190" s="295"/>
      <c r="AI190" s="296"/>
    </row>
    <row r="191" spans="1:35" s="254" customFormat="1" ht="19.5" hidden="1" customHeight="1">
      <c r="A191" s="304"/>
      <c r="B191" s="292" t="e">
        <f>#REF!</f>
        <v>#REF!</v>
      </c>
      <c r="C191" s="1291" t="e">
        <f>#REF!</f>
        <v>#REF!</v>
      </c>
      <c r="D191" s="1291"/>
      <c r="E191" s="1291"/>
      <c r="F191" s="1291"/>
      <c r="G191" s="1291"/>
      <c r="H191" s="173"/>
      <c r="AE191" s="296"/>
      <c r="AF191" s="296"/>
      <c r="AH191" s="296"/>
      <c r="AI191" s="296"/>
    </row>
    <row r="192" spans="1:35" s="254" customFormat="1" ht="19.5" hidden="1" customHeight="1">
      <c r="A192" s="298" t="e">
        <f>#REF!</f>
        <v>#REF!</v>
      </c>
      <c r="B192" s="292" t="e">
        <f>#REF!</f>
        <v>#REF!</v>
      </c>
      <c r="C192" s="1291"/>
      <c r="D192" s="1291"/>
      <c r="E192" s="1291"/>
      <c r="F192" s="1291"/>
      <c r="G192" s="1291"/>
      <c r="H192" s="173"/>
      <c r="AE192" s="296"/>
      <c r="AF192" s="296"/>
      <c r="AH192" s="296"/>
      <c r="AI192" s="296"/>
    </row>
    <row r="193" spans="1:35" s="254" customFormat="1" ht="19.5" hidden="1" customHeight="1">
      <c r="A193" s="293" t="e">
        <f>#REF!</f>
        <v>#REF!</v>
      </c>
      <c r="B193" s="294" t="e">
        <f>#REF!</f>
        <v>#REF!</v>
      </c>
      <c r="C193" s="1291" t="e">
        <f>#REF!</f>
        <v>#REF!</v>
      </c>
      <c r="D193" s="1291"/>
      <c r="E193" s="1291"/>
      <c r="F193" s="1291"/>
      <c r="G193" s="1291"/>
      <c r="H193" s="173"/>
      <c r="AE193" s="296"/>
      <c r="AF193" s="296"/>
      <c r="AH193" s="295"/>
      <c r="AI193" s="296"/>
    </row>
    <row r="194" spans="1:35" s="254" customFormat="1" ht="19.5" hidden="1" customHeight="1">
      <c r="A194" s="293" t="e">
        <f>#REF!</f>
        <v>#REF!</v>
      </c>
      <c r="B194" s="294" t="e">
        <f>#REF!</f>
        <v>#REF!</v>
      </c>
      <c r="C194" s="1291" t="e">
        <f>#REF!</f>
        <v>#REF!</v>
      </c>
      <c r="D194" s="1291"/>
      <c r="E194" s="1291"/>
      <c r="F194" s="1291"/>
      <c r="G194" s="1291"/>
      <c r="H194" s="173"/>
      <c r="AE194" s="296"/>
      <c r="AF194" s="296"/>
      <c r="AH194" s="295"/>
      <c r="AI194" s="296"/>
    </row>
    <row r="195" spans="1:35" s="254" customFormat="1" ht="19.5" hidden="1" customHeight="1">
      <c r="A195" s="304"/>
      <c r="B195" s="292" t="e">
        <f>#REF!</f>
        <v>#REF!</v>
      </c>
      <c r="C195" s="1291" t="e">
        <f>#REF!</f>
        <v>#REF!</v>
      </c>
      <c r="D195" s="1291"/>
      <c r="E195" s="1291"/>
      <c r="F195" s="1291"/>
      <c r="G195" s="1291"/>
      <c r="H195" s="173"/>
      <c r="AE195" s="296"/>
      <c r="AF195" s="296"/>
      <c r="AH195" s="296"/>
      <c r="AI195" s="296"/>
    </row>
    <row r="196" spans="1:35" s="254" customFormat="1" ht="33" hidden="1" customHeight="1">
      <c r="A196" s="298" t="e">
        <f>#REF!</f>
        <v>#REF!</v>
      </c>
      <c r="B196" s="292" t="e">
        <f>#REF!</f>
        <v>#REF!</v>
      </c>
      <c r="C196" s="1291"/>
      <c r="D196" s="1291"/>
      <c r="E196" s="1291"/>
      <c r="F196" s="1291"/>
      <c r="G196" s="1291"/>
      <c r="H196" s="173"/>
      <c r="AE196" s="296"/>
      <c r="AF196" s="296"/>
      <c r="AH196" s="296"/>
      <c r="AI196" s="296"/>
    </row>
    <row r="197" spans="1:35" s="254" customFormat="1" ht="19.5" hidden="1" customHeight="1">
      <c r="A197" s="293" t="e">
        <f>#REF!</f>
        <v>#REF!</v>
      </c>
      <c r="B197" s="294" t="e">
        <f>#REF!</f>
        <v>#REF!</v>
      </c>
      <c r="C197" s="1291" t="e">
        <f>#REF!</f>
        <v>#REF!</v>
      </c>
      <c r="D197" s="1291"/>
      <c r="E197" s="1291"/>
      <c r="F197" s="1291"/>
      <c r="G197" s="1291"/>
      <c r="H197" s="173"/>
      <c r="AE197" s="296"/>
      <c r="AF197" s="296"/>
      <c r="AH197" s="295"/>
      <c r="AI197" s="296"/>
    </row>
    <row r="198" spans="1:35" s="254" customFormat="1" ht="19.5" hidden="1" customHeight="1">
      <c r="A198" s="293" t="e">
        <f>#REF!</f>
        <v>#REF!</v>
      </c>
      <c r="B198" s="294" t="e">
        <f>#REF!</f>
        <v>#REF!</v>
      </c>
      <c r="C198" s="1291" t="e">
        <f>#REF!</f>
        <v>#REF!</v>
      </c>
      <c r="D198" s="1291"/>
      <c r="E198" s="1291"/>
      <c r="F198" s="1291"/>
      <c r="G198" s="1291"/>
      <c r="H198" s="173"/>
      <c r="AE198" s="296"/>
      <c r="AF198" s="296"/>
      <c r="AH198" s="295"/>
      <c r="AI198" s="296"/>
    </row>
    <row r="199" spans="1:35" s="254" customFormat="1" ht="19.5" hidden="1" customHeight="1">
      <c r="A199" s="293" t="e">
        <f>#REF!</f>
        <v>#REF!</v>
      </c>
      <c r="B199" s="294" t="e">
        <f>#REF!</f>
        <v>#REF!</v>
      </c>
      <c r="C199" s="1291" t="e">
        <f>#REF!</f>
        <v>#REF!</v>
      </c>
      <c r="D199" s="1291"/>
      <c r="E199" s="1291"/>
      <c r="F199" s="1291"/>
      <c r="G199" s="1291"/>
      <c r="H199" s="173"/>
      <c r="AE199" s="296"/>
      <c r="AF199" s="296"/>
      <c r="AH199" s="295"/>
      <c r="AI199" s="296"/>
    </row>
    <row r="200" spans="1:35" s="254" customFormat="1" ht="19.5" hidden="1" customHeight="1">
      <c r="A200" s="293" t="e">
        <f>#REF!</f>
        <v>#REF!</v>
      </c>
      <c r="B200" s="294" t="e">
        <f>#REF!</f>
        <v>#REF!</v>
      </c>
      <c r="C200" s="1291" t="e">
        <f>#REF!</f>
        <v>#REF!</v>
      </c>
      <c r="D200" s="1291"/>
      <c r="E200" s="1291"/>
      <c r="F200" s="1291"/>
      <c r="G200" s="1291"/>
      <c r="H200" s="173"/>
      <c r="AE200" s="296"/>
      <c r="AF200" s="296"/>
      <c r="AH200" s="295"/>
      <c r="AI200" s="296"/>
    </row>
    <row r="201" spans="1:35" s="254" customFormat="1" ht="19.5" hidden="1" customHeight="1">
      <c r="A201" s="293" t="e">
        <f>#REF!</f>
        <v>#REF!</v>
      </c>
      <c r="B201" s="294" t="e">
        <f>#REF!</f>
        <v>#REF!</v>
      </c>
      <c r="C201" s="1291" t="e">
        <f>#REF!</f>
        <v>#REF!</v>
      </c>
      <c r="D201" s="1291"/>
      <c r="E201" s="1291"/>
      <c r="F201" s="1291"/>
      <c r="G201" s="1291"/>
      <c r="H201" s="173"/>
      <c r="AE201" s="296"/>
      <c r="AF201" s="296"/>
      <c r="AH201" s="295"/>
      <c r="AI201" s="296"/>
    </row>
    <row r="202" spans="1:35" s="254" customFormat="1" ht="19.5" hidden="1" customHeight="1">
      <c r="A202" s="293" t="e">
        <f>#REF!</f>
        <v>#REF!</v>
      </c>
      <c r="B202" s="294" t="e">
        <f>#REF!</f>
        <v>#REF!</v>
      </c>
      <c r="C202" s="1291" t="e">
        <f>#REF!</f>
        <v>#REF!</v>
      </c>
      <c r="D202" s="1291"/>
      <c r="E202" s="1291"/>
      <c r="F202" s="1291"/>
      <c r="G202" s="1291"/>
      <c r="H202" s="173"/>
      <c r="AE202" s="296"/>
      <c r="AF202" s="296"/>
      <c r="AH202" s="295"/>
      <c r="AI202" s="296"/>
    </row>
    <row r="203" spans="1:35" s="254" customFormat="1" ht="19.5" hidden="1" customHeight="1">
      <c r="A203" s="304"/>
      <c r="B203" s="292" t="e">
        <f>#REF!</f>
        <v>#REF!</v>
      </c>
      <c r="C203" s="1291" t="e">
        <f>#REF!</f>
        <v>#REF!</v>
      </c>
      <c r="D203" s="1291"/>
      <c r="E203" s="1291"/>
      <c r="F203" s="1291"/>
      <c r="G203" s="1291"/>
      <c r="H203" s="173"/>
      <c r="AE203" s="296"/>
      <c r="AF203" s="296"/>
      <c r="AH203" s="296"/>
      <c r="AI203" s="296"/>
    </row>
    <row r="204" spans="1:35" s="254" customFormat="1" ht="33" hidden="1" customHeight="1">
      <c r="A204" s="298" t="e">
        <f>#REF!</f>
        <v>#REF!</v>
      </c>
      <c r="B204" s="292" t="e">
        <f>#REF!</f>
        <v>#REF!</v>
      </c>
      <c r="C204" s="1291"/>
      <c r="D204" s="1291"/>
      <c r="E204" s="1291"/>
      <c r="F204" s="1291"/>
      <c r="G204" s="1291"/>
      <c r="H204" s="173"/>
      <c r="AE204" s="296"/>
      <c r="AF204" s="296"/>
      <c r="AH204" s="296"/>
      <c r="AI204" s="296"/>
    </row>
    <row r="205" spans="1:35" s="254" customFormat="1" ht="33" hidden="1" customHeight="1">
      <c r="A205" s="293" t="e">
        <f>#REF!</f>
        <v>#REF!</v>
      </c>
      <c r="B205" s="294" t="e">
        <f>#REF!</f>
        <v>#REF!</v>
      </c>
      <c r="C205" s="1291" t="e">
        <f>#REF!</f>
        <v>#REF!</v>
      </c>
      <c r="D205" s="1291"/>
      <c r="E205" s="1291"/>
      <c r="F205" s="1291"/>
      <c r="G205" s="1291"/>
      <c r="H205" s="173"/>
      <c r="AE205" s="296"/>
      <c r="AF205" s="296"/>
      <c r="AH205" s="295"/>
      <c r="AI205" s="296"/>
    </row>
    <row r="206" spans="1:35" s="254" customFormat="1" ht="19.5" hidden="1" customHeight="1">
      <c r="A206" s="293" t="e">
        <f>#REF!</f>
        <v>#REF!</v>
      </c>
      <c r="B206" s="294" t="e">
        <f>#REF!</f>
        <v>#REF!</v>
      </c>
      <c r="C206" s="1291" t="e">
        <f>#REF!</f>
        <v>#REF!</v>
      </c>
      <c r="D206" s="1291"/>
      <c r="E206" s="1291"/>
      <c r="F206" s="1291"/>
      <c r="G206" s="1291"/>
      <c r="H206" s="173"/>
      <c r="AE206" s="296"/>
      <c r="AF206" s="296"/>
      <c r="AH206" s="295"/>
      <c r="AI206" s="296"/>
    </row>
    <row r="207" spans="1:35" s="254" customFormat="1" ht="19.5" hidden="1" customHeight="1">
      <c r="A207" s="293" t="e">
        <f>#REF!</f>
        <v>#REF!</v>
      </c>
      <c r="B207" s="294" t="e">
        <f>#REF!</f>
        <v>#REF!</v>
      </c>
      <c r="C207" s="1291" t="e">
        <f>#REF!</f>
        <v>#REF!</v>
      </c>
      <c r="D207" s="1291"/>
      <c r="E207" s="1291"/>
      <c r="F207" s="1291"/>
      <c r="G207" s="1291"/>
      <c r="H207" s="173"/>
      <c r="AE207" s="296"/>
      <c r="AF207" s="296"/>
      <c r="AH207" s="295"/>
      <c r="AI207" s="296"/>
    </row>
    <row r="208" spans="1:35" s="254" customFormat="1" ht="19.5" hidden="1" customHeight="1">
      <c r="A208" s="304" t="e">
        <f>#REF!</f>
        <v>#REF!</v>
      </c>
      <c r="B208" s="292" t="e">
        <f>#REF!</f>
        <v>#REF!</v>
      </c>
      <c r="C208" s="1291" t="e">
        <f>#REF!</f>
        <v>#REF!</v>
      </c>
      <c r="D208" s="1291"/>
      <c r="E208" s="1291"/>
      <c r="F208" s="1291"/>
      <c r="G208" s="1291"/>
      <c r="H208" s="173"/>
      <c r="AE208" s="296"/>
      <c r="AF208" s="296"/>
      <c r="AH208" s="296"/>
      <c r="AI208" s="296"/>
    </row>
    <row r="209" spans="1:35" s="254" customFormat="1" ht="33" hidden="1" customHeight="1">
      <c r="A209" s="298" t="e">
        <f>#REF!</f>
        <v>#REF!</v>
      </c>
      <c r="B209" s="292" t="e">
        <f>#REF!</f>
        <v>#REF!</v>
      </c>
      <c r="C209" s="1291"/>
      <c r="D209" s="1291"/>
      <c r="E209" s="1291"/>
      <c r="F209" s="1291"/>
      <c r="G209" s="1291"/>
      <c r="H209" s="173"/>
      <c r="AE209" s="296"/>
      <c r="AF209" s="296"/>
      <c r="AH209" s="296"/>
      <c r="AI209" s="296"/>
    </row>
    <row r="210" spans="1:35" s="254" customFormat="1" ht="19.5" hidden="1" customHeight="1">
      <c r="A210" s="293" t="e">
        <f>#REF!</f>
        <v>#REF!</v>
      </c>
      <c r="B210" s="294" t="e">
        <f>#REF!</f>
        <v>#REF!</v>
      </c>
      <c r="C210" s="1291" t="e">
        <f>#REF!</f>
        <v>#REF!</v>
      </c>
      <c r="D210" s="1291"/>
      <c r="E210" s="1291"/>
      <c r="F210" s="1291"/>
      <c r="G210" s="1291"/>
      <c r="H210" s="173"/>
      <c r="AE210" s="296"/>
      <c r="AF210" s="296"/>
      <c r="AH210" s="295"/>
      <c r="AI210" s="296"/>
    </row>
    <row r="211" spans="1:35" s="254" customFormat="1" ht="19.5" hidden="1" customHeight="1">
      <c r="A211" s="293" t="e">
        <f>#REF!</f>
        <v>#REF!</v>
      </c>
      <c r="B211" s="294" t="e">
        <f>#REF!</f>
        <v>#REF!</v>
      </c>
      <c r="C211" s="1291" t="e">
        <f>#REF!</f>
        <v>#REF!</v>
      </c>
      <c r="D211" s="1291"/>
      <c r="E211" s="1291"/>
      <c r="F211" s="1291"/>
      <c r="G211" s="1291"/>
      <c r="H211" s="173"/>
      <c r="AE211" s="296"/>
      <c r="AF211" s="296"/>
      <c r="AH211" s="295"/>
      <c r="AI211" s="296"/>
    </row>
    <row r="212" spans="1:35" s="254" customFormat="1" ht="32.25" hidden="1" customHeight="1">
      <c r="A212" s="293" t="e">
        <f>#REF!</f>
        <v>#REF!</v>
      </c>
      <c r="B212" s="294" t="e">
        <f>#REF!</f>
        <v>#REF!</v>
      </c>
      <c r="C212" s="1291" t="e">
        <f>#REF!</f>
        <v>#REF!</v>
      </c>
      <c r="D212" s="1291"/>
      <c r="E212" s="1291"/>
      <c r="F212" s="1291"/>
      <c r="G212" s="1291"/>
      <c r="H212" s="173"/>
      <c r="AE212" s="296"/>
      <c r="AF212" s="296"/>
      <c r="AH212" s="295"/>
      <c r="AI212" s="296"/>
    </row>
    <row r="213" spans="1:35" s="254" customFormat="1" ht="19.5" hidden="1" customHeight="1">
      <c r="A213" s="293" t="e">
        <f>#REF!</f>
        <v>#REF!</v>
      </c>
      <c r="B213" s="294" t="e">
        <f>#REF!</f>
        <v>#REF!</v>
      </c>
      <c r="C213" s="1291" t="e">
        <f>#REF!</f>
        <v>#REF!</v>
      </c>
      <c r="D213" s="1291"/>
      <c r="E213" s="1291"/>
      <c r="F213" s="1291"/>
      <c r="G213" s="1291"/>
      <c r="H213" s="173"/>
      <c r="AE213" s="296"/>
      <c r="AF213" s="296"/>
      <c r="AH213" s="295"/>
      <c r="AI213" s="296"/>
    </row>
    <row r="214" spans="1:35" s="254" customFormat="1" ht="19.5" hidden="1" customHeight="1">
      <c r="A214" s="297"/>
      <c r="B214" s="292" t="e">
        <f>#REF!</f>
        <v>#REF!</v>
      </c>
      <c r="C214" s="1291" t="e">
        <f>#REF!</f>
        <v>#REF!</v>
      </c>
      <c r="D214" s="1291"/>
      <c r="E214" s="1291"/>
      <c r="F214" s="1291"/>
      <c r="G214" s="1291"/>
      <c r="H214" s="174"/>
      <c r="AE214" s="296"/>
      <c r="AF214" s="296"/>
      <c r="AH214" s="296"/>
      <c r="AI214" s="296"/>
    </row>
    <row r="215" spans="1:35" s="254" customFormat="1" hidden="1">
      <c r="A215" s="300"/>
      <c r="B215" s="292" t="e">
        <f>#REF!</f>
        <v>#REF!</v>
      </c>
      <c r="C215" s="1291" t="e">
        <f>#REF!</f>
        <v>#REF!</v>
      </c>
      <c r="D215" s="1291"/>
      <c r="E215" s="1291"/>
      <c r="F215" s="1291"/>
      <c r="G215" s="1291"/>
      <c r="H215" s="174"/>
      <c r="AE215" s="296"/>
      <c r="AF215" s="296"/>
      <c r="AH215" s="296"/>
      <c r="AI215" s="296"/>
    </row>
    <row r="216" spans="1:35" s="254" customFormat="1" ht="19.5" hidden="1" customHeight="1">
      <c r="A216" s="301"/>
      <c r="B216" s="292" t="e">
        <f>#REF!</f>
        <v>#REF!</v>
      </c>
      <c r="C216" s="1291" t="e">
        <f>#REF!</f>
        <v>#REF!</v>
      </c>
      <c r="D216" s="1291"/>
      <c r="E216" s="1291"/>
      <c r="F216" s="1291"/>
      <c r="G216" s="1291"/>
      <c r="H216" s="174"/>
      <c r="AE216" s="296"/>
      <c r="AF216" s="296"/>
      <c r="AH216" s="296"/>
      <c r="AI216" s="296"/>
    </row>
    <row r="217" spans="1:35" s="171" customFormat="1">
      <c r="A217" s="216"/>
      <c r="B217" s="209"/>
      <c r="C217" s="1294"/>
      <c r="D217" s="1294"/>
      <c r="E217" s="1294"/>
      <c r="F217" s="1294"/>
      <c r="G217" s="1294"/>
      <c r="H217" s="243"/>
      <c r="I217" s="254"/>
      <c r="J217" s="254"/>
      <c r="K217" s="254"/>
      <c r="L217" s="254"/>
    </row>
    <row r="218" spans="1:35" s="171" customFormat="1">
      <c r="A218" s="191"/>
      <c r="B218" s="179"/>
      <c r="C218" s="179"/>
      <c r="D218" s="179"/>
      <c r="E218" s="179"/>
      <c r="F218" s="179"/>
      <c r="G218" s="179"/>
      <c r="H218" s="243"/>
      <c r="I218" s="254"/>
      <c r="J218" s="254"/>
      <c r="K218" s="254"/>
      <c r="L218" s="254"/>
    </row>
    <row r="219" spans="1:35" s="171" customFormat="1">
      <c r="A219" s="191"/>
      <c r="B219" s="179"/>
      <c r="C219" s="179"/>
      <c r="D219" s="179"/>
      <c r="E219" s="179"/>
      <c r="F219" s="179"/>
      <c r="G219" s="179"/>
      <c r="H219" s="243"/>
      <c r="I219" s="254"/>
      <c r="J219" s="254"/>
      <c r="K219" s="254"/>
      <c r="L219" s="254"/>
    </row>
  </sheetData>
  <customSheetViews>
    <customSheetView guid="{B48B8B4C-A880-453D-8729-90D004BEF0DB}"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1"/>
      <headerFooter alignWithMargins="0">
        <oddFooter>&amp;R&amp;"Book Antiqua,Bold"&amp;10Schedule-7/ Page &amp;P of &amp;N</oddFooter>
      </headerFooter>
    </customSheetView>
    <customSheetView guid="{7043F04C-1FA3-449D-BEB8-4AC08DF68A5A}" printArea="1" hiddenRows="1" hiddenColumns="1" state="hidden" view="pageBreakPreview" topLeftCell="A4">
      <selection activeCell="A16" sqref="A16:F16"/>
      <colBreaks count="1" manualBreakCount="1">
        <brk id="7" max="1048575" man="1"/>
      </colBreaks>
      <pageMargins left="0" right="0" top="0" bottom="0" header="0" footer="0"/>
      <printOptions horizontalCentered="1"/>
      <pageSetup paperSize="9" orientation="landscape" r:id="rId2"/>
      <headerFooter alignWithMargins="0">
        <oddFooter>&amp;R&amp;"Book Antiqua,Bold"&amp;10Schedule-7/ Page &amp;P of &amp;N</oddFooter>
      </headerFooter>
    </customSheetView>
    <customSheetView guid="{D0757F9E-DF41-4B40-A5E5-F4F8FDD8D61D}"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3"/>
      <headerFooter alignWithMargins="0">
        <oddFooter>&amp;R&amp;"Book Antiqua,Bold"&amp;10Schedule-7/ Page &amp;P of &amp;N</oddFooter>
      </headerFooter>
    </customSheetView>
    <customSheetView guid="{E81F0721-C35D-4189-B675-E46A21339863}"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19"/>
      <headerFooter alignWithMargins="0">
        <oddFooter>&amp;R&amp;"Book Antiqua,Bold"&amp;10Schedule-7/ Page &amp;P of &amp;N</oddFooter>
      </headerFooter>
    </customSheetView>
    <customSheetView guid="{B835C05C-B615-4DCB-982D-4519616B3CD8}" printArea="1" hiddenRows="1" hiddenColumns="1" view="pageBreakPreview" topLeftCell="A9">
      <selection activeCell="H25" sqref="H25"/>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17F5C48B-526E-48D2-9F97-823D578F9893}" printArea="1" hiddenRows="1" hiddenColumns="1" view="pageBreakPreview" topLeftCell="A7">
      <selection activeCell="A16" sqref="A16:F16"/>
      <colBreaks count="1" manualBreakCount="1">
        <brk id="7" max="1048575" man="1"/>
      </colBreaks>
      <pageMargins left="0" right="0" top="0" bottom="0" header="0" footer="0"/>
      <printOptions horizontalCentered="1"/>
      <pageSetup paperSize="9" orientation="landscape" r:id="rId21"/>
      <headerFooter alignWithMargins="0">
        <oddFooter>&amp;R&amp;"Book Antiqua,Bold"&amp;10Schedule-7/ Page &amp;P of &amp;N</oddFooter>
      </headerFooter>
    </customSheetView>
    <customSheetView guid="{7F1A5DE7-1043-4C11-AB2C-CC6BC6A0F482}" printArea="1" hiddenRows="1" hiddenColumns="1" view="pageBreakPreview" topLeftCell="A10">
      <selection activeCell="A16" sqref="A16:F16"/>
      <colBreaks count="1" manualBreakCount="1">
        <brk id="7" max="1048575" man="1"/>
      </colBreaks>
      <pageMargins left="0" right="0" top="0" bottom="0" header="0" footer="0"/>
      <printOptions horizontalCentered="1"/>
      <pageSetup paperSize="9" orientation="landscape" r:id="rId22"/>
      <headerFooter alignWithMargins="0">
        <oddFooter>&amp;R&amp;"Book Antiqua,Bold"&amp;10Schedule-7/ Page &amp;P of &amp;N</oddFooter>
      </headerFooter>
    </customSheetView>
    <customSheetView guid="{75D87FDD-0292-4E5A-8E8F-63018B009393}" printArea="1" hiddenRows="1" hiddenColumns="1" state="hidden" view="pageBreakPreview">
      <selection activeCell="A16" sqref="A16:F16"/>
      <colBreaks count="1" manualBreakCount="1">
        <brk id="7" max="1048575" man="1"/>
      </colBreaks>
      <pageMargins left="0" right="0" top="0" bottom="0" header="0" footer="0"/>
      <printOptions horizontalCentered="1"/>
      <pageSetup paperSize="9" orientation="landscape" r:id="rId23"/>
      <headerFooter alignWithMargins="0">
        <oddFooter>&amp;R&amp;"Book Antiqua,Bold"&amp;10Schedule-7/ Page &amp;P of &amp;N</oddFooter>
      </headerFooter>
    </customSheetView>
  </customSheetViews>
  <mergeCells count="142">
    <mergeCell ref="A3:F3"/>
    <mergeCell ref="A4:F4"/>
    <mergeCell ref="A100:G100"/>
    <mergeCell ref="A101:G101"/>
    <mergeCell ref="B10:C10"/>
    <mergeCell ref="B11:C11"/>
    <mergeCell ref="B8:C8"/>
    <mergeCell ref="B9:C9"/>
    <mergeCell ref="A7:C7"/>
    <mergeCell ref="B26:F26"/>
    <mergeCell ref="B105:C105"/>
    <mergeCell ref="B106:C106"/>
    <mergeCell ref="B107:C107"/>
    <mergeCell ref="AH14:AI14"/>
    <mergeCell ref="AE14:AF14"/>
    <mergeCell ref="A104:C104"/>
    <mergeCell ref="C25:G25"/>
    <mergeCell ref="C24:G24"/>
    <mergeCell ref="C23:G23"/>
    <mergeCell ref="A22:G22"/>
    <mergeCell ref="A16:F16"/>
    <mergeCell ref="C114:G114"/>
    <mergeCell ref="C115:G115"/>
    <mergeCell ref="C116:G116"/>
    <mergeCell ref="C117:G117"/>
    <mergeCell ref="C120:G120"/>
    <mergeCell ref="C121:G121"/>
    <mergeCell ref="C118:G118"/>
    <mergeCell ref="C119:G119"/>
    <mergeCell ref="B108:C108"/>
    <mergeCell ref="C112:G112"/>
    <mergeCell ref="C113:G113"/>
    <mergeCell ref="C110:G110"/>
    <mergeCell ref="C111:G111"/>
    <mergeCell ref="C138:G138"/>
    <mergeCell ref="C131:G131"/>
    <mergeCell ref="C132:G132"/>
    <mergeCell ref="C133:G133"/>
    <mergeCell ref="C134:G134"/>
    <mergeCell ref="C137:G137"/>
    <mergeCell ref="C139:G139"/>
    <mergeCell ref="C122:G122"/>
    <mergeCell ref="C123:G123"/>
    <mergeCell ref="C124:G124"/>
    <mergeCell ref="C125:G125"/>
    <mergeCell ref="C128:G128"/>
    <mergeCell ref="C129:G129"/>
    <mergeCell ref="C130:G130"/>
    <mergeCell ref="C135:G135"/>
    <mergeCell ref="C136:G136"/>
    <mergeCell ref="C126:G126"/>
    <mergeCell ref="C127:G127"/>
    <mergeCell ref="C140:G140"/>
    <mergeCell ref="C141:G141"/>
    <mergeCell ref="C142:G142"/>
    <mergeCell ref="C143:G143"/>
    <mergeCell ref="C158:G158"/>
    <mergeCell ref="C159:G159"/>
    <mergeCell ref="C146:G146"/>
    <mergeCell ref="C147:G147"/>
    <mergeCell ref="C148:G148"/>
    <mergeCell ref="C149:G149"/>
    <mergeCell ref="C152:G152"/>
    <mergeCell ref="C153:G153"/>
    <mergeCell ref="C144:G144"/>
    <mergeCell ref="C145:G145"/>
    <mergeCell ref="C160:G160"/>
    <mergeCell ref="C161:G161"/>
    <mergeCell ref="C162:G162"/>
    <mergeCell ref="C163:G163"/>
    <mergeCell ref="C150:G150"/>
    <mergeCell ref="C151:G151"/>
    <mergeCell ref="C154:G154"/>
    <mergeCell ref="C155:G155"/>
    <mergeCell ref="C156:G156"/>
    <mergeCell ref="C157:G157"/>
    <mergeCell ref="C172:G172"/>
    <mergeCell ref="C173:G173"/>
    <mergeCell ref="C174:G174"/>
    <mergeCell ref="C175:G175"/>
    <mergeCell ref="C168:G168"/>
    <mergeCell ref="C169:G169"/>
    <mergeCell ref="C170:G170"/>
    <mergeCell ref="C171:G171"/>
    <mergeCell ref="C164:G164"/>
    <mergeCell ref="C165:G165"/>
    <mergeCell ref="C166:G166"/>
    <mergeCell ref="C167:G167"/>
    <mergeCell ref="C180:G180"/>
    <mergeCell ref="C181:G181"/>
    <mergeCell ref="C184:G184"/>
    <mergeCell ref="C185:G185"/>
    <mergeCell ref="C182:G182"/>
    <mergeCell ref="C183:G183"/>
    <mergeCell ref="C178:G178"/>
    <mergeCell ref="C179:G179"/>
    <mergeCell ref="C176:G176"/>
    <mergeCell ref="C177:G177"/>
    <mergeCell ref="C201:G201"/>
    <mergeCell ref="C186:G186"/>
    <mergeCell ref="C187:G187"/>
    <mergeCell ref="C188:G188"/>
    <mergeCell ref="C189:G189"/>
    <mergeCell ref="C190:G190"/>
    <mergeCell ref="C191:G191"/>
    <mergeCell ref="C196:G196"/>
    <mergeCell ref="C197:G197"/>
    <mergeCell ref="C217:G217"/>
    <mergeCell ref="AE117:AF117"/>
    <mergeCell ref="C213:G213"/>
    <mergeCell ref="C214:G214"/>
    <mergeCell ref="C215:G215"/>
    <mergeCell ref="C216:G216"/>
    <mergeCell ref="C209:G209"/>
    <mergeCell ref="C212:G212"/>
    <mergeCell ref="C204:G204"/>
    <mergeCell ref="C210:G210"/>
    <mergeCell ref="C211:G211"/>
    <mergeCell ref="C205:G205"/>
    <mergeCell ref="C206:G206"/>
    <mergeCell ref="C207:G207"/>
    <mergeCell ref="C208:G208"/>
    <mergeCell ref="C202:G202"/>
    <mergeCell ref="C203:G203"/>
    <mergeCell ref="C198:G198"/>
    <mergeCell ref="C192:G192"/>
    <mergeCell ref="C193:G193"/>
    <mergeCell ref="C194:G194"/>
    <mergeCell ref="C195:G195"/>
    <mergeCell ref="C200:G200"/>
    <mergeCell ref="C199:G199"/>
    <mergeCell ref="AH117:AI117"/>
    <mergeCell ref="AE118:AF118"/>
    <mergeCell ref="AH118:AI118"/>
    <mergeCell ref="AE110:AF110"/>
    <mergeCell ref="AH110:AI110"/>
    <mergeCell ref="AE111:AF111"/>
    <mergeCell ref="AH111:AI111"/>
    <mergeCell ref="AE112:AF112"/>
    <mergeCell ref="AH112:AI112"/>
    <mergeCell ref="AH116:AI116"/>
    <mergeCell ref="AE116:AF116"/>
  </mergeCells>
  <phoneticPr fontId="4" type="noConversion"/>
  <conditionalFormatting sqref="E15">
    <cfRule type="expression" dxfId="6" priority="37" stopIfTrue="1">
      <formula>D15&gt;0</formula>
    </cfRule>
  </conditionalFormatting>
  <conditionalFormatting sqref="E17:E19">
    <cfRule type="expression" dxfId="5" priority="13" stopIfTrue="1">
      <formula>D17&gt;0</formula>
    </cfRule>
  </conditionalFormatting>
  <conditionalFormatting sqref="H15:H20">
    <cfRule type="expression" dxfId="4" priority="14" stopIfTrue="1">
      <formula>G15=""</formula>
    </cfRule>
  </conditionalFormatting>
  <dataValidations count="1">
    <dataValidation type="decimal" operator="greaterThan" allowBlank="1" showInputMessage="1" showErrorMessage="1" error="Enter only Numeric Value greater than zero or leave the cell blank !" sqref="E15 E17:E19" xr:uid="{00000000-0002-0000-0E00-000000000000}">
      <formula1>0</formula1>
    </dataValidation>
  </dataValidations>
  <printOptions horizontalCentered="1"/>
  <pageMargins left="0.66" right="0.47" top="0.59055118110236227" bottom="0.59055118110236227" header="0.35433070866141736" footer="0.35433070866141736"/>
  <pageSetup paperSize="9" orientation="landscape" r:id="rId24"/>
  <headerFooter alignWithMargins="0">
    <oddHeader>&amp;C&amp;"Calibri"&amp;12&amp;KFF0000 डेटा वर्गीकरण : प्रतिबंधित/RESTRICTED&amp;1#_x000D_</oddHeader>
    <oddFooter>&amp;R&amp;"Book Antiqua,Bold"&amp;10Schedule-7/ Page &amp;P of &amp;N</oddFooter>
  </headerFooter>
  <colBreaks count="1" manualBreakCount="1">
    <brk id="7" max="1048575" man="1"/>
  </colBreaks>
  <drawing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49" customWidth="1"/>
    <col min="2" max="2" width="38.125" style="308" customWidth="1"/>
    <col min="3" max="3" width="7.625" style="308" customWidth="1"/>
    <col min="4" max="4" width="10.25" style="308" customWidth="1"/>
    <col min="5" max="5" width="15.375" style="308" customWidth="1"/>
    <col min="6" max="6" width="11.375" style="308" customWidth="1"/>
    <col min="7" max="7" width="13.625" style="308" customWidth="1"/>
    <col min="8" max="8" width="20.875" style="243" customWidth="1"/>
    <col min="9" max="12" width="9" style="354"/>
    <col min="13" max="29" width="9" style="171"/>
    <col min="30" max="30" width="0" style="171" hidden="1" customWidth="1"/>
    <col min="31" max="31" width="13.875" style="171" hidden="1" customWidth="1"/>
    <col min="32" max="32" width="13.625" style="171" hidden="1" customWidth="1"/>
    <col min="33" max="33" width="21.375" style="171" hidden="1" customWidth="1"/>
    <col min="34" max="34" width="12" style="171" hidden="1" customWidth="1"/>
    <col min="35" max="36" width="0" style="171" hidden="1" customWidth="1"/>
    <col min="37" max="45" width="9" style="171"/>
    <col min="46" max="16384" width="9" style="354"/>
  </cols>
  <sheetData>
    <row r="1" spans="1:35" ht="18" customHeight="1">
      <c r="A1" s="75" t="str">
        <f>Cover!B3</f>
        <v>NR3/NT/W-CIVIL/DOM/K00/25/09879 (Rfx No.5002004724)</v>
      </c>
      <c r="B1" s="76"/>
      <c r="C1" s="77"/>
      <c r="D1" s="77"/>
      <c r="E1" s="77"/>
      <c r="F1" s="77"/>
      <c r="G1" s="77"/>
      <c r="I1" s="254"/>
      <c r="J1" s="254"/>
      <c r="K1" s="254"/>
      <c r="L1" s="254"/>
    </row>
    <row r="2" spans="1:35" ht="18.600000000000001" customHeight="1">
      <c r="A2" s="64"/>
      <c r="B2" s="82"/>
      <c r="C2" s="83"/>
      <c r="D2" s="83"/>
      <c r="E2" s="83"/>
      <c r="F2" s="83"/>
      <c r="G2" s="83"/>
      <c r="I2" s="254"/>
      <c r="J2" s="254"/>
      <c r="K2" s="254"/>
      <c r="L2" s="254"/>
    </row>
    <row r="3" spans="1:35" ht="55.5" customHeight="1">
      <c r="A3" s="1300" t="str">
        <f>Cover!$B$2</f>
        <v>Extension of residential quarters 2 nos C type &amp; 2 nos B2 type quarters over the existing C type &amp; B2 type at 400/220 KV Shahjahanpur &amp; 765/400 KV Sohawal Substation</v>
      </c>
      <c r="B3" s="1300"/>
      <c r="C3" s="1300"/>
      <c r="D3" s="1300"/>
      <c r="E3" s="1300"/>
      <c r="F3" s="1300"/>
      <c r="G3" s="1300"/>
      <c r="I3" s="254"/>
      <c r="J3" s="254"/>
      <c r="K3" s="254"/>
      <c r="L3" s="254"/>
      <c r="AD3" s="185" t="s">
        <v>155</v>
      </c>
      <c r="AF3" s="206">
        <f>IF(ISERROR(#REF!/('Sch-3'!D14+'Sch-3'!D16+'Sch-3'!#REF!)),0,#REF!/( 'Sch-3'!D14+'Sch-3'!D16+'Sch-3'!#REF!))</f>
        <v>0</v>
      </c>
    </row>
    <row r="4" spans="1:35" ht="21.95" customHeight="1">
      <c r="A4" s="1207" t="s">
        <v>584</v>
      </c>
      <c r="B4" s="1207"/>
      <c r="C4" s="1207"/>
      <c r="D4" s="1207"/>
      <c r="E4" s="1207"/>
      <c r="F4" s="1207"/>
      <c r="G4" s="1207"/>
      <c r="I4" s="254"/>
      <c r="J4" s="254"/>
      <c r="K4" s="254"/>
      <c r="L4" s="254"/>
      <c r="AD4" s="185" t="s">
        <v>157</v>
      </c>
      <c r="AF4" s="206" t="e">
        <f>#REF!</f>
        <v>#REF!</v>
      </c>
    </row>
    <row r="5" spans="1:35" ht="18.600000000000001" customHeight="1">
      <c r="A5" s="65"/>
      <c r="B5" s="96"/>
      <c r="C5" s="96"/>
      <c r="D5" s="96"/>
      <c r="E5" s="96"/>
      <c r="F5" s="96"/>
      <c r="G5" s="96"/>
      <c r="I5" s="254"/>
      <c r="J5" s="254"/>
      <c r="K5" s="254"/>
      <c r="L5" s="254"/>
      <c r="AD5" s="185" t="s">
        <v>571</v>
      </c>
      <c r="AF5" s="206">
        <f>IF(ISERROR(#REF!/#REF!),0,#REF! /#REF!)</f>
        <v>0</v>
      </c>
    </row>
    <row r="6" spans="1:35" ht="27.95" customHeight="1">
      <c r="A6" s="29" t="str">
        <f>'Sch-1'!A7</f>
        <v>Bidder’s Name and Address (Bidder) :</v>
      </c>
      <c r="B6" s="39"/>
      <c r="C6" s="39"/>
      <c r="D6" s="39"/>
      <c r="E6" s="448" t="s">
        <v>79</v>
      </c>
      <c r="F6" s="39"/>
      <c r="G6" s="60"/>
      <c r="I6" s="254"/>
      <c r="J6" s="254"/>
      <c r="K6" s="254"/>
      <c r="L6" s="254"/>
      <c r="AD6" s="185" t="s">
        <v>572</v>
      </c>
      <c r="AF6" s="206" t="e">
        <f>#REF!</f>
        <v>#REF!</v>
      </c>
    </row>
    <row r="7" spans="1:35" ht="36" customHeight="1">
      <c r="A7" s="1295" t="str">
        <f>'Sch-1'!A8</f>
        <v/>
      </c>
      <c r="B7" s="1295"/>
      <c r="C7" s="1295"/>
      <c r="D7" s="406"/>
      <c r="E7" s="449" t="str">
        <f>'Sch-1'!M8</f>
        <v>Sr.GM , Contracts &amp; Materials Department,</v>
      </c>
      <c r="F7" s="406"/>
      <c r="G7" s="59"/>
      <c r="I7" s="254"/>
      <c r="J7" s="254"/>
      <c r="K7" s="254"/>
      <c r="L7" s="254"/>
      <c r="AD7" s="185" t="s">
        <v>160</v>
      </c>
      <c r="AF7" s="206" t="e">
        <f>SUM(AF3:AF6)</f>
        <v>#REF!</v>
      </c>
    </row>
    <row r="8" spans="1:35" ht="27.95" customHeight="1">
      <c r="A8" s="40" t="s">
        <v>539</v>
      </c>
      <c r="B8" s="1262" t="str">
        <f>IF('Sch-1'!G9=0, "", 'Sch-1'!G9)</f>
        <v/>
      </c>
      <c r="C8" s="1262"/>
      <c r="D8" s="405"/>
      <c r="E8" s="449" t="str">
        <f>'Sch-1'!M9</f>
        <v>Power Grid Corporation of India Ltd.,</v>
      </c>
      <c r="F8" s="405"/>
      <c r="G8" s="59"/>
      <c r="I8" s="254"/>
      <c r="J8" s="254"/>
      <c r="K8" s="254"/>
      <c r="L8" s="254"/>
    </row>
    <row r="9" spans="1:35" ht="27.95" customHeight="1">
      <c r="A9" s="40" t="s">
        <v>540</v>
      </c>
      <c r="B9" s="1262" t="str">
        <f>IF('Sch-1'!G10=0, "", 'Sch-1'!G10)</f>
        <v/>
      </c>
      <c r="C9" s="1262"/>
      <c r="D9" s="405"/>
      <c r="E9" s="449" t="str">
        <f>'Sch-1'!M10</f>
        <v>SRTS-II, RHQ</v>
      </c>
      <c r="F9" s="405"/>
      <c r="G9" s="59"/>
      <c r="I9" s="254"/>
      <c r="J9" s="254"/>
      <c r="K9" s="254"/>
      <c r="L9" s="254"/>
    </row>
    <row r="10" spans="1:35" ht="27.95" customHeight="1">
      <c r="A10" s="41"/>
      <c r="B10" s="1262" t="str">
        <f>IF('Sch-1'!G11=0, "", 'Sch-1'!G11)</f>
        <v/>
      </c>
      <c r="C10" s="1262"/>
      <c r="D10" s="405"/>
      <c r="E10" s="449" t="str">
        <f>'Sch-1'!M11</f>
        <v>Singanayakanahalli</v>
      </c>
      <c r="F10" s="405"/>
      <c r="G10" s="59"/>
      <c r="I10" s="254"/>
      <c r="J10" s="254"/>
      <c r="K10" s="254"/>
      <c r="L10" s="254"/>
      <c r="AD10" s="185" t="s">
        <v>161</v>
      </c>
      <c r="AF10" s="213" t="e">
        <f>'Sch-1'!#REF!</f>
        <v>#REF!</v>
      </c>
    </row>
    <row r="11" spans="1:35" ht="27.95" customHeight="1">
      <c r="A11" s="41"/>
      <c r="B11" s="1262" t="str">
        <f>IF('Sch-1'!G12=0, "", 'Sch-1'!G12)</f>
        <v/>
      </c>
      <c r="C11" s="1262"/>
      <c r="D11" s="405"/>
      <c r="E11" s="449" t="str">
        <f>'Sch-1'!M12</f>
        <v>Bengaluru-560064</v>
      </c>
      <c r="F11" s="405"/>
      <c r="G11" s="59"/>
      <c r="I11" s="254"/>
      <c r="J11" s="254"/>
      <c r="K11" s="254"/>
      <c r="L11" s="254"/>
      <c r="AD11" s="185"/>
      <c r="AF11" s="206"/>
    </row>
    <row r="12" spans="1:35" ht="18.600000000000001" customHeight="1">
      <c r="A12" s="41"/>
      <c r="B12" s="405"/>
      <c r="C12" s="405"/>
      <c r="D12" s="405"/>
      <c r="E12" s="405"/>
      <c r="F12" s="405"/>
      <c r="G12" s="59"/>
      <c r="I12" s="254"/>
      <c r="J12" s="254"/>
      <c r="K12" s="254"/>
      <c r="L12" s="254"/>
      <c r="AD12" s="185"/>
      <c r="AF12" s="206"/>
    </row>
    <row r="13" spans="1:35" ht="27.95" customHeight="1">
      <c r="A13" s="1303" t="s">
        <v>585</v>
      </c>
      <c r="B13" s="1303"/>
      <c r="C13" s="1303"/>
      <c r="D13" s="1303"/>
      <c r="E13" s="1303"/>
      <c r="F13" s="1303"/>
      <c r="G13" s="1304"/>
      <c r="I13" s="254"/>
      <c r="J13" s="254"/>
      <c r="K13" s="254"/>
      <c r="L13" s="254"/>
    </row>
    <row r="14" spans="1:35" ht="33.75" customHeight="1">
      <c r="A14" s="97" t="s">
        <v>574</v>
      </c>
      <c r="B14" s="434" t="s">
        <v>575</v>
      </c>
      <c r="C14" s="434" t="s">
        <v>99</v>
      </c>
      <c r="D14" s="434" t="s">
        <v>148</v>
      </c>
      <c r="E14" s="434" t="s">
        <v>576</v>
      </c>
      <c r="F14" s="98" t="s">
        <v>577</v>
      </c>
      <c r="G14" s="290"/>
      <c r="I14" s="254"/>
      <c r="J14" s="254"/>
      <c r="K14" s="254"/>
      <c r="L14" s="254"/>
      <c r="AE14" s="1294" t="s">
        <v>578</v>
      </c>
      <c r="AF14" s="1294"/>
      <c r="AG14" s="187" t="s">
        <v>142</v>
      </c>
      <c r="AH14" s="1294" t="s">
        <v>579</v>
      </c>
      <c r="AI14" s="1294"/>
    </row>
    <row r="15" spans="1:35" s="409" customFormat="1">
      <c r="A15" s="456" t="s">
        <v>12</v>
      </c>
      <c r="B15" s="450">
        <f>'Sch-7'!B16</f>
        <v>0</v>
      </c>
      <c r="C15" s="450"/>
      <c r="D15" s="450"/>
      <c r="E15" s="451"/>
      <c r="F15" s="452"/>
    </row>
    <row r="16" spans="1:35" s="409" customFormat="1">
      <c r="A16" s="457" t="s">
        <v>173</v>
      </c>
      <c r="B16" s="450" t="e">
        <f>'Sch-7'!#REF!</f>
        <v>#REF!</v>
      </c>
      <c r="C16" s="450" t="e">
        <f>'Sch-7'!#REF!</f>
        <v>#REF!</v>
      </c>
      <c r="D16" s="450" t="e">
        <f>'Sch-7'!#REF!</f>
        <v>#REF!</v>
      </c>
      <c r="E16" s="451" t="e">
        <f>'Sch-7'!#REF!</f>
        <v>#REF!</v>
      </c>
      <c r="F16" s="452" t="e">
        <f>IF(E16=0, "Included", IF(ISERROR(D16*E16), E16, D16*E16))</f>
        <v>#REF!</v>
      </c>
    </row>
    <row r="17" spans="1:35" s="409" customFormat="1">
      <c r="A17" s="457" t="s">
        <v>175</v>
      </c>
      <c r="B17" s="450" t="e">
        <f>'Sch-7'!#REF!</f>
        <v>#REF!</v>
      </c>
      <c r="C17" s="450" t="e">
        <f>'Sch-7'!#REF!</f>
        <v>#REF!</v>
      </c>
      <c r="D17" s="450" t="e">
        <f>'Sch-7'!#REF!</f>
        <v>#REF!</v>
      </c>
      <c r="E17" s="451" t="e">
        <f>'Sch-7'!#REF!</f>
        <v>#REF!</v>
      </c>
      <c r="F17" s="452" t="e">
        <f>IF(E17=0, "Included", IF(ISERROR(D17*E17), E17, D17*E17))</f>
        <v>#REF!</v>
      </c>
    </row>
    <row r="18" spans="1:35" s="409" customFormat="1" ht="15.75">
      <c r="A18" s="460"/>
      <c r="B18" s="462" t="s">
        <v>586</v>
      </c>
      <c r="C18" s="462"/>
      <c r="D18" s="462"/>
      <c r="E18" s="462"/>
      <c r="F18" s="463" t="e">
        <f>SUM(F16:F17)</f>
        <v>#REF!</v>
      </c>
    </row>
    <row r="19" spans="1:35" s="409" customFormat="1" ht="15.75">
      <c r="A19" s="461"/>
      <c r="B19" s="462" t="s">
        <v>587</v>
      </c>
      <c r="C19" s="462"/>
      <c r="D19" s="462"/>
      <c r="E19" s="462"/>
      <c r="F19" s="464" t="e">
        <f>F18</f>
        <v>#REF!</v>
      </c>
    </row>
    <row r="20" spans="1:35" ht="18.600000000000001" customHeight="1">
      <c r="A20" s="301"/>
      <c r="B20" s="284"/>
      <c r="C20" s="284"/>
      <c r="D20" s="284"/>
      <c r="E20" s="284"/>
      <c r="F20" s="284"/>
      <c r="G20" s="447"/>
      <c r="I20" s="254"/>
      <c r="J20" s="254"/>
      <c r="K20" s="254"/>
      <c r="L20" s="254"/>
      <c r="AE20" s="214"/>
      <c r="AF20" s="214"/>
      <c r="AH20" s="214"/>
      <c r="AI20" s="214"/>
    </row>
    <row r="21" spans="1:35" ht="30.75" customHeight="1">
      <c r="A21" s="407"/>
      <c r="B21" s="407"/>
      <c r="C21" s="407"/>
      <c r="D21" s="407"/>
      <c r="E21" s="407"/>
      <c r="F21" s="407"/>
      <c r="G21" s="407"/>
      <c r="H21" s="244"/>
      <c r="I21" s="254"/>
      <c r="J21" s="254"/>
      <c r="K21" s="254"/>
      <c r="L21" s="254"/>
      <c r="AD21" s="242" t="s">
        <v>588</v>
      </c>
      <c r="AE21" s="215" t="e">
        <f>#REF!-#REF!</f>
        <v>#REF!</v>
      </c>
      <c r="AG21" s="242" t="s">
        <v>589</v>
      </c>
      <c r="AH21" s="215" t="e">
        <f>#REF!-#REF!</f>
        <v>#REF!</v>
      </c>
    </row>
    <row r="22" spans="1:35" ht="18.600000000000001" customHeight="1">
      <c r="A22" s="1297"/>
      <c r="B22" s="1297"/>
      <c r="C22" s="1297"/>
      <c r="D22" s="1297"/>
      <c r="E22" s="1297"/>
      <c r="F22" s="1297"/>
      <c r="G22" s="1297"/>
      <c r="I22" s="254"/>
      <c r="J22" s="254"/>
      <c r="K22" s="254"/>
      <c r="L22" s="254"/>
      <c r="AD22" s="171" t="s">
        <v>142</v>
      </c>
      <c r="AE22" s="242" t="e">
        <f>IF(#REF!&gt;0,#REF!&amp; " Item(s) in Sch-3", "")</f>
        <v>#REF!</v>
      </c>
      <c r="AF22" s="215"/>
    </row>
    <row r="23" spans="1:35" ht="27.95" customHeight="1">
      <c r="A23" s="355"/>
      <c r="B23" s="355"/>
      <c r="C23" s="1296" t="s">
        <v>590</v>
      </c>
      <c r="D23" s="1296"/>
      <c r="E23" s="1296"/>
      <c r="F23" s="1296"/>
      <c r="G23" s="1296"/>
      <c r="I23" s="254"/>
      <c r="J23" s="254"/>
      <c r="K23" s="254"/>
      <c r="L23" s="254"/>
      <c r="AE23" s="242"/>
      <c r="AF23" s="215"/>
    </row>
    <row r="24" spans="1:35" ht="27.95" customHeight="1">
      <c r="A24" s="89" t="s">
        <v>118</v>
      </c>
      <c r="B24" s="103" t="str">
        <f>'Sch-1'!F28</f>
        <v>--2025</v>
      </c>
      <c r="C24" s="1296" t="str">
        <f>"Printed Name   : " &amp; 'Sch-1'!M29</f>
        <v xml:space="preserve">Printed Name   : </v>
      </c>
      <c r="D24" s="1296"/>
      <c r="E24" s="1296"/>
      <c r="F24" s="1296"/>
      <c r="G24" s="1296"/>
      <c r="I24" s="254"/>
      <c r="J24" s="254"/>
      <c r="K24" s="254"/>
      <c r="L24" s="254"/>
    </row>
    <row r="25" spans="1:35" ht="27.95" customHeight="1">
      <c r="A25" s="89" t="s">
        <v>119</v>
      </c>
      <c r="B25" s="99" t="str">
        <f>'Sch-1'!F29</f>
        <v/>
      </c>
      <c r="C25" s="1296" t="str">
        <f>"Designation      : " &amp; 'Sch-1'!M30</f>
        <v xml:space="preserve">Designation      : </v>
      </c>
      <c r="D25" s="1296"/>
      <c r="E25" s="1296"/>
      <c r="F25" s="1296"/>
      <c r="G25" s="1296"/>
      <c r="I25" s="254"/>
      <c r="J25" s="254"/>
      <c r="K25" s="254"/>
      <c r="L25" s="254"/>
    </row>
    <row r="26" spans="1:35" ht="27.95" customHeight="1">
      <c r="A26" s="83"/>
      <c r="B26" s="82"/>
      <c r="C26" s="1296" t="s">
        <v>591</v>
      </c>
      <c r="D26" s="1296"/>
      <c r="E26" s="1296"/>
      <c r="F26" s="1296"/>
      <c r="G26" s="1296"/>
      <c r="I26" s="254"/>
      <c r="J26" s="254"/>
      <c r="K26" s="254"/>
      <c r="L26" s="254"/>
    </row>
    <row r="27" spans="1:35" ht="27.95" customHeight="1">
      <c r="A27" s="83"/>
      <c r="B27" s="82"/>
      <c r="C27" s="284"/>
      <c r="D27" s="284"/>
      <c r="E27" s="284"/>
      <c r="F27" s="284"/>
      <c r="G27" s="284"/>
      <c r="I27" s="254"/>
      <c r="J27" s="254"/>
      <c r="K27" s="254"/>
      <c r="L27" s="254"/>
    </row>
    <row r="28" spans="1:35" ht="36.75" customHeight="1">
      <c r="A28" s="100" t="s">
        <v>582</v>
      </c>
      <c r="B28" s="1305" t="s">
        <v>583</v>
      </c>
      <c r="C28" s="1305"/>
      <c r="D28" s="1305"/>
      <c r="E28" s="1305"/>
      <c r="F28" s="1305"/>
      <c r="G28" s="1305"/>
      <c r="I28" s="254"/>
      <c r="J28" s="254"/>
      <c r="K28" s="254"/>
      <c r="L28" s="254"/>
    </row>
    <row r="29" spans="1:35" ht="31.5" customHeight="1">
      <c r="A29" s="286"/>
      <c r="B29" s="30"/>
      <c r="C29" s="30"/>
      <c r="D29" s="30"/>
      <c r="E29" s="30"/>
      <c r="F29" s="30"/>
      <c r="G29" s="30"/>
      <c r="H29" s="245"/>
      <c r="I29" s="254"/>
      <c r="J29" s="254"/>
      <c r="K29" s="254"/>
      <c r="L29" s="254"/>
    </row>
    <row r="101" spans="1:12" s="171" customFormat="1">
      <c r="A101" s="191"/>
      <c r="B101" s="179"/>
      <c r="C101" s="179"/>
      <c r="D101" s="179"/>
      <c r="E101" s="179"/>
      <c r="F101" s="179"/>
      <c r="G101" s="179"/>
      <c r="H101" s="243"/>
      <c r="I101" s="254"/>
      <c r="J101" s="254"/>
      <c r="K101" s="254"/>
      <c r="L101" s="254"/>
    </row>
    <row r="102" spans="1:12" s="171" customFormat="1">
      <c r="A102" s="191"/>
      <c r="B102" s="179"/>
      <c r="C102" s="179"/>
      <c r="D102" s="179"/>
      <c r="E102" s="179"/>
      <c r="F102" s="179"/>
      <c r="G102" s="179"/>
      <c r="H102" s="243"/>
      <c r="I102" s="254"/>
      <c r="J102" s="254"/>
      <c r="K102" s="254"/>
      <c r="L102" s="254"/>
    </row>
    <row r="103" spans="1:12" s="171" customFormat="1">
      <c r="A103" s="191"/>
      <c r="B103" s="179"/>
      <c r="C103" s="179"/>
      <c r="D103" s="179"/>
      <c r="E103" s="179"/>
      <c r="F103" s="179"/>
      <c r="G103" s="179"/>
      <c r="H103" s="243"/>
      <c r="I103" s="254"/>
      <c r="J103" s="254"/>
      <c r="K103" s="254"/>
      <c r="L103" s="254"/>
    </row>
    <row r="104" spans="1:12" s="254" customFormat="1" hidden="1">
      <c r="A104" s="173" t="str">
        <f>A1</f>
        <v>NR3/NT/W-CIVIL/DOM/K00/25/09879 (Rfx No.5002004724)</v>
      </c>
      <c r="B104" s="89"/>
      <c r="C104" s="175"/>
      <c r="D104" s="175"/>
      <c r="E104" s="175"/>
      <c r="F104" s="175"/>
      <c r="G104" s="175"/>
      <c r="H104" s="174"/>
    </row>
    <row r="105" spans="1:12" s="254" customFormat="1" hidden="1">
      <c r="A105" s="64"/>
      <c r="B105" s="82"/>
      <c r="C105" s="83"/>
      <c r="D105" s="83"/>
      <c r="E105" s="83"/>
      <c r="F105" s="83"/>
      <c r="G105" s="83"/>
      <c r="H105" s="174"/>
    </row>
    <row r="106" spans="1:12" s="254" customFormat="1" ht="35.25" hidden="1" customHeight="1">
      <c r="A106" s="1300" t="str">
        <f t="shared" ref="A106:C107" si="0">A3</f>
        <v>Extension of residential quarters 2 nos C type &amp; 2 nos B2 type quarters over the existing C type &amp; B2 type at 400/220 KV Shahjahanpur &amp; 765/400 KV Sohawal Substation</v>
      </c>
      <c r="B106" s="1300">
        <f t="shared" si="0"/>
        <v>0</v>
      </c>
      <c r="C106" s="1300">
        <f t="shared" si="0"/>
        <v>0</v>
      </c>
      <c r="D106" s="1300"/>
      <c r="E106" s="1300"/>
      <c r="F106" s="1300"/>
      <c r="G106" s="1300">
        <f>G3</f>
        <v>0</v>
      </c>
      <c r="H106" s="174"/>
    </row>
    <row r="107" spans="1:12" s="254" customFormat="1" hidden="1">
      <c r="A107" s="1301" t="str">
        <f t="shared" si="0"/>
        <v>(SCHEDULE OF RATES AND PRICES : TYPE TEST CHARGES)</v>
      </c>
      <c r="B107" s="1301">
        <f t="shared" si="0"/>
        <v>0</v>
      </c>
      <c r="C107" s="1301">
        <f t="shared" si="0"/>
        <v>0</v>
      </c>
      <c r="D107" s="1301"/>
      <c r="E107" s="1301"/>
      <c r="F107" s="1301"/>
      <c r="G107" s="1301">
        <f>G4</f>
        <v>0</v>
      </c>
      <c r="H107" s="174"/>
    </row>
    <row r="108" spans="1:12" s="254" customFormat="1" hidden="1">
      <c r="A108" s="65"/>
      <c r="B108" s="96"/>
      <c r="C108" s="96"/>
      <c r="D108" s="96"/>
      <c r="E108" s="96"/>
      <c r="F108" s="96"/>
      <c r="G108" s="96"/>
      <c r="H108" s="174"/>
    </row>
    <row r="109" spans="1:12" s="254" customFormat="1" hidden="1">
      <c r="A109" s="29" t="str">
        <f>A6</f>
        <v>Bidder’s Name and Address (Bidder) :</v>
      </c>
      <c r="B109" s="39"/>
      <c r="C109" s="39"/>
      <c r="D109" s="39"/>
      <c r="E109" s="39"/>
      <c r="F109" s="39"/>
      <c r="G109" s="60">
        <f t="shared" ref="G109:G114" si="1">G6</f>
        <v>0</v>
      </c>
      <c r="H109" s="174"/>
    </row>
    <row r="110" spans="1:12" s="254" customFormat="1" hidden="1">
      <c r="A110" s="1295" t="str">
        <f>A7</f>
        <v/>
      </c>
      <c r="B110" s="1295">
        <f t="shared" ref="B110:C114" si="2">B7</f>
        <v>0</v>
      </c>
      <c r="C110" s="1295">
        <f t="shared" si="2"/>
        <v>0</v>
      </c>
      <c r="D110" s="406"/>
      <c r="E110" s="406"/>
      <c r="F110" s="406"/>
      <c r="G110" s="59">
        <f t="shared" si="1"/>
        <v>0</v>
      </c>
      <c r="H110" s="174"/>
    </row>
    <row r="111" spans="1:12" s="254" customFormat="1" hidden="1">
      <c r="A111" s="40" t="str">
        <f>A8</f>
        <v>Name     :</v>
      </c>
      <c r="B111" s="1262" t="str">
        <f t="shared" si="2"/>
        <v/>
      </c>
      <c r="C111" s="1262">
        <f t="shared" si="2"/>
        <v>0</v>
      </c>
      <c r="D111" s="405"/>
      <c r="E111" s="405"/>
      <c r="F111" s="405"/>
      <c r="G111" s="59">
        <f t="shared" si="1"/>
        <v>0</v>
      </c>
      <c r="H111" s="174"/>
    </row>
    <row r="112" spans="1:12" s="254" customFormat="1" hidden="1">
      <c r="A112" s="40" t="str">
        <f>A9</f>
        <v>Address :</v>
      </c>
      <c r="B112" s="1262" t="str">
        <f t="shared" si="2"/>
        <v/>
      </c>
      <c r="C112" s="1262">
        <f t="shared" si="2"/>
        <v>0</v>
      </c>
      <c r="D112" s="405"/>
      <c r="E112" s="405"/>
      <c r="F112" s="405"/>
      <c r="G112" s="59">
        <f t="shared" si="1"/>
        <v>0</v>
      </c>
      <c r="H112" s="174"/>
    </row>
    <row r="113" spans="1:35" s="254" customFormat="1" hidden="1">
      <c r="A113" s="41"/>
      <c r="B113" s="1262" t="str">
        <f t="shared" si="2"/>
        <v/>
      </c>
      <c r="C113" s="1262">
        <f t="shared" si="2"/>
        <v>0</v>
      </c>
      <c r="D113" s="405"/>
      <c r="E113" s="405"/>
      <c r="F113" s="405"/>
      <c r="G113" s="59">
        <f t="shared" si="1"/>
        <v>0</v>
      </c>
      <c r="H113" s="174"/>
    </row>
    <row r="114" spans="1:35" s="254" customFormat="1" hidden="1">
      <c r="A114" s="41"/>
      <c r="B114" s="1262" t="str">
        <f t="shared" si="2"/>
        <v/>
      </c>
      <c r="C114" s="1262">
        <f t="shared" si="2"/>
        <v>0</v>
      </c>
      <c r="D114" s="405"/>
      <c r="E114" s="405"/>
      <c r="F114" s="405"/>
      <c r="G114" s="59">
        <f t="shared" si="1"/>
        <v>0</v>
      </c>
      <c r="H114" s="174"/>
    </row>
    <row r="115" spans="1:35" s="254" customFormat="1" hidden="1">
      <c r="A115" s="286"/>
      <c r="B115" s="30"/>
      <c r="C115" s="30"/>
      <c r="D115" s="30"/>
      <c r="E115" s="30"/>
      <c r="F115" s="30"/>
      <c r="G115" s="30"/>
      <c r="H115" s="174"/>
    </row>
    <row r="116" spans="1:35" s="254" customFormat="1" ht="33.75" hidden="1" customHeight="1">
      <c r="A116" s="284" t="str">
        <f>A14</f>
        <v>SL. NO.</v>
      </c>
      <c r="B116" s="289" t="str">
        <f>B14</f>
        <v>Description of Test</v>
      </c>
      <c r="C116" s="1292">
        <f>G14</f>
        <v>0</v>
      </c>
      <c r="D116" s="1292"/>
      <c r="E116" s="1292"/>
      <c r="F116" s="1292"/>
      <c r="G116" s="1292"/>
      <c r="H116" s="174"/>
      <c r="AE116" s="1292"/>
      <c r="AF116" s="1292"/>
      <c r="AH116" s="1292"/>
      <c r="AI116" s="1292"/>
    </row>
    <row r="117" spans="1:35" s="254" customFormat="1" hidden="1">
      <c r="A117" s="96" t="e">
        <f>#REF!</f>
        <v>#REF!</v>
      </c>
      <c r="B117" s="96" t="e">
        <f>#REF!</f>
        <v>#REF!</v>
      </c>
      <c r="C117" s="1293" t="e">
        <f>#REF!</f>
        <v>#REF!</v>
      </c>
      <c r="D117" s="1293"/>
      <c r="E117" s="1293"/>
      <c r="F117" s="1293"/>
      <c r="G117" s="1293"/>
      <c r="H117" s="174"/>
      <c r="AE117" s="1293"/>
      <c r="AF117" s="1293"/>
      <c r="AH117" s="1293"/>
      <c r="AI117" s="1293"/>
    </row>
    <row r="118" spans="1:35" s="254" customFormat="1" hidden="1">
      <c r="A118" s="291" t="e">
        <f>#REF!</f>
        <v>#REF!</v>
      </c>
      <c r="B118" s="292" t="e">
        <f>#REF!</f>
        <v>#REF!</v>
      </c>
      <c r="C118" s="1293"/>
      <c r="D118" s="1293"/>
      <c r="E118" s="1293"/>
      <c r="F118" s="1293"/>
      <c r="G118" s="1293"/>
      <c r="H118" s="174"/>
      <c r="AE118" s="1293"/>
      <c r="AF118" s="1293"/>
      <c r="AH118" s="1293"/>
      <c r="AI118" s="1293"/>
    </row>
    <row r="119" spans="1:35" s="254" customFormat="1" hidden="1">
      <c r="A119" s="293" t="e">
        <f>#REF!</f>
        <v>#REF!</v>
      </c>
      <c r="B119" s="294" t="e">
        <f>#REF!</f>
        <v>#REF!</v>
      </c>
      <c r="C119" s="1291" t="e">
        <f>#REF!</f>
        <v>#REF!</v>
      </c>
      <c r="D119" s="1291"/>
      <c r="E119" s="1291"/>
      <c r="F119" s="1291"/>
      <c r="G119" s="1291"/>
      <c r="H119" s="173"/>
      <c r="AE119" s="295"/>
      <c r="AF119" s="295"/>
      <c r="AH119" s="295"/>
      <c r="AI119" s="295"/>
    </row>
    <row r="120" spans="1:35" s="254" customFormat="1" hidden="1">
      <c r="A120" s="293" t="e">
        <f>#REF!</f>
        <v>#REF!</v>
      </c>
      <c r="B120" s="294" t="e">
        <f>#REF!</f>
        <v>#REF!</v>
      </c>
      <c r="C120" s="1291" t="e">
        <f>#REF!</f>
        <v>#REF!</v>
      </c>
      <c r="D120" s="1291"/>
      <c r="E120" s="1291"/>
      <c r="F120" s="1291"/>
      <c r="G120" s="1291"/>
      <c r="H120" s="173"/>
      <c r="AE120" s="296"/>
      <c r="AF120" s="296"/>
      <c r="AH120" s="295"/>
      <c r="AI120" s="296"/>
    </row>
    <row r="121" spans="1:35" s="254" customFormat="1" ht="20.100000000000001" hidden="1" customHeight="1">
      <c r="A121" s="297"/>
      <c r="B121" s="292" t="e">
        <f>#REF!</f>
        <v>#REF!</v>
      </c>
      <c r="C121" s="1291" t="e">
        <f>#REF!</f>
        <v>#REF!</v>
      </c>
      <c r="D121" s="1291"/>
      <c r="E121" s="1291"/>
      <c r="F121" s="1291"/>
      <c r="G121" s="1291"/>
      <c r="H121" s="174"/>
      <c r="AE121" s="296"/>
      <c r="AF121" s="296"/>
      <c r="AH121" s="296"/>
      <c r="AI121" s="296"/>
    </row>
    <row r="122" spans="1:35" s="254" customFormat="1" hidden="1">
      <c r="A122" s="291" t="e">
        <f>#REF!</f>
        <v>#REF!</v>
      </c>
      <c r="B122" s="292" t="e">
        <f>#REF!</f>
        <v>#REF!</v>
      </c>
      <c r="C122" s="1291"/>
      <c r="D122" s="1291"/>
      <c r="E122" s="1291"/>
      <c r="F122" s="1291"/>
      <c r="G122" s="1291"/>
      <c r="H122" s="174"/>
      <c r="AE122" s="1291"/>
      <c r="AF122" s="1291"/>
      <c r="AH122" s="1291"/>
      <c r="AI122" s="1291"/>
    </row>
    <row r="123" spans="1:35" s="254" customFormat="1" hidden="1">
      <c r="A123" s="298" t="e">
        <f>#REF!</f>
        <v>#REF!</v>
      </c>
      <c r="B123" s="292" t="e">
        <f>#REF!</f>
        <v>#REF!</v>
      </c>
      <c r="C123" s="1291"/>
      <c r="D123" s="1291"/>
      <c r="E123" s="1291"/>
      <c r="F123" s="1291"/>
      <c r="G123" s="1291"/>
      <c r="H123" s="174"/>
      <c r="AE123" s="1291"/>
      <c r="AF123" s="1291"/>
      <c r="AH123" s="1291"/>
      <c r="AI123" s="1291"/>
    </row>
    <row r="124" spans="1:35" s="254" customFormat="1" hidden="1">
      <c r="A124" s="299" t="e">
        <f>#REF!</f>
        <v>#REF!</v>
      </c>
      <c r="B124" s="292" t="e">
        <f>#REF!</f>
        <v>#REF!</v>
      </c>
      <c r="C124" s="1291"/>
      <c r="D124" s="1291"/>
      <c r="E124" s="1291"/>
      <c r="F124" s="1291"/>
      <c r="G124" s="1291"/>
      <c r="H124" s="174"/>
      <c r="AE124" s="1291"/>
      <c r="AF124" s="1291"/>
      <c r="AH124" s="1291"/>
      <c r="AI124" s="1291"/>
    </row>
    <row r="125" spans="1:35" s="254" customFormat="1" hidden="1">
      <c r="A125" s="293" t="e">
        <f>#REF!</f>
        <v>#REF!</v>
      </c>
      <c r="B125" s="294" t="e">
        <f>#REF!</f>
        <v>#REF!</v>
      </c>
      <c r="C125" s="1291" t="e">
        <f>#REF!</f>
        <v>#REF!</v>
      </c>
      <c r="D125" s="1291"/>
      <c r="E125" s="1291"/>
      <c r="F125" s="1291"/>
      <c r="G125" s="1291"/>
      <c r="H125" s="173"/>
      <c r="AE125" s="296"/>
      <c r="AF125" s="296"/>
      <c r="AH125" s="295"/>
      <c r="AI125" s="296"/>
    </row>
    <row r="126" spans="1:35" s="254" customFormat="1" hidden="1">
      <c r="A126" s="293" t="e">
        <f>#REF!</f>
        <v>#REF!</v>
      </c>
      <c r="B126" s="294" t="e">
        <f>#REF!</f>
        <v>#REF!</v>
      </c>
      <c r="C126" s="1291" t="e">
        <f>#REF!</f>
        <v>#REF!</v>
      </c>
      <c r="D126" s="1291"/>
      <c r="E126" s="1291"/>
      <c r="F126" s="1291"/>
      <c r="G126" s="1291"/>
      <c r="H126" s="173"/>
      <c r="AE126" s="296"/>
      <c r="AF126" s="296"/>
      <c r="AH126" s="295"/>
      <c r="AI126" s="296"/>
    </row>
    <row r="127" spans="1:35" s="254" customFormat="1" hidden="1">
      <c r="A127" s="293" t="e">
        <f>#REF!</f>
        <v>#REF!</v>
      </c>
      <c r="B127" s="294" t="e">
        <f>#REF!</f>
        <v>#REF!</v>
      </c>
      <c r="C127" s="1291" t="e">
        <f>#REF!</f>
        <v>#REF!</v>
      </c>
      <c r="D127" s="1291"/>
      <c r="E127" s="1291"/>
      <c r="F127" s="1291"/>
      <c r="G127" s="1291"/>
      <c r="H127" s="173"/>
      <c r="AE127" s="296"/>
      <c r="AF127" s="296"/>
      <c r="AH127" s="295"/>
      <c r="AI127" s="296"/>
    </row>
    <row r="128" spans="1:35" s="254" customFormat="1" hidden="1">
      <c r="A128" s="293" t="e">
        <f>#REF!</f>
        <v>#REF!</v>
      </c>
      <c r="B128" s="294" t="e">
        <f>#REF!</f>
        <v>#REF!</v>
      </c>
      <c r="C128" s="1291" t="e">
        <f>#REF!</f>
        <v>#REF!</v>
      </c>
      <c r="D128" s="1291"/>
      <c r="E128" s="1291"/>
      <c r="F128" s="1291"/>
      <c r="G128" s="1291"/>
      <c r="H128" s="173"/>
      <c r="AE128" s="296"/>
      <c r="AF128" s="296"/>
      <c r="AH128" s="295"/>
      <c r="AI128" s="296"/>
    </row>
    <row r="129" spans="1:35" s="254" customFormat="1" hidden="1">
      <c r="A129" s="293"/>
      <c r="B129" s="292" t="e">
        <f>#REF!</f>
        <v>#REF!</v>
      </c>
      <c r="C129" s="1291" t="e">
        <f>#REF!</f>
        <v>#REF!</v>
      </c>
      <c r="D129" s="1291"/>
      <c r="E129" s="1291"/>
      <c r="F129" s="1291"/>
      <c r="G129" s="1291"/>
      <c r="H129" s="173"/>
      <c r="AE129" s="296"/>
      <c r="AF129" s="296"/>
      <c r="AH129" s="296"/>
      <c r="AI129" s="296"/>
    </row>
    <row r="130" spans="1:35" s="254" customFormat="1" ht="20.100000000000001" hidden="1" customHeight="1">
      <c r="A130" s="299" t="e">
        <f>#REF!</f>
        <v>#REF!</v>
      </c>
      <c r="B130" s="292" t="e">
        <f>#REF!</f>
        <v>#REF!</v>
      </c>
      <c r="C130" s="1291"/>
      <c r="D130" s="1291"/>
      <c r="E130" s="1291"/>
      <c r="F130" s="1291"/>
      <c r="G130" s="1291"/>
      <c r="H130" s="173"/>
      <c r="AE130" s="296"/>
      <c r="AF130" s="296"/>
      <c r="AH130" s="296"/>
      <c r="AI130" s="296"/>
    </row>
    <row r="131" spans="1:35" s="254" customFormat="1" hidden="1">
      <c r="A131" s="293" t="e">
        <f>#REF!</f>
        <v>#REF!</v>
      </c>
      <c r="B131" s="294" t="e">
        <f>#REF!</f>
        <v>#REF!</v>
      </c>
      <c r="C131" s="1291" t="e">
        <f>#REF!</f>
        <v>#REF!</v>
      </c>
      <c r="D131" s="1291"/>
      <c r="E131" s="1291"/>
      <c r="F131" s="1291"/>
      <c r="G131" s="1291"/>
      <c r="H131" s="173"/>
      <c r="AE131" s="296"/>
      <c r="AF131" s="296"/>
      <c r="AH131" s="295"/>
      <c r="AI131" s="296"/>
    </row>
    <row r="132" spans="1:35" s="254" customFormat="1" hidden="1">
      <c r="A132" s="293" t="e">
        <f>#REF!</f>
        <v>#REF!</v>
      </c>
      <c r="B132" s="294" t="e">
        <f>#REF!</f>
        <v>#REF!</v>
      </c>
      <c r="C132" s="1291" t="e">
        <f>#REF!</f>
        <v>#REF!</v>
      </c>
      <c r="D132" s="1291"/>
      <c r="E132" s="1291"/>
      <c r="F132" s="1291"/>
      <c r="G132" s="1291"/>
      <c r="H132" s="173"/>
      <c r="AE132" s="296"/>
      <c r="AF132" s="296"/>
      <c r="AH132" s="295"/>
      <c r="AI132" s="296"/>
    </row>
    <row r="133" spans="1:35" s="254" customFormat="1" ht="20.100000000000001" hidden="1" customHeight="1">
      <c r="A133" s="293" t="e">
        <f>#REF!</f>
        <v>#REF!</v>
      </c>
      <c r="B133" s="294" t="e">
        <f>#REF!</f>
        <v>#REF!</v>
      </c>
      <c r="C133" s="1291" t="e">
        <f>#REF!</f>
        <v>#REF!</v>
      </c>
      <c r="D133" s="1291"/>
      <c r="E133" s="1291"/>
      <c r="F133" s="1291"/>
      <c r="G133" s="1291"/>
      <c r="H133" s="173"/>
      <c r="AE133" s="296"/>
      <c r="AF133" s="296"/>
      <c r="AH133" s="295"/>
      <c r="AI133" s="296"/>
    </row>
    <row r="134" spans="1:35" s="254" customFormat="1" hidden="1">
      <c r="A134" s="293" t="e">
        <f>#REF!</f>
        <v>#REF!</v>
      </c>
      <c r="B134" s="294" t="e">
        <f>#REF!</f>
        <v>#REF!</v>
      </c>
      <c r="C134" s="1291" t="e">
        <f>#REF!</f>
        <v>#REF!</v>
      </c>
      <c r="D134" s="1291"/>
      <c r="E134" s="1291"/>
      <c r="F134" s="1291"/>
      <c r="G134" s="1291"/>
      <c r="H134" s="173"/>
      <c r="AE134" s="296"/>
      <c r="AF134" s="296"/>
      <c r="AH134" s="295"/>
      <c r="AI134" s="296"/>
    </row>
    <row r="135" spans="1:35" s="255" customFormat="1" ht="20.100000000000001" hidden="1" customHeight="1">
      <c r="A135" s="300"/>
      <c r="B135" s="292" t="e">
        <f>#REF!</f>
        <v>#REF!</v>
      </c>
      <c r="C135" s="1291" t="e">
        <f>#REF!</f>
        <v>#REF!</v>
      </c>
      <c r="D135" s="1291"/>
      <c r="E135" s="1291"/>
      <c r="F135" s="1291"/>
      <c r="G135" s="1291"/>
      <c r="H135" s="173"/>
      <c r="AE135" s="296"/>
      <c r="AF135" s="296"/>
      <c r="AH135" s="296"/>
      <c r="AI135" s="296"/>
    </row>
    <row r="136" spans="1:35" s="254" customFormat="1" ht="24" hidden="1" customHeight="1">
      <c r="A136" s="299" t="e">
        <f>#REF!</f>
        <v>#REF!</v>
      </c>
      <c r="B136" s="292" t="e">
        <f>#REF!</f>
        <v>#REF!</v>
      </c>
      <c r="C136" s="1291"/>
      <c r="D136" s="1291"/>
      <c r="E136" s="1291"/>
      <c r="F136" s="1291"/>
      <c r="G136" s="1291"/>
      <c r="H136" s="173"/>
      <c r="AE136" s="296"/>
      <c r="AF136" s="296"/>
      <c r="AH136" s="296"/>
      <c r="AI136" s="296"/>
    </row>
    <row r="137" spans="1:35" s="254" customFormat="1" hidden="1">
      <c r="A137" s="293" t="e">
        <f>#REF!</f>
        <v>#REF!</v>
      </c>
      <c r="B137" s="294" t="e">
        <f>#REF!</f>
        <v>#REF!</v>
      </c>
      <c r="C137" s="1291" t="e">
        <f>#REF!</f>
        <v>#REF!</v>
      </c>
      <c r="D137" s="1291"/>
      <c r="E137" s="1291"/>
      <c r="F137" s="1291"/>
      <c r="G137" s="1291"/>
      <c r="H137" s="173"/>
      <c r="AE137" s="296"/>
      <c r="AF137" s="296"/>
      <c r="AH137" s="295"/>
      <c r="AI137" s="296"/>
    </row>
    <row r="138" spans="1:35" s="254" customFormat="1" hidden="1">
      <c r="A138" s="293" t="e">
        <f>#REF!</f>
        <v>#REF!</v>
      </c>
      <c r="B138" s="294" t="e">
        <f>#REF!</f>
        <v>#REF!</v>
      </c>
      <c r="C138" s="1291" t="e">
        <f>#REF!</f>
        <v>#REF!</v>
      </c>
      <c r="D138" s="1291"/>
      <c r="E138" s="1291"/>
      <c r="F138" s="1291"/>
      <c r="G138" s="1291"/>
      <c r="H138" s="173"/>
      <c r="AE138" s="296"/>
      <c r="AF138" s="296"/>
      <c r="AH138" s="295"/>
      <c r="AI138" s="296"/>
    </row>
    <row r="139" spans="1:35" s="254" customFormat="1" ht="33" hidden="1" customHeight="1">
      <c r="A139" s="293" t="e">
        <f>#REF!</f>
        <v>#REF!</v>
      </c>
      <c r="B139" s="294" t="e">
        <f>#REF!</f>
        <v>#REF!</v>
      </c>
      <c r="C139" s="1291" t="e">
        <f>#REF!</f>
        <v>#REF!</v>
      </c>
      <c r="D139" s="1291"/>
      <c r="E139" s="1291"/>
      <c r="F139" s="1291"/>
      <c r="G139" s="1291"/>
      <c r="H139" s="173"/>
      <c r="AE139" s="296"/>
      <c r="AF139" s="296"/>
      <c r="AH139" s="295"/>
      <c r="AI139" s="296"/>
    </row>
    <row r="140" spans="1:35" s="255" customFormat="1" ht="20.100000000000001" hidden="1" customHeight="1">
      <c r="A140" s="293"/>
      <c r="B140" s="292" t="e">
        <f>#REF!</f>
        <v>#REF!</v>
      </c>
      <c r="C140" s="1291" t="e">
        <f>#REF!</f>
        <v>#REF!</v>
      </c>
      <c r="D140" s="1291"/>
      <c r="E140" s="1291"/>
      <c r="F140" s="1291"/>
      <c r="G140" s="1291"/>
      <c r="H140" s="173"/>
      <c r="AE140" s="296"/>
      <c r="AF140" s="296"/>
      <c r="AH140" s="296"/>
      <c r="AI140" s="296"/>
    </row>
    <row r="141" spans="1:35" s="254" customFormat="1" ht="20.100000000000001" hidden="1" customHeight="1">
      <c r="A141" s="299" t="e">
        <f>#REF!</f>
        <v>#REF!</v>
      </c>
      <c r="B141" s="292" t="e">
        <f>#REF!</f>
        <v>#REF!</v>
      </c>
      <c r="C141" s="1291"/>
      <c r="D141" s="1291"/>
      <c r="E141" s="1291"/>
      <c r="F141" s="1291"/>
      <c r="G141" s="1291"/>
      <c r="H141" s="173"/>
      <c r="AE141" s="296"/>
      <c r="AF141" s="296"/>
      <c r="AH141" s="296"/>
      <c r="AI141" s="296"/>
    </row>
    <row r="142" spans="1:35" s="254" customFormat="1" hidden="1">
      <c r="A142" s="293" t="e">
        <f>#REF!</f>
        <v>#REF!</v>
      </c>
      <c r="B142" s="294" t="e">
        <f>#REF!</f>
        <v>#REF!</v>
      </c>
      <c r="C142" s="1291" t="e">
        <f>#REF!</f>
        <v>#REF!</v>
      </c>
      <c r="D142" s="1291"/>
      <c r="E142" s="1291"/>
      <c r="F142" s="1291"/>
      <c r="G142" s="1291"/>
      <c r="H142" s="173"/>
      <c r="AE142" s="296"/>
      <c r="AF142" s="296"/>
      <c r="AH142" s="295"/>
      <c r="AI142" s="296"/>
    </row>
    <row r="143" spans="1:35" s="254" customFormat="1" hidden="1">
      <c r="A143" s="293" t="e">
        <f>#REF!</f>
        <v>#REF!</v>
      </c>
      <c r="B143" s="294" t="e">
        <f>#REF!</f>
        <v>#REF!</v>
      </c>
      <c r="C143" s="1291" t="e">
        <f>#REF!</f>
        <v>#REF!</v>
      </c>
      <c r="D143" s="1291"/>
      <c r="E143" s="1291"/>
      <c r="F143" s="1291"/>
      <c r="G143" s="1291"/>
      <c r="H143" s="173"/>
      <c r="AE143" s="296"/>
      <c r="AF143" s="296"/>
      <c r="AH143" s="295"/>
      <c r="AI143" s="296"/>
    </row>
    <row r="144" spans="1:35" s="254" customFormat="1" hidden="1">
      <c r="A144" s="293" t="e">
        <f>#REF!</f>
        <v>#REF!</v>
      </c>
      <c r="B144" s="294" t="e">
        <f>#REF!</f>
        <v>#REF!</v>
      </c>
      <c r="C144" s="1291" t="e">
        <f>#REF!</f>
        <v>#REF!</v>
      </c>
      <c r="D144" s="1291"/>
      <c r="E144" s="1291"/>
      <c r="F144" s="1291"/>
      <c r="G144" s="1291"/>
      <c r="H144" s="173"/>
      <c r="AE144" s="296"/>
      <c r="AF144" s="296"/>
      <c r="AH144" s="295"/>
      <c r="AI144" s="296"/>
    </row>
    <row r="145" spans="1:35" s="254" customFormat="1" hidden="1">
      <c r="A145" s="293"/>
      <c r="B145" s="292" t="e">
        <f>#REF!</f>
        <v>#REF!</v>
      </c>
      <c r="C145" s="1291" t="e">
        <f>#REF!</f>
        <v>#REF!</v>
      </c>
      <c r="D145" s="1291"/>
      <c r="E145" s="1291"/>
      <c r="F145" s="1291"/>
      <c r="G145" s="1291"/>
      <c r="H145" s="173"/>
      <c r="AE145" s="296"/>
      <c r="AF145" s="296"/>
      <c r="AH145" s="296"/>
      <c r="AI145" s="296"/>
    </row>
    <row r="146" spans="1:35" s="254" customFormat="1" ht="20.100000000000001" hidden="1" customHeight="1">
      <c r="A146" s="299" t="e">
        <f>#REF!</f>
        <v>#REF!</v>
      </c>
      <c r="B146" s="292" t="e">
        <f>#REF!</f>
        <v>#REF!</v>
      </c>
      <c r="C146" s="1291"/>
      <c r="D146" s="1291"/>
      <c r="E146" s="1291"/>
      <c r="F146" s="1291"/>
      <c r="G146" s="1291"/>
      <c r="H146" s="173"/>
      <c r="AE146" s="296"/>
      <c r="AF146" s="296"/>
      <c r="AH146" s="296"/>
      <c r="AI146" s="296"/>
    </row>
    <row r="147" spans="1:35" s="254" customFormat="1" hidden="1">
      <c r="A147" s="293" t="e">
        <f>#REF!</f>
        <v>#REF!</v>
      </c>
      <c r="B147" s="294" t="e">
        <f>#REF!</f>
        <v>#REF!</v>
      </c>
      <c r="C147" s="1291" t="e">
        <f>#REF!</f>
        <v>#REF!</v>
      </c>
      <c r="D147" s="1291"/>
      <c r="E147" s="1291"/>
      <c r="F147" s="1291"/>
      <c r="G147" s="1291"/>
      <c r="H147" s="173"/>
      <c r="AE147" s="296"/>
      <c r="AF147" s="296"/>
      <c r="AH147" s="295"/>
      <c r="AI147" s="296"/>
    </row>
    <row r="148" spans="1:35" s="254" customFormat="1" hidden="1">
      <c r="A148" s="293" t="e">
        <f>#REF!</f>
        <v>#REF!</v>
      </c>
      <c r="B148" s="294" t="e">
        <f>#REF!</f>
        <v>#REF!</v>
      </c>
      <c r="C148" s="1291" t="e">
        <f>#REF!</f>
        <v>#REF!</v>
      </c>
      <c r="D148" s="1291"/>
      <c r="E148" s="1291"/>
      <c r="F148" s="1291"/>
      <c r="G148" s="1291"/>
      <c r="H148" s="173"/>
      <c r="AE148" s="296"/>
      <c r="AF148" s="296"/>
      <c r="AH148" s="295"/>
      <c r="AI148" s="296"/>
    </row>
    <row r="149" spans="1:35" s="254" customFormat="1" hidden="1">
      <c r="A149" s="293" t="e">
        <f>#REF!</f>
        <v>#REF!</v>
      </c>
      <c r="B149" s="294" t="e">
        <f>#REF!</f>
        <v>#REF!</v>
      </c>
      <c r="C149" s="1291" t="e">
        <f>#REF!</f>
        <v>#REF!</v>
      </c>
      <c r="D149" s="1291"/>
      <c r="E149" s="1291"/>
      <c r="F149" s="1291"/>
      <c r="G149" s="1291"/>
      <c r="H149" s="173"/>
      <c r="AE149" s="296"/>
      <c r="AF149" s="296"/>
      <c r="AH149" s="295"/>
      <c r="AI149" s="296"/>
    </row>
    <row r="150" spans="1:35" s="254" customFormat="1" hidden="1">
      <c r="A150" s="293" t="e">
        <f>#REF!</f>
        <v>#REF!</v>
      </c>
      <c r="B150" s="294" t="e">
        <f>#REF!</f>
        <v>#REF!</v>
      </c>
      <c r="C150" s="1291" t="e">
        <f>#REF!</f>
        <v>#REF!</v>
      </c>
      <c r="D150" s="1291"/>
      <c r="E150" s="1291"/>
      <c r="F150" s="1291"/>
      <c r="G150" s="1291"/>
      <c r="H150" s="173"/>
      <c r="AE150" s="296"/>
      <c r="AF150" s="296"/>
      <c r="AH150" s="295"/>
      <c r="AI150" s="296"/>
    </row>
    <row r="151" spans="1:35" s="255" customFormat="1" ht="20.100000000000001" hidden="1" customHeight="1">
      <c r="A151" s="293"/>
      <c r="B151" s="292" t="e">
        <f>#REF!</f>
        <v>#REF!</v>
      </c>
      <c r="C151" s="1291" t="e">
        <f>#REF!</f>
        <v>#REF!</v>
      </c>
      <c r="D151" s="1291"/>
      <c r="E151" s="1291"/>
      <c r="F151" s="1291"/>
      <c r="G151" s="1291"/>
      <c r="H151" s="173"/>
      <c r="AE151" s="296"/>
      <c r="AF151" s="296"/>
      <c r="AH151" s="296"/>
      <c r="AI151" s="296"/>
    </row>
    <row r="152" spans="1:35" s="254" customFormat="1" ht="20.100000000000001" hidden="1" customHeight="1">
      <c r="A152" s="301"/>
      <c r="B152" s="292" t="e">
        <f>#REF!</f>
        <v>#REF!</v>
      </c>
      <c r="C152" s="1291" t="e">
        <f>#REF!</f>
        <v>#REF!</v>
      </c>
      <c r="D152" s="1291"/>
      <c r="E152" s="1291"/>
      <c r="F152" s="1291"/>
      <c r="G152" s="1291"/>
      <c r="H152" s="173"/>
      <c r="AE152" s="296"/>
      <c r="AF152" s="296"/>
      <c r="AH152" s="296"/>
      <c r="AI152" s="296"/>
    </row>
    <row r="153" spans="1:35" s="254" customFormat="1" hidden="1">
      <c r="A153" s="301"/>
      <c r="B153" s="292"/>
      <c r="C153" s="1291"/>
      <c r="D153" s="1291"/>
      <c r="E153" s="1291"/>
      <c r="F153" s="1291"/>
      <c r="G153" s="1291"/>
      <c r="H153" s="173"/>
      <c r="AE153" s="296"/>
      <c r="AF153" s="296"/>
      <c r="AH153" s="296"/>
      <c r="AI153" s="296"/>
    </row>
    <row r="154" spans="1:35" s="254" customFormat="1" ht="20.100000000000001" hidden="1" customHeight="1">
      <c r="A154" s="298" t="e">
        <f>#REF!</f>
        <v>#REF!</v>
      </c>
      <c r="B154" s="292" t="e">
        <f>#REF!</f>
        <v>#REF!</v>
      </c>
      <c r="C154" s="1291"/>
      <c r="D154" s="1291"/>
      <c r="E154" s="1291"/>
      <c r="F154" s="1291"/>
      <c r="G154" s="1291"/>
      <c r="H154" s="173"/>
      <c r="AE154" s="296"/>
      <c r="AF154" s="296"/>
      <c r="AH154" s="296"/>
      <c r="AI154" s="296"/>
    </row>
    <row r="155" spans="1:35" s="254" customFormat="1" ht="30" hidden="1" customHeight="1">
      <c r="A155" s="299" t="e">
        <f>#REF!</f>
        <v>#REF!</v>
      </c>
      <c r="B155" s="292" t="e">
        <f>#REF!</f>
        <v>#REF!</v>
      </c>
      <c r="C155" s="1291"/>
      <c r="D155" s="1291"/>
      <c r="E155" s="1291"/>
      <c r="F155" s="1291"/>
      <c r="G155" s="1291"/>
      <c r="H155" s="173"/>
      <c r="AE155" s="296"/>
      <c r="AF155" s="296"/>
      <c r="AH155" s="296"/>
      <c r="AI155" s="296"/>
    </row>
    <row r="156" spans="1:35" s="254" customFormat="1" hidden="1">
      <c r="A156" s="293" t="e">
        <f>#REF!</f>
        <v>#REF!</v>
      </c>
      <c r="B156" s="294" t="e">
        <f>#REF!</f>
        <v>#REF!</v>
      </c>
      <c r="C156" s="1291" t="e">
        <f>#REF!</f>
        <v>#REF!</v>
      </c>
      <c r="D156" s="1291"/>
      <c r="E156" s="1291"/>
      <c r="F156" s="1291"/>
      <c r="G156" s="1291"/>
      <c r="H156" s="173"/>
      <c r="AE156" s="296"/>
      <c r="AF156" s="296"/>
      <c r="AH156" s="295"/>
      <c r="AI156" s="296"/>
    </row>
    <row r="157" spans="1:35" s="254" customFormat="1" hidden="1">
      <c r="A157" s="293" t="e">
        <f>#REF!</f>
        <v>#REF!</v>
      </c>
      <c r="B157" s="294" t="e">
        <f>#REF!</f>
        <v>#REF!</v>
      </c>
      <c r="C157" s="1291" t="e">
        <f>#REF!</f>
        <v>#REF!</v>
      </c>
      <c r="D157" s="1291"/>
      <c r="E157" s="1291"/>
      <c r="F157" s="1291"/>
      <c r="G157" s="1291"/>
      <c r="H157" s="173"/>
      <c r="AE157" s="296"/>
      <c r="AF157" s="296"/>
      <c r="AH157" s="295"/>
      <c r="AI157" s="296"/>
    </row>
    <row r="158" spans="1:35" s="254" customFormat="1" hidden="1">
      <c r="A158" s="293" t="e">
        <f>#REF!</f>
        <v>#REF!</v>
      </c>
      <c r="B158" s="294" t="e">
        <f>#REF!</f>
        <v>#REF!</v>
      </c>
      <c r="C158" s="1291" t="e">
        <f>#REF!</f>
        <v>#REF!</v>
      </c>
      <c r="D158" s="1291"/>
      <c r="E158" s="1291"/>
      <c r="F158" s="1291"/>
      <c r="G158" s="1291"/>
      <c r="H158" s="173"/>
      <c r="AE158" s="296"/>
      <c r="AF158" s="296"/>
      <c r="AH158" s="295"/>
      <c r="AI158" s="296"/>
    </row>
    <row r="159" spans="1:35" s="254" customFormat="1" ht="20.100000000000001" hidden="1" customHeight="1">
      <c r="A159" s="302"/>
      <c r="B159" s="292" t="e">
        <f>#REF!</f>
        <v>#REF!</v>
      </c>
      <c r="C159" s="1291" t="e">
        <f>#REF!</f>
        <v>#REF!</v>
      </c>
      <c r="D159" s="1291"/>
      <c r="E159" s="1291"/>
      <c r="F159" s="1291"/>
      <c r="G159" s="1291"/>
      <c r="H159" s="173"/>
      <c r="AE159" s="296"/>
      <c r="AF159" s="296"/>
      <c r="AH159" s="296"/>
      <c r="AI159" s="296"/>
    </row>
    <row r="160" spans="1:35" s="254" customFormat="1" ht="20.100000000000001" hidden="1" customHeight="1">
      <c r="A160" s="301"/>
      <c r="B160" s="292" t="e">
        <f>#REF!</f>
        <v>#REF!</v>
      </c>
      <c r="C160" s="1291" t="e">
        <f>#REF!</f>
        <v>#REF!</v>
      </c>
      <c r="D160" s="1291"/>
      <c r="E160" s="1291"/>
      <c r="F160" s="1291"/>
      <c r="G160" s="1291"/>
      <c r="H160" s="173"/>
      <c r="AE160" s="296"/>
      <c r="AF160" s="296"/>
      <c r="AH160" s="296"/>
      <c r="AI160" s="296"/>
    </row>
    <row r="161" spans="1:35" s="254" customFormat="1" ht="20.100000000000001" hidden="1" customHeight="1">
      <c r="A161" s="291" t="e">
        <f>#REF!</f>
        <v>#REF!</v>
      </c>
      <c r="B161" s="292" t="e">
        <f>#REF!</f>
        <v>#REF!</v>
      </c>
      <c r="C161" s="1291"/>
      <c r="D161" s="1291"/>
      <c r="E161" s="1291"/>
      <c r="F161" s="1291"/>
      <c r="G161" s="1291"/>
      <c r="H161" s="173"/>
      <c r="AE161" s="296"/>
      <c r="AF161" s="296"/>
      <c r="AH161" s="296"/>
      <c r="AI161" s="296"/>
    </row>
    <row r="162" spans="1:35" s="254" customFormat="1" ht="30" hidden="1" customHeight="1">
      <c r="A162" s="298" t="e">
        <f>#REF!</f>
        <v>#REF!</v>
      </c>
      <c r="B162" s="292" t="e">
        <f>#REF!</f>
        <v>#REF!</v>
      </c>
      <c r="C162" s="1291"/>
      <c r="D162" s="1291"/>
      <c r="E162" s="1291"/>
      <c r="F162" s="1291"/>
      <c r="G162" s="1291"/>
      <c r="H162" s="173"/>
      <c r="AE162" s="296"/>
      <c r="AF162" s="296"/>
      <c r="AH162" s="296"/>
      <c r="AI162" s="296"/>
    </row>
    <row r="163" spans="1:35" s="254" customFormat="1" ht="20.100000000000001" hidden="1" customHeight="1">
      <c r="A163" s="293" t="e">
        <f>#REF!</f>
        <v>#REF!</v>
      </c>
      <c r="B163" s="294" t="e">
        <f>#REF!</f>
        <v>#REF!</v>
      </c>
      <c r="C163" s="1291" t="e">
        <f>#REF!</f>
        <v>#REF!</v>
      </c>
      <c r="D163" s="1291"/>
      <c r="E163" s="1291"/>
      <c r="F163" s="1291"/>
      <c r="G163" s="1291"/>
      <c r="H163" s="173"/>
      <c r="AE163" s="296"/>
      <c r="AF163" s="296"/>
      <c r="AH163" s="295"/>
      <c r="AI163" s="296"/>
    </row>
    <row r="164" spans="1:35" s="254" customFormat="1" ht="20.100000000000001" hidden="1" customHeight="1">
      <c r="A164" s="293" t="e">
        <f>#REF!</f>
        <v>#REF!</v>
      </c>
      <c r="B164" s="294" t="e">
        <f>#REF!</f>
        <v>#REF!</v>
      </c>
      <c r="C164" s="1291" t="e">
        <f>#REF!</f>
        <v>#REF!</v>
      </c>
      <c r="D164" s="1291"/>
      <c r="E164" s="1291"/>
      <c r="F164" s="1291"/>
      <c r="G164" s="1291"/>
      <c r="H164" s="173"/>
      <c r="AE164" s="296"/>
      <c r="AF164" s="296"/>
      <c r="AH164" s="295"/>
      <c r="AI164" s="296"/>
    </row>
    <row r="165" spans="1:35" s="254" customFormat="1" ht="20.100000000000001" hidden="1" customHeight="1">
      <c r="A165" s="293" t="e">
        <f>#REF!</f>
        <v>#REF!</v>
      </c>
      <c r="B165" s="294" t="e">
        <f>#REF!</f>
        <v>#REF!</v>
      </c>
      <c r="C165" s="1291" t="e">
        <f>#REF!</f>
        <v>#REF!</v>
      </c>
      <c r="D165" s="1291"/>
      <c r="E165" s="1291"/>
      <c r="F165" s="1291"/>
      <c r="G165" s="1291"/>
      <c r="H165" s="173"/>
      <c r="AE165" s="296"/>
      <c r="AF165" s="296"/>
      <c r="AH165" s="295"/>
      <c r="AI165" s="296"/>
    </row>
    <row r="166" spans="1:35" s="254" customFormat="1" ht="20.100000000000001" hidden="1" customHeight="1">
      <c r="A166" s="293" t="e">
        <f>#REF!</f>
        <v>#REF!</v>
      </c>
      <c r="B166" s="294" t="e">
        <f>#REF!</f>
        <v>#REF!</v>
      </c>
      <c r="C166" s="1291" t="e">
        <f>#REF!</f>
        <v>#REF!</v>
      </c>
      <c r="D166" s="1291"/>
      <c r="E166" s="1291"/>
      <c r="F166" s="1291"/>
      <c r="G166" s="1291"/>
      <c r="H166" s="173"/>
      <c r="AE166" s="296"/>
      <c r="AF166" s="296"/>
      <c r="AH166" s="295"/>
      <c r="AI166" s="296"/>
    </row>
    <row r="167" spans="1:35" s="254" customFormat="1" ht="20.100000000000001" hidden="1" customHeight="1">
      <c r="A167" s="293" t="e">
        <f>#REF!</f>
        <v>#REF!</v>
      </c>
      <c r="B167" s="294" t="e">
        <f>#REF!</f>
        <v>#REF!</v>
      </c>
      <c r="C167" s="1291" t="e">
        <f>#REF!</f>
        <v>#REF!</v>
      </c>
      <c r="D167" s="1291"/>
      <c r="E167" s="1291"/>
      <c r="F167" s="1291"/>
      <c r="G167" s="1291"/>
      <c r="H167" s="173"/>
      <c r="AE167" s="296"/>
      <c r="AF167" s="296"/>
      <c r="AH167" s="295"/>
      <c r="AI167" s="296"/>
    </row>
    <row r="168" spans="1:35" s="254" customFormat="1" ht="20.100000000000001" hidden="1" customHeight="1">
      <c r="A168" s="297"/>
      <c r="B168" s="292" t="e">
        <f>#REF!</f>
        <v>#REF!</v>
      </c>
      <c r="C168" s="1291" t="e">
        <f>#REF!</f>
        <v>#REF!</v>
      </c>
      <c r="D168" s="1291"/>
      <c r="E168" s="1291"/>
      <c r="F168" s="1291"/>
      <c r="G168" s="1291"/>
      <c r="H168" s="173"/>
      <c r="AE168" s="296"/>
      <c r="AF168" s="296"/>
      <c r="AH168" s="296"/>
      <c r="AI168" s="296"/>
    </row>
    <row r="169" spans="1:35" s="254" customFormat="1" ht="20.100000000000001" hidden="1" customHeight="1">
      <c r="A169" s="298" t="e">
        <f>#REF!</f>
        <v>#REF!</v>
      </c>
      <c r="B169" s="292" t="e">
        <f>#REF!</f>
        <v>#REF!</v>
      </c>
      <c r="C169" s="1291"/>
      <c r="D169" s="1291"/>
      <c r="E169" s="1291"/>
      <c r="F169" s="1291"/>
      <c r="G169" s="1291"/>
      <c r="H169" s="173"/>
      <c r="AE169" s="296"/>
      <c r="AF169" s="296"/>
      <c r="AH169" s="296"/>
      <c r="AI169" s="296"/>
    </row>
    <row r="170" spans="1:35" s="254" customFormat="1" ht="20.100000000000001" hidden="1" customHeight="1">
      <c r="A170" s="293" t="e">
        <f>#REF!</f>
        <v>#REF!</v>
      </c>
      <c r="B170" s="303" t="e">
        <f>#REF!</f>
        <v>#REF!</v>
      </c>
      <c r="C170" s="1291" t="e">
        <f>#REF!</f>
        <v>#REF!</v>
      </c>
      <c r="D170" s="1291"/>
      <c r="E170" s="1291"/>
      <c r="F170" s="1291"/>
      <c r="G170" s="1291"/>
      <c r="H170" s="173"/>
      <c r="AE170" s="296"/>
      <c r="AF170" s="296"/>
      <c r="AH170" s="295"/>
      <c r="AI170" s="296"/>
    </row>
    <row r="171" spans="1:35" s="254" customFormat="1" ht="20.100000000000001" hidden="1" customHeight="1">
      <c r="A171" s="293" t="e">
        <f>#REF!</f>
        <v>#REF!</v>
      </c>
      <c r="B171" s="303" t="e">
        <f>#REF!</f>
        <v>#REF!</v>
      </c>
      <c r="C171" s="1291" t="e">
        <f>#REF!</f>
        <v>#REF!</v>
      </c>
      <c r="D171" s="1291"/>
      <c r="E171" s="1291"/>
      <c r="F171" s="1291"/>
      <c r="G171" s="1291"/>
      <c r="H171" s="173"/>
      <c r="AE171" s="296"/>
      <c r="AF171" s="296"/>
      <c r="AH171" s="295"/>
      <c r="AI171" s="296"/>
    </row>
    <row r="172" spans="1:35" s="254" customFormat="1" ht="20.100000000000001" hidden="1" customHeight="1">
      <c r="A172" s="293" t="e">
        <f>#REF!</f>
        <v>#REF!</v>
      </c>
      <c r="B172" s="303" t="e">
        <f>#REF!</f>
        <v>#REF!</v>
      </c>
      <c r="C172" s="1291" t="e">
        <f>#REF!</f>
        <v>#REF!</v>
      </c>
      <c r="D172" s="1291"/>
      <c r="E172" s="1291"/>
      <c r="F172" s="1291"/>
      <c r="G172" s="1291"/>
      <c r="H172" s="173"/>
      <c r="AE172" s="296"/>
      <c r="AF172" s="296"/>
      <c r="AH172" s="295"/>
      <c r="AI172" s="296"/>
    </row>
    <row r="173" spans="1:35" s="254" customFormat="1" ht="20.100000000000001" hidden="1" customHeight="1">
      <c r="A173" s="293" t="e">
        <f>#REF!</f>
        <v>#REF!</v>
      </c>
      <c r="B173" s="303" t="e">
        <f>#REF!</f>
        <v>#REF!</v>
      </c>
      <c r="C173" s="1291" t="e">
        <f>#REF!</f>
        <v>#REF!</v>
      </c>
      <c r="D173" s="1291"/>
      <c r="E173" s="1291"/>
      <c r="F173" s="1291"/>
      <c r="G173" s="1291"/>
      <c r="H173" s="173"/>
      <c r="AE173" s="296"/>
      <c r="AF173" s="296"/>
      <c r="AH173" s="295"/>
      <c r="AI173" s="296"/>
    </row>
    <row r="174" spans="1:35" s="254" customFormat="1" ht="20.100000000000001" hidden="1" customHeight="1">
      <c r="A174" s="293" t="e">
        <f>#REF!</f>
        <v>#REF!</v>
      </c>
      <c r="B174" s="303" t="e">
        <f>#REF!</f>
        <v>#REF!</v>
      </c>
      <c r="C174" s="1291" t="e">
        <f>#REF!</f>
        <v>#REF!</v>
      </c>
      <c r="D174" s="1291"/>
      <c r="E174" s="1291"/>
      <c r="F174" s="1291"/>
      <c r="G174" s="1291"/>
      <c r="H174" s="173"/>
      <c r="AE174" s="296"/>
      <c r="AF174" s="296"/>
      <c r="AH174" s="295"/>
      <c r="AI174" s="296"/>
    </row>
    <row r="175" spans="1:35" s="254" customFormat="1" ht="20.100000000000001" hidden="1" customHeight="1">
      <c r="A175" s="293" t="e">
        <f>#REF!</f>
        <v>#REF!</v>
      </c>
      <c r="B175" s="303" t="e">
        <f>#REF!</f>
        <v>#REF!</v>
      </c>
      <c r="C175" s="1291" t="e">
        <f>#REF!</f>
        <v>#REF!</v>
      </c>
      <c r="D175" s="1291"/>
      <c r="E175" s="1291"/>
      <c r="F175" s="1291"/>
      <c r="G175" s="1291"/>
      <c r="H175" s="173"/>
      <c r="AE175" s="296"/>
      <c r="AF175" s="296"/>
      <c r="AH175" s="295"/>
      <c r="AI175" s="296"/>
    </row>
    <row r="176" spans="1:35" s="254" customFormat="1" ht="20.100000000000001" hidden="1" customHeight="1">
      <c r="A176" s="304"/>
      <c r="B176" s="292" t="e">
        <f>#REF!</f>
        <v>#REF!</v>
      </c>
      <c r="C176" s="1291" t="e">
        <f>#REF!</f>
        <v>#REF!</v>
      </c>
      <c r="D176" s="1291"/>
      <c r="E176" s="1291"/>
      <c r="F176" s="1291"/>
      <c r="G176" s="1291"/>
      <c r="H176" s="173"/>
      <c r="AE176" s="296"/>
      <c r="AF176" s="296"/>
      <c r="AH176" s="296"/>
      <c r="AI176" s="296"/>
    </row>
    <row r="177" spans="1:35" s="254" customFormat="1" ht="35.25" hidden="1" customHeight="1">
      <c r="A177" s="298" t="e">
        <f>#REF!</f>
        <v>#REF!</v>
      </c>
      <c r="B177" s="292" t="e">
        <f>#REF!</f>
        <v>#REF!</v>
      </c>
      <c r="C177" s="1291"/>
      <c r="D177" s="1291"/>
      <c r="E177" s="1291"/>
      <c r="F177" s="1291"/>
      <c r="G177" s="1291"/>
      <c r="H177" s="173"/>
      <c r="AE177" s="296"/>
      <c r="AF177" s="296"/>
      <c r="AH177" s="296"/>
      <c r="AI177" s="296"/>
    </row>
    <row r="178" spans="1:35" s="254" customFormat="1" ht="19.5" hidden="1" customHeight="1">
      <c r="A178" s="293" t="e">
        <f>#REF!</f>
        <v>#REF!</v>
      </c>
      <c r="B178" s="303" t="e">
        <f>#REF!</f>
        <v>#REF!</v>
      </c>
      <c r="C178" s="1291" t="e">
        <f>#REF!</f>
        <v>#REF!</v>
      </c>
      <c r="D178" s="1291"/>
      <c r="E178" s="1291"/>
      <c r="F178" s="1291"/>
      <c r="G178" s="1291"/>
      <c r="H178" s="173"/>
      <c r="AE178" s="296"/>
      <c r="AF178" s="296"/>
      <c r="AH178" s="295"/>
      <c r="AI178" s="296"/>
    </row>
    <row r="179" spans="1:35" s="254" customFormat="1" ht="19.5" hidden="1" customHeight="1">
      <c r="A179" s="293" t="e">
        <f>#REF!</f>
        <v>#REF!</v>
      </c>
      <c r="B179" s="303" t="e">
        <f>#REF!</f>
        <v>#REF!</v>
      </c>
      <c r="C179" s="1291" t="e">
        <f>#REF!</f>
        <v>#REF!</v>
      </c>
      <c r="D179" s="1291"/>
      <c r="E179" s="1291"/>
      <c r="F179" s="1291"/>
      <c r="G179" s="1291"/>
      <c r="H179" s="173"/>
      <c r="AE179" s="296"/>
      <c r="AF179" s="296"/>
      <c r="AH179" s="295"/>
      <c r="AI179" s="296"/>
    </row>
    <row r="180" spans="1:35" s="254" customFormat="1" ht="19.5" hidden="1" customHeight="1">
      <c r="A180" s="293" t="e">
        <f>#REF!</f>
        <v>#REF!</v>
      </c>
      <c r="B180" s="303" t="e">
        <f>#REF!</f>
        <v>#REF!</v>
      </c>
      <c r="C180" s="1291" t="e">
        <f>#REF!</f>
        <v>#REF!</v>
      </c>
      <c r="D180" s="1291"/>
      <c r="E180" s="1291"/>
      <c r="F180" s="1291"/>
      <c r="G180" s="1291"/>
      <c r="H180" s="173"/>
      <c r="AE180" s="296"/>
      <c r="AF180" s="296"/>
      <c r="AH180" s="295"/>
      <c r="AI180" s="296"/>
    </row>
    <row r="181" spans="1:35" s="254" customFormat="1" ht="19.5" hidden="1" customHeight="1">
      <c r="A181" s="293" t="e">
        <f>#REF!</f>
        <v>#REF!</v>
      </c>
      <c r="B181" s="303" t="e">
        <f>#REF!</f>
        <v>#REF!</v>
      </c>
      <c r="C181" s="1291" t="e">
        <f>#REF!</f>
        <v>#REF!</v>
      </c>
      <c r="D181" s="1291"/>
      <c r="E181" s="1291"/>
      <c r="F181" s="1291"/>
      <c r="G181" s="1291"/>
      <c r="H181" s="173"/>
      <c r="AE181" s="296"/>
      <c r="AF181" s="296"/>
      <c r="AH181" s="295"/>
      <c r="AI181" s="296"/>
    </row>
    <row r="182" spans="1:35" s="254" customFormat="1" ht="33" hidden="1" customHeight="1">
      <c r="A182" s="293" t="e">
        <f>#REF!</f>
        <v>#REF!</v>
      </c>
      <c r="B182" s="303" t="e">
        <f>#REF!</f>
        <v>#REF!</v>
      </c>
      <c r="C182" s="1291" t="e">
        <f>#REF!</f>
        <v>#REF!</v>
      </c>
      <c r="D182" s="1291"/>
      <c r="E182" s="1291"/>
      <c r="F182" s="1291"/>
      <c r="G182" s="1291"/>
      <c r="H182" s="173"/>
      <c r="AE182" s="296"/>
      <c r="AF182" s="296"/>
      <c r="AH182" s="295"/>
      <c r="AI182" s="296"/>
    </row>
    <row r="183" spans="1:35" s="254" customFormat="1" ht="19.5" hidden="1" customHeight="1">
      <c r="A183" s="293" t="e">
        <f>#REF!</f>
        <v>#REF!</v>
      </c>
      <c r="B183" s="303" t="e">
        <f>#REF!</f>
        <v>#REF!</v>
      </c>
      <c r="C183" s="1291" t="e">
        <f>#REF!</f>
        <v>#REF!</v>
      </c>
      <c r="D183" s="1291"/>
      <c r="E183" s="1291"/>
      <c r="F183" s="1291"/>
      <c r="G183" s="1291"/>
      <c r="H183" s="173"/>
      <c r="AE183" s="296"/>
      <c r="AF183" s="296"/>
      <c r="AH183" s="295"/>
      <c r="AI183" s="296"/>
    </row>
    <row r="184" spans="1:35" s="254" customFormat="1" ht="19.5" hidden="1" customHeight="1">
      <c r="A184" s="293" t="e">
        <f>#REF!</f>
        <v>#REF!</v>
      </c>
      <c r="B184" s="303" t="e">
        <f>#REF!</f>
        <v>#REF!</v>
      </c>
      <c r="C184" s="1291" t="e">
        <f>#REF!</f>
        <v>#REF!</v>
      </c>
      <c r="D184" s="1291"/>
      <c r="E184" s="1291"/>
      <c r="F184" s="1291"/>
      <c r="G184" s="1291"/>
      <c r="H184" s="173"/>
      <c r="AE184" s="296"/>
      <c r="AF184" s="296"/>
      <c r="AH184" s="295"/>
      <c r="AI184" s="296"/>
    </row>
    <row r="185" spans="1:35" s="254" customFormat="1" ht="19.5" hidden="1" customHeight="1">
      <c r="A185" s="293" t="e">
        <f>#REF!</f>
        <v>#REF!</v>
      </c>
      <c r="B185" s="303" t="e">
        <f>#REF!</f>
        <v>#REF!</v>
      </c>
      <c r="C185" s="1291" t="e">
        <f>#REF!</f>
        <v>#REF!</v>
      </c>
      <c r="D185" s="1291"/>
      <c r="E185" s="1291"/>
      <c r="F185" s="1291"/>
      <c r="G185" s="1291"/>
      <c r="H185" s="173"/>
      <c r="AE185" s="296"/>
      <c r="AF185" s="296"/>
      <c r="AH185" s="295"/>
      <c r="AI185" s="296"/>
    </row>
    <row r="186" spans="1:35" s="254" customFormat="1" ht="19.5" hidden="1" customHeight="1">
      <c r="A186" s="293" t="e">
        <f>#REF!</f>
        <v>#REF!</v>
      </c>
      <c r="B186" s="303" t="e">
        <f>#REF!</f>
        <v>#REF!</v>
      </c>
      <c r="C186" s="1291" t="e">
        <f>#REF!</f>
        <v>#REF!</v>
      </c>
      <c r="D186" s="1291"/>
      <c r="E186" s="1291"/>
      <c r="F186" s="1291"/>
      <c r="G186" s="1291"/>
      <c r="H186" s="173"/>
      <c r="AE186" s="296"/>
      <c r="AF186" s="296"/>
      <c r="AH186" s="295"/>
      <c r="AI186" s="296"/>
    </row>
    <row r="187" spans="1:35" s="254" customFormat="1" ht="19.5" hidden="1" customHeight="1">
      <c r="A187" s="304"/>
      <c r="B187" s="292" t="e">
        <f>#REF!</f>
        <v>#REF!</v>
      </c>
      <c r="C187" s="1291" t="e">
        <f>#REF!</f>
        <v>#REF!</v>
      </c>
      <c r="D187" s="1291"/>
      <c r="E187" s="1291"/>
      <c r="F187" s="1291"/>
      <c r="G187" s="1291"/>
      <c r="H187" s="173"/>
      <c r="AE187" s="296"/>
      <c r="AF187" s="296"/>
      <c r="AH187" s="296"/>
      <c r="AI187" s="296"/>
    </row>
    <row r="188" spans="1:35" s="254" customFormat="1" ht="19.5" hidden="1" customHeight="1">
      <c r="A188" s="298" t="e">
        <f>#REF!</f>
        <v>#REF!</v>
      </c>
      <c r="B188" s="292" t="e">
        <f>#REF!</f>
        <v>#REF!</v>
      </c>
      <c r="C188" s="1291"/>
      <c r="D188" s="1291"/>
      <c r="E188" s="1291"/>
      <c r="F188" s="1291"/>
      <c r="G188" s="1291"/>
      <c r="H188" s="173"/>
      <c r="AE188" s="296"/>
      <c r="AF188" s="296"/>
      <c r="AH188" s="296"/>
      <c r="AI188" s="296"/>
    </row>
    <row r="189" spans="1:35" s="254" customFormat="1" ht="19.5" hidden="1" customHeight="1">
      <c r="A189" s="293" t="e">
        <f>#REF!</f>
        <v>#REF!</v>
      </c>
      <c r="B189" s="294" t="e">
        <f>#REF!</f>
        <v>#REF!</v>
      </c>
      <c r="C189" s="1291" t="e">
        <f>#REF!</f>
        <v>#REF!</v>
      </c>
      <c r="D189" s="1291"/>
      <c r="E189" s="1291"/>
      <c r="F189" s="1291"/>
      <c r="G189" s="1291"/>
      <c r="H189" s="173"/>
      <c r="AE189" s="296"/>
      <c r="AF189" s="296"/>
      <c r="AH189" s="295"/>
      <c r="AI189" s="296"/>
    </row>
    <row r="190" spans="1:35" s="254" customFormat="1" ht="19.5" hidden="1" customHeight="1">
      <c r="A190" s="293" t="e">
        <f>#REF!</f>
        <v>#REF!</v>
      </c>
      <c r="B190" s="294" t="e">
        <f>#REF!</f>
        <v>#REF!</v>
      </c>
      <c r="C190" s="1291" t="e">
        <f>#REF!</f>
        <v>#REF!</v>
      </c>
      <c r="D190" s="1291"/>
      <c r="E190" s="1291"/>
      <c r="F190" s="1291"/>
      <c r="G190" s="1291"/>
      <c r="H190" s="173"/>
      <c r="AE190" s="296"/>
      <c r="AF190" s="296"/>
      <c r="AH190" s="295"/>
      <c r="AI190" s="296"/>
    </row>
    <row r="191" spans="1:35" s="254" customFormat="1" ht="19.5" hidden="1" customHeight="1">
      <c r="A191" s="293" t="e">
        <f>#REF!</f>
        <v>#REF!</v>
      </c>
      <c r="B191" s="294" t="e">
        <f>#REF!</f>
        <v>#REF!</v>
      </c>
      <c r="C191" s="1291" t="e">
        <f>#REF!</f>
        <v>#REF!</v>
      </c>
      <c r="D191" s="1291"/>
      <c r="E191" s="1291"/>
      <c r="F191" s="1291"/>
      <c r="G191" s="1291"/>
      <c r="H191" s="173"/>
      <c r="AE191" s="296"/>
      <c r="AF191" s="296"/>
      <c r="AH191" s="295"/>
      <c r="AI191" s="296"/>
    </row>
    <row r="192" spans="1:35" s="254" customFormat="1" ht="19.5" hidden="1" customHeight="1">
      <c r="A192" s="304"/>
      <c r="B192" s="292" t="e">
        <f>#REF!</f>
        <v>#REF!</v>
      </c>
      <c r="C192" s="1291" t="e">
        <f>#REF!</f>
        <v>#REF!</v>
      </c>
      <c r="D192" s="1291"/>
      <c r="E192" s="1291"/>
      <c r="F192" s="1291"/>
      <c r="G192" s="1291"/>
      <c r="H192" s="173"/>
      <c r="AE192" s="296"/>
      <c r="AF192" s="296"/>
      <c r="AH192" s="296"/>
      <c r="AI192" s="296"/>
    </row>
    <row r="193" spans="1:35" s="254" customFormat="1" ht="33" hidden="1" customHeight="1">
      <c r="A193" s="298" t="e">
        <f>#REF!</f>
        <v>#REF!</v>
      </c>
      <c r="B193" s="292" t="e">
        <f>#REF!</f>
        <v>#REF!</v>
      </c>
      <c r="C193" s="1291"/>
      <c r="D193" s="1291"/>
      <c r="E193" s="1291"/>
      <c r="F193" s="1291"/>
      <c r="G193" s="1291"/>
      <c r="H193" s="173"/>
      <c r="AE193" s="296"/>
      <c r="AF193" s="296"/>
      <c r="AH193" s="296"/>
      <c r="AI193" s="296"/>
    </row>
    <row r="194" spans="1:35" s="254" customFormat="1" ht="19.5" hidden="1" customHeight="1">
      <c r="A194" s="304" t="e">
        <f>#REF!</f>
        <v>#REF!</v>
      </c>
      <c r="B194" s="294" t="e">
        <f>#REF!</f>
        <v>#REF!</v>
      </c>
      <c r="C194" s="1291" t="e">
        <f>#REF!</f>
        <v>#REF!</v>
      </c>
      <c r="D194" s="1291"/>
      <c r="E194" s="1291"/>
      <c r="F194" s="1291"/>
      <c r="G194" s="1291"/>
      <c r="H194" s="173"/>
      <c r="AE194" s="296"/>
      <c r="AF194" s="296"/>
      <c r="AH194" s="295"/>
      <c r="AI194" s="296"/>
    </row>
    <row r="195" spans="1:35" s="254" customFormat="1" ht="19.5" hidden="1" customHeight="1">
      <c r="A195" s="304" t="e">
        <f>#REF!</f>
        <v>#REF!</v>
      </c>
      <c r="B195" s="294" t="e">
        <f>#REF!</f>
        <v>#REF!</v>
      </c>
      <c r="C195" s="1291" t="e">
        <f>#REF!</f>
        <v>#REF!</v>
      </c>
      <c r="D195" s="1291"/>
      <c r="E195" s="1291"/>
      <c r="F195" s="1291"/>
      <c r="G195" s="1291"/>
      <c r="H195" s="173"/>
      <c r="AE195" s="296"/>
      <c r="AF195" s="296"/>
      <c r="AH195" s="295"/>
      <c r="AI195" s="296"/>
    </row>
    <row r="196" spans="1:35" s="254" customFormat="1" ht="19.5" hidden="1" customHeight="1">
      <c r="A196" s="304" t="e">
        <f>#REF!</f>
        <v>#REF!</v>
      </c>
      <c r="B196" s="294" t="e">
        <f>#REF!</f>
        <v>#REF!</v>
      </c>
      <c r="C196" s="1291" t="e">
        <f>#REF!</f>
        <v>#REF!</v>
      </c>
      <c r="D196" s="1291"/>
      <c r="E196" s="1291"/>
      <c r="F196" s="1291"/>
      <c r="G196" s="1291"/>
      <c r="H196" s="173"/>
      <c r="AE196" s="296"/>
      <c r="AF196" s="296"/>
      <c r="AH196" s="295"/>
      <c r="AI196" s="296"/>
    </row>
    <row r="197" spans="1:35" s="254" customFormat="1" ht="19.5" hidden="1" customHeight="1">
      <c r="A197" s="304"/>
      <c r="B197" s="292" t="e">
        <f>#REF!</f>
        <v>#REF!</v>
      </c>
      <c r="C197" s="1291" t="e">
        <f>#REF!</f>
        <v>#REF!</v>
      </c>
      <c r="D197" s="1291"/>
      <c r="E197" s="1291"/>
      <c r="F197" s="1291"/>
      <c r="G197" s="1291"/>
      <c r="H197" s="173"/>
      <c r="AE197" s="296"/>
      <c r="AF197" s="296"/>
      <c r="AH197" s="296"/>
      <c r="AI197" s="296"/>
    </row>
    <row r="198" spans="1:35" s="254" customFormat="1" ht="19.5" hidden="1" customHeight="1">
      <c r="A198" s="298" t="e">
        <f>#REF!</f>
        <v>#REF!</v>
      </c>
      <c r="B198" s="292" t="e">
        <f>#REF!</f>
        <v>#REF!</v>
      </c>
      <c r="C198" s="1291"/>
      <c r="D198" s="1291"/>
      <c r="E198" s="1291"/>
      <c r="F198" s="1291"/>
      <c r="G198" s="1291"/>
      <c r="H198" s="173"/>
      <c r="AE198" s="296"/>
      <c r="AF198" s="296"/>
      <c r="AH198" s="296"/>
      <c r="AI198" s="296"/>
    </row>
    <row r="199" spans="1:35" s="254" customFormat="1" ht="19.5" hidden="1" customHeight="1">
      <c r="A199" s="293" t="e">
        <f>#REF!</f>
        <v>#REF!</v>
      </c>
      <c r="B199" s="294" t="e">
        <f>#REF!</f>
        <v>#REF!</v>
      </c>
      <c r="C199" s="1291" t="e">
        <f>#REF!</f>
        <v>#REF!</v>
      </c>
      <c r="D199" s="1291"/>
      <c r="E199" s="1291"/>
      <c r="F199" s="1291"/>
      <c r="G199" s="1291"/>
      <c r="H199" s="173"/>
      <c r="AE199" s="296"/>
      <c r="AF199" s="296"/>
      <c r="AH199" s="295"/>
      <c r="AI199" s="296"/>
    </row>
    <row r="200" spans="1:35" s="254" customFormat="1" ht="19.5" hidden="1" customHeight="1">
      <c r="A200" s="293" t="e">
        <f>#REF!</f>
        <v>#REF!</v>
      </c>
      <c r="B200" s="294" t="e">
        <f>#REF!</f>
        <v>#REF!</v>
      </c>
      <c r="C200" s="1291" t="e">
        <f>#REF!</f>
        <v>#REF!</v>
      </c>
      <c r="D200" s="1291"/>
      <c r="E200" s="1291"/>
      <c r="F200" s="1291"/>
      <c r="G200" s="1291"/>
      <c r="H200" s="173"/>
      <c r="AE200" s="296"/>
      <c r="AF200" s="296"/>
      <c r="AH200" s="295"/>
      <c r="AI200" s="296"/>
    </row>
    <row r="201" spans="1:35" s="254" customFormat="1" ht="19.5" hidden="1" customHeight="1">
      <c r="A201" s="304"/>
      <c r="B201" s="292" t="e">
        <f>#REF!</f>
        <v>#REF!</v>
      </c>
      <c r="C201" s="1291" t="e">
        <f>#REF!</f>
        <v>#REF!</v>
      </c>
      <c r="D201" s="1291"/>
      <c r="E201" s="1291"/>
      <c r="F201" s="1291"/>
      <c r="G201" s="1291"/>
      <c r="H201" s="173"/>
      <c r="AE201" s="296"/>
      <c r="AF201" s="296"/>
      <c r="AH201" s="296"/>
      <c r="AI201" s="296"/>
    </row>
    <row r="202" spans="1:35" s="254" customFormat="1" ht="33" hidden="1" customHeight="1">
      <c r="A202" s="298" t="e">
        <f>#REF!</f>
        <v>#REF!</v>
      </c>
      <c r="B202" s="292" t="e">
        <f>#REF!</f>
        <v>#REF!</v>
      </c>
      <c r="C202" s="1291"/>
      <c r="D202" s="1291"/>
      <c r="E202" s="1291"/>
      <c r="F202" s="1291"/>
      <c r="G202" s="1291"/>
      <c r="H202" s="173"/>
      <c r="AE202" s="296"/>
      <c r="AF202" s="296"/>
      <c r="AH202" s="296"/>
      <c r="AI202" s="296"/>
    </row>
    <row r="203" spans="1:35" s="254" customFormat="1" ht="19.5" hidden="1" customHeight="1">
      <c r="A203" s="293" t="e">
        <f>#REF!</f>
        <v>#REF!</v>
      </c>
      <c r="B203" s="294" t="e">
        <f>#REF!</f>
        <v>#REF!</v>
      </c>
      <c r="C203" s="1291" t="e">
        <f>#REF!</f>
        <v>#REF!</v>
      </c>
      <c r="D203" s="1291"/>
      <c r="E203" s="1291"/>
      <c r="F203" s="1291"/>
      <c r="G203" s="1291"/>
      <c r="H203" s="173"/>
      <c r="AE203" s="296"/>
      <c r="AF203" s="296"/>
      <c r="AH203" s="295"/>
      <c r="AI203" s="296"/>
    </row>
    <row r="204" spans="1:35" s="254" customFormat="1" ht="19.5" hidden="1" customHeight="1">
      <c r="A204" s="293" t="e">
        <f>#REF!</f>
        <v>#REF!</v>
      </c>
      <c r="B204" s="294" t="e">
        <f>#REF!</f>
        <v>#REF!</v>
      </c>
      <c r="C204" s="1291" t="e">
        <f>#REF!</f>
        <v>#REF!</v>
      </c>
      <c r="D204" s="1291"/>
      <c r="E204" s="1291"/>
      <c r="F204" s="1291"/>
      <c r="G204" s="1291"/>
      <c r="H204" s="173"/>
      <c r="AE204" s="296"/>
      <c r="AF204" s="296"/>
      <c r="AH204" s="295"/>
      <c r="AI204" s="296"/>
    </row>
    <row r="205" spans="1:35" s="254" customFormat="1" ht="19.5" hidden="1" customHeight="1">
      <c r="A205" s="293" t="e">
        <f>#REF!</f>
        <v>#REF!</v>
      </c>
      <c r="B205" s="294" t="e">
        <f>#REF!</f>
        <v>#REF!</v>
      </c>
      <c r="C205" s="1291" t="e">
        <f>#REF!</f>
        <v>#REF!</v>
      </c>
      <c r="D205" s="1291"/>
      <c r="E205" s="1291"/>
      <c r="F205" s="1291"/>
      <c r="G205" s="1291"/>
      <c r="H205" s="173"/>
      <c r="AE205" s="296"/>
      <c r="AF205" s="296"/>
      <c r="AH205" s="295"/>
      <c r="AI205" s="296"/>
    </row>
    <row r="206" spans="1:35" s="254" customFormat="1" ht="19.5" hidden="1" customHeight="1">
      <c r="A206" s="293" t="e">
        <f>#REF!</f>
        <v>#REF!</v>
      </c>
      <c r="B206" s="294" t="e">
        <f>#REF!</f>
        <v>#REF!</v>
      </c>
      <c r="C206" s="1291" t="e">
        <f>#REF!</f>
        <v>#REF!</v>
      </c>
      <c r="D206" s="1291"/>
      <c r="E206" s="1291"/>
      <c r="F206" s="1291"/>
      <c r="G206" s="1291"/>
      <c r="H206" s="173"/>
      <c r="AE206" s="296"/>
      <c r="AF206" s="296"/>
      <c r="AH206" s="295"/>
      <c r="AI206" s="296"/>
    </row>
    <row r="207" spans="1:35" s="254" customFormat="1" ht="19.5" hidden="1" customHeight="1">
      <c r="A207" s="293" t="e">
        <f>#REF!</f>
        <v>#REF!</v>
      </c>
      <c r="B207" s="294" t="e">
        <f>#REF!</f>
        <v>#REF!</v>
      </c>
      <c r="C207" s="1291" t="e">
        <f>#REF!</f>
        <v>#REF!</v>
      </c>
      <c r="D207" s="1291"/>
      <c r="E207" s="1291"/>
      <c r="F207" s="1291"/>
      <c r="G207" s="1291"/>
      <c r="H207" s="173"/>
      <c r="AE207" s="296"/>
      <c r="AF207" s="296"/>
      <c r="AH207" s="295"/>
      <c r="AI207" s="296"/>
    </row>
    <row r="208" spans="1:35" s="254" customFormat="1" ht="19.5" hidden="1" customHeight="1">
      <c r="A208" s="293" t="e">
        <f>#REF!</f>
        <v>#REF!</v>
      </c>
      <c r="B208" s="294" t="e">
        <f>#REF!</f>
        <v>#REF!</v>
      </c>
      <c r="C208" s="1291" t="e">
        <f>#REF!</f>
        <v>#REF!</v>
      </c>
      <c r="D208" s="1291"/>
      <c r="E208" s="1291"/>
      <c r="F208" s="1291"/>
      <c r="G208" s="1291"/>
      <c r="H208" s="173"/>
      <c r="AE208" s="296"/>
      <c r="AF208" s="296"/>
      <c r="AH208" s="295"/>
      <c r="AI208" s="296"/>
    </row>
    <row r="209" spans="1:35" s="254" customFormat="1" ht="19.5" hidden="1" customHeight="1">
      <c r="A209" s="304"/>
      <c r="B209" s="292" t="e">
        <f>#REF!</f>
        <v>#REF!</v>
      </c>
      <c r="C209" s="1291" t="e">
        <f>#REF!</f>
        <v>#REF!</v>
      </c>
      <c r="D209" s="1291"/>
      <c r="E209" s="1291"/>
      <c r="F209" s="1291"/>
      <c r="G209" s="1291"/>
      <c r="H209" s="173"/>
      <c r="AE209" s="296"/>
      <c r="AF209" s="296"/>
      <c r="AH209" s="296"/>
      <c r="AI209" s="296"/>
    </row>
    <row r="210" spans="1:35" s="254" customFormat="1" ht="33" hidden="1" customHeight="1">
      <c r="A210" s="298" t="e">
        <f>#REF!</f>
        <v>#REF!</v>
      </c>
      <c r="B210" s="292" t="e">
        <f>#REF!</f>
        <v>#REF!</v>
      </c>
      <c r="C210" s="1291"/>
      <c r="D210" s="1291"/>
      <c r="E210" s="1291"/>
      <c r="F210" s="1291"/>
      <c r="G210" s="1291"/>
      <c r="H210" s="173"/>
      <c r="AE210" s="296"/>
      <c r="AF210" s="296"/>
      <c r="AH210" s="296"/>
      <c r="AI210" s="296"/>
    </row>
    <row r="211" spans="1:35" s="254" customFormat="1" ht="33" hidden="1" customHeight="1">
      <c r="A211" s="293" t="e">
        <f>#REF!</f>
        <v>#REF!</v>
      </c>
      <c r="B211" s="294" t="e">
        <f>#REF!</f>
        <v>#REF!</v>
      </c>
      <c r="C211" s="1291" t="e">
        <f>#REF!</f>
        <v>#REF!</v>
      </c>
      <c r="D211" s="1291"/>
      <c r="E211" s="1291"/>
      <c r="F211" s="1291"/>
      <c r="G211" s="1291"/>
      <c r="H211" s="173"/>
      <c r="AE211" s="296"/>
      <c r="AF211" s="296"/>
      <c r="AH211" s="295"/>
      <c r="AI211" s="296"/>
    </row>
    <row r="212" spans="1:35" s="254" customFormat="1" ht="19.5" hidden="1" customHeight="1">
      <c r="A212" s="293" t="e">
        <f>#REF!</f>
        <v>#REF!</v>
      </c>
      <c r="B212" s="294" t="e">
        <f>#REF!</f>
        <v>#REF!</v>
      </c>
      <c r="C212" s="1291" t="e">
        <f>#REF!</f>
        <v>#REF!</v>
      </c>
      <c r="D212" s="1291"/>
      <c r="E212" s="1291"/>
      <c r="F212" s="1291"/>
      <c r="G212" s="1291"/>
      <c r="H212" s="173"/>
      <c r="AE212" s="296"/>
      <c r="AF212" s="296"/>
      <c r="AH212" s="295"/>
      <c r="AI212" s="296"/>
    </row>
    <row r="213" spans="1:35" s="254" customFormat="1" ht="19.5" hidden="1" customHeight="1">
      <c r="A213" s="293" t="e">
        <f>#REF!</f>
        <v>#REF!</v>
      </c>
      <c r="B213" s="294" t="e">
        <f>#REF!</f>
        <v>#REF!</v>
      </c>
      <c r="C213" s="1291" t="e">
        <f>#REF!</f>
        <v>#REF!</v>
      </c>
      <c r="D213" s="1291"/>
      <c r="E213" s="1291"/>
      <c r="F213" s="1291"/>
      <c r="G213" s="1291"/>
      <c r="H213" s="173"/>
      <c r="AE213" s="296"/>
      <c r="AF213" s="296"/>
      <c r="AH213" s="295"/>
      <c r="AI213" s="296"/>
    </row>
    <row r="214" spans="1:35" s="254" customFormat="1" ht="19.5" hidden="1" customHeight="1">
      <c r="A214" s="304" t="e">
        <f>#REF!</f>
        <v>#REF!</v>
      </c>
      <c r="B214" s="292" t="e">
        <f>#REF!</f>
        <v>#REF!</v>
      </c>
      <c r="C214" s="1291" t="e">
        <f>#REF!</f>
        <v>#REF!</v>
      </c>
      <c r="D214" s="1291"/>
      <c r="E214" s="1291"/>
      <c r="F214" s="1291"/>
      <c r="G214" s="1291"/>
      <c r="H214" s="173"/>
      <c r="AE214" s="296"/>
      <c r="AF214" s="296"/>
      <c r="AH214" s="296"/>
      <c r="AI214" s="296"/>
    </row>
    <row r="215" spans="1:35" s="254" customFormat="1" ht="33" hidden="1" customHeight="1">
      <c r="A215" s="298" t="e">
        <f>#REF!</f>
        <v>#REF!</v>
      </c>
      <c r="B215" s="292" t="e">
        <f>#REF!</f>
        <v>#REF!</v>
      </c>
      <c r="C215" s="1291"/>
      <c r="D215" s="1291"/>
      <c r="E215" s="1291"/>
      <c r="F215" s="1291"/>
      <c r="G215" s="1291"/>
      <c r="H215" s="173"/>
      <c r="AE215" s="296"/>
      <c r="AF215" s="296"/>
      <c r="AH215" s="296"/>
      <c r="AI215" s="296"/>
    </row>
    <row r="216" spans="1:35" s="254" customFormat="1" ht="19.5" hidden="1" customHeight="1">
      <c r="A216" s="293" t="e">
        <f>#REF!</f>
        <v>#REF!</v>
      </c>
      <c r="B216" s="294" t="e">
        <f>#REF!</f>
        <v>#REF!</v>
      </c>
      <c r="C216" s="1291" t="e">
        <f>#REF!</f>
        <v>#REF!</v>
      </c>
      <c r="D216" s="1291"/>
      <c r="E216" s="1291"/>
      <c r="F216" s="1291"/>
      <c r="G216" s="1291"/>
      <c r="H216" s="173"/>
      <c r="AE216" s="296"/>
      <c r="AF216" s="296"/>
      <c r="AH216" s="295"/>
      <c r="AI216" s="296"/>
    </row>
    <row r="217" spans="1:35" s="254" customFormat="1" ht="19.5" hidden="1" customHeight="1">
      <c r="A217" s="293" t="e">
        <f>#REF!</f>
        <v>#REF!</v>
      </c>
      <c r="B217" s="294" t="e">
        <f>#REF!</f>
        <v>#REF!</v>
      </c>
      <c r="C217" s="1291" t="e">
        <f>#REF!</f>
        <v>#REF!</v>
      </c>
      <c r="D217" s="1291"/>
      <c r="E217" s="1291"/>
      <c r="F217" s="1291"/>
      <c r="G217" s="1291"/>
      <c r="H217" s="173"/>
      <c r="AE217" s="296"/>
      <c r="AF217" s="296"/>
      <c r="AH217" s="295"/>
      <c r="AI217" s="296"/>
    </row>
    <row r="218" spans="1:35" s="254" customFormat="1" ht="32.25" hidden="1" customHeight="1">
      <c r="A218" s="293" t="e">
        <f>#REF!</f>
        <v>#REF!</v>
      </c>
      <c r="B218" s="294" t="e">
        <f>#REF!</f>
        <v>#REF!</v>
      </c>
      <c r="C218" s="1291" t="e">
        <f>#REF!</f>
        <v>#REF!</v>
      </c>
      <c r="D218" s="1291"/>
      <c r="E218" s="1291"/>
      <c r="F218" s="1291"/>
      <c r="G218" s="1291"/>
      <c r="H218" s="173"/>
      <c r="AE218" s="296"/>
      <c r="AF218" s="296"/>
      <c r="AH218" s="295"/>
      <c r="AI218" s="296"/>
    </row>
    <row r="219" spans="1:35" s="254" customFormat="1" ht="19.5" hidden="1" customHeight="1">
      <c r="A219" s="293" t="e">
        <f>#REF!</f>
        <v>#REF!</v>
      </c>
      <c r="B219" s="294" t="e">
        <f>#REF!</f>
        <v>#REF!</v>
      </c>
      <c r="C219" s="1291" t="e">
        <f>#REF!</f>
        <v>#REF!</v>
      </c>
      <c r="D219" s="1291"/>
      <c r="E219" s="1291"/>
      <c r="F219" s="1291"/>
      <c r="G219" s="1291"/>
      <c r="H219" s="173"/>
      <c r="AE219" s="296"/>
      <c r="AF219" s="296"/>
      <c r="AH219" s="295"/>
      <c r="AI219" s="296"/>
    </row>
    <row r="220" spans="1:35" s="254" customFormat="1" ht="19.5" hidden="1" customHeight="1">
      <c r="A220" s="297"/>
      <c r="B220" s="292" t="e">
        <f>#REF!</f>
        <v>#REF!</v>
      </c>
      <c r="C220" s="1291" t="e">
        <f>#REF!</f>
        <v>#REF!</v>
      </c>
      <c r="D220" s="1291"/>
      <c r="E220" s="1291"/>
      <c r="F220" s="1291"/>
      <c r="G220" s="1291"/>
      <c r="H220" s="174"/>
      <c r="AE220" s="296"/>
      <c r="AF220" s="296"/>
      <c r="AH220" s="296"/>
      <c r="AI220" s="296"/>
    </row>
    <row r="221" spans="1:35" s="254" customFormat="1" hidden="1">
      <c r="A221" s="300"/>
      <c r="B221" s="292" t="e">
        <f>#REF!</f>
        <v>#REF!</v>
      </c>
      <c r="C221" s="1291" t="e">
        <f>#REF!</f>
        <v>#REF!</v>
      </c>
      <c r="D221" s="1291"/>
      <c r="E221" s="1291"/>
      <c r="F221" s="1291"/>
      <c r="G221" s="1291"/>
      <c r="H221" s="174"/>
      <c r="AE221" s="296"/>
      <c r="AF221" s="296"/>
      <c r="AH221" s="296"/>
      <c r="AI221" s="296"/>
    </row>
    <row r="222" spans="1:35" s="254" customFormat="1" ht="19.5" hidden="1" customHeight="1">
      <c r="A222" s="301"/>
      <c r="B222" s="292" t="e">
        <f>#REF!</f>
        <v>#REF!</v>
      </c>
      <c r="C222" s="1291" t="e">
        <f>#REF!</f>
        <v>#REF!</v>
      </c>
      <c r="D222" s="1291"/>
      <c r="E222" s="1291"/>
      <c r="F222" s="1291"/>
      <c r="G222" s="1291"/>
      <c r="H222" s="174"/>
      <c r="AE222" s="296"/>
      <c r="AF222" s="296"/>
      <c r="AH222" s="296"/>
      <c r="AI222" s="296"/>
    </row>
    <row r="223" spans="1:35" s="171" customFormat="1">
      <c r="A223" s="216"/>
      <c r="B223" s="209"/>
      <c r="C223" s="1294"/>
      <c r="D223" s="1294"/>
      <c r="E223" s="1294"/>
      <c r="F223" s="1294"/>
      <c r="G223" s="1294"/>
      <c r="H223" s="243"/>
      <c r="I223" s="254"/>
      <c r="J223" s="254"/>
      <c r="K223" s="254"/>
      <c r="L223" s="254"/>
    </row>
    <row r="224" spans="1:35" s="171" customFormat="1">
      <c r="A224" s="191"/>
      <c r="B224" s="179"/>
      <c r="C224" s="179"/>
      <c r="D224" s="179"/>
      <c r="E224" s="179"/>
      <c r="F224" s="179"/>
      <c r="G224" s="179"/>
      <c r="H224" s="243"/>
      <c r="I224" s="254"/>
      <c r="J224" s="254"/>
      <c r="K224" s="254"/>
      <c r="L224" s="254"/>
    </row>
    <row r="225" spans="1:12" s="171" customFormat="1">
      <c r="A225" s="191"/>
      <c r="B225" s="179"/>
      <c r="C225" s="179"/>
      <c r="D225" s="179"/>
      <c r="E225" s="179"/>
      <c r="F225" s="179"/>
      <c r="G225" s="179"/>
      <c r="H225" s="243"/>
      <c r="I225" s="254"/>
      <c r="J225" s="254"/>
      <c r="K225" s="254"/>
      <c r="L225" s="254"/>
    </row>
  </sheetData>
  <customSheetViews>
    <customSheetView guid="{B48B8B4C-A880-453D-8729-90D004BEF0D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7043F04C-1FA3-449D-BEB8-4AC08DF68A5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E81F0721-C35D-4189-B675-E46A2133986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17F5C48B-526E-48D2-9F97-823D578F98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7F1A5DE7-1043-4C11-AB2C-CC6BC6A0F48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75D87FDD-0292-4E5A-8E8F-63018B00939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28" type="noConversion"/>
  <conditionalFormatting sqref="E15:E17">
    <cfRule type="expression" dxfId="3" priority="1" stopIfTrue="1">
      <formula>D15&gt;0</formula>
    </cfRule>
  </conditionalFormatting>
  <conditionalFormatting sqref="H15:H19">
    <cfRule type="expression" dxfId="2" priority="2" stopIfTrue="1">
      <formula>G15=""</formula>
    </cfRule>
  </conditionalFormatting>
  <printOptions horizontalCentered="1"/>
  <pageMargins left="0.78740157480314998" right="0.38" top="0.61" bottom="0.57999999999999996" header="0.34" footer="0.36"/>
  <pageSetup paperSize="9" orientation="portrait" horizontalDpi="300" verticalDpi="300" r:id="rId21"/>
  <headerFooter alignWithMargins="0">
    <oddHeader>&amp;C&amp;"Calibri"&amp;12&amp;KFF0000 डेटा वर्गीकरण : प्रतिबंधित/RESTRICTED&amp;1#_x000D_</oddHeader>
    <oddFooter>&amp;R&amp;"Book Antiqua,Bold"&amp;10Schedule-7/ Page &amp;P of &amp;N</oddFooter>
  </headerFooter>
  <colBreaks count="1" manualBreakCount="1">
    <brk id="7" max="1048575" man="1"/>
  </colBreaks>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306" t="s">
        <v>592</v>
      </c>
      <c r="B2" s="1306"/>
      <c r="C2" s="1306"/>
      <c r="D2" s="1306"/>
      <c r="E2" s="266"/>
    </row>
    <row r="3" spans="1:6">
      <c r="A3" s="432"/>
      <c r="B3" s="433"/>
      <c r="C3" s="433"/>
      <c r="D3" s="433"/>
      <c r="E3" s="433"/>
    </row>
    <row r="4" spans="1:6" ht="30">
      <c r="A4" s="434" t="s">
        <v>593</v>
      </c>
      <c r="B4" s="435" t="s">
        <v>594</v>
      </c>
      <c r="C4" s="434" t="s">
        <v>595</v>
      </c>
      <c r="D4" s="434" t="s">
        <v>596</v>
      </c>
      <c r="E4" s="434" t="s">
        <v>597</v>
      </c>
    </row>
    <row r="5" spans="1:6" ht="18" customHeight="1">
      <c r="A5" s="436" t="s">
        <v>598</v>
      </c>
      <c r="B5" s="436" t="s">
        <v>599</v>
      </c>
      <c r="C5" s="436" t="s">
        <v>600</v>
      </c>
      <c r="D5" s="436" t="s">
        <v>601</v>
      </c>
      <c r="E5" s="436" t="s">
        <v>602</v>
      </c>
    </row>
    <row r="6" spans="1:6" ht="45" customHeight="1">
      <c r="A6" s="437">
        <v>1</v>
      </c>
      <c r="B6" s="438"/>
      <c r="C6" s="439"/>
      <c r="D6" s="440"/>
      <c r="E6" s="441">
        <f t="shared" ref="E6:E15" si="0">C6*D6</f>
        <v>0</v>
      </c>
    </row>
    <row r="7" spans="1:6" ht="45" customHeight="1">
      <c r="A7" s="437">
        <v>2</v>
      </c>
      <c r="B7" s="438"/>
      <c r="C7" s="439"/>
      <c r="D7" s="440"/>
      <c r="E7" s="441">
        <f t="shared" si="0"/>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603</v>
      </c>
      <c r="C16" s="443"/>
      <c r="D16" s="443"/>
      <c r="E16" s="443">
        <f>SUM(E6:E15)</f>
        <v>0</v>
      </c>
      <c r="F16" s="255"/>
    </row>
    <row r="17" ht="30" customHeight="1"/>
    <row r="18" ht="30" customHeight="1"/>
    <row r="19" ht="30" customHeight="1"/>
    <row r="20" ht="30" customHeight="1"/>
    <row r="21" ht="30" customHeight="1"/>
  </sheetData>
  <customSheetViews>
    <customSheetView guid="{B48B8B4C-A880-453D-8729-90D004BEF0DB}" state="hidden">
      <selection activeCell="C8" sqref="C8"/>
      <pageMargins left="0" right="0" top="0" bottom="0" header="0" footer="0"/>
      <pageSetup orientation="portrait" r:id="rId1"/>
      <headerFooter alignWithMargins="0"/>
    </customSheetView>
    <customSheetView guid="{7043F04C-1FA3-449D-BEB8-4AC08DF68A5A}" state="hidden">
      <selection activeCell="C8" sqref="C8"/>
      <pageMargins left="0" right="0" top="0" bottom="0" header="0" footer="0"/>
      <pageSetup orientation="portrait" r:id="rId2"/>
      <headerFooter alignWithMargins="0"/>
    </customSheetView>
    <customSheetView guid="{D0757F9E-DF41-4B40-A5E5-F4F8FDD8D61D}" state="hidden">
      <selection activeCell="C8" sqref="C8"/>
      <pageMargins left="0" right="0" top="0" bottom="0" header="0" footer="0"/>
      <pageSetup orientation="portrait" r:id="rId3"/>
      <headerFooter alignWithMargins="0"/>
    </customSheetView>
    <customSheetView guid="{E81F0721-C35D-4189-B675-E46A21339863}" state="hidden">
      <selection activeCell="C8" sqref="C8"/>
      <pageMargins left="0" right="0" top="0" bottom="0" header="0" footer="0"/>
      <pageSetup orientation="portrait" r:id="rId4"/>
      <headerFooter alignWithMargins="0"/>
    </customSheetView>
    <customSheetView guid="{223BC0FC-814D-40F0-9795-CE82A16FF3A5}" state="hidden">
      <selection activeCell="C8" sqref="C8"/>
      <pageMargins left="0" right="0" top="0" bottom="0" header="0" footer="0"/>
      <pageSetup orientation="portrait" r:id="rId5"/>
      <headerFooter alignWithMargins="0"/>
    </customSheetView>
    <customSheetView guid="{D53177B2-31EC-4222-B97A-A37DCFD9E45B}" state="hidden">
      <selection activeCell="C8" sqref="C8"/>
      <pageMargins left="0" right="0" top="0" bottom="0" header="0" footer="0"/>
      <pageSetup orientation="portrait" r:id="rId6"/>
      <headerFooter alignWithMargins="0"/>
    </customSheetView>
    <customSheetView guid="{B3CE7B10-A914-4559-A6DA-AED8C22AFD6D}" state="hidden">
      <selection activeCell="C8" sqref="C8"/>
      <pageMargins left="0" right="0" top="0" bottom="0" header="0" footer="0"/>
      <pageSetup orientation="portrait" r:id="rId7"/>
      <headerFooter alignWithMargins="0"/>
    </customSheetView>
    <customSheetView guid="{7487ED9F-BBED-4B2A-9631-22F1A430946B}">
      <selection activeCell="B6" sqref="B6:D15"/>
      <pageMargins left="0" right="0" top="0" bottom="0" header="0" footer="0"/>
      <pageSetup orientation="portrait" r:id="rId8"/>
      <headerFooter alignWithMargins="0"/>
    </customSheetView>
    <customSheetView guid="{A7DBDDEF-9245-44C6-9EBF-032DB6E1C0A2}" topLeftCell="A9">
      <selection activeCell="B6" sqref="B6:D15"/>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9" sqref="B9"/>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B6" sqref="B6:D15"/>
      <pageMargins left="0" right="0" top="0" bottom="0" header="0" footer="0"/>
      <pageSetup orientation="portrait" r:id="rId14"/>
      <headerFooter alignWithMargins="0"/>
    </customSheetView>
    <customSheetView guid="{EE46BCD1-F715-4FA9-A5FC-1B125AD601E0}">
      <selection activeCell="B6" sqref="B6:D15"/>
      <pageMargins left="0" right="0" top="0" bottom="0" header="0" footer="0"/>
      <pageSetup orientation="portrait" r:id="rId15"/>
      <headerFooter alignWithMargins="0"/>
    </customSheetView>
    <customSheetView guid="{E97134B6-5E8D-4951-8DA0-73D065532361}" state="hidden">
      <selection activeCell="C8" sqref="C8"/>
      <pageMargins left="0" right="0" top="0" bottom="0" header="0" footer="0"/>
      <pageSetup orientation="portrait" r:id="rId16"/>
      <headerFooter alignWithMargins="0"/>
    </customSheetView>
    <customSheetView guid="{B835C05C-B615-4DCB-982D-4519616B3CD8}" state="hidden">
      <selection activeCell="C8" sqref="C8"/>
      <pageMargins left="0" right="0" top="0" bottom="0" header="0" footer="0"/>
      <pageSetup orientation="portrait" r:id="rId17"/>
      <headerFooter alignWithMargins="0"/>
    </customSheetView>
    <customSheetView guid="{17F5C48B-526E-48D2-9F97-823D578F9893}" state="hidden">
      <selection activeCell="C8" sqref="C8"/>
      <pageMargins left="0" right="0" top="0" bottom="0" header="0" footer="0"/>
      <pageSetup orientation="portrait" r:id="rId18"/>
      <headerFooter alignWithMargins="0"/>
    </customSheetView>
    <customSheetView guid="{7F1A5DE7-1043-4C11-AB2C-CC6BC6A0F482}" state="hidden">
      <selection activeCell="C8" sqref="C8"/>
      <pageMargins left="0" right="0" top="0" bottom="0" header="0" footer="0"/>
      <pageSetup orientation="portrait" r:id="rId19"/>
      <headerFooter alignWithMargins="0"/>
    </customSheetView>
    <customSheetView guid="{75D87FDD-0292-4E5A-8E8F-63018B009393}" state="hidden">
      <selection activeCell="C8" sqref="C8"/>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oddHeader>&amp;C&amp;"Calibri"&amp;12&amp;KFF0000 डेटा वर्गीकरण : प्रतिबंधित/RESTRICTED&amp;1#_x000D_</oddHeader>
  </headerFooter>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indexed="47"/>
  </sheetPr>
  <dimension ref="A1:F21"/>
  <sheetViews>
    <sheetView zoomScaleNormal="100" workbookViewId="0">
      <selection activeCell="B6" sqref="B6"/>
    </sheetView>
  </sheetViews>
  <sheetFormatPr defaultColWidth="9" defaultRowHeight="16.5"/>
  <cols>
    <col min="1" max="1" width="9" style="444"/>
    <col min="2" max="2" width="26.875" style="445" customWidth="1"/>
    <col min="3" max="3" width="22.875" style="445" customWidth="1"/>
    <col min="4" max="5" width="15.625" style="445" customWidth="1"/>
    <col min="6" max="16384" width="9" style="266"/>
  </cols>
  <sheetData>
    <row r="1" spans="1:6">
      <c r="A1" s="432"/>
      <c r="B1" s="433"/>
      <c r="C1" s="433"/>
      <c r="D1" s="433"/>
      <c r="E1" s="433"/>
    </row>
    <row r="2" spans="1:6" ht="21.95" customHeight="1">
      <c r="A2" s="1306" t="s">
        <v>604</v>
      </c>
      <c r="B2" s="1306"/>
      <c r="C2" s="1306"/>
      <c r="D2" s="1307"/>
      <c r="E2"/>
    </row>
    <row r="3" spans="1:6">
      <c r="A3" s="432"/>
      <c r="B3" s="433"/>
      <c r="C3" s="433"/>
      <c r="D3" s="433"/>
      <c r="E3" s="433"/>
    </row>
    <row r="4" spans="1:6" ht="36" customHeight="1">
      <c r="A4" s="434" t="s">
        <v>593</v>
      </c>
      <c r="B4" s="435" t="s">
        <v>594</v>
      </c>
      <c r="C4" s="434" t="s">
        <v>605</v>
      </c>
      <c r="D4" s="434" t="s">
        <v>606</v>
      </c>
      <c r="E4" s="434" t="s">
        <v>607</v>
      </c>
    </row>
    <row r="5" spans="1:6" ht="18" customHeight="1">
      <c r="A5" s="436" t="s">
        <v>598</v>
      </c>
      <c r="B5" s="436" t="s">
        <v>599</v>
      </c>
      <c r="C5" s="436" t="s">
        <v>600</v>
      </c>
      <c r="D5" s="436" t="s">
        <v>601</v>
      </c>
      <c r="E5" s="436" t="s">
        <v>602</v>
      </c>
    </row>
    <row r="6" spans="1:6" ht="45" customHeight="1">
      <c r="A6" s="437">
        <v>1</v>
      </c>
      <c r="B6" s="438"/>
      <c r="C6" s="439"/>
      <c r="D6" s="440"/>
      <c r="E6" s="441">
        <f>C6*D6</f>
        <v>0</v>
      </c>
    </row>
    <row r="7" spans="1:6" ht="45" customHeight="1">
      <c r="A7" s="437">
        <v>2</v>
      </c>
      <c r="B7" s="438"/>
      <c r="C7" s="439"/>
      <c r="D7" s="440"/>
      <c r="E7" s="441">
        <f t="shared" ref="E7:E15" si="0">C7*D7</f>
        <v>0</v>
      </c>
    </row>
    <row r="8" spans="1:6" ht="45" customHeight="1">
      <c r="A8" s="437">
        <v>3</v>
      </c>
      <c r="B8" s="438"/>
      <c r="C8" s="439"/>
      <c r="D8" s="440"/>
      <c r="E8" s="441">
        <f t="shared" si="0"/>
        <v>0</v>
      </c>
    </row>
    <row r="9" spans="1:6" ht="45" customHeight="1">
      <c r="A9" s="437">
        <v>4</v>
      </c>
      <c r="B9" s="438"/>
      <c r="C9" s="439"/>
      <c r="D9" s="440"/>
      <c r="E9" s="441">
        <f t="shared" si="0"/>
        <v>0</v>
      </c>
    </row>
    <row r="10" spans="1:6" ht="45" customHeight="1">
      <c r="A10" s="437">
        <v>5</v>
      </c>
      <c r="B10" s="438"/>
      <c r="C10" s="439"/>
      <c r="D10" s="440"/>
      <c r="E10" s="441">
        <f t="shared" si="0"/>
        <v>0</v>
      </c>
    </row>
    <row r="11" spans="1:6" ht="45" customHeight="1">
      <c r="A11" s="437">
        <v>6</v>
      </c>
      <c r="B11" s="438"/>
      <c r="C11" s="439"/>
      <c r="D11" s="440"/>
      <c r="E11" s="441">
        <f t="shared" si="0"/>
        <v>0</v>
      </c>
    </row>
    <row r="12" spans="1:6" ht="45" customHeight="1">
      <c r="A12" s="437">
        <v>7</v>
      </c>
      <c r="B12" s="438"/>
      <c r="C12" s="439"/>
      <c r="D12" s="440"/>
      <c r="E12" s="441">
        <f t="shared" si="0"/>
        <v>0</v>
      </c>
    </row>
    <row r="13" spans="1:6" ht="45" customHeight="1">
      <c r="A13" s="437">
        <v>8</v>
      </c>
      <c r="B13" s="438"/>
      <c r="C13" s="439"/>
      <c r="D13" s="440"/>
      <c r="E13" s="441">
        <f t="shared" si="0"/>
        <v>0</v>
      </c>
    </row>
    <row r="14" spans="1:6" ht="45" customHeight="1">
      <c r="A14" s="437">
        <v>9</v>
      </c>
      <c r="B14" s="438"/>
      <c r="C14" s="439"/>
      <c r="D14" s="440"/>
      <c r="E14" s="441">
        <f t="shared" si="0"/>
        <v>0</v>
      </c>
    </row>
    <row r="15" spans="1:6" ht="45" customHeight="1">
      <c r="A15" s="437">
        <v>10</v>
      </c>
      <c r="B15" s="438"/>
      <c r="C15" s="439"/>
      <c r="D15" s="440"/>
      <c r="E15" s="441">
        <f t="shared" si="0"/>
        <v>0</v>
      </c>
    </row>
    <row r="16" spans="1:6" ht="45" customHeight="1">
      <c r="A16" s="442"/>
      <c r="B16" s="443" t="s">
        <v>603</v>
      </c>
      <c r="C16" s="443"/>
      <c r="D16" s="443"/>
      <c r="E16" s="443">
        <f>SUM(E6:E15)</f>
        <v>0</v>
      </c>
      <c r="F16" s="255"/>
    </row>
    <row r="17" ht="30" customHeight="1"/>
    <row r="18" ht="30" customHeight="1"/>
    <row r="19" ht="30" customHeight="1"/>
    <row r="20" ht="30" customHeight="1"/>
    <row r="21" ht="30" customHeight="1"/>
  </sheetData>
  <customSheetViews>
    <customSheetView guid="{B48B8B4C-A880-453D-8729-90D004BEF0DB}" state="hidden">
      <selection activeCell="B6" sqref="B6"/>
      <pageMargins left="0" right="0" top="0" bottom="0" header="0" footer="0"/>
      <pageSetup orientation="portrait" r:id="rId1"/>
      <headerFooter alignWithMargins="0"/>
    </customSheetView>
    <customSheetView guid="{7043F04C-1FA3-449D-BEB8-4AC08DF68A5A}" state="hidden">
      <selection activeCell="B6" sqref="B6"/>
      <pageMargins left="0" right="0" top="0" bottom="0" header="0" footer="0"/>
      <pageSetup orientation="portrait" r:id="rId2"/>
      <headerFooter alignWithMargins="0"/>
    </customSheetView>
    <customSheetView guid="{D0757F9E-DF41-4B40-A5E5-F4F8FDD8D61D}" state="hidden">
      <selection activeCell="B6" sqref="B6"/>
      <pageMargins left="0" right="0" top="0" bottom="0" header="0" footer="0"/>
      <pageSetup orientation="portrait" r:id="rId3"/>
      <headerFooter alignWithMargins="0"/>
    </customSheetView>
    <customSheetView guid="{E81F0721-C35D-4189-B675-E46A21339863}" state="hidden">
      <selection activeCell="B6" sqref="B6"/>
      <pageMargins left="0" right="0" top="0" bottom="0" header="0" footer="0"/>
      <pageSetup orientation="portrait" r:id="rId4"/>
      <headerFooter alignWithMargins="0"/>
    </customSheetView>
    <customSheetView guid="{223BC0FC-814D-40F0-9795-CE82A16FF3A5}" state="hidden">
      <selection activeCell="B6" sqref="B6"/>
      <pageMargins left="0" right="0" top="0" bottom="0" header="0" footer="0"/>
      <pageSetup orientation="portrait" r:id="rId5"/>
      <headerFooter alignWithMargins="0"/>
    </customSheetView>
    <customSheetView guid="{D53177B2-31EC-4222-B97A-A37DCFD9E45B}" state="hidden">
      <selection activeCell="B6" sqref="B6"/>
      <pageMargins left="0" right="0" top="0" bottom="0" header="0" footer="0"/>
      <pageSetup orientation="portrait" r:id="rId6"/>
      <headerFooter alignWithMargins="0"/>
    </customSheetView>
    <customSheetView guid="{B3CE7B10-A914-4559-A6DA-AED8C22AFD6D}" state="hidden">
      <selection activeCell="B6" sqref="B6"/>
      <pageMargins left="0" right="0" top="0" bottom="0" header="0" footer="0"/>
      <pageSetup orientation="portrait" r:id="rId7"/>
      <headerFooter alignWithMargins="0"/>
    </customSheetView>
    <customSheetView guid="{7487ED9F-BBED-4B2A-9631-22F1A430946B}" topLeftCell="A10">
      <selection activeCell="G8" sqref="G8"/>
      <pageMargins left="0" right="0" top="0" bottom="0" header="0" footer="0"/>
      <pageSetup orientation="portrait" r:id="rId8"/>
      <headerFooter alignWithMargins="0"/>
    </customSheetView>
    <customSheetView guid="{A7DBDDEF-9245-44C6-9EBF-032DB6E1C0A2}" topLeftCell="A10">
      <selection activeCell="G8" sqref="G8"/>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D6"/>
      <pageMargins left="0" right="0" top="0" bottom="0" header="0" footer="0"/>
      <pageSetup orientation="portrait" r:id="rId11"/>
      <headerFooter alignWithMargins="0"/>
    </customSheetView>
    <customSheetView guid="{ECE9294F-C910-4036-88BC-B1F2176FB06B}">
      <selection activeCell="B11" sqref="B11"/>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topLeftCell="A10">
      <selection activeCell="G8" sqref="G8"/>
      <pageMargins left="0" right="0" top="0" bottom="0" header="0" footer="0"/>
      <pageSetup orientation="portrait" r:id="rId14"/>
      <headerFooter alignWithMargins="0"/>
    </customSheetView>
    <customSheetView guid="{EE46BCD1-F715-4FA9-A5FC-1B125AD601E0}">
      <selection activeCell="G8" sqref="G8"/>
      <pageMargins left="0" right="0" top="0" bottom="0" header="0" footer="0"/>
      <pageSetup orientation="portrait" r:id="rId15"/>
      <headerFooter alignWithMargins="0"/>
    </customSheetView>
    <customSheetView guid="{E97134B6-5E8D-4951-8DA0-73D065532361}" state="hidden">
      <selection activeCell="B6" sqref="B6"/>
      <pageMargins left="0" right="0" top="0" bottom="0" header="0" footer="0"/>
      <pageSetup orientation="portrait" r:id="rId16"/>
      <headerFooter alignWithMargins="0"/>
    </customSheetView>
    <customSheetView guid="{B835C05C-B615-4DCB-982D-4519616B3CD8}" state="hidden">
      <selection activeCell="B6" sqref="B6"/>
      <pageMargins left="0" right="0" top="0" bottom="0" header="0" footer="0"/>
      <pageSetup orientation="portrait" r:id="rId17"/>
      <headerFooter alignWithMargins="0"/>
    </customSheetView>
    <customSheetView guid="{17F5C48B-526E-48D2-9F97-823D578F9893}" state="hidden">
      <selection activeCell="B6" sqref="B6"/>
      <pageMargins left="0" right="0" top="0" bottom="0" header="0" footer="0"/>
      <pageSetup orientation="portrait" r:id="rId18"/>
      <headerFooter alignWithMargins="0"/>
    </customSheetView>
    <customSheetView guid="{7F1A5DE7-1043-4C11-AB2C-CC6BC6A0F482}" state="hidden">
      <selection activeCell="B6" sqref="B6"/>
      <pageMargins left="0" right="0" top="0" bottom="0" header="0" footer="0"/>
      <pageSetup orientation="portrait" r:id="rId19"/>
      <headerFooter alignWithMargins="0"/>
    </customSheetView>
    <customSheetView guid="{75D87FDD-0292-4E5A-8E8F-63018B009393}" state="hidden">
      <selection activeCell="B6" sqref="B6"/>
      <pageMargins left="0" right="0" top="0" bottom="0" header="0" footer="0"/>
      <pageSetup orientation="portrait" r:id="rId20"/>
      <headerFooter alignWithMargins="0"/>
    </customSheetView>
  </customSheetViews>
  <mergeCells count="1">
    <mergeCell ref="A2:D2"/>
  </mergeCells>
  <phoneticPr fontId="28" type="noConversion"/>
  <pageMargins left="0.75" right="0.75" top="0.65" bottom="1" header="0.5" footer="0.5"/>
  <pageSetup orientation="portrait" r:id="rId21"/>
  <headerFooter alignWithMargins="0">
    <oddHeader>&amp;C&amp;"Calibri"&amp;12&amp;KFF0000 डेटा वर्गीकरण : प्रतिबंधित/RESTRICTED&amp;1#_x000D_</oddHeader>
  </headerFooter>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autoPageBreaks="0"/>
  </sheetPr>
  <dimension ref="A1:J17"/>
  <sheetViews>
    <sheetView showGridLines="0" zoomScaleNormal="100" zoomScaleSheetLayoutView="115" workbookViewId="0">
      <selection activeCell="B3" sqref="B3:E3"/>
    </sheetView>
  </sheetViews>
  <sheetFormatPr defaultColWidth="8" defaultRowHeight="13.5"/>
  <cols>
    <col min="1" max="1" width="8.625" style="28" customWidth="1"/>
    <col min="2" max="2" width="11.125" style="28" customWidth="1"/>
    <col min="3" max="4" width="38.625" style="28" customWidth="1"/>
    <col min="5" max="5" width="11.25" style="28" customWidth="1"/>
    <col min="6" max="6" width="8.625" style="23" customWidth="1"/>
    <col min="7" max="9" width="8" style="23" customWidth="1"/>
    <col min="10" max="16384" width="8" style="23"/>
  </cols>
  <sheetData>
    <row r="1" spans="1:10" ht="30.75" customHeight="1">
      <c r="A1" s="576"/>
      <c r="B1" s="1097"/>
      <c r="C1" s="1098"/>
      <c r="D1" s="1098"/>
      <c r="E1" s="1099"/>
      <c r="F1" s="264"/>
      <c r="G1" s="15" t="s">
        <v>4</v>
      </c>
      <c r="H1" s="15"/>
      <c r="I1" s="15"/>
      <c r="J1" s="15"/>
    </row>
    <row r="2" spans="1:10" ht="58.5" customHeight="1">
      <c r="A2" s="1114" t="s">
        <v>5</v>
      </c>
      <c r="B2" s="1102" t="str">
        <f>Basic!B1</f>
        <v>Extension of residential quarters 2 nos C type &amp; 2 nos B2 type quarters over the existing C type &amp; B2 type at 400/220 KV Shahjahanpur &amp; 765/400 KV Sohawal Substation</v>
      </c>
      <c r="C2" s="1103"/>
      <c r="D2" s="1103"/>
      <c r="E2" s="1104"/>
      <c r="F2" s="1117" t="str">
        <f>Basic!B3</f>
        <v>Civil Works</v>
      </c>
      <c r="G2" s="15"/>
      <c r="H2" s="15"/>
      <c r="I2" s="15"/>
      <c r="J2" s="15"/>
    </row>
    <row r="3" spans="1:10" ht="23.25" customHeight="1">
      <c r="A3" s="1115"/>
      <c r="B3" s="1105" t="str">
        <f>Basic!B5</f>
        <v>NR3/NT/W-CIVIL/DOM/K00/25/09879 (Rfx No.5002004724)</v>
      </c>
      <c r="C3" s="1106"/>
      <c r="D3" s="1106"/>
      <c r="E3" s="1107"/>
      <c r="F3" s="1118"/>
      <c r="G3" s="15"/>
      <c r="H3" s="15"/>
      <c r="I3" s="15"/>
      <c r="J3" s="15"/>
    </row>
    <row r="4" spans="1:10" ht="39.950000000000003" customHeight="1">
      <c r="A4" s="1115"/>
      <c r="B4" s="262">
        <v>1</v>
      </c>
      <c r="C4" s="1100" t="s">
        <v>6</v>
      </c>
      <c r="D4" s="1100"/>
      <c r="E4" s="1101"/>
      <c r="F4" s="1118"/>
      <c r="G4" s="789"/>
      <c r="H4" s="790" t="s">
        <v>7</v>
      </c>
      <c r="I4" s="15"/>
      <c r="J4" s="15"/>
    </row>
    <row r="5" spans="1:10" ht="30" customHeight="1">
      <c r="A5" s="1115"/>
      <c r="B5" s="262">
        <v>2</v>
      </c>
      <c r="C5" s="1100" t="s">
        <v>8</v>
      </c>
      <c r="D5" s="1100"/>
      <c r="E5" s="1101"/>
      <c r="F5" s="1118"/>
      <c r="G5" s="15"/>
      <c r="H5" s="15"/>
      <c r="I5" s="15"/>
      <c r="J5" s="15"/>
    </row>
    <row r="6" spans="1:10" ht="30" customHeight="1">
      <c r="A6" s="1115"/>
      <c r="B6" s="262">
        <v>3</v>
      </c>
      <c r="C6" s="1100" t="s">
        <v>9</v>
      </c>
      <c r="D6" s="1100"/>
      <c r="E6" s="1101"/>
      <c r="F6" s="1118"/>
      <c r="G6" s="15"/>
      <c r="H6" s="15"/>
      <c r="I6" s="15"/>
      <c r="J6" s="15"/>
    </row>
    <row r="7" spans="1:10" ht="52.5" hidden="1" customHeight="1">
      <c r="A7" s="1115"/>
      <c r="B7" s="262">
        <v>4</v>
      </c>
      <c r="C7" s="1100" t="s">
        <v>10</v>
      </c>
      <c r="D7" s="1100"/>
      <c r="E7" s="1101"/>
      <c r="F7" s="1118"/>
      <c r="G7" s="15"/>
      <c r="H7" s="15"/>
      <c r="I7" s="15"/>
      <c r="J7" s="15"/>
    </row>
    <row r="8" spans="1:10" ht="9.75" customHeight="1">
      <c r="A8" s="1115"/>
      <c r="B8" s="17"/>
      <c r="C8" s="16"/>
      <c r="D8" s="16"/>
      <c r="E8" s="18"/>
      <c r="F8" s="1118"/>
      <c r="G8" s="15"/>
      <c r="H8" s="15"/>
      <c r="I8" s="15"/>
      <c r="J8" s="15"/>
    </row>
    <row r="9" spans="1:10" ht="23.25" customHeight="1">
      <c r="A9" s="1115"/>
      <c r="B9" s="1124"/>
      <c r="C9" s="1125"/>
      <c r="D9" s="1125"/>
      <c r="E9" s="1126"/>
      <c r="F9" s="1118"/>
      <c r="G9" s="15"/>
      <c r="H9" s="15"/>
      <c r="I9" s="15"/>
      <c r="J9" s="15"/>
    </row>
    <row r="10" spans="1:10" ht="10.5" customHeight="1">
      <c r="A10" s="1115"/>
      <c r="B10" s="19"/>
      <c r="C10" s="20"/>
      <c r="D10" s="20"/>
      <c r="E10" s="21"/>
      <c r="F10" s="1118"/>
      <c r="G10" s="15"/>
      <c r="H10" s="15"/>
      <c r="I10" s="15"/>
      <c r="J10" s="15"/>
    </row>
    <row r="11" spans="1:10" ht="24" customHeight="1">
      <c r="A11" s="1115"/>
      <c r="B11" s="1122"/>
      <c r="C11" s="1123"/>
      <c r="D11" s="1123"/>
      <c r="E11" s="22"/>
      <c r="F11" s="1118"/>
    </row>
    <row r="12" spans="1:10" ht="15.95" customHeight="1">
      <c r="A12" s="1116"/>
      <c r="B12" s="1108"/>
      <c r="C12" s="1109"/>
      <c r="D12" s="1109"/>
      <c r="E12" s="24"/>
      <c r="F12" s="1119"/>
      <c r="G12" s="15"/>
      <c r="H12" s="15"/>
      <c r="I12" s="15"/>
      <c r="J12" s="15"/>
    </row>
    <row r="13" spans="1:10" ht="24" customHeight="1">
      <c r="A13" s="1113"/>
      <c r="B13" s="1110"/>
      <c r="C13" s="1111"/>
      <c r="D13" s="1111"/>
      <c r="E13" s="22"/>
      <c r="F13" s="1112"/>
      <c r="G13" s="25"/>
      <c r="H13" s="25"/>
      <c r="I13" s="25"/>
      <c r="J13" s="25"/>
    </row>
    <row r="14" spans="1:10" ht="15.95" customHeight="1">
      <c r="A14" s="1113"/>
      <c r="B14" s="1120"/>
      <c r="C14" s="1121"/>
      <c r="D14" s="1121"/>
      <c r="E14" s="26"/>
      <c r="F14" s="1112"/>
      <c r="G14" s="25"/>
      <c r="H14" s="25"/>
      <c r="I14" s="25"/>
      <c r="J14" s="25"/>
    </row>
    <row r="15" spans="1:10" ht="15.75">
      <c r="A15" s="16"/>
      <c r="B15" s="27"/>
      <c r="C15" s="27"/>
      <c r="D15" s="27"/>
      <c r="E15" s="27"/>
      <c r="F15" s="15"/>
      <c r="G15" s="15"/>
      <c r="H15" s="15"/>
      <c r="I15" s="15"/>
      <c r="J15" s="15"/>
    </row>
    <row r="16" spans="1:10" ht="15.75">
      <c r="A16" s="16"/>
      <c r="B16" s="16"/>
      <c r="C16" s="16"/>
      <c r="D16" s="16"/>
      <c r="E16" s="16"/>
      <c r="F16" s="15"/>
      <c r="G16" s="15"/>
      <c r="H16" s="15"/>
      <c r="I16" s="15"/>
      <c r="J16" s="15"/>
    </row>
    <row r="17" spans="1:10" ht="15.75">
      <c r="A17" s="16"/>
      <c r="B17" s="16"/>
      <c r="C17" s="16"/>
      <c r="D17" s="16"/>
      <c r="E17" s="16"/>
      <c r="F17" s="15"/>
      <c r="G17" s="15"/>
      <c r="H17" s="15"/>
      <c r="I17" s="15"/>
      <c r="J17" s="15"/>
    </row>
  </sheetData>
  <customSheetViews>
    <customSheetView guid="{B48B8B4C-A880-453D-8729-90D004BEF0DB}" showGridLines="0" hiddenRows="1">
      <selection activeCell="K10" sqref="K10"/>
      <pageMargins left="0" right="0" top="0" bottom="0" header="0" footer="0"/>
      <printOptions horizontalCentered="1"/>
      <pageSetup paperSize="9" orientation="landscape" r:id="rId1"/>
      <headerFooter alignWithMargins="0"/>
    </customSheetView>
    <customSheetView guid="{7043F04C-1FA3-449D-BEB8-4AC08DF68A5A}" showGridLines="0" hiddenRows="1" topLeftCell="A14">
      <selection activeCell="F13" sqref="F13:F14"/>
      <pageMargins left="0" right="0" top="0" bottom="0" header="0" footer="0"/>
      <printOptions horizontalCentered="1"/>
      <pageSetup paperSize="9" orientation="landscape" r:id="rId2"/>
      <headerFooter alignWithMargins="0"/>
    </customSheetView>
    <customSheetView guid="{D0757F9E-DF41-4B40-A5E5-F4F8FDD8D61D}" showGridLines="0" hiddenRows="1">
      <selection activeCell="F13" sqref="F13:F14"/>
      <pageMargins left="0" right="0" top="0" bottom="0" header="0" footer="0"/>
      <printOptions horizontalCentered="1"/>
      <pageSetup paperSize="9" orientation="landscape" r:id="rId3"/>
      <headerFooter alignWithMargins="0"/>
    </customSheetView>
    <customSheetView guid="{E81F0721-C35D-4189-B675-E46A21339863}" showGridLines="0" hiddenRows="1">
      <selection activeCell="C4" sqref="C4:E4"/>
      <pageMargins left="0" right="0" top="0" bottom="0" header="0" footer="0"/>
      <printOptions horizontalCentered="1"/>
      <pageSetup paperSize="9" orientation="landscape" r:id="rId4"/>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5"/>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6"/>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7"/>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8"/>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9"/>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0"/>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1"/>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2"/>
      <headerFooter alignWithMargins="0"/>
    </customSheetView>
    <customSheetView guid="{01ACF2E1-8E61-4459-ABC1-B6C183DEED61}" showGridLines="0" showRuler="0">
      <pageMargins left="0" right="0" top="0" bottom="0" header="0" footer="0"/>
      <printOptions horizontalCentered="1"/>
      <pageSetup paperSize="9" orientation="landscape" r:id="rId13"/>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4"/>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5"/>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6"/>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7"/>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19"/>
      <headerFooter alignWithMargins="0"/>
    </customSheetView>
    <customSheetView guid="{B835C05C-B615-4DCB-982D-4519616B3CD8}" showGridLines="0" hiddenRows="1">
      <selection activeCell="C4" sqref="C4:E4"/>
      <pageMargins left="0" right="0" top="0" bottom="0" header="0" footer="0"/>
      <printOptions horizontalCentered="1"/>
      <pageSetup paperSize="9" orientation="landscape" r:id="rId20"/>
      <headerFooter alignWithMargins="0"/>
    </customSheetView>
    <customSheetView guid="{17F5C48B-526E-48D2-9F97-823D578F9893}" scale="115" showPageBreaks="1" showGridLines="0" hiddenRows="1" view="pageBreakPreview">
      <selection activeCell="H2" sqref="H2"/>
      <pageMargins left="0" right="0" top="0" bottom="0" header="0" footer="0"/>
      <printOptions horizontalCentered="1"/>
      <pageSetup paperSize="9" fitToHeight="0" orientation="landscape" r:id="rId21"/>
      <headerFooter alignWithMargins="0"/>
    </customSheetView>
    <customSheetView guid="{7F1A5DE7-1043-4C11-AB2C-CC6BC6A0F482}" showGridLines="0" hiddenRows="1">
      <selection activeCell="F13" sqref="F13:F14"/>
      <pageMargins left="0" right="0" top="0" bottom="0" header="0" footer="0"/>
      <printOptions horizontalCentered="1"/>
      <pageSetup paperSize="9" orientation="landscape" r:id="rId22"/>
      <headerFooter alignWithMargins="0"/>
    </customSheetView>
    <customSheetView guid="{75D87FDD-0292-4E5A-8E8F-63018B009393}" showGridLines="0" hiddenRows="1">
      <selection activeCell="K10" sqref="K10"/>
      <pageMargins left="0" right="0" top="0" bottom="0" header="0" footer="0"/>
      <printOptions horizontalCentered="1"/>
      <pageSetup paperSize="9" orientation="landscape" r:id="rId23"/>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4" type="noConversion"/>
  <printOptions horizontalCentered="1"/>
  <pageMargins left="0.15748031496063" right="0.23622047244094499" top="0.78" bottom="0.98425196850393704" header="0.35433070866141703" footer="0.511811023622047"/>
  <pageSetup paperSize="9" orientation="landscape" r:id="rId24"/>
  <headerFooter alignWithMargins="0">
    <oddHeader>&amp;C&amp;"Calibri"&amp;12&amp;KFF0000 डेटा वर्गीकरण : प्रतिबंधित/RESTRICTED&amp;1#_x000D_</oddHeader>
  </headerFooter>
  <drawing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44" customWidth="1"/>
    <col min="2" max="4" width="20.625" style="445" customWidth="1"/>
    <col min="5" max="5" width="9.625" style="445" customWidth="1"/>
    <col min="6" max="6" width="12.625" style="445" customWidth="1"/>
    <col min="7" max="16384" width="9" style="266"/>
  </cols>
  <sheetData>
    <row r="1" spans="1:7">
      <c r="A1" s="432"/>
      <c r="B1" s="433"/>
      <c r="C1" s="433"/>
      <c r="D1" s="433"/>
      <c r="E1" s="433"/>
      <c r="F1" s="433"/>
    </row>
    <row r="2" spans="1:7" ht="21.95" customHeight="1">
      <c r="A2" s="1306" t="s">
        <v>608</v>
      </c>
      <c r="B2" s="1306"/>
      <c r="C2" s="1306"/>
      <c r="D2" s="1306"/>
      <c r="E2" s="1307"/>
      <c r="F2" s="266"/>
    </row>
    <row r="3" spans="1:7">
      <c r="A3" s="432"/>
      <c r="B3" s="433"/>
      <c r="C3" s="433"/>
      <c r="D3" s="433"/>
      <c r="E3" s="433"/>
      <c r="F3" s="433"/>
    </row>
    <row r="4" spans="1:7" ht="53.25" customHeight="1">
      <c r="A4" s="434" t="s">
        <v>593</v>
      </c>
      <c r="B4" s="435" t="s">
        <v>594</v>
      </c>
      <c r="C4" s="434" t="s">
        <v>609</v>
      </c>
      <c r="D4" s="434" t="s">
        <v>610</v>
      </c>
      <c r="E4" s="434" t="s">
        <v>611</v>
      </c>
      <c r="F4" s="434" t="s">
        <v>612</v>
      </c>
    </row>
    <row r="5" spans="1:7" ht="18" customHeight="1">
      <c r="A5" s="436" t="s">
        <v>598</v>
      </c>
      <c r="B5" s="436" t="s">
        <v>599</v>
      </c>
      <c r="C5" s="436" t="s">
        <v>600</v>
      </c>
      <c r="D5" s="436" t="s">
        <v>601</v>
      </c>
      <c r="E5" s="446" t="s">
        <v>613</v>
      </c>
      <c r="F5" s="436" t="s">
        <v>614</v>
      </c>
    </row>
    <row r="6" spans="1:7" ht="45" customHeight="1">
      <c r="A6" s="437">
        <v>1</v>
      </c>
      <c r="B6" s="438"/>
      <c r="C6" s="439"/>
      <c r="D6" s="439"/>
      <c r="E6" s="440"/>
      <c r="F6" s="441">
        <f>C6*E6</f>
        <v>0</v>
      </c>
    </row>
    <row r="7" spans="1:7" ht="45" customHeight="1">
      <c r="A7" s="437">
        <v>2</v>
      </c>
      <c r="B7" s="438"/>
      <c r="C7" s="439"/>
      <c r="D7" s="439"/>
      <c r="E7" s="440"/>
      <c r="F7" s="441">
        <f t="shared" ref="F7:F15" si="0">C7*E7</f>
        <v>0</v>
      </c>
    </row>
    <row r="8" spans="1:7" ht="45" customHeight="1">
      <c r="A8" s="437">
        <v>3</v>
      </c>
      <c r="B8" s="438"/>
      <c r="C8" s="439"/>
      <c r="D8" s="439"/>
      <c r="E8" s="440"/>
      <c r="F8" s="441">
        <f t="shared" si="0"/>
        <v>0</v>
      </c>
    </row>
    <row r="9" spans="1:7" ht="45" customHeight="1">
      <c r="A9" s="437">
        <v>4</v>
      </c>
      <c r="B9" s="438"/>
      <c r="C9" s="439"/>
      <c r="D9" s="439"/>
      <c r="E9" s="440"/>
      <c r="F9" s="441">
        <f t="shared" si="0"/>
        <v>0</v>
      </c>
    </row>
    <row r="10" spans="1:7" ht="45" customHeight="1">
      <c r="A10" s="437">
        <v>5</v>
      </c>
      <c r="B10" s="438"/>
      <c r="C10" s="439"/>
      <c r="D10" s="439"/>
      <c r="E10" s="440"/>
      <c r="F10" s="441">
        <f t="shared" si="0"/>
        <v>0</v>
      </c>
    </row>
    <row r="11" spans="1:7" ht="45" customHeight="1">
      <c r="A11" s="437">
        <v>6</v>
      </c>
      <c r="B11" s="438"/>
      <c r="C11" s="439"/>
      <c r="D11" s="439"/>
      <c r="E11" s="440"/>
      <c r="F11" s="441">
        <f t="shared" si="0"/>
        <v>0</v>
      </c>
    </row>
    <row r="12" spans="1:7" ht="45" customHeight="1">
      <c r="A12" s="437">
        <v>7</v>
      </c>
      <c r="B12" s="438"/>
      <c r="C12" s="439"/>
      <c r="D12" s="439"/>
      <c r="E12" s="440"/>
      <c r="F12" s="441">
        <f t="shared" si="0"/>
        <v>0</v>
      </c>
    </row>
    <row r="13" spans="1:7" ht="45" customHeight="1">
      <c r="A13" s="437">
        <v>8</v>
      </c>
      <c r="B13" s="438"/>
      <c r="C13" s="439"/>
      <c r="D13" s="439"/>
      <c r="E13" s="440"/>
      <c r="F13" s="441">
        <f t="shared" si="0"/>
        <v>0</v>
      </c>
    </row>
    <row r="14" spans="1:7" ht="45" customHeight="1">
      <c r="A14" s="437">
        <v>9</v>
      </c>
      <c r="B14" s="438"/>
      <c r="C14" s="439"/>
      <c r="D14" s="439"/>
      <c r="E14" s="440"/>
      <c r="F14" s="441">
        <f t="shared" si="0"/>
        <v>0</v>
      </c>
    </row>
    <row r="15" spans="1:7" ht="45" customHeight="1">
      <c r="A15" s="437">
        <v>10</v>
      </c>
      <c r="B15" s="438"/>
      <c r="C15" s="439"/>
      <c r="D15" s="439"/>
      <c r="E15" s="440"/>
      <c r="F15" s="441">
        <f t="shared" si="0"/>
        <v>0</v>
      </c>
    </row>
    <row r="16" spans="1:7" ht="45" customHeight="1">
      <c r="A16" s="442"/>
      <c r="B16" s="443" t="s">
        <v>603</v>
      </c>
      <c r="C16" s="443"/>
      <c r="D16" s="443"/>
      <c r="E16" s="443"/>
      <c r="F16" s="443">
        <f>SUM(F6:F15)</f>
        <v>0</v>
      </c>
      <c r="G16" s="255"/>
    </row>
    <row r="17" ht="30" customHeight="1"/>
    <row r="18" ht="30" customHeight="1"/>
    <row r="19" ht="30" customHeight="1"/>
    <row r="20" ht="30" customHeight="1"/>
    <row r="21" ht="30" customHeight="1"/>
  </sheetData>
  <customSheetViews>
    <customSheetView guid="{B48B8B4C-A880-453D-8729-90D004BEF0DB}" state="hidden">
      <selection activeCell="E8" sqref="E8"/>
      <pageMargins left="0" right="0" top="0" bottom="0" header="0" footer="0"/>
      <pageSetup orientation="portrait" r:id="rId1"/>
      <headerFooter alignWithMargins="0"/>
    </customSheetView>
    <customSheetView guid="{7043F04C-1FA3-449D-BEB8-4AC08DF68A5A}" state="hidden">
      <selection activeCell="E8" sqref="E8"/>
      <pageMargins left="0" right="0" top="0" bottom="0" header="0" footer="0"/>
      <pageSetup orientation="portrait" r:id="rId2"/>
      <headerFooter alignWithMargins="0"/>
    </customSheetView>
    <customSheetView guid="{D0757F9E-DF41-4B40-A5E5-F4F8FDD8D61D}" state="hidden">
      <selection activeCell="E8" sqref="E8"/>
      <pageMargins left="0" right="0" top="0" bottom="0" header="0" footer="0"/>
      <pageSetup orientation="portrait" r:id="rId3"/>
      <headerFooter alignWithMargins="0"/>
    </customSheetView>
    <customSheetView guid="{E81F0721-C35D-4189-B675-E46A21339863}" state="hidden">
      <selection activeCell="E8" sqref="E8"/>
      <pageMargins left="0" right="0" top="0" bottom="0" header="0" footer="0"/>
      <pageSetup orientation="portrait" r:id="rId4"/>
      <headerFooter alignWithMargins="0"/>
    </customSheetView>
    <customSheetView guid="{223BC0FC-814D-40F0-9795-CE82A16FF3A5}" state="hidden">
      <selection activeCell="E8" sqref="E8"/>
      <pageMargins left="0" right="0" top="0" bottom="0" header="0" footer="0"/>
      <pageSetup orientation="portrait" r:id="rId5"/>
      <headerFooter alignWithMargins="0"/>
    </customSheetView>
    <customSheetView guid="{D53177B2-31EC-4222-B97A-A37DCFD9E45B}" state="hidden">
      <selection activeCell="E8" sqref="E8"/>
      <pageMargins left="0" right="0" top="0" bottom="0" header="0" footer="0"/>
      <pageSetup orientation="portrait" r:id="rId6"/>
      <headerFooter alignWithMargins="0"/>
    </customSheetView>
    <customSheetView guid="{B3CE7B10-A914-4559-A6DA-AED8C22AFD6D}" state="hidden">
      <selection activeCell="E8" sqref="E8"/>
      <pageMargins left="0" right="0" top="0" bottom="0" header="0" footer="0"/>
      <pageSetup orientation="portrait" r:id="rId7"/>
      <headerFooter alignWithMargins="0"/>
    </customSheetView>
    <customSheetView guid="{7487ED9F-BBED-4B2A-9631-22F1A430946B}">
      <selection activeCell="E8" sqref="E8"/>
      <pageMargins left="0" right="0" top="0" bottom="0" header="0" footer="0"/>
      <pageSetup orientation="portrait" r:id="rId8"/>
      <headerFooter alignWithMargins="0"/>
    </customSheetView>
    <customSheetView guid="{A7DBDDEF-9245-44C6-9EBF-032DB6E1C0A2}" topLeftCell="A9">
      <selection activeCell="B9" sqref="B9"/>
      <pageMargins left="0" right="0" top="0" bottom="0" header="0" footer="0"/>
      <pageSetup orientation="portrait" r:id="rId9"/>
      <headerFooter alignWithMargins="0"/>
    </customSheetView>
    <customSheetView guid="{E9F4E142-7D26-464D-BECA-4F3806DB1FE1}">
      <selection activeCell="G8" sqref="G8"/>
      <pageMargins left="0" right="0" top="0" bottom="0" header="0" footer="0"/>
      <pageSetup orientation="portrait" r:id="rId10"/>
      <headerFooter alignWithMargins="0"/>
    </customSheetView>
    <customSheetView guid="{27A45B7A-04F2-4516-B80B-5ED0825D4ED3}" scale="70">
      <selection activeCell="C6" sqref="C6"/>
      <pageMargins left="0" right="0" top="0" bottom="0" header="0" footer="0"/>
      <pageSetup orientation="portrait" r:id="rId11"/>
      <headerFooter alignWithMargins="0"/>
    </customSheetView>
    <customSheetView guid="{ECE9294F-C910-4036-88BC-B1F2176FB06B}">
      <selection activeCell="B6" sqref="B6"/>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4AA1107B-A795-4744-B566-827168772C7A}">
      <selection activeCell="E8" sqref="E8"/>
      <pageMargins left="0" right="0" top="0" bottom="0" header="0" footer="0"/>
      <pageSetup orientation="portrait" r:id="rId14"/>
      <headerFooter alignWithMargins="0"/>
    </customSheetView>
    <customSheetView guid="{EE46BCD1-F715-4FA9-A5FC-1B125AD601E0}">
      <selection activeCell="E8" sqref="E8"/>
      <pageMargins left="0" right="0" top="0" bottom="0" header="0" footer="0"/>
      <pageSetup orientation="portrait" r:id="rId15"/>
      <headerFooter alignWithMargins="0"/>
    </customSheetView>
    <customSheetView guid="{E97134B6-5E8D-4951-8DA0-73D065532361}" state="hidden">
      <selection activeCell="E8" sqref="E8"/>
      <pageMargins left="0" right="0" top="0" bottom="0" header="0" footer="0"/>
      <pageSetup orientation="portrait" r:id="rId16"/>
      <headerFooter alignWithMargins="0"/>
    </customSheetView>
    <customSheetView guid="{B835C05C-B615-4DCB-982D-4519616B3CD8}" state="hidden">
      <selection activeCell="E8" sqref="E8"/>
      <pageMargins left="0" right="0" top="0" bottom="0" header="0" footer="0"/>
      <pageSetup orientation="portrait" r:id="rId17"/>
      <headerFooter alignWithMargins="0"/>
    </customSheetView>
    <customSheetView guid="{17F5C48B-526E-48D2-9F97-823D578F9893}" state="hidden">
      <selection activeCell="E8" sqref="E8"/>
      <pageMargins left="0" right="0" top="0" bottom="0" header="0" footer="0"/>
      <pageSetup orientation="portrait" r:id="rId18"/>
      <headerFooter alignWithMargins="0"/>
    </customSheetView>
    <customSheetView guid="{7F1A5DE7-1043-4C11-AB2C-CC6BC6A0F482}" state="hidden">
      <selection activeCell="E8" sqref="E8"/>
      <pageMargins left="0" right="0" top="0" bottom="0" header="0" footer="0"/>
      <pageSetup orientation="portrait" r:id="rId19"/>
      <headerFooter alignWithMargins="0"/>
    </customSheetView>
    <customSheetView guid="{75D87FDD-0292-4E5A-8E8F-63018B009393}" state="hidden">
      <selection activeCell="E8" sqref="E8"/>
      <pageMargins left="0" right="0" top="0" bottom="0" header="0" footer="0"/>
      <pageSetup orientation="portrait" r:id="rId20"/>
      <headerFooter alignWithMargins="0"/>
    </customSheetView>
  </customSheetViews>
  <mergeCells count="1">
    <mergeCell ref="A2:E2"/>
  </mergeCells>
  <phoneticPr fontId="28" type="noConversion"/>
  <pageMargins left="0.75" right="0.62" top="0.65" bottom="1" header="0.5" footer="0.5"/>
  <pageSetup orientation="portrait" r:id="rId21"/>
  <headerFooter alignWithMargins="0">
    <oddHeader>&amp;C&amp;"Calibri"&amp;12&amp;KFF0000 डेटा वर्गीकरण : प्रतिबंधित/RESTRICTED&amp;1#_x000D_</oddHeader>
  </headerFooter>
  <drawing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AO78"/>
  <sheetViews>
    <sheetView showGridLines="0" showZeros="0" view="pageBreakPreview" topLeftCell="A45" zoomScaleNormal="100" zoomScaleSheetLayoutView="100" workbookViewId="0">
      <selection activeCell="A10" sqref="A10"/>
    </sheetView>
  </sheetViews>
  <sheetFormatPr defaultColWidth="8" defaultRowHeight="16.5"/>
  <cols>
    <col min="1" max="1" width="9.375" style="390" customWidth="1"/>
    <col min="2" max="2" width="9.375" style="392" customWidth="1"/>
    <col min="3" max="3" width="12.875" style="390" customWidth="1"/>
    <col min="4" max="4" width="18.125" style="390" customWidth="1"/>
    <col min="5" max="5" width="11.125" style="390" customWidth="1"/>
    <col min="6" max="6" width="29.875" style="390" customWidth="1"/>
    <col min="7" max="8" width="8" style="390" customWidth="1"/>
    <col min="9" max="27" width="8" style="389" customWidth="1"/>
    <col min="28" max="28" width="17.5" style="389" customWidth="1"/>
    <col min="29" max="29" width="12.125" style="389" customWidth="1"/>
    <col min="30" max="30" width="8" style="387" customWidth="1"/>
    <col min="31" max="31" width="8" style="388" customWidth="1"/>
    <col min="32" max="32" width="12" style="388" customWidth="1"/>
    <col min="33" max="35" width="8" style="387" customWidth="1"/>
    <col min="36" max="36" width="9.125" style="387" customWidth="1"/>
    <col min="37" max="41" width="8" style="387" customWidth="1"/>
    <col min="42" max="16384" width="8" style="389"/>
  </cols>
  <sheetData>
    <row r="1" spans="1:36">
      <c r="A1" s="382" t="str">
        <f>Cover!B3</f>
        <v>NR3/NT/W-CIVIL/DOM/K00/25/09879 (Rfx No.5002004724)</v>
      </c>
      <c r="B1" s="382"/>
      <c r="C1" s="383"/>
      <c r="D1" s="383"/>
      <c r="E1" s="383"/>
      <c r="F1" s="384" t="s">
        <v>615</v>
      </c>
      <c r="G1" s="385"/>
      <c r="H1" s="385"/>
      <c r="I1" s="386"/>
      <c r="J1" s="386"/>
      <c r="K1" s="386"/>
      <c r="L1" s="386"/>
      <c r="M1" s="386"/>
      <c r="N1" s="386"/>
      <c r="O1" s="386"/>
      <c r="P1" s="386"/>
      <c r="Q1" s="386"/>
      <c r="R1" s="386"/>
      <c r="S1" s="386"/>
      <c r="T1" s="386"/>
      <c r="U1" s="386"/>
      <c r="V1" s="386"/>
      <c r="W1" s="386"/>
      <c r="X1" s="386"/>
      <c r="Y1" s="386"/>
      <c r="Z1" s="386" t="str">
        <f>'Names of Bidder'!D6</f>
        <v>Sole Bidder</v>
      </c>
      <c r="AA1" s="386"/>
      <c r="AB1" s="386"/>
      <c r="AC1" s="386"/>
      <c r="AE1" s="388">
        <v>1</v>
      </c>
      <c r="AF1" s="388" t="s">
        <v>616</v>
      </c>
      <c r="AI1" s="388">
        <v>1</v>
      </c>
      <c r="AJ1" s="387" t="s">
        <v>617</v>
      </c>
    </row>
    <row r="2" spans="1:36">
      <c r="A2" s="385"/>
      <c r="B2" s="385"/>
      <c r="C2" s="385"/>
      <c r="D2" s="385"/>
      <c r="E2" s="385"/>
      <c r="F2" s="385"/>
      <c r="G2" s="385"/>
      <c r="H2" s="385"/>
      <c r="I2" s="386"/>
      <c r="J2" s="386"/>
      <c r="K2" s="386"/>
      <c r="L2" s="386"/>
      <c r="M2" s="386"/>
      <c r="N2" s="386"/>
      <c r="O2" s="386"/>
      <c r="P2" s="386"/>
      <c r="Q2" s="386"/>
      <c r="R2" s="386"/>
      <c r="S2" s="386"/>
      <c r="T2" s="386"/>
      <c r="U2" s="386"/>
      <c r="V2" s="386"/>
      <c r="W2" s="386"/>
      <c r="X2" s="386"/>
      <c r="Y2" s="386"/>
      <c r="Z2" s="386">
        <f>'Names of Bidder'!AA6</f>
        <v>0</v>
      </c>
      <c r="AA2" s="386"/>
      <c r="AB2" s="386"/>
      <c r="AC2" s="386"/>
      <c r="AE2" s="388">
        <v>2</v>
      </c>
      <c r="AF2" s="388" t="s">
        <v>618</v>
      </c>
      <c r="AI2" s="388">
        <v>2</v>
      </c>
      <c r="AJ2" s="387" t="s">
        <v>619</v>
      </c>
    </row>
    <row r="3" spans="1:36">
      <c r="A3" s="1325" t="s">
        <v>620</v>
      </c>
      <c r="B3" s="1325"/>
      <c r="C3" s="1325"/>
      <c r="D3" s="1325"/>
      <c r="E3" s="1325"/>
      <c r="F3" s="1325"/>
      <c r="G3" s="385"/>
      <c r="H3" s="385"/>
      <c r="I3" s="386"/>
      <c r="J3" s="386"/>
      <c r="K3" s="386"/>
      <c r="L3" s="386"/>
      <c r="M3" s="386"/>
      <c r="N3" s="386"/>
      <c r="O3" s="386"/>
      <c r="P3" s="386"/>
      <c r="Q3" s="386"/>
      <c r="R3" s="386"/>
      <c r="S3" s="386"/>
      <c r="T3" s="386"/>
      <c r="U3" s="386"/>
      <c r="V3" s="386"/>
      <c r="W3" s="386"/>
      <c r="X3" s="386"/>
      <c r="Y3" s="386"/>
      <c r="Z3" s="386"/>
      <c r="AA3" s="386"/>
      <c r="AB3" s="386"/>
      <c r="AC3" s="386"/>
      <c r="AE3" s="388">
        <v>3</v>
      </c>
      <c r="AF3" s="388" t="s">
        <v>621</v>
      </c>
      <c r="AI3" s="388">
        <v>3</v>
      </c>
      <c r="AJ3" s="387" t="s">
        <v>622</v>
      </c>
    </row>
    <row r="4" spans="1:36">
      <c r="A4" s="391"/>
      <c r="B4" s="391"/>
      <c r="C4" s="391"/>
      <c r="D4" s="391"/>
      <c r="E4" s="391"/>
      <c r="F4" s="391"/>
      <c r="G4" s="385"/>
      <c r="H4" s="385"/>
      <c r="I4" s="386"/>
      <c r="J4" s="386"/>
      <c r="K4" s="386"/>
      <c r="L4" s="386"/>
      <c r="M4" s="386"/>
      <c r="N4" s="386"/>
      <c r="O4" s="386"/>
      <c r="P4" s="386"/>
      <c r="Q4" s="386"/>
      <c r="R4" s="386"/>
      <c r="S4" s="386"/>
      <c r="T4" s="386"/>
      <c r="U4" s="386"/>
      <c r="V4" s="386"/>
      <c r="W4" s="386"/>
      <c r="X4" s="386"/>
      <c r="Y4" s="386"/>
      <c r="Z4" s="386"/>
      <c r="AA4" s="386"/>
      <c r="AB4" s="386"/>
      <c r="AC4" s="386"/>
      <c r="AE4" s="388">
        <v>4</v>
      </c>
      <c r="AF4" s="388" t="s">
        <v>623</v>
      </c>
      <c r="AI4" s="388">
        <v>4</v>
      </c>
      <c r="AJ4" s="387" t="s">
        <v>624</v>
      </c>
    </row>
    <row r="5" spans="1:36">
      <c r="A5" s="401" t="s">
        <v>625</v>
      </c>
      <c r="B5" s="401"/>
      <c r="C5" s="1326"/>
      <c r="D5" s="1326"/>
      <c r="E5" s="1326"/>
      <c r="F5" s="1326"/>
      <c r="G5" s="385"/>
      <c r="H5" s="385"/>
      <c r="I5" s="386"/>
      <c r="J5" s="386"/>
      <c r="K5" s="386"/>
      <c r="L5" s="386"/>
      <c r="M5" s="386"/>
      <c r="N5" s="386"/>
      <c r="O5" s="386"/>
      <c r="P5" s="386"/>
      <c r="Q5" s="386"/>
      <c r="R5" s="386"/>
      <c r="S5" s="386"/>
      <c r="T5" s="386"/>
      <c r="U5" s="386"/>
      <c r="V5" s="386"/>
      <c r="W5" s="386"/>
      <c r="X5" s="386"/>
      <c r="Y5" s="386"/>
      <c r="Z5" s="386"/>
      <c r="AA5" s="386"/>
      <c r="AB5" s="386"/>
      <c r="AC5" s="386"/>
      <c r="AE5" s="388">
        <v>5</v>
      </c>
      <c r="AF5" s="388" t="s">
        <v>623</v>
      </c>
      <c r="AI5" s="388">
        <v>5</v>
      </c>
      <c r="AJ5" s="387" t="s">
        <v>626</v>
      </c>
    </row>
    <row r="6" spans="1:36">
      <c r="A6" s="401" t="s">
        <v>627</v>
      </c>
      <c r="B6" s="1327" t="str">
        <f>'Sch-1'!F28</f>
        <v>--2025</v>
      </c>
      <c r="C6" s="1327"/>
      <c r="D6" s="385"/>
      <c r="E6" s="385"/>
      <c r="F6" s="385"/>
      <c r="G6" s="385"/>
      <c r="H6" s="385"/>
      <c r="I6" s="386"/>
      <c r="J6" s="386"/>
      <c r="K6" s="386"/>
      <c r="L6" s="386"/>
      <c r="M6" s="386"/>
      <c r="N6" s="386"/>
      <c r="O6" s="386"/>
      <c r="P6" s="386"/>
      <c r="Q6" s="386"/>
      <c r="R6" s="386"/>
      <c r="S6" s="386"/>
      <c r="T6" s="386"/>
      <c r="U6" s="386"/>
      <c r="V6" s="386"/>
      <c r="W6" s="386"/>
      <c r="X6" s="386"/>
      <c r="Y6" s="386"/>
      <c r="Z6" s="386"/>
      <c r="AA6" s="386"/>
      <c r="AB6" s="386"/>
      <c r="AC6" s="386"/>
      <c r="AE6" s="388">
        <v>6</v>
      </c>
      <c r="AF6" s="388" t="s">
        <v>623</v>
      </c>
      <c r="AG6" s="393" t="e">
        <f>DAY(B6)</f>
        <v>#VALUE!</v>
      </c>
      <c r="AI6" s="388">
        <v>6</v>
      </c>
      <c r="AJ6" s="387" t="s">
        <v>628</v>
      </c>
    </row>
    <row r="7" spans="1:36">
      <c r="A7" s="401"/>
      <c r="B7" s="868"/>
      <c r="C7" s="868"/>
      <c r="D7" s="385"/>
      <c r="E7" s="385"/>
      <c r="F7" s="385"/>
      <c r="G7" s="385"/>
      <c r="H7" s="385"/>
      <c r="I7" s="386"/>
      <c r="J7" s="386"/>
      <c r="K7" s="386"/>
      <c r="L7" s="386"/>
      <c r="M7" s="386"/>
      <c r="N7" s="386"/>
      <c r="O7" s="386"/>
      <c r="P7" s="386"/>
      <c r="Q7" s="386"/>
      <c r="R7" s="386"/>
      <c r="S7" s="386"/>
      <c r="T7" s="386"/>
      <c r="U7" s="386"/>
      <c r="V7" s="386"/>
      <c r="W7" s="386"/>
      <c r="X7" s="386"/>
      <c r="Y7" s="386"/>
      <c r="Z7" s="386"/>
      <c r="AA7" s="386"/>
      <c r="AB7" s="386"/>
      <c r="AC7" s="386"/>
      <c r="AE7" s="388">
        <v>7</v>
      </c>
      <c r="AF7" s="388" t="s">
        <v>623</v>
      </c>
      <c r="AG7" s="393" t="e">
        <f>MONTH(B6)</f>
        <v>#VALUE!</v>
      </c>
      <c r="AI7" s="388">
        <v>7</v>
      </c>
      <c r="AJ7" s="387" t="s">
        <v>629</v>
      </c>
    </row>
    <row r="8" spans="1:36">
      <c r="A8" s="869" t="s">
        <v>79</v>
      </c>
      <c r="B8" s="394"/>
      <c r="C8" s="385"/>
      <c r="D8" s="385"/>
      <c r="E8" s="385"/>
      <c r="F8" s="395"/>
      <c r="G8" s="385"/>
      <c r="H8" s="385"/>
      <c r="I8" s="386"/>
      <c r="J8" s="386"/>
      <c r="K8" s="386"/>
      <c r="L8" s="386"/>
      <c r="M8" s="386"/>
      <c r="N8" s="386"/>
      <c r="O8" s="386"/>
      <c r="P8" s="386"/>
      <c r="Q8" s="386"/>
      <c r="R8" s="386"/>
      <c r="S8" s="386"/>
      <c r="T8" s="386"/>
      <c r="U8" s="386"/>
      <c r="V8" s="386"/>
      <c r="W8" s="386"/>
      <c r="X8" s="386"/>
      <c r="Y8" s="386"/>
      <c r="Z8" s="386"/>
      <c r="AA8" s="386"/>
      <c r="AB8" s="386"/>
      <c r="AC8" s="386"/>
      <c r="AE8" s="388">
        <v>8</v>
      </c>
      <c r="AF8" s="388" t="s">
        <v>623</v>
      </c>
      <c r="AG8" s="393" t="e">
        <f>LOOKUP(AG7,AI1:AI12,AJ1:AJ12)</f>
        <v>#VALUE!</v>
      </c>
      <c r="AI8" s="388">
        <v>8</v>
      </c>
      <c r="AJ8" s="387" t="s">
        <v>630</v>
      </c>
    </row>
    <row r="9" spans="1:36">
      <c r="A9" s="1093" t="s">
        <v>1285</v>
      </c>
      <c r="B9" s="870"/>
      <c r="C9" s="385"/>
      <c r="D9" s="385"/>
      <c r="E9" s="385"/>
      <c r="F9" s="395"/>
      <c r="G9" s="385"/>
      <c r="H9" s="385"/>
      <c r="I9" s="386"/>
      <c r="J9" s="386"/>
      <c r="K9" s="386"/>
      <c r="L9" s="386"/>
      <c r="M9" s="386"/>
      <c r="N9" s="386"/>
      <c r="O9" s="386"/>
      <c r="P9" s="386"/>
      <c r="Q9" s="386"/>
      <c r="R9" s="386"/>
      <c r="S9" s="386"/>
      <c r="T9" s="386"/>
      <c r="U9" s="386"/>
      <c r="V9" s="386"/>
      <c r="W9" s="386"/>
      <c r="X9" s="386"/>
      <c r="Y9" s="386"/>
      <c r="Z9" s="386"/>
      <c r="AA9" s="386"/>
      <c r="AB9" s="386"/>
      <c r="AC9" s="386"/>
      <c r="AE9" s="388">
        <v>9</v>
      </c>
      <c r="AF9" s="388" t="s">
        <v>623</v>
      </c>
      <c r="AG9" s="393" t="e">
        <f>YEAR(B6)</f>
        <v>#VALUE!</v>
      </c>
      <c r="AI9" s="388">
        <v>9</v>
      </c>
      <c r="AJ9" s="387" t="s">
        <v>631</v>
      </c>
    </row>
    <row r="10" spans="1:36">
      <c r="A10" s="62" t="s">
        <v>1261</v>
      </c>
      <c r="B10" s="870"/>
      <c r="C10" s="385"/>
      <c r="D10" s="385"/>
      <c r="E10" s="385"/>
      <c r="F10" s="395"/>
      <c r="G10" s="385"/>
      <c r="H10" s="385"/>
      <c r="I10" s="386"/>
      <c r="J10" s="386"/>
      <c r="K10" s="386"/>
      <c r="L10" s="386"/>
      <c r="M10" s="386"/>
      <c r="N10" s="386"/>
      <c r="O10" s="386"/>
      <c r="P10" s="386"/>
      <c r="Q10" s="386"/>
      <c r="R10" s="386"/>
      <c r="S10" s="386"/>
      <c r="T10" s="386"/>
      <c r="U10" s="386"/>
      <c r="V10" s="386"/>
      <c r="W10" s="386"/>
      <c r="X10" s="386"/>
      <c r="Y10" s="386"/>
      <c r="Z10" s="386"/>
      <c r="AA10" s="386"/>
      <c r="AB10" s="386"/>
      <c r="AC10" s="386"/>
      <c r="AE10" s="388">
        <v>10</v>
      </c>
      <c r="AF10" s="388" t="s">
        <v>623</v>
      </c>
      <c r="AI10" s="388">
        <v>10</v>
      </c>
      <c r="AJ10" s="387" t="s">
        <v>632</v>
      </c>
    </row>
    <row r="11" spans="1:36">
      <c r="A11" s="62" t="s">
        <v>187</v>
      </c>
      <c r="B11" s="870"/>
      <c r="C11" s="385"/>
      <c r="D11" s="385"/>
      <c r="E11" s="385"/>
      <c r="F11" s="395"/>
      <c r="G11" s="385"/>
      <c r="H11" s="385"/>
      <c r="I11" s="386"/>
      <c r="J11" s="386"/>
      <c r="K11" s="386"/>
      <c r="L11" s="386"/>
      <c r="M11" s="386"/>
      <c r="N11" s="386"/>
      <c r="O11" s="386"/>
      <c r="P11" s="386"/>
      <c r="Q11" s="386"/>
      <c r="R11" s="386"/>
      <c r="S11" s="386"/>
      <c r="T11" s="386"/>
      <c r="U11" s="386"/>
      <c r="V11" s="386"/>
      <c r="W11" s="386"/>
      <c r="X11" s="386"/>
      <c r="Y11" s="386"/>
      <c r="Z11" s="386"/>
      <c r="AA11" s="386"/>
      <c r="AB11" s="386"/>
      <c r="AC11" s="386"/>
      <c r="AE11" s="388">
        <v>11</v>
      </c>
      <c r="AF11" s="388" t="s">
        <v>623</v>
      </c>
      <c r="AI11" s="388">
        <v>11</v>
      </c>
      <c r="AJ11" s="387" t="s">
        <v>633</v>
      </c>
    </row>
    <row r="12" spans="1:36">
      <c r="A12" s="62" t="s">
        <v>1262</v>
      </c>
      <c r="B12" s="870"/>
      <c r="C12" s="385"/>
      <c r="D12" s="385"/>
      <c r="E12" s="385"/>
      <c r="F12" s="395"/>
      <c r="G12" s="385"/>
      <c r="H12" s="385"/>
      <c r="I12" s="386"/>
      <c r="J12" s="386"/>
      <c r="K12" s="386"/>
      <c r="L12" s="386"/>
      <c r="M12" s="386"/>
      <c r="N12" s="386"/>
      <c r="O12" s="386"/>
      <c r="P12" s="386"/>
      <c r="Q12" s="386"/>
      <c r="R12" s="386"/>
      <c r="S12" s="386"/>
      <c r="T12" s="386"/>
      <c r="U12" s="386"/>
      <c r="V12" s="386"/>
      <c r="W12" s="386"/>
      <c r="X12" s="386"/>
      <c r="Y12" s="386"/>
      <c r="Z12" s="386"/>
      <c r="AA12" s="386"/>
      <c r="AB12" s="386"/>
      <c r="AC12" s="386"/>
      <c r="AE12" s="388">
        <v>12</v>
      </c>
      <c r="AF12" s="388" t="s">
        <v>623</v>
      </c>
      <c r="AI12" s="388">
        <v>12</v>
      </c>
      <c r="AJ12" s="387" t="s">
        <v>634</v>
      </c>
    </row>
    <row r="13" spans="1:36">
      <c r="A13" s="62" t="s">
        <v>1263</v>
      </c>
      <c r="B13" s="870"/>
      <c r="C13" s="385"/>
      <c r="D13" s="385"/>
      <c r="E13" s="385"/>
      <c r="F13" s="395"/>
      <c r="G13" s="385"/>
      <c r="H13" s="385"/>
      <c r="I13" s="386"/>
      <c r="J13" s="386"/>
      <c r="K13" s="386"/>
      <c r="L13" s="386"/>
      <c r="M13" s="386"/>
      <c r="N13" s="386"/>
      <c r="O13" s="386"/>
      <c r="P13" s="386"/>
      <c r="Q13" s="386"/>
      <c r="R13" s="386"/>
      <c r="S13" s="386"/>
      <c r="T13" s="386"/>
      <c r="U13" s="386"/>
      <c r="V13" s="386"/>
      <c r="W13" s="386"/>
      <c r="X13" s="386"/>
      <c r="Y13" s="386"/>
      <c r="Z13" s="386"/>
      <c r="AA13" s="386"/>
      <c r="AB13" s="386"/>
      <c r="AC13" s="386"/>
      <c r="AE13" s="388">
        <v>13</v>
      </c>
      <c r="AF13" s="388" t="s">
        <v>623</v>
      </c>
    </row>
    <row r="14" spans="1:36" ht="22.5" customHeight="1">
      <c r="A14" s="62" t="s">
        <v>1264</v>
      </c>
      <c r="B14" s="401"/>
      <c r="C14" s="385"/>
      <c r="D14" s="385"/>
      <c r="E14" s="385"/>
      <c r="F14" s="395"/>
      <c r="G14" s="385"/>
      <c r="H14" s="385"/>
      <c r="I14" s="386"/>
      <c r="J14" s="386"/>
      <c r="K14" s="386"/>
      <c r="L14" s="386"/>
      <c r="M14" s="386"/>
      <c r="N14" s="386"/>
      <c r="O14" s="386"/>
      <c r="P14" s="386"/>
      <c r="Q14" s="386"/>
      <c r="R14" s="386"/>
      <c r="S14" s="386"/>
      <c r="T14" s="386"/>
      <c r="U14" s="386"/>
      <c r="V14" s="386"/>
      <c r="W14" s="386"/>
      <c r="X14" s="386"/>
      <c r="Y14" s="386"/>
      <c r="Z14" s="386"/>
      <c r="AA14" s="386"/>
      <c r="AB14" s="386"/>
      <c r="AC14" s="386"/>
      <c r="AE14" s="388">
        <v>14</v>
      </c>
      <c r="AF14" s="388" t="s">
        <v>623</v>
      </c>
    </row>
    <row r="15" spans="1:36" ht="11.25" customHeight="1">
      <c r="A15" s="62"/>
      <c r="B15" s="401"/>
      <c r="C15" s="385"/>
      <c r="D15" s="385"/>
      <c r="E15" s="385"/>
      <c r="F15" s="395"/>
      <c r="G15" s="385"/>
      <c r="H15" s="385"/>
      <c r="I15" s="386"/>
      <c r="J15" s="386"/>
      <c r="K15" s="386"/>
      <c r="L15" s="386"/>
      <c r="M15" s="386"/>
      <c r="N15" s="386"/>
      <c r="O15" s="386"/>
      <c r="P15" s="386"/>
      <c r="Q15" s="386"/>
      <c r="R15" s="386"/>
      <c r="S15" s="386"/>
      <c r="T15" s="386"/>
      <c r="U15" s="386"/>
      <c r="V15" s="386"/>
      <c r="W15" s="386"/>
      <c r="X15" s="386"/>
      <c r="Y15" s="386"/>
      <c r="Z15" s="386"/>
      <c r="AA15" s="386"/>
      <c r="AB15" s="386"/>
      <c r="AC15" s="386"/>
    </row>
    <row r="16" spans="1:36" ht="55.5" customHeight="1">
      <c r="A16" s="871" t="s">
        <v>635</v>
      </c>
      <c r="B16" s="872"/>
      <c r="C16" s="1328" t="str">
        <f>Cover!B2</f>
        <v>Extension of residential quarters 2 nos C type &amp; 2 nos B2 type quarters over the existing C type &amp; B2 type at 400/220 KV Shahjahanpur &amp; 765/400 KV Sohawal Substation</v>
      </c>
      <c r="D16" s="1328"/>
      <c r="E16" s="1328"/>
      <c r="F16" s="1328"/>
      <c r="G16" s="385"/>
      <c r="H16" s="385"/>
      <c r="I16" s="386"/>
      <c r="J16" s="386"/>
      <c r="K16" s="386"/>
      <c r="L16" s="386"/>
      <c r="M16" s="386"/>
      <c r="N16" s="386"/>
      <c r="O16" s="386"/>
      <c r="P16" s="386"/>
      <c r="Q16" s="386"/>
      <c r="R16" s="386"/>
      <c r="S16" s="386"/>
      <c r="T16" s="386"/>
      <c r="U16" s="386"/>
      <c r="V16" s="386"/>
      <c r="W16" s="386"/>
      <c r="X16" s="386"/>
      <c r="Y16" s="386"/>
      <c r="Z16" s="386"/>
      <c r="AA16" s="386"/>
      <c r="AB16" s="386"/>
      <c r="AC16" s="386"/>
      <c r="AE16" s="388">
        <v>15</v>
      </c>
      <c r="AF16" s="388" t="s">
        <v>623</v>
      </c>
    </row>
    <row r="17" spans="1:41" ht="27.75" customHeight="1">
      <c r="A17" s="385" t="s">
        <v>636</v>
      </c>
      <c r="B17" s="385"/>
      <c r="C17" s="395"/>
      <c r="D17" s="395"/>
      <c r="E17" s="395"/>
      <c r="F17" s="395"/>
      <c r="G17" s="385"/>
      <c r="H17" s="385"/>
      <c r="I17" s="386"/>
      <c r="J17" s="386"/>
      <c r="K17" s="386"/>
      <c r="L17" s="386"/>
      <c r="M17" s="386"/>
      <c r="N17" s="386"/>
      <c r="O17" s="386"/>
      <c r="P17" s="386"/>
      <c r="Q17" s="386"/>
      <c r="R17" s="386"/>
      <c r="S17" s="386"/>
      <c r="T17" s="386"/>
      <c r="U17" s="386"/>
      <c r="V17" s="386"/>
      <c r="W17" s="386"/>
      <c r="X17" s="386"/>
      <c r="Y17" s="386"/>
      <c r="Z17" s="386"/>
      <c r="AA17" s="386"/>
      <c r="AB17" s="386"/>
      <c r="AC17" s="386"/>
      <c r="AE17" s="388">
        <v>16</v>
      </c>
      <c r="AF17" s="388" t="s">
        <v>623</v>
      </c>
    </row>
    <row r="18" spans="1:41" ht="100.5" customHeight="1">
      <c r="A18" s="872">
        <v>1</v>
      </c>
      <c r="B18" s="1311" t="str">
        <f>Z18 &amp;AB18 &amp; AC18 &amp; AA18</f>
        <v>In continuation of Techno commercial part of our Bid, we hereby submit the price schedules of the Bid, both of which shall be read together and in conjunction with each other, and shall be construed as an integral part of our Bid. Accordingly, we the undersigned, offer to design, manufacture, test, deliver,  under the above-named package in full conformity with the said Bidding Documents  as may be determined in accordance with the terms and conditions of the Bidding Documents.</v>
      </c>
      <c r="C18" s="1311"/>
      <c r="D18" s="1311"/>
      <c r="E18" s="1311"/>
      <c r="F18" s="1311"/>
      <c r="G18" s="385"/>
      <c r="H18" s="385"/>
      <c r="I18" s="386"/>
      <c r="J18" s="386"/>
      <c r="K18" s="386"/>
      <c r="L18" s="386"/>
      <c r="M18" s="386"/>
      <c r="N18" s="386"/>
      <c r="O18" s="386"/>
      <c r="P18" s="386"/>
      <c r="Q18" s="386"/>
      <c r="R18" s="386"/>
      <c r="S18" s="386"/>
      <c r="T18" s="386"/>
      <c r="U18" s="386"/>
      <c r="V18" s="386"/>
      <c r="W18" s="386"/>
      <c r="X18" s="386"/>
      <c r="Y18" s="386"/>
      <c r="Z18" s="746" t="s">
        <v>637</v>
      </c>
      <c r="AA18" s="677" t="s">
        <v>638</v>
      </c>
      <c r="AB18" s="396"/>
      <c r="AC18" s="397"/>
      <c r="AE18" s="388">
        <v>17</v>
      </c>
      <c r="AF18" s="388" t="s">
        <v>623</v>
      </c>
    </row>
    <row r="19" spans="1:41" ht="39" customHeight="1">
      <c r="A19" s="385"/>
      <c r="B19" s="1329" t="s">
        <v>639</v>
      </c>
      <c r="C19" s="1329"/>
      <c r="D19" s="1329"/>
      <c r="E19" s="1329"/>
      <c r="F19" s="1329"/>
      <c r="G19" s="385"/>
      <c r="H19" s="385"/>
      <c r="I19" s="386"/>
      <c r="J19" s="386"/>
      <c r="K19" s="386"/>
      <c r="L19" s="386"/>
      <c r="M19" s="386"/>
      <c r="N19" s="386"/>
      <c r="O19" s="386"/>
      <c r="P19" s="386"/>
      <c r="Q19" s="386"/>
      <c r="R19" s="386"/>
      <c r="S19" s="386"/>
      <c r="T19" s="386"/>
      <c r="U19" s="386"/>
      <c r="V19" s="386"/>
      <c r="W19" s="386"/>
      <c r="X19" s="386"/>
      <c r="Y19" s="386"/>
      <c r="Z19" s="386"/>
      <c r="AA19" s="386"/>
      <c r="AB19" s="386"/>
      <c r="AC19" s="386"/>
      <c r="AE19" s="388">
        <v>18</v>
      </c>
      <c r="AF19" s="388" t="s">
        <v>623</v>
      </c>
    </row>
    <row r="20" spans="1:41" s="390" customFormat="1" ht="27.75" customHeight="1">
      <c r="A20" s="873">
        <v>2</v>
      </c>
      <c r="B20" s="1324" t="s">
        <v>640</v>
      </c>
      <c r="C20" s="1324"/>
      <c r="D20" s="1324"/>
      <c r="E20" s="1324"/>
      <c r="F20" s="1324"/>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98"/>
      <c r="AE20" s="388">
        <v>19</v>
      </c>
      <c r="AF20" s="388" t="s">
        <v>623</v>
      </c>
      <c r="AG20" s="398"/>
      <c r="AH20" s="398"/>
      <c r="AI20" s="398"/>
      <c r="AJ20" s="398"/>
      <c r="AK20" s="398"/>
      <c r="AL20" s="398"/>
      <c r="AM20" s="398"/>
      <c r="AN20" s="398"/>
      <c r="AO20" s="398"/>
    </row>
    <row r="21" spans="1:41" ht="39.75" customHeight="1">
      <c r="A21" s="872">
        <v>2.1</v>
      </c>
      <c r="B21" s="1311" t="s">
        <v>641</v>
      </c>
      <c r="C21" s="1311"/>
      <c r="D21" s="1311"/>
      <c r="E21" s="1311"/>
      <c r="F21" s="1311"/>
      <c r="G21" s="385"/>
      <c r="H21" s="385"/>
      <c r="I21" s="386"/>
      <c r="J21" s="386"/>
      <c r="K21" s="386"/>
      <c r="L21" s="386"/>
      <c r="M21" s="386"/>
      <c r="N21" s="386"/>
      <c r="O21" s="386"/>
      <c r="P21" s="386"/>
      <c r="Q21" s="386"/>
      <c r="R21" s="386"/>
      <c r="S21" s="386"/>
      <c r="T21" s="386"/>
      <c r="U21" s="386"/>
      <c r="V21" s="386"/>
      <c r="W21" s="386"/>
      <c r="X21" s="386"/>
      <c r="Y21" s="386"/>
      <c r="Z21" s="386"/>
      <c r="AA21" s="386"/>
      <c r="AB21" s="386"/>
      <c r="AC21" s="386"/>
      <c r="AE21" s="388">
        <v>20</v>
      </c>
      <c r="AF21" s="388" t="s">
        <v>623</v>
      </c>
    </row>
    <row r="22" spans="1:41" ht="36.75" customHeight="1">
      <c r="A22" s="385"/>
      <c r="B22" s="1308" t="s">
        <v>642</v>
      </c>
      <c r="C22" s="1308"/>
      <c r="D22" s="1310" t="s">
        <v>643</v>
      </c>
      <c r="E22" s="1311"/>
      <c r="F22" s="1311"/>
      <c r="G22" s="385"/>
      <c r="H22" s="385"/>
      <c r="I22" s="386"/>
      <c r="J22" s="386"/>
      <c r="K22" s="386"/>
      <c r="L22" s="386"/>
      <c r="M22" s="386"/>
      <c r="N22" s="386"/>
      <c r="O22" s="386"/>
      <c r="P22" s="386"/>
      <c r="Q22" s="386"/>
      <c r="R22" s="386"/>
      <c r="S22" s="386"/>
      <c r="T22" s="386"/>
      <c r="U22" s="386"/>
      <c r="V22" s="386"/>
      <c r="W22" s="386"/>
      <c r="X22" s="386"/>
      <c r="Y22" s="386"/>
      <c r="Z22" s="386"/>
      <c r="AA22" s="386"/>
      <c r="AB22" s="386"/>
      <c r="AC22" s="386"/>
      <c r="AE22" s="388">
        <v>21</v>
      </c>
      <c r="AF22" s="388" t="s">
        <v>616</v>
      </c>
    </row>
    <row r="23" spans="1:41" ht="33" hidden="1" customHeight="1">
      <c r="A23" s="385"/>
      <c r="B23" s="1308" t="s">
        <v>644</v>
      </c>
      <c r="C23" s="1308"/>
      <c r="D23" s="678" t="s">
        <v>645</v>
      </c>
      <c r="E23" s="871"/>
      <c r="F23" s="871"/>
      <c r="G23" s="385"/>
      <c r="H23" s="385"/>
      <c r="I23" s="386"/>
      <c r="J23" s="386"/>
      <c r="K23" s="386"/>
      <c r="L23" s="386"/>
      <c r="M23" s="386"/>
      <c r="N23" s="386"/>
      <c r="O23" s="386"/>
      <c r="P23" s="386"/>
      <c r="Q23" s="386"/>
      <c r="R23" s="386"/>
      <c r="S23" s="386"/>
      <c r="T23" s="386"/>
      <c r="U23" s="386"/>
      <c r="V23" s="386"/>
      <c r="W23" s="386"/>
      <c r="X23" s="386"/>
      <c r="Y23" s="386"/>
      <c r="Z23" s="386"/>
      <c r="AA23" s="386"/>
      <c r="AB23" s="386"/>
      <c r="AC23" s="386"/>
      <c r="AE23" s="388">
        <v>22</v>
      </c>
      <c r="AF23" s="388" t="s">
        <v>623</v>
      </c>
    </row>
    <row r="24" spans="1:41" ht="27.95" hidden="1" customHeight="1">
      <c r="A24" s="385"/>
      <c r="B24" s="1309" t="s">
        <v>646</v>
      </c>
      <c r="C24" s="1308"/>
      <c r="D24" s="871" t="s">
        <v>647</v>
      </c>
      <c r="E24" s="871"/>
      <c r="F24" s="871"/>
      <c r="G24" s="385"/>
      <c r="H24" s="385"/>
      <c r="I24" s="386"/>
      <c r="J24" s="386"/>
      <c r="K24" s="386"/>
      <c r="L24" s="386"/>
      <c r="M24" s="386"/>
      <c r="N24" s="386"/>
      <c r="O24" s="386"/>
      <c r="P24" s="386"/>
      <c r="Q24" s="386"/>
      <c r="R24" s="386"/>
      <c r="S24" s="386"/>
      <c r="T24" s="386"/>
      <c r="U24" s="386"/>
      <c r="V24" s="386"/>
      <c r="W24" s="386"/>
      <c r="X24" s="386"/>
      <c r="Y24" s="386"/>
      <c r="Z24" s="386"/>
      <c r="AA24" s="386"/>
      <c r="AB24" s="386"/>
      <c r="AC24" s="386"/>
      <c r="AE24" s="388">
        <v>24</v>
      </c>
      <c r="AF24" s="388" t="s">
        <v>623</v>
      </c>
    </row>
    <row r="25" spans="1:41" ht="27.95" customHeight="1">
      <c r="A25" s="385"/>
      <c r="B25" s="1309" t="s">
        <v>644</v>
      </c>
      <c r="C25" s="1308"/>
      <c r="D25" s="678" t="s">
        <v>648</v>
      </c>
      <c r="E25" s="871"/>
      <c r="F25" s="871"/>
      <c r="G25" s="385"/>
      <c r="H25" s="385"/>
      <c r="I25" s="386"/>
      <c r="J25" s="386"/>
      <c r="K25" s="386"/>
      <c r="L25" s="386"/>
      <c r="M25" s="386"/>
      <c r="N25" s="386"/>
      <c r="O25" s="386"/>
      <c r="P25" s="386"/>
      <c r="Q25" s="386"/>
      <c r="R25" s="386"/>
      <c r="S25" s="386"/>
      <c r="T25" s="386"/>
      <c r="U25" s="386"/>
      <c r="V25" s="386"/>
      <c r="W25" s="386"/>
      <c r="X25" s="386"/>
      <c r="Y25" s="386"/>
      <c r="Z25" s="386"/>
      <c r="AA25" s="386"/>
      <c r="AB25" s="386"/>
      <c r="AC25" s="386"/>
      <c r="AE25" s="388">
        <v>25</v>
      </c>
      <c r="AF25" s="388" t="s">
        <v>623</v>
      </c>
    </row>
    <row r="26" spans="1:41" ht="27.95" customHeight="1">
      <c r="A26" s="385"/>
      <c r="B26" s="1309" t="s">
        <v>649</v>
      </c>
      <c r="C26" s="1308"/>
      <c r="D26" s="678" t="s">
        <v>650</v>
      </c>
      <c r="E26" s="871"/>
      <c r="F26" s="871"/>
      <c r="G26" s="385"/>
      <c r="H26" s="385"/>
      <c r="I26" s="386"/>
      <c r="J26" s="386"/>
      <c r="K26" s="386"/>
      <c r="L26" s="386"/>
      <c r="M26" s="386"/>
      <c r="N26" s="386"/>
      <c r="O26" s="386"/>
      <c r="P26" s="386"/>
      <c r="Q26" s="386"/>
      <c r="R26" s="386"/>
      <c r="S26" s="386"/>
      <c r="T26" s="386"/>
      <c r="U26" s="386"/>
      <c r="V26" s="386"/>
      <c r="W26" s="386"/>
      <c r="X26" s="386"/>
      <c r="Y26" s="386"/>
      <c r="Z26" s="386"/>
      <c r="AA26" s="386"/>
      <c r="AB26" s="386"/>
      <c r="AC26" s="386"/>
      <c r="AE26" s="388">
        <v>26</v>
      </c>
      <c r="AF26" s="388" t="s">
        <v>623</v>
      </c>
    </row>
    <row r="27" spans="1:41" ht="27.95" hidden="1" customHeight="1">
      <c r="A27" s="385"/>
      <c r="B27" s="1308" t="s">
        <v>570</v>
      </c>
      <c r="C27" s="1308"/>
      <c r="D27" s="871" t="s">
        <v>651</v>
      </c>
      <c r="E27" s="871"/>
      <c r="F27" s="871"/>
      <c r="G27" s="385"/>
      <c r="H27" s="385"/>
      <c r="I27" s="386"/>
      <c r="J27" s="386"/>
      <c r="K27" s="386"/>
      <c r="L27" s="386"/>
      <c r="M27" s="386"/>
      <c r="N27" s="386"/>
      <c r="O27" s="386"/>
      <c r="P27" s="386"/>
      <c r="Q27" s="386"/>
      <c r="R27" s="386"/>
      <c r="S27" s="386"/>
      <c r="T27" s="386"/>
      <c r="U27" s="386"/>
      <c r="V27" s="386"/>
      <c r="W27" s="386"/>
      <c r="X27" s="386"/>
      <c r="Y27" s="386"/>
      <c r="Z27" s="386"/>
      <c r="AA27" s="386"/>
      <c r="AB27" s="386"/>
      <c r="AC27" s="386"/>
      <c r="AE27" s="388">
        <v>27</v>
      </c>
      <c r="AF27" s="388" t="s">
        <v>623</v>
      </c>
    </row>
    <row r="28" spans="1:41" ht="87" customHeight="1">
      <c r="A28" s="874">
        <v>2.2000000000000002</v>
      </c>
      <c r="B28" s="1311" t="s">
        <v>652</v>
      </c>
      <c r="C28" s="1311"/>
      <c r="D28" s="1311"/>
      <c r="E28" s="1311"/>
      <c r="F28" s="1311"/>
      <c r="G28" s="385"/>
      <c r="H28" s="385"/>
      <c r="I28" s="386"/>
      <c r="J28" s="386"/>
      <c r="K28" s="386"/>
      <c r="L28" s="386"/>
      <c r="M28" s="386"/>
      <c r="N28" s="386"/>
      <c r="O28" s="386"/>
      <c r="P28" s="386"/>
      <c r="Q28" s="386"/>
      <c r="R28" s="386"/>
      <c r="S28" s="386"/>
      <c r="T28" s="386"/>
      <c r="U28" s="386"/>
      <c r="V28" s="386"/>
      <c r="W28" s="386"/>
      <c r="X28" s="386"/>
      <c r="Y28" s="386"/>
      <c r="Z28" s="386"/>
      <c r="AA28" s="386"/>
      <c r="AB28" s="386"/>
      <c r="AC28" s="386"/>
      <c r="AE28" s="388">
        <v>28</v>
      </c>
      <c r="AF28" s="388" t="s">
        <v>623</v>
      </c>
    </row>
    <row r="29" spans="1:41" ht="52.5" customHeight="1">
      <c r="A29" s="874">
        <v>2.2999999999999998</v>
      </c>
      <c r="B29" s="1310" t="s">
        <v>1272</v>
      </c>
      <c r="C29" s="1311"/>
      <c r="D29" s="1311"/>
      <c r="E29" s="1311"/>
      <c r="F29" s="1311"/>
      <c r="G29" s="385"/>
      <c r="H29" s="385"/>
      <c r="I29" s="386"/>
      <c r="J29" s="386"/>
      <c r="K29" s="386"/>
      <c r="L29" s="386"/>
      <c r="M29" s="386"/>
      <c r="N29" s="386"/>
      <c r="O29" s="386"/>
      <c r="P29" s="386"/>
      <c r="Q29" s="386"/>
      <c r="R29" s="386"/>
      <c r="S29" s="386"/>
      <c r="T29" s="386"/>
      <c r="U29" s="386"/>
      <c r="V29" s="386"/>
      <c r="W29" s="386"/>
      <c r="X29" s="386"/>
      <c r="Y29" s="386"/>
      <c r="Z29" s="386"/>
      <c r="AA29" s="386"/>
      <c r="AB29" s="386"/>
      <c r="AC29" s="386"/>
      <c r="AE29" s="388">
        <v>29</v>
      </c>
      <c r="AF29" s="388" t="s">
        <v>623</v>
      </c>
    </row>
    <row r="30" spans="1:41" ht="146.25" customHeight="1">
      <c r="A30" s="874">
        <v>2.4</v>
      </c>
      <c r="B30" s="1311" t="s">
        <v>653</v>
      </c>
      <c r="C30" s="1311"/>
      <c r="D30" s="1311"/>
      <c r="E30" s="1311"/>
      <c r="F30" s="1311"/>
      <c r="G30" s="385"/>
      <c r="H30" s="385"/>
      <c r="I30" s="386"/>
      <c r="J30" s="386"/>
      <c r="K30" s="386"/>
      <c r="L30" s="386"/>
      <c r="M30" s="386"/>
      <c r="N30" s="386"/>
      <c r="O30" s="386"/>
      <c r="P30" s="386"/>
      <c r="Q30" s="386"/>
      <c r="R30" s="386"/>
      <c r="S30" s="386"/>
      <c r="T30" s="386"/>
      <c r="U30" s="386"/>
      <c r="V30" s="386"/>
      <c r="W30" s="386"/>
      <c r="X30" s="386"/>
      <c r="Y30" s="386"/>
      <c r="Z30" s="386"/>
      <c r="AA30" s="386"/>
      <c r="AB30" s="386"/>
      <c r="AC30" s="386"/>
      <c r="AE30" s="388">
        <v>30</v>
      </c>
      <c r="AF30" s="388" t="s">
        <v>623</v>
      </c>
    </row>
    <row r="31" spans="1:41" ht="72.75" customHeight="1">
      <c r="A31" s="874">
        <v>2.5</v>
      </c>
      <c r="B31" s="1311" t="s">
        <v>654</v>
      </c>
      <c r="C31" s="1311"/>
      <c r="D31" s="1311"/>
      <c r="E31" s="1311"/>
      <c r="F31" s="1311"/>
      <c r="G31" s="385"/>
      <c r="H31" s="385"/>
      <c r="I31" s="386"/>
      <c r="J31" s="386"/>
      <c r="K31" s="386"/>
      <c r="L31" s="386"/>
      <c r="M31" s="386"/>
      <c r="N31" s="386"/>
      <c r="O31" s="386"/>
      <c r="P31" s="386"/>
      <c r="Q31" s="386"/>
      <c r="R31" s="386"/>
      <c r="S31" s="386"/>
      <c r="T31" s="386"/>
      <c r="U31" s="386"/>
      <c r="V31" s="386"/>
      <c r="W31" s="386"/>
      <c r="X31" s="386"/>
      <c r="Y31" s="386"/>
      <c r="Z31" s="386"/>
      <c r="AA31" s="386"/>
      <c r="AB31" s="386"/>
      <c r="AC31" s="386"/>
      <c r="AE31" s="388">
        <v>31</v>
      </c>
      <c r="AF31" s="388" t="s">
        <v>616</v>
      </c>
    </row>
    <row r="32" spans="1:41" ht="69.75" customHeight="1">
      <c r="A32" s="872">
        <v>3</v>
      </c>
      <c r="B32" s="1311" t="s">
        <v>655</v>
      </c>
      <c r="C32" s="1311"/>
      <c r="D32" s="1311"/>
      <c r="E32" s="1311"/>
      <c r="F32" s="1311"/>
      <c r="G32" s="385"/>
      <c r="H32" s="385"/>
      <c r="I32" s="386"/>
      <c r="J32" s="386"/>
      <c r="K32" s="386"/>
      <c r="L32" s="386"/>
      <c r="M32" s="386"/>
      <c r="N32" s="386"/>
      <c r="O32" s="386"/>
      <c r="P32" s="386"/>
      <c r="Q32" s="386"/>
      <c r="R32" s="386"/>
      <c r="S32" s="386"/>
      <c r="T32" s="386"/>
      <c r="U32" s="386"/>
      <c r="V32" s="386"/>
      <c r="W32" s="386"/>
      <c r="X32" s="386"/>
      <c r="Y32" s="386"/>
      <c r="Z32" s="386"/>
      <c r="AA32" s="386"/>
      <c r="AB32" s="386"/>
      <c r="AC32" s="386"/>
    </row>
    <row r="33" spans="1:29" ht="70.5" customHeight="1">
      <c r="A33" s="872">
        <v>3.1</v>
      </c>
      <c r="B33" s="1312" t="s">
        <v>656</v>
      </c>
      <c r="C33" s="1312"/>
      <c r="D33" s="1312"/>
      <c r="E33" s="1312"/>
      <c r="F33" s="1312"/>
      <c r="G33" s="385"/>
      <c r="H33" s="385"/>
      <c r="I33" s="386"/>
      <c r="J33" s="386"/>
      <c r="K33" s="386"/>
      <c r="L33" s="386"/>
      <c r="M33" s="386"/>
      <c r="N33" s="386"/>
      <c r="O33" s="386"/>
      <c r="P33" s="386"/>
      <c r="Q33" s="386"/>
      <c r="R33" s="386"/>
      <c r="S33" s="386"/>
      <c r="T33" s="386"/>
      <c r="U33" s="386"/>
      <c r="V33" s="386"/>
      <c r="W33" s="386"/>
      <c r="X33" s="386"/>
      <c r="Y33" s="386"/>
      <c r="Z33" s="386"/>
      <c r="AA33" s="386"/>
      <c r="AB33" s="386"/>
      <c r="AC33" s="386"/>
    </row>
    <row r="34" spans="1:29" ht="75" customHeight="1">
      <c r="A34" s="874">
        <v>3.2</v>
      </c>
      <c r="B34" s="1310" t="s">
        <v>657</v>
      </c>
      <c r="C34" s="1311"/>
      <c r="D34" s="1311"/>
      <c r="E34" s="1311"/>
      <c r="F34" s="1311"/>
      <c r="G34" s="385"/>
      <c r="H34" s="385"/>
      <c r="I34" s="386"/>
      <c r="J34" s="386"/>
      <c r="K34" s="386"/>
      <c r="L34" s="386"/>
      <c r="M34" s="386"/>
      <c r="N34" s="386"/>
      <c r="O34" s="386"/>
      <c r="P34" s="386"/>
      <c r="Q34" s="386"/>
      <c r="R34" s="386"/>
      <c r="S34" s="386"/>
      <c r="T34" s="386"/>
      <c r="U34" s="386"/>
      <c r="V34" s="386"/>
      <c r="W34" s="386"/>
      <c r="X34" s="386"/>
      <c r="Y34" s="386"/>
      <c r="Z34" s="386"/>
      <c r="AA34" s="386"/>
      <c r="AB34" s="386"/>
      <c r="AC34" s="386"/>
    </row>
    <row r="35" spans="1:29" ht="19.5" customHeight="1">
      <c r="A35" s="874"/>
      <c r="B35" s="1311"/>
      <c r="C35" s="1311"/>
      <c r="D35" s="1311"/>
      <c r="E35" s="1311"/>
      <c r="F35" s="1311"/>
      <c r="G35" s="385"/>
      <c r="H35" s="385"/>
      <c r="I35" s="386"/>
      <c r="J35" s="386"/>
      <c r="K35" s="386"/>
      <c r="L35" s="386"/>
      <c r="M35" s="386"/>
      <c r="N35" s="386"/>
      <c r="O35" s="386"/>
      <c r="P35" s="386"/>
      <c r="Q35" s="386"/>
      <c r="R35" s="386"/>
      <c r="S35" s="386"/>
      <c r="T35" s="386"/>
      <c r="U35" s="386"/>
      <c r="V35" s="386"/>
      <c r="W35" s="386"/>
      <c r="X35" s="386"/>
      <c r="Y35" s="386"/>
      <c r="Z35" s="386"/>
      <c r="AA35" s="386"/>
      <c r="AB35" s="386"/>
      <c r="AC35" s="386"/>
    </row>
    <row r="36" spans="1:29" ht="49.5" customHeight="1">
      <c r="A36" s="874">
        <v>3.3</v>
      </c>
      <c r="B36" s="1310" t="s">
        <v>658</v>
      </c>
      <c r="C36" s="1311"/>
      <c r="D36" s="1311"/>
      <c r="E36" s="1311"/>
      <c r="F36" s="1311"/>
      <c r="G36" s="385"/>
      <c r="H36" s="385"/>
      <c r="I36" s="386"/>
      <c r="J36" s="386"/>
      <c r="K36" s="386"/>
      <c r="L36" s="386"/>
      <c r="M36" s="386"/>
      <c r="N36" s="386"/>
      <c r="O36" s="386"/>
      <c r="P36" s="386"/>
      <c r="Q36" s="386"/>
      <c r="R36" s="386"/>
      <c r="S36" s="386"/>
      <c r="T36" s="386"/>
      <c r="U36" s="386"/>
      <c r="V36" s="386"/>
      <c r="W36" s="386"/>
      <c r="X36" s="386"/>
      <c r="Y36" s="386"/>
      <c r="Z36" s="386"/>
      <c r="AA36" s="386"/>
      <c r="AB36" s="386"/>
      <c r="AC36" s="386"/>
    </row>
    <row r="37" spans="1:29" ht="24" customHeight="1">
      <c r="A37" s="874"/>
      <c r="B37" s="1311"/>
      <c r="C37" s="1311"/>
      <c r="D37" s="1311"/>
      <c r="E37" s="1311"/>
      <c r="F37" s="1311"/>
      <c r="G37" s="385"/>
      <c r="H37" s="385"/>
      <c r="I37" s="386"/>
      <c r="J37" s="386"/>
      <c r="K37" s="386"/>
      <c r="L37" s="386"/>
      <c r="M37" s="386"/>
      <c r="N37" s="386"/>
      <c r="O37" s="386"/>
      <c r="P37" s="386"/>
      <c r="Q37" s="386"/>
      <c r="R37" s="386"/>
      <c r="S37" s="386"/>
      <c r="T37" s="386"/>
      <c r="U37" s="386"/>
      <c r="V37" s="386"/>
      <c r="W37" s="386"/>
      <c r="X37" s="386"/>
      <c r="Y37" s="386"/>
      <c r="Z37" s="386"/>
      <c r="AA37" s="386"/>
      <c r="AB37" s="386"/>
      <c r="AC37" s="386"/>
    </row>
    <row r="38" spans="1:29" ht="84" hidden="1" customHeight="1">
      <c r="A38" s="872">
        <v>4</v>
      </c>
      <c r="B38" s="1317" t="s">
        <v>659</v>
      </c>
      <c r="C38" s="1317"/>
      <c r="D38" s="1317"/>
      <c r="E38" s="1317"/>
      <c r="F38" s="1317"/>
      <c r="G38" s="385"/>
      <c r="H38" s="385"/>
      <c r="I38" s="386"/>
      <c r="J38" s="386"/>
      <c r="K38" s="386"/>
      <c r="L38" s="386"/>
      <c r="M38" s="386"/>
      <c r="N38" s="386"/>
      <c r="O38" s="386"/>
      <c r="P38" s="386"/>
      <c r="Q38" s="386"/>
      <c r="R38" s="386"/>
      <c r="S38" s="386"/>
      <c r="T38" s="386"/>
      <c r="U38" s="386"/>
      <c r="V38" s="386"/>
      <c r="W38" s="386"/>
      <c r="X38" s="386"/>
      <c r="Y38" s="386"/>
      <c r="Z38" s="386"/>
      <c r="AA38" s="386"/>
      <c r="AB38" s="386"/>
      <c r="AC38" s="386"/>
    </row>
    <row r="39" spans="1:29" ht="99.75" customHeight="1">
      <c r="A39" s="872">
        <v>5</v>
      </c>
      <c r="B39" s="1311" t="s">
        <v>660</v>
      </c>
      <c r="C39" s="1311"/>
      <c r="D39" s="1311"/>
      <c r="E39" s="1311"/>
      <c r="F39" s="1311"/>
      <c r="G39" s="385"/>
      <c r="H39" s="385"/>
      <c r="I39" s="386"/>
      <c r="J39" s="386"/>
      <c r="K39" s="386"/>
      <c r="L39" s="386"/>
      <c r="M39" s="386"/>
      <c r="N39" s="386"/>
      <c r="O39" s="386"/>
      <c r="P39" s="386"/>
      <c r="Q39" s="386"/>
      <c r="R39" s="386"/>
      <c r="S39" s="386"/>
      <c r="T39" s="386"/>
      <c r="U39" s="386"/>
      <c r="V39" s="386"/>
      <c r="W39" s="386"/>
      <c r="X39" s="386"/>
      <c r="Y39" s="386"/>
      <c r="Z39" s="386"/>
      <c r="AA39" s="386"/>
      <c r="AB39" s="386"/>
      <c r="AC39" s="386"/>
    </row>
    <row r="40" spans="1:29" ht="30" hidden="1" customHeight="1">
      <c r="A40" s="385"/>
      <c r="B40" s="1" t="str">
        <f>IF(ISERROR("Dated this " &amp; AG6 &amp; LOOKUP(AG6,AE1:AE31,AF1:AF31) &amp; " day of " &amp; AG8 &amp; " " &amp;AG9), "", "Dated this " &amp; AG6 &amp; LOOKUP(AG6,AE1:AE31,AF1:AF31) &amp; " day of " &amp; AG8 &amp; " " &amp;AG9)</f>
        <v/>
      </c>
      <c r="C40" s="1"/>
      <c r="D40" s="1"/>
      <c r="E40" s="866"/>
      <c r="F40" s="866"/>
      <c r="G40" s="385"/>
      <c r="H40" s="385"/>
      <c r="I40" s="386"/>
      <c r="J40" s="386"/>
      <c r="K40" s="386"/>
      <c r="L40" s="386"/>
      <c r="M40" s="386"/>
      <c r="N40" s="386"/>
      <c r="O40" s="386"/>
      <c r="P40" s="386"/>
      <c r="Q40" s="386"/>
      <c r="R40" s="386"/>
      <c r="S40" s="386"/>
      <c r="T40" s="386"/>
      <c r="U40" s="386"/>
      <c r="V40" s="386"/>
      <c r="W40" s="386"/>
      <c r="X40" s="386"/>
      <c r="Y40" s="386"/>
      <c r="Z40" s="386"/>
      <c r="AA40" s="386"/>
      <c r="AB40" s="386"/>
      <c r="AC40" s="386"/>
    </row>
    <row r="41" spans="1:29" ht="30" customHeight="1">
      <c r="A41" s="385"/>
      <c r="B41" s="1" t="s">
        <v>661</v>
      </c>
      <c r="C41" s="35"/>
      <c r="D41" s="13"/>
      <c r="E41" s="13"/>
      <c r="F41" s="13"/>
      <c r="G41" s="385"/>
      <c r="H41" s="385"/>
      <c r="I41" s="386"/>
      <c r="J41" s="386"/>
      <c r="K41" s="386"/>
      <c r="L41" s="386"/>
      <c r="M41" s="386"/>
      <c r="N41" s="386"/>
      <c r="O41" s="386"/>
      <c r="P41" s="386"/>
      <c r="Q41" s="386"/>
      <c r="R41" s="386"/>
      <c r="S41" s="386"/>
      <c r="T41" s="386"/>
      <c r="U41" s="386"/>
      <c r="V41" s="386"/>
      <c r="W41" s="386"/>
      <c r="X41" s="386"/>
      <c r="Y41" s="386"/>
      <c r="Z41" s="386"/>
      <c r="AA41" s="386"/>
      <c r="AB41" s="386"/>
      <c r="AC41" s="386"/>
    </row>
    <row r="42" spans="1:29" ht="30" customHeight="1">
      <c r="A42" s="385"/>
      <c r="B42" s="875"/>
      <c r="C42" s="13"/>
      <c r="D42" s="13"/>
      <c r="E42" s="1"/>
      <c r="F42" s="336" t="s">
        <v>662</v>
      </c>
      <c r="G42" s="385"/>
      <c r="H42" s="385"/>
      <c r="I42" s="386"/>
      <c r="J42" s="386"/>
      <c r="K42" s="386"/>
      <c r="L42" s="386"/>
      <c r="M42" s="386"/>
      <c r="N42" s="386"/>
      <c r="O42" s="386"/>
      <c r="P42" s="386"/>
      <c r="Q42" s="386"/>
      <c r="R42" s="386"/>
      <c r="S42" s="386"/>
      <c r="T42" s="386"/>
      <c r="U42" s="386"/>
      <c r="V42" s="386"/>
      <c r="W42" s="386"/>
      <c r="X42" s="386"/>
      <c r="Y42" s="386"/>
      <c r="Z42" s="386"/>
      <c r="AA42" s="386"/>
      <c r="AB42" s="386"/>
      <c r="AC42" s="386"/>
    </row>
    <row r="43" spans="1:29" ht="30" customHeight="1">
      <c r="A43" s="385"/>
      <c r="B43" s="875"/>
      <c r="C43" s="13"/>
      <c r="D43" s="1"/>
      <c r="E43" s="1"/>
      <c r="F43" s="336" t="str">
        <f>"For and on behalf of " &amp; 'Sch-1'!G9</f>
        <v xml:space="preserve">For and on behalf of </v>
      </c>
      <c r="G43" s="385"/>
      <c r="H43" s="385"/>
      <c r="I43" s="386"/>
      <c r="J43" s="386"/>
      <c r="K43" s="386"/>
      <c r="L43" s="386"/>
      <c r="M43" s="386"/>
      <c r="N43" s="386"/>
      <c r="O43" s="386"/>
      <c r="P43" s="386"/>
      <c r="Q43" s="386"/>
      <c r="R43" s="386"/>
      <c r="S43" s="386"/>
      <c r="T43" s="386"/>
      <c r="U43" s="386"/>
      <c r="V43" s="386"/>
      <c r="W43" s="386"/>
      <c r="X43" s="386"/>
      <c r="Y43" s="386"/>
      <c r="Z43" s="386"/>
      <c r="AA43" s="386"/>
      <c r="AB43" s="386"/>
      <c r="AC43" s="386"/>
    </row>
    <row r="44" spans="1:29" ht="30" customHeight="1">
      <c r="A44" s="386"/>
      <c r="B44" s="386"/>
      <c r="C44" s="399"/>
      <c r="D44" s="386"/>
      <c r="E44" s="400" t="s">
        <v>663</v>
      </c>
      <c r="F44" s="401"/>
      <c r="G44" s="385"/>
      <c r="H44" s="385"/>
      <c r="I44" s="386"/>
      <c r="J44" s="386"/>
      <c r="K44" s="386"/>
      <c r="L44" s="386"/>
      <c r="M44" s="386"/>
      <c r="N44" s="386"/>
      <c r="O44" s="386"/>
      <c r="P44" s="386"/>
      <c r="Q44" s="386"/>
      <c r="R44" s="386"/>
      <c r="S44" s="386"/>
      <c r="T44" s="386"/>
      <c r="U44" s="386"/>
      <c r="V44" s="386"/>
      <c r="W44" s="386"/>
      <c r="X44" s="386"/>
      <c r="Y44" s="386"/>
      <c r="Z44" s="386"/>
      <c r="AA44" s="386"/>
      <c r="AB44" s="386"/>
      <c r="AC44" s="386"/>
    </row>
    <row r="45" spans="1:29" ht="30" customHeight="1">
      <c r="A45" s="402" t="s">
        <v>664</v>
      </c>
      <c r="B45" s="1318" t="str">
        <f>'Sch-1'!F28</f>
        <v>--2025</v>
      </c>
      <c r="C45" s="1318"/>
      <c r="D45" s="386"/>
      <c r="E45" s="400" t="s">
        <v>665</v>
      </c>
      <c r="F45" s="403" t="str">
        <f>'Sch-1'!M29</f>
        <v/>
      </c>
      <c r="G45" s="385"/>
      <c r="H45" s="385"/>
      <c r="I45" s="386"/>
      <c r="J45" s="386"/>
      <c r="K45" s="386"/>
      <c r="L45" s="386"/>
      <c r="M45" s="386"/>
      <c r="N45" s="386"/>
      <c r="O45" s="386"/>
      <c r="P45" s="386"/>
      <c r="Q45" s="386"/>
      <c r="R45" s="386"/>
      <c r="S45" s="386"/>
      <c r="T45" s="386"/>
      <c r="U45" s="386"/>
      <c r="V45" s="386"/>
      <c r="W45" s="386"/>
      <c r="X45" s="386"/>
      <c r="Y45" s="386"/>
      <c r="Z45" s="386"/>
      <c r="AA45" s="386"/>
      <c r="AB45" s="386"/>
      <c r="AC45" s="386"/>
    </row>
    <row r="46" spans="1:29" ht="30" customHeight="1">
      <c r="A46" s="402" t="s">
        <v>666</v>
      </c>
      <c r="B46" s="403" t="str">
        <f>'Sch-1'!F29</f>
        <v/>
      </c>
      <c r="C46" s="404"/>
      <c r="D46" s="386"/>
      <c r="E46" s="400" t="s">
        <v>667</v>
      </c>
      <c r="F46" s="403" t="str">
        <f>'Sch-1'!M30</f>
        <v/>
      </c>
      <c r="G46" s="385"/>
      <c r="H46" s="385"/>
      <c r="I46" s="386"/>
      <c r="J46" s="386"/>
      <c r="K46" s="386"/>
      <c r="L46" s="386"/>
      <c r="M46" s="386"/>
      <c r="N46" s="386"/>
      <c r="O46" s="386"/>
      <c r="P46" s="386"/>
      <c r="Q46" s="386"/>
      <c r="R46" s="386"/>
      <c r="S46" s="386"/>
      <c r="T46" s="386"/>
      <c r="U46" s="386"/>
      <c r="V46" s="386"/>
      <c r="W46" s="386"/>
      <c r="X46" s="386"/>
      <c r="Y46" s="386"/>
      <c r="Z46" s="386"/>
      <c r="AA46" s="386"/>
      <c r="AB46" s="386"/>
      <c r="AC46" s="386"/>
    </row>
    <row r="47" spans="1:29" ht="30" customHeight="1">
      <c r="A47" s="385"/>
      <c r="B47" s="385"/>
      <c r="C47" s="385"/>
      <c r="D47" s="386"/>
      <c r="E47" s="400" t="s">
        <v>668</v>
      </c>
      <c r="F47" s="385"/>
      <c r="G47" s="385"/>
      <c r="H47" s="385"/>
      <c r="I47" s="386"/>
      <c r="J47" s="386"/>
      <c r="K47" s="386"/>
      <c r="L47" s="386"/>
      <c r="M47" s="386"/>
      <c r="N47" s="386"/>
      <c r="O47" s="386"/>
      <c r="P47" s="386"/>
      <c r="Q47" s="386"/>
      <c r="R47" s="386"/>
      <c r="S47" s="386"/>
      <c r="T47" s="386"/>
      <c r="U47" s="386"/>
      <c r="V47" s="386"/>
      <c r="W47" s="386"/>
      <c r="X47" s="386"/>
      <c r="Y47" s="386"/>
      <c r="Z47" s="386"/>
      <c r="AA47" s="386"/>
      <c r="AB47" s="386"/>
      <c r="AC47" s="386"/>
    </row>
    <row r="48" spans="1:29" ht="6" customHeight="1">
      <c r="A48" s="1315" t="str">
        <f>IF('Names of Bidder'!D6="Sole Bidder", "", "In case of bid from a Joint Venture, name &amp; designation of representative of JV partner is to be provided and Bid Form is also to be signed by him.")</f>
        <v/>
      </c>
      <c r="B48" s="1315"/>
      <c r="C48" s="1315"/>
      <c r="D48" s="1315"/>
      <c r="E48" s="1315"/>
      <c r="F48" s="1315"/>
      <c r="G48" s="385"/>
      <c r="H48" s="385"/>
      <c r="I48" s="386"/>
      <c r="J48" s="386"/>
      <c r="K48" s="386"/>
      <c r="L48" s="386"/>
      <c r="M48" s="386"/>
      <c r="N48" s="386"/>
      <c r="O48" s="386"/>
      <c r="P48" s="386"/>
      <c r="Q48" s="386"/>
      <c r="R48" s="386"/>
      <c r="S48" s="386"/>
      <c r="T48" s="386"/>
      <c r="U48" s="386"/>
      <c r="V48" s="386"/>
      <c r="W48" s="386"/>
      <c r="X48" s="386"/>
      <c r="Y48" s="386"/>
      <c r="Z48" s="386"/>
      <c r="AA48" s="386"/>
      <c r="AB48" s="386"/>
      <c r="AC48" s="386"/>
    </row>
    <row r="49" spans="1:41" ht="30" hidden="1" customHeight="1">
      <c r="A49" s="876"/>
      <c r="B49" s="876"/>
      <c r="C49" s="1" t="str">
        <f>IF(Z2="2 or More", "Other Partner-2", "")</f>
        <v/>
      </c>
      <c r="D49" s="876"/>
      <c r="E49" s="877"/>
      <c r="F49" s="877" t="str">
        <f>IF(Z2=1,"Other Partner",IF(Z2="2 or More","Other Partner-1",""))</f>
        <v/>
      </c>
      <c r="G49" s="385"/>
      <c r="H49" s="385"/>
      <c r="I49" s="386"/>
      <c r="J49" s="386"/>
      <c r="K49" s="386"/>
      <c r="L49" s="386"/>
      <c r="M49" s="386"/>
      <c r="N49" s="386"/>
      <c r="O49" s="386"/>
      <c r="P49" s="386"/>
      <c r="Q49" s="386"/>
      <c r="R49" s="386"/>
      <c r="S49" s="386"/>
      <c r="T49" s="386"/>
      <c r="U49" s="386"/>
      <c r="V49" s="386"/>
      <c r="W49" s="386"/>
      <c r="X49" s="386"/>
      <c r="Y49" s="386"/>
      <c r="Z49" s="386"/>
      <c r="AA49" s="386"/>
      <c r="AB49" s="386"/>
      <c r="AC49" s="386"/>
    </row>
    <row r="50" spans="1:41" s="390" customFormat="1" ht="30" hidden="1" customHeight="1">
      <c r="A50" s="1"/>
      <c r="B50" s="336" t="str">
        <f>IF(Z2="2 or More", "Printed Name :", "")</f>
        <v/>
      </c>
      <c r="C50" s="878"/>
      <c r="D50" s="1"/>
      <c r="E50" s="336" t="str">
        <f>IF(Z1="Sole Bidder", "", "Printed Name :")</f>
        <v/>
      </c>
      <c r="F50" s="879"/>
      <c r="G50" s="385"/>
      <c r="H50" s="401"/>
      <c r="I50" s="385"/>
      <c r="J50" s="385"/>
      <c r="K50" s="385"/>
      <c r="L50" s="385"/>
      <c r="M50" s="385"/>
      <c r="N50" s="385"/>
      <c r="O50" s="385"/>
      <c r="P50" s="385"/>
      <c r="Q50" s="385"/>
      <c r="R50" s="385"/>
      <c r="S50" s="385"/>
      <c r="T50" s="385"/>
      <c r="U50" s="385"/>
      <c r="V50" s="385"/>
      <c r="W50" s="385"/>
      <c r="X50" s="385"/>
      <c r="Y50" s="385"/>
      <c r="Z50" s="385"/>
      <c r="AA50" s="385"/>
      <c r="AB50" s="385"/>
      <c r="AC50" s="385"/>
      <c r="AD50" s="398"/>
      <c r="AE50" s="388"/>
      <c r="AF50" s="388"/>
      <c r="AG50" s="398"/>
      <c r="AH50" s="398"/>
      <c r="AI50" s="398"/>
      <c r="AJ50" s="398"/>
      <c r="AK50" s="398"/>
      <c r="AL50" s="398"/>
      <c r="AM50" s="398"/>
      <c r="AN50" s="398"/>
      <c r="AO50" s="398"/>
    </row>
    <row r="51" spans="1:41" s="390" customFormat="1" ht="30" hidden="1" customHeight="1">
      <c r="A51" s="1"/>
      <c r="B51" s="336" t="str">
        <f>IF(Z2="2 or More", "Designation :", "")</f>
        <v/>
      </c>
      <c r="C51" s="878"/>
      <c r="D51" s="1"/>
      <c r="E51" s="336" t="str">
        <f>IF(Z1="Sole Bidder", "", "Designation :")</f>
        <v/>
      </c>
      <c r="F51" s="879"/>
      <c r="G51" s="385"/>
      <c r="H51" s="401"/>
      <c r="I51" s="385"/>
      <c r="J51" s="385"/>
      <c r="K51" s="385"/>
      <c r="L51" s="385"/>
      <c r="M51" s="385"/>
      <c r="N51" s="385"/>
      <c r="O51" s="385"/>
      <c r="P51" s="385"/>
      <c r="Q51" s="385"/>
      <c r="R51" s="385"/>
      <c r="S51" s="385"/>
      <c r="T51" s="385"/>
      <c r="U51" s="385"/>
      <c r="V51" s="385"/>
      <c r="W51" s="385"/>
      <c r="X51" s="385"/>
      <c r="Y51" s="385"/>
      <c r="Z51" s="385"/>
      <c r="AA51" s="385"/>
      <c r="AB51" s="385"/>
      <c r="AC51" s="385"/>
      <c r="AD51" s="398"/>
      <c r="AE51" s="388"/>
      <c r="AF51" s="388"/>
      <c r="AG51" s="398"/>
      <c r="AH51" s="398"/>
      <c r="AI51" s="398"/>
      <c r="AJ51" s="398"/>
      <c r="AK51" s="398"/>
      <c r="AL51" s="398"/>
      <c r="AM51" s="398"/>
      <c r="AN51" s="398"/>
      <c r="AO51" s="398"/>
    </row>
    <row r="52" spans="1:41" s="390" customFormat="1" ht="30" hidden="1" customHeight="1">
      <c r="A52" s="1"/>
      <c r="B52" s="336" t="str">
        <f>IF(Z2=2, "Common Seal :", "")</f>
        <v/>
      </c>
      <c r="C52" s="101"/>
      <c r="D52" s="1"/>
      <c r="E52" s="336"/>
      <c r="F52" s="1"/>
      <c r="G52" s="385"/>
      <c r="H52" s="401"/>
      <c r="I52" s="385"/>
      <c r="J52" s="385"/>
      <c r="K52" s="385"/>
      <c r="L52" s="385"/>
      <c r="M52" s="385"/>
      <c r="N52" s="385"/>
      <c r="O52" s="385"/>
      <c r="P52" s="385"/>
      <c r="Q52" s="385"/>
      <c r="R52" s="385"/>
      <c r="S52" s="385"/>
      <c r="T52" s="385"/>
      <c r="U52" s="385"/>
      <c r="V52" s="385"/>
      <c r="W52" s="385"/>
      <c r="X52" s="385"/>
      <c r="Y52" s="385"/>
      <c r="Z52" s="385"/>
      <c r="AA52" s="385"/>
      <c r="AB52" s="385"/>
      <c r="AC52" s="385"/>
      <c r="AD52" s="398"/>
      <c r="AE52" s="388"/>
      <c r="AF52" s="388"/>
      <c r="AG52" s="398"/>
      <c r="AH52" s="398"/>
      <c r="AI52" s="398"/>
      <c r="AJ52" s="398"/>
      <c r="AK52" s="398"/>
      <c r="AL52" s="398"/>
      <c r="AM52" s="398"/>
      <c r="AN52" s="398"/>
      <c r="AO52" s="398"/>
    </row>
    <row r="53" spans="1:41" s="390" customFormat="1" ht="33" hidden="1" customHeight="1">
      <c r="A53" s="880" t="s">
        <v>669</v>
      </c>
      <c r="B53" s="338"/>
      <c r="C53" s="101"/>
      <c r="D53" s="1"/>
      <c r="E53" s="336"/>
      <c r="F53" s="1"/>
      <c r="G53" s="385"/>
      <c r="H53" s="401"/>
      <c r="I53" s="385"/>
      <c r="J53" s="385"/>
      <c r="K53" s="385"/>
      <c r="L53" s="385"/>
      <c r="M53" s="385"/>
      <c r="N53" s="385"/>
      <c r="O53" s="385"/>
      <c r="P53" s="385"/>
      <c r="Q53" s="385"/>
      <c r="R53" s="385"/>
      <c r="S53" s="385"/>
      <c r="T53" s="385"/>
      <c r="U53" s="385"/>
      <c r="V53" s="385"/>
      <c r="W53" s="385"/>
      <c r="X53" s="385"/>
      <c r="Y53" s="385"/>
      <c r="Z53" s="385"/>
      <c r="AA53" s="385"/>
      <c r="AB53" s="385"/>
      <c r="AC53" s="385"/>
      <c r="AD53" s="398"/>
      <c r="AE53" s="388"/>
      <c r="AF53" s="388"/>
      <c r="AG53" s="398"/>
      <c r="AH53" s="398"/>
      <c r="AI53" s="398"/>
      <c r="AJ53" s="398"/>
      <c r="AK53" s="398"/>
      <c r="AL53" s="398"/>
      <c r="AM53" s="398"/>
      <c r="AN53" s="398"/>
      <c r="AO53" s="398"/>
    </row>
    <row r="54" spans="1:41" s="390" customFormat="1" ht="33" customHeight="1">
      <c r="A54" s="1316" t="s">
        <v>670</v>
      </c>
      <c r="B54" s="1316"/>
      <c r="C54" s="1316"/>
      <c r="D54" s="1313"/>
      <c r="E54" s="1314"/>
      <c r="F54" s="1314"/>
      <c r="G54" s="385"/>
      <c r="H54" s="401"/>
      <c r="I54" s="385"/>
      <c r="J54" s="385"/>
      <c r="K54" s="385"/>
      <c r="L54" s="385"/>
      <c r="M54" s="385"/>
      <c r="N54" s="385"/>
      <c r="O54" s="385"/>
      <c r="P54" s="385"/>
      <c r="Q54" s="385"/>
      <c r="R54" s="385"/>
      <c r="S54" s="385"/>
      <c r="T54" s="385"/>
      <c r="U54" s="385"/>
      <c r="V54" s="385"/>
      <c r="W54" s="385"/>
      <c r="X54" s="385"/>
      <c r="Y54" s="385"/>
      <c r="Z54" s="385"/>
      <c r="AA54" s="385"/>
      <c r="AB54" s="385"/>
      <c r="AC54" s="385"/>
      <c r="AD54" s="398"/>
      <c r="AE54" s="388"/>
      <c r="AF54" s="388"/>
      <c r="AG54" s="398"/>
      <c r="AH54" s="398"/>
      <c r="AI54" s="398"/>
      <c r="AJ54" s="398"/>
      <c r="AK54" s="398"/>
      <c r="AL54" s="398"/>
      <c r="AM54" s="398"/>
      <c r="AN54" s="398"/>
      <c r="AO54" s="398"/>
    </row>
    <row r="55" spans="1:41" s="390" customFormat="1" ht="33" customHeight="1">
      <c r="A55" s="1323"/>
      <c r="B55" s="1323"/>
      <c r="C55" s="1323"/>
      <c r="D55" s="881"/>
      <c r="E55" s="881"/>
      <c r="F55" s="881"/>
      <c r="G55" s="385"/>
      <c r="H55" s="401"/>
      <c r="I55" s="385"/>
      <c r="J55" s="385"/>
      <c r="K55" s="385"/>
      <c r="L55" s="385"/>
      <c r="M55" s="385"/>
      <c r="N55" s="385"/>
      <c r="O55" s="385"/>
      <c r="P55" s="385"/>
      <c r="Q55" s="385"/>
      <c r="R55" s="385"/>
      <c r="S55" s="385"/>
      <c r="T55" s="385"/>
      <c r="U55" s="385"/>
      <c r="V55" s="385"/>
      <c r="W55" s="385"/>
      <c r="X55" s="385"/>
      <c r="Y55" s="385"/>
      <c r="Z55" s="385"/>
      <c r="AA55" s="385"/>
      <c r="AB55" s="385"/>
      <c r="AC55" s="385"/>
      <c r="AD55" s="398"/>
      <c r="AE55" s="388"/>
      <c r="AF55" s="388"/>
      <c r="AG55" s="398"/>
      <c r="AH55" s="398"/>
      <c r="AI55" s="398"/>
      <c r="AJ55" s="398"/>
      <c r="AK55" s="398"/>
      <c r="AL55" s="398"/>
      <c r="AM55" s="398"/>
      <c r="AN55" s="398"/>
      <c r="AO55" s="398"/>
    </row>
    <row r="56" spans="1:41" s="390" customFormat="1" ht="33" customHeight="1">
      <c r="A56" s="1322"/>
      <c r="B56" s="1322"/>
      <c r="C56" s="1322"/>
      <c r="D56" s="881"/>
      <c r="E56" s="881"/>
      <c r="F56" s="881"/>
      <c r="G56" s="385"/>
      <c r="H56" s="401"/>
      <c r="I56" s="385"/>
      <c r="J56" s="385"/>
      <c r="K56" s="385"/>
      <c r="L56" s="385"/>
      <c r="M56" s="385"/>
      <c r="N56" s="385"/>
      <c r="O56" s="385"/>
      <c r="P56" s="385"/>
      <c r="Q56" s="385"/>
      <c r="R56" s="385"/>
      <c r="S56" s="385"/>
      <c r="T56" s="385"/>
      <c r="U56" s="385"/>
      <c r="V56" s="385"/>
      <c r="W56" s="385"/>
      <c r="X56" s="385"/>
      <c r="Y56" s="385"/>
      <c r="Z56" s="385"/>
      <c r="AA56" s="385"/>
      <c r="AB56" s="385"/>
      <c r="AC56" s="385"/>
      <c r="AD56" s="398"/>
      <c r="AE56" s="388"/>
      <c r="AF56" s="388"/>
      <c r="AG56" s="398"/>
      <c r="AH56" s="398"/>
      <c r="AI56" s="398"/>
      <c r="AJ56" s="398"/>
      <c r="AK56" s="398"/>
      <c r="AL56" s="398"/>
      <c r="AM56" s="398"/>
      <c r="AN56" s="398"/>
      <c r="AO56" s="398"/>
    </row>
    <row r="57" spans="1:41" s="390" customFormat="1" ht="33" customHeight="1">
      <c r="A57" s="1321" t="s">
        <v>671</v>
      </c>
      <c r="B57" s="1321"/>
      <c r="C57" s="1321"/>
      <c r="D57" s="1313"/>
      <c r="E57" s="1314"/>
      <c r="F57" s="1314"/>
      <c r="G57" s="385"/>
      <c r="H57" s="401"/>
      <c r="I57" s="385"/>
      <c r="J57" s="385"/>
      <c r="K57" s="385"/>
      <c r="L57" s="385"/>
      <c r="M57" s="385"/>
      <c r="N57" s="385"/>
      <c r="O57" s="385"/>
      <c r="P57" s="385"/>
      <c r="Q57" s="385"/>
      <c r="R57" s="385"/>
      <c r="S57" s="385"/>
      <c r="T57" s="385"/>
      <c r="U57" s="385"/>
      <c r="V57" s="385"/>
      <c r="W57" s="385"/>
      <c r="X57" s="385"/>
      <c r="Y57" s="385"/>
      <c r="Z57" s="385"/>
      <c r="AA57" s="385"/>
      <c r="AB57" s="385"/>
      <c r="AC57" s="385"/>
      <c r="AD57" s="398"/>
      <c r="AE57" s="388"/>
      <c r="AF57" s="388"/>
      <c r="AG57" s="398"/>
      <c r="AH57" s="398"/>
      <c r="AI57" s="398"/>
      <c r="AJ57" s="398"/>
      <c r="AK57" s="398"/>
      <c r="AL57" s="398"/>
      <c r="AM57" s="398"/>
      <c r="AN57" s="398"/>
      <c r="AO57" s="398"/>
    </row>
    <row r="58" spans="1:41" s="390" customFormat="1" ht="33" customHeight="1">
      <c r="A58" s="1321" t="s">
        <v>672</v>
      </c>
      <c r="B58" s="1321"/>
      <c r="C58" s="1321"/>
      <c r="D58" s="1313"/>
      <c r="E58" s="1314"/>
      <c r="F58" s="1314"/>
      <c r="G58" s="385"/>
      <c r="H58" s="401"/>
      <c r="I58" s="385"/>
      <c r="J58" s="385"/>
      <c r="K58" s="385"/>
      <c r="L58" s="385"/>
      <c r="M58" s="385"/>
      <c r="N58" s="385"/>
      <c r="O58" s="385"/>
      <c r="P58" s="385"/>
      <c r="Q58" s="385"/>
      <c r="R58" s="385"/>
      <c r="S58" s="385"/>
      <c r="T58" s="385"/>
      <c r="U58" s="385"/>
      <c r="V58" s="385"/>
      <c r="W58" s="385"/>
      <c r="X58" s="385"/>
      <c r="Y58" s="385"/>
      <c r="Z58" s="385"/>
      <c r="AA58" s="385"/>
      <c r="AB58" s="385"/>
      <c r="AC58" s="385"/>
      <c r="AD58" s="398"/>
      <c r="AE58" s="388"/>
      <c r="AF58" s="388"/>
      <c r="AG58" s="398"/>
      <c r="AH58" s="398"/>
      <c r="AI58" s="398"/>
      <c r="AJ58" s="398"/>
      <c r="AK58" s="398"/>
      <c r="AL58" s="398"/>
      <c r="AM58" s="398"/>
      <c r="AN58" s="398"/>
      <c r="AO58" s="398"/>
    </row>
    <row r="59" spans="1:41" s="390" customFormat="1" ht="33" customHeight="1">
      <c r="A59" s="1321" t="s">
        <v>673</v>
      </c>
      <c r="B59" s="1321"/>
      <c r="C59" s="1321"/>
      <c r="D59" s="1313"/>
      <c r="E59" s="1314"/>
      <c r="F59" s="1314"/>
      <c r="G59" s="385"/>
      <c r="H59" s="401"/>
      <c r="I59" s="385"/>
      <c r="J59" s="385"/>
      <c r="K59" s="385"/>
      <c r="L59" s="385"/>
      <c r="M59" s="385"/>
      <c r="N59" s="385"/>
      <c r="O59" s="385"/>
      <c r="P59" s="385"/>
      <c r="Q59" s="385"/>
      <c r="R59" s="385"/>
      <c r="S59" s="385"/>
      <c r="T59" s="385"/>
      <c r="U59" s="385"/>
      <c r="V59" s="385"/>
      <c r="W59" s="385"/>
      <c r="X59" s="385"/>
      <c r="Y59" s="385"/>
      <c r="Z59" s="385"/>
      <c r="AA59" s="385"/>
      <c r="AB59" s="385"/>
      <c r="AC59" s="385"/>
      <c r="AD59" s="398"/>
      <c r="AE59" s="388"/>
      <c r="AF59" s="388"/>
      <c r="AG59" s="398"/>
      <c r="AH59" s="398"/>
      <c r="AI59" s="398"/>
      <c r="AJ59" s="398"/>
      <c r="AK59" s="398"/>
      <c r="AL59" s="398"/>
      <c r="AM59" s="398"/>
      <c r="AN59" s="398"/>
      <c r="AO59" s="398"/>
    </row>
    <row r="60" spans="1:41" s="390" customFormat="1" ht="33" customHeight="1">
      <c r="A60" s="1316" t="s">
        <v>674</v>
      </c>
      <c r="B60" s="1316"/>
      <c r="C60" s="1316"/>
      <c r="D60" s="1313"/>
      <c r="E60" s="1314"/>
      <c r="F60" s="1314"/>
      <c r="G60" s="385"/>
      <c r="H60" s="401"/>
      <c r="I60" s="385"/>
      <c r="J60" s="385"/>
      <c r="K60" s="385"/>
      <c r="L60" s="385"/>
      <c r="M60" s="385"/>
      <c r="N60" s="385"/>
      <c r="O60" s="385"/>
      <c r="P60" s="385"/>
      <c r="Q60" s="385"/>
      <c r="R60" s="385"/>
      <c r="S60" s="385"/>
      <c r="T60" s="385"/>
      <c r="U60" s="385"/>
      <c r="V60" s="385"/>
      <c r="W60" s="385"/>
      <c r="X60" s="385"/>
      <c r="Y60" s="385"/>
      <c r="Z60" s="385"/>
      <c r="AA60" s="385"/>
      <c r="AB60" s="385"/>
      <c r="AC60" s="385"/>
      <c r="AD60" s="398"/>
      <c r="AE60" s="388"/>
      <c r="AF60" s="388"/>
      <c r="AG60" s="398"/>
      <c r="AH60" s="398"/>
      <c r="AI60" s="398"/>
      <c r="AJ60" s="398"/>
      <c r="AK60" s="398"/>
      <c r="AL60" s="398"/>
      <c r="AM60" s="398"/>
      <c r="AN60" s="398"/>
      <c r="AO60" s="398"/>
    </row>
    <row r="61" spans="1:41" s="390" customFormat="1" ht="33" customHeight="1">
      <c r="A61" s="1323"/>
      <c r="B61" s="1323"/>
      <c r="C61" s="1323"/>
      <c r="D61" s="881"/>
      <c r="E61" s="881"/>
      <c r="F61" s="881"/>
      <c r="G61" s="385"/>
      <c r="H61" s="401"/>
      <c r="I61" s="385"/>
      <c r="J61" s="385"/>
      <c r="K61" s="385"/>
      <c r="L61" s="385"/>
      <c r="M61" s="385"/>
      <c r="N61" s="385"/>
      <c r="O61" s="385"/>
      <c r="P61" s="385"/>
      <c r="Q61" s="385"/>
      <c r="R61" s="385"/>
      <c r="S61" s="385"/>
      <c r="T61" s="385"/>
      <c r="U61" s="385"/>
      <c r="V61" s="385"/>
      <c r="W61" s="385"/>
      <c r="X61" s="385"/>
      <c r="Y61" s="385"/>
      <c r="Z61" s="385"/>
      <c r="AA61" s="385"/>
      <c r="AB61" s="385"/>
      <c r="AC61" s="385"/>
      <c r="AD61" s="398"/>
      <c r="AE61" s="388"/>
      <c r="AF61" s="388"/>
      <c r="AG61" s="398"/>
      <c r="AH61" s="398"/>
      <c r="AI61" s="398"/>
      <c r="AJ61" s="398"/>
      <c r="AK61" s="398"/>
      <c r="AL61" s="398"/>
      <c r="AM61" s="398"/>
      <c r="AN61" s="398"/>
      <c r="AO61" s="398"/>
    </row>
    <row r="62" spans="1:41" s="390" customFormat="1" ht="33" customHeight="1">
      <c r="A62" s="1322"/>
      <c r="B62" s="1322"/>
      <c r="C62" s="1322"/>
      <c r="D62" s="881"/>
      <c r="E62" s="881"/>
      <c r="F62" s="881"/>
      <c r="G62" s="385"/>
      <c r="H62" s="401"/>
      <c r="I62" s="385"/>
      <c r="J62" s="385"/>
      <c r="K62" s="385"/>
      <c r="L62" s="385"/>
      <c r="M62" s="385"/>
      <c r="N62" s="385"/>
      <c r="O62" s="385"/>
      <c r="P62" s="385"/>
      <c r="Q62" s="385"/>
      <c r="R62" s="385"/>
      <c r="S62" s="385"/>
      <c r="T62" s="385"/>
      <c r="U62" s="385"/>
      <c r="V62" s="385"/>
      <c r="W62" s="385"/>
      <c r="X62" s="385"/>
      <c r="Y62" s="385"/>
      <c r="Z62" s="385"/>
      <c r="AA62" s="385"/>
      <c r="AB62" s="385"/>
      <c r="AC62" s="385"/>
      <c r="AD62" s="398"/>
      <c r="AE62" s="388"/>
      <c r="AF62" s="388"/>
      <c r="AG62" s="398"/>
      <c r="AH62" s="398"/>
      <c r="AI62" s="398"/>
      <c r="AJ62" s="398"/>
      <c r="AK62" s="398"/>
      <c r="AL62" s="398"/>
      <c r="AM62" s="398"/>
      <c r="AN62" s="398"/>
      <c r="AO62" s="398"/>
    </row>
    <row r="63" spans="1:41" s="390" customFormat="1" ht="45.75" customHeight="1">
      <c r="A63" s="1320"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3" s="1320"/>
      <c r="C63" s="1320"/>
      <c r="D63" s="1320"/>
      <c r="E63" s="1320"/>
      <c r="F63" s="1320"/>
      <c r="G63" s="385"/>
      <c r="H63" s="401"/>
      <c r="I63" s="385"/>
      <c r="J63" s="385"/>
      <c r="K63" s="385"/>
      <c r="L63" s="385"/>
      <c r="M63" s="385"/>
      <c r="N63" s="385"/>
      <c r="O63" s="385"/>
      <c r="P63" s="385"/>
      <c r="Q63" s="385"/>
      <c r="R63" s="385"/>
      <c r="S63" s="385"/>
      <c r="T63" s="385"/>
      <c r="U63" s="385"/>
      <c r="V63" s="385"/>
      <c r="W63" s="385"/>
      <c r="X63" s="385"/>
      <c r="Y63" s="385"/>
      <c r="Z63" s="385"/>
      <c r="AA63" s="385"/>
      <c r="AB63" s="385"/>
      <c r="AC63" s="385"/>
      <c r="AD63" s="398"/>
      <c r="AE63" s="388"/>
      <c r="AF63" s="388"/>
      <c r="AG63" s="398"/>
      <c r="AH63" s="398"/>
      <c r="AI63" s="398"/>
      <c r="AJ63" s="398"/>
      <c r="AK63" s="398"/>
      <c r="AL63" s="398"/>
      <c r="AM63" s="398"/>
      <c r="AN63" s="398"/>
      <c r="AO63" s="398"/>
    </row>
    <row r="64" spans="1:41" s="390" customFormat="1" ht="16.5" customHeight="1">
      <c r="A64" s="1319" t="s">
        <v>57</v>
      </c>
      <c r="B64" s="1319"/>
      <c r="C64" s="1319"/>
      <c r="D64" s="1319"/>
      <c r="E64" s="1319"/>
      <c r="F64" s="1319"/>
      <c r="G64" s="385"/>
      <c r="H64" s="401"/>
      <c r="I64" s="385"/>
      <c r="J64" s="385"/>
      <c r="K64" s="385"/>
      <c r="L64" s="385"/>
      <c r="M64" s="385"/>
      <c r="N64" s="385"/>
      <c r="O64" s="385"/>
      <c r="P64" s="385"/>
      <c r="Q64" s="385"/>
      <c r="R64" s="385"/>
      <c r="S64" s="385"/>
      <c r="T64" s="385"/>
      <c r="U64" s="385"/>
      <c r="V64" s="385"/>
      <c r="W64" s="385"/>
      <c r="X64" s="385"/>
      <c r="Y64" s="385"/>
      <c r="Z64" s="385"/>
      <c r="AA64" s="385"/>
      <c r="AB64" s="385"/>
      <c r="AC64" s="385"/>
      <c r="AD64" s="398"/>
      <c r="AE64" s="388"/>
      <c r="AF64" s="388"/>
      <c r="AG64" s="398"/>
      <c r="AH64" s="398"/>
      <c r="AI64" s="398"/>
      <c r="AJ64" s="398"/>
      <c r="AK64" s="398"/>
      <c r="AL64" s="398"/>
      <c r="AM64" s="398"/>
      <c r="AN64" s="398"/>
      <c r="AO64" s="398"/>
    </row>
    <row r="65" spans="1:41" s="390" customFormat="1" ht="33" customHeight="1">
      <c r="A65" s="401"/>
      <c r="B65" s="401"/>
      <c r="C65" s="385"/>
      <c r="D65" s="385"/>
      <c r="E65" s="385"/>
      <c r="F65" s="385"/>
      <c r="G65" s="385"/>
      <c r="H65" s="401"/>
      <c r="I65" s="385"/>
      <c r="J65" s="385"/>
      <c r="K65" s="385"/>
      <c r="L65" s="385"/>
      <c r="M65" s="385"/>
      <c r="N65" s="385"/>
      <c r="O65" s="385"/>
      <c r="P65" s="385"/>
      <c r="Q65" s="385"/>
      <c r="R65" s="385"/>
      <c r="S65" s="385"/>
      <c r="T65" s="385"/>
      <c r="U65" s="385"/>
      <c r="V65" s="385"/>
      <c r="W65" s="385"/>
      <c r="X65" s="385"/>
      <c r="Y65" s="385"/>
      <c r="Z65" s="385"/>
      <c r="AA65" s="385"/>
      <c r="AB65" s="385"/>
      <c r="AC65" s="385"/>
      <c r="AD65" s="398"/>
      <c r="AE65" s="388"/>
      <c r="AF65" s="388"/>
      <c r="AG65" s="398"/>
      <c r="AH65" s="398"/>
      <c r="AI65" s="398"/>
      <c r="AJ65" s="398"/>
      <c r="AK65" s="398"/>
      <c r="AL65" s="398"/>
      <c r="AM65" s="398"/>
      <c r="AN65" s="398"/>
      <c r="AO65" s="398"/>
    </row>
    <row r="66" spans="1:41" s="390" customFormat="1" ht="33" customHeight="1">
      <c r="A66" s="401"/>
      <c r="B66" s="401"/>
      <c r="C66" s="385"/>
      <c r="D66" s="385"/>
      <c r="E66" s="385"/>
      <c r="F66" s="385"/>
      <c r="G66" s="385"/>
      <c r="H66" s="401"/>
      <c r="I66" s="385"/>
      <c r="J66" s="385"/>
      <c r="K66" s="385"/>
      <c r="L66" s="385"/>
      <c r="M66" s="385"/>
      <c r="N66" s="385"/>
      <c r="O66" s="385"/>
      <c r="P66" s="385"/>
      <c r="Q66" s="385"/>
      <c r="R66" s="385"/>
      <c r="S66" s="385"/>
      <c r="T66" s="385"/>
      <c r="U66" s="385"/>
      <c r="V66" s="385"/>
      <c r="W66" s="385"/>
      <c r="X66" s="385"/>
      <c r="Y66" s="385"/>
      <c r="Z66" s="385"/>
      <c r="AA66" s="385"/>
      <c r="AB66" s="385"/>
      <c r="AC66" s="385"/>
      <c r="AD66" s="398"/>
      <c r="AE66" s="388"/>
      <c r="AF66" s="388"/>
      <c r="AG66" s="398"/>
      <c r="AH66" s="398"/>
      <c r="AI66" s="398"/>
      <c r="AJ66" s="398"/>
      <c r="AK66" s="398"/>
      <c r="AL66" s="398"/>
      <c r="AM66" s="398"/>
      <c r="AN66" s="398"/>
      <c r="AO66" s="398"/>
    </row>
    <row r="67" spans="1:41">
      <c r="A67" s="401"/>
      <c r="B67" s="401"/>
      <c r="C67" s="385"/>
      <c r="D67" s="385"/>
      <c r="E67" s="385"/>
      <c r="F67" s="385"/>
      <c r="G67" s="385"/>
      <c r="H67" s="385"/>
      <c r="I67" s="386"/>
      <c r="J67" s="386"/>
      <c r="K67" s="386"/>
      <c r="L67" s="386"/>
      <c r="M67" s="386"/>
      <c r="N67" s="386"/>
      <c r="O67" s="386"/>
      <c r="P67" s="386"/>
      <c r="Q67" s="386"/>
      <c r="R67" s="386"/>
      <c r="S67" s="386"/>
      <c r="T67" s="386"/>
      <c r="U67" s="386"/>
      <c r="V67" s="386"/>
      <c r="W67" s="386"/>
      <c r="X67" s="386"/>
      <c r="Y67" s="386"/>
      <c r="Z67" s="386"/>
      <c r="AA67" s="386"/>
      <c r="AB67" s="386"/>
      <c r="AC67" s="386"/>
    </row>
    <row r="68" spans="1:41">
      <c r="A68" s="401"/>
      <c r="B68" s="401"/>
      <c r="C68" s="385"/>
      <c r="D68" s="385"/>
      <c r="E68" s="385"/>
      <c r="F68" s="385"/>
      <c r="G68" s="385"/>
      <c r="H68" s="385"/>
      <c r="I68" s="386"/>
      <c r="J68" s="386"/>
      <c r="K68" s="386"/>
      <c r="L68" s="386"/>
      <c r="M68" s="386"/>
      <c r="N68" s="386"/>
      <c r="O68" s="386"/>
      <c r="P68" s="386"/>
      <c r="Q68" s="386"/>
      <c r="R68" s="386"/>
      <c r="S68" s="386"/>
      <c r="T68" s="386"/>
      <c r="U68" s="386"/>
      <c r="V68" s="386"/>
      <c r="W68" s="386"/>
      <c r="X68" s="386"/>
      <c r="Y68" s="386"/>
      <c r="Z68" s="386"/>
      <c r="AA68" s="386"/>
      <c r="AB68" s="386"/>
      <c r="AC68" s="386"/>
    </row>
    <row r="69" spans="1:41">
      <c r="A69" s="401"/>
      <c r="B69" s="401"/>
      <c r="C69" s="385"/>
      <c r="D69" s="385"/>
      <c r="E69" s="385"/>
      <c r="F69" s="385"/>
      <c r="G69" s="385"/>
      <c r="H69" s="385"/>
      <c r="I69" s="386"/>
      <c r="J69" s="386"/>
      <c r="K69" s="386"/>
      <c r="L69" s="386"/>
      <c r="M69" s="386"/>
      <c r="N69" s="386"/>
      <c r="O69" s="386"/>
      <c r="P69" s="386"/>
      <c r="Q69" s="386"/>
      <c r="R69" s="386"/>
      <c r="S69" s="386"/>
      <c r="T69" s="386"/>
      <c r="U69" s="386"/>
      <c r="V69" s="386"/>
      <c r="W69" s="386"/>
      <c r="X69" s="386"/>
      <c r="Y69" s="386"/>
      <c r="Z69" s="386"/>
      <c r="AA69" s="386"/>
      <c r="AB69" s="386"/>
      <c r="AC69" s="386"/>
    </row>
    <row r="70" spans="1:41">
      <c r="A70" s="401"/>
      <c r="B70" s="401"/>
      <c r="C70" s="385"/>
      <c r="D70" s="385"/>
      <c r="E70" s="385"/>
      <c r="F70" s="385"/>
      <c r="G70" s="385"/>
      <c r="H70" s="385"/>
      <c r="I70" s="386"/>
      <c r="J70" s="386"/>
      <c r="K70" s="386"/>
      <c r="L70" s="386"/>
      <c r="M70" s="386"/>
      <c r="N70" s="386"/>
      <c r="O70" s="386"/>
      <c r="P70" s="386"/>
      <c r="Q70" s="386"/>
      <c r="R70" s="386"/>
      <c r="S70" s="386"/>
      <c r="T70" s="386"/>
      <c r="U70" s="386"/>
      <c r="V70" s="386"/>
      <c r="W70" s="386"/>
      <c r="X70" s="386"/>
      <c r="Y70" s="386"/>
      <c r="Z70" s="386"/>
      <c r="AA70" s="386"/>
      <c r="AB70" s="386"/>
      <c r="AC70" s="386"/>
    </row>
    <row r="71" spans="1:41">
      <c r="A71" s="401"/>
      <c r="B71" s="401"/>
      <c r="C71" s="385"/>
      <c r="D71" s="385"/>
      <c r="E71" s="385"/>
      <c r="F71" s="385"/>
      <c r="G71" s="385"/>
      <c r="H71" s="385"/>
      <c r="I71" s="386"/>
      <c r="J71" s="386"/>
      <c r="K71" s="386"/>
      <c r="L71" s="386"/>
      <c r="M71" s="386"/>
      <c r="N71" s="386"/>
      <c r="O71" s="386"/>
      <c r="P71" s="386"/>
      <c r="Q71" s="386"/>
      <c r="R71" s="386"/>
      <c r="S71" s="386"/>
      <c r="T71" s="386"/>
      <c r="U71" s="386"/>
      <c r="V71" s="386"/>
      <c r="W71" s="386"/>
      <c r="X71" s="386"/>
      <c r="Y71" s="386"/>
      <c r="Z71" s="386"/>
      <c r="AA71" s="386"/>
      <c r="AB71" s="386"/>
      <c r="AC71" s="386"/>
    </row>
    <row r="72" spans="1:41">
      <c r="A72" s="401"/>
      <c r="B72" s="401"/>
      <c r="C72" s="385"/>
      <c r="D72" s="385"/>
      <c r="E72" s="385"/>
      <c r="F72" s="385"/>
      <c r="G72" s="385"/>
      <c r="H72" s="385"/>
      <c r="I72" s="386"/>
      <c r="J72" s="386"/>
      <c r="K72" s="386"/>
      <c r="L72" s="386"/>
      <c r="M72" s="386"/>
      <c r="N72" s="386"/>
      <c r="O72" s="386"/>
      <c r="P72" s="386"/>
      <c r="Q72" s="386"/>
      <c r="R72" s="386"/>
      <c r="S72" s="386"/>
      <c r="T72" s="386"/>
      <c r="U72" s="386"/>
      <c r="V72" s="386"/>
      <c r="W72" s="386"/>
      <c r="X72" s="386"/>
      <c r="Y72" s="386"/>
      <c r="Z72" s="386"/>
      <c r="AA72" s="386"/>
      <c r="AB72" s="386"/>
      <c r="AC72" s="386"/>
    </row>
    <row r="73" spans="1:41">
      <c r="A73" s="401"/>
      <c r="B73" s="401"/>
      <c r="C73" s="385"/>
      <c r="D73" s="385"/>
      <c r="E73" s="385"/>
      <c r="F73" s="385"/>
      <c r="G73" s="385"/>
      <c r="H73" s="385"/>
      <c r="I73" s="386"/>
      <c r="J73" s="386"/>
      <c r="K73" s="386"/>
      <c r="L73" s="386"/>
      <c r="M73" s="386"/>
      <c r="N73" s="386"/>
      <c r="O73" s="386"/>
      <c r="P73" s="386"/>
      <c r="Q73" s="386"/>
      <c r="R73" s="386"/>
      <c r="S73" s="386"/>
      <c r="T73" s="386"/>
      <c r="U73" s="386"/>
      <c r="V73" s="386"/>
      <c r="W73" s="386"/>
      <c r="X73" s="386"/>
      <c r="Y73" s="386"/>
      <c r="Z73" s="386"/>
      <c r="AA73" s="386"/>
      <c r="AB73" s="386"/>
      <c r="AC73" s="386"/>
    </row>
    <row r="74" spans="1:41">
      <c r="A74" s="401"/>
      <c r="B74" s="401"/>
      <c r="C74" s="385"/>
      <c r="D74" s="385"/>
      <c r="E74" s="385"/>
      <c r="F74" s="385"/>
      <c r="G74" s="385"/>
      <c r="H74" s="385"/>
      <c r="I74" s="386"/>
      <c r="J74" s="386"/>
      <c r="K74" s="386"/>
      <c r="L74" s="386"/>
      <c r="M74" s="386"/>
      <c r="N74" s="386"/>
      <c r="O74" s="386"/>
      <c r="P74" s="386"/>
      <c r="Q74" s="386"/>
      <c r="R74" s="386"/>
      <c r="S74" s="386"/>
      <c r="T74" s="386"/>
      <c r="U74" s="386"/>
      <c r="V74" s="386"/>
      <c r="W74" s="386"/>
      <c r="X74" s="386"/>
      <c r="Y74" s="386"/>
      <c r="Z74" s="386"/>
      <c r="AA74" s="386"/>
      <c r="AB74" s="386"/>
      <c r="AC74" s="386"/>
    </row>
    <row r="75" spans="1:41">
      <c r="A75" s="401"/>
      <c r="B75" s="401"/>
      <c r="C75" s="385"/>
      <c r="D75" s="385"/>
      <c r="E75" s="385"/>
      <c r="F75" s="385"/>
      <c r="G75" s="385"/>
      <c r="H75" s="385"/>
      <c r="I75" s="386"/>
      <c r="J75" s="386"/>
      <c r="K75" s="386"/>
      <c r="L75" s="386"/>
      <c r="M75" s="386"/>
      <c r="N75" s="386"/>
      <c r="O75" s="386"/>
      <c r="P75" s="386"/>
      <c r="Q75" s="386"/>
      <c r="R75" s="386"/>
      <c r="S75" s="386"/>
      <c r="T75" s="386"/>
      <c r="U75" s="386"/>
      <c r="V75" s="386"/>
      <c r="W75" s="386"/>
      <c r="X75" s="386"/>
      <c r="Y75" s="386"/>
      <c r="Z75" s="386"/>
      <c r="AA75" s="386"/>
      <c r="AB75" s="386"/>
      <c r="AC75" s="386"/>
    </row>
    <row r="76" spans="1:41">
      <c r="A76" s="401"/>
      <c r="B76" s="401"/>
      <c r="C76" s="385"/>
      <c r="D76" s="385"/>
      <c r="E76" s="385"/>
      <c r="F76" s="385"/>
      <c r="G76" s="385"/>
      <c r="H76" s="385"/>
      <c r="I76" s="386"/>
      <c r="J76" s="386"/>
      <c r="K76" s="386"/>
      <c r="L76" s="386"/>
      <c r="M76" s="386"/>
      <c r="N76" s="386"/>
      <c r="O76" s="386"/>
      <c r="P76" s="386"/>
      <c r="Q76" s="386"/>
      <c r="R76" s="386"/>
      <c r="S76" s="386"/>
      <c r="T76" s="386"/>
      <c r="U76" s="386"/>
      <c r="V76" s="386"/>
      <c r="W76" s="386"/>
      <c r="X76" s="386"/>
      <c r="Y76" s="386"/>
      <c r="Z76" s="386"/>
      <c r="AA76" s="386"/>
      <c r="AB76" s="386"/>
      <c r="AC76" s="386"/>
    </row>
    <row r="77" spans="1:41">
      <c r="A77" s="401"/>
      <c r="B77" s="401"/>
      <c r="C77" s="385"/>
      <c r="D77" s="385"/>
      <c r="E77" s="385"/>
      <c r="F77" s="385"/>
      <c r="G77" s="385"/>
      <c r="H77" s="385"/>
      <c r="I77" s="386"/>
      <c r="J77" s="386"/>
      <c r="K77" s="386"/>
      <c r="L77" s="386"/>
      <c r="M77" s="386"/>
      <c r="N77" s="386"/>
      <c r="O77" s="386"/>
      <c r="P77" s="386"/>
      <c r="Q77" s="386"/>
      <c r="R77" s="386"/>
      <c r="S77" s="386"/>
      <c r="T77" s="386"/>
      <c r="U77" s="386"/>
      <c r="V77" s="386"/>
      <c r="W77" s="386"/>
      <c r="X77" s="386"/>
      <c r="Y77" s="386"/>
      <c r="Z77" s="386"/>
      <c r="AA77" s="386"/>
      <c r="AB77" s="386"/>
      <c r="AC77" s="386"/>
    </row>
    <row r="78" spans="1:41">
      <c r="A78" s="401"/>
      <c r="B78" s="401"/>
      <c r="C78" s="385"/>
      <c r="D78" s="385"/>
      <c r="E78" s="385"/>
      <c r="F78" s="385"/>
      <c r="G78" s="385"/>
      <c r="H78" s="385"/>
      <c r="I78" s="386"/>
      <c r="J78" s="386"/>
      <c r="K78" s="386"/>
      <c r="L78" s="386"/>
      <c r="M78" s="386"/>
      <c r="N78" s="386"/>
      <c r="O78" s="386"/>
      <c r="P78" s="386"/>
      <c r="Q78" s="386"/>
      <c r="R78" s="386"/>
      <c r="S78" s="386"/>
      <c r="T78" s="386"/>
      <c r="U78" s="386"/>
      <c r="V78" s="386"/>
      <c r="W78" s="386"/>
      <c r="X78" s="386"/>
      <c r="Y78" s="386"/>
      <c r="Z78" s="386"/>
      <c r="AA78" s="386"/>
      <c r="AB78" s="386"/>
      <c r="AC78" s="386"/>
    </row>
  </sheetData>
  <sheetProtection algorithmName="SHA-512" hashValue="z4sUHCclF7ufgYQmExAYi1XZxl5FwCoI0GEj5JFfTNHTRjKS527gHTDe97urKfxOZGUHLYUCNG0IVQVv+rrwRw==" saltValue="FdXLKaKVkuTPZO8zRZqViA==" spinCount="100000" sheet="1" objects="1" scenarios="1"/>
  <customSheetViews>
    <customSheetView guid="{B48B8B4C-A880-453D-8729-90D004BEF0DB}" scale="115" showPageBreaks="1" showGridLines="0" zeroValues="0" printArea="1" hiddenRows="1" view="pageBreakPreview">
      <selection activeCell="F49" sqref="F49"/>
      <pageMargins left="0" right="0" top="0" bottom="0" header="0" footer="0"/>
      <pageSetup orientation="portrait" r:id="rId1"/>
      <headerFooter alignWithMargins="0">
        <oddFooter>&amp;R&amp;"Book Antiqua,Bold"&amp;8Bid Form (1st Envelope)  / Page &amp;P of &amp;N</oddFooter>
      </headerFooter>
    </customSheetView>
    <customSheetView guid="{7043F04C-1FA3-449D-BEB8-4AC08DF68A5A}" scale="115" showPageBreaks="1" showGridLines="0" zeroValues="0" printArea="1" hiddenRows="1" view="pageBreakPreview" topLeftCell="A36">
      <selection activeCell="D53" sqref="D53:F53"/>
      <pageMargins left="0" right="0" top="0" bottom="0" header="0" footer="0"/>
      <pageSetup orientation="portrait" r:id="rId2"/>
      <headerFooter alignWithMargins="0">
        <oddFooter>&amp;R&amp;"Book Antiqua,Bold"&amp;8Bid Form (1st Envelope)  / Page &amp;P of &amp;N</oddFooter>
      </headerFooter>
    </customSheetView>
    <customSheetView guid="{D0757F9E-DF41-4B40-A5E5-F4F8FDD8D61D}" showPageBreaks="1" showGridLines="0" zeroValues="0" printArea="1" hiddenColumns="1" view="pageBreakPreview" topLeftCell="A46">
      <selection activeCell="F51" sqref="F51"/>
      <pageMargins left="0" right="0" top="0" bottom="0" header="0" footer="0"/>
      <pageSetup orientation="portrait" r:id="rId3"/>
      <headerFooter alignWithMargins="0">
        <oddFooter>&amp;R&amp;"Book Antiqua,Bold"&amp;8Bid Form (1st Envelope)  / Page &amp;P of &amp;N</oddFooter>
      </headerFooter>
    </customSheetView>
    <customSheetView guid="{E81F0721-C35D-4189-B675-E46A21339863}" showGridLines="0" zeroValues="0" topLeftCell="A58">
      <selection activeCell="F50" sqref="F50"/>
      <rowBreaks count="1" manualBreakCount="1">
        <brk id="52" max="5" man="1"/>
      </rowBreaks>
      <pageMargins left="0" right="0" top="0" bottom="0" header="0" footer="0"/>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B835C05C-B615-4DCB-982D-4519616B3CD8}" showGridLines="0" zeroValues="0" topLeftCell="A58">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17F5C48B-526E-48D2-9F97-823D578F9893}" showPageBreaks="1" showGridLines="0" zeroValues="0" printArea="1" hiddenColumns="1" view="pageBreakPreview" topLeftCell="A38">
      <selection activeCell="F51" sqref="F51"/>
      <pageMargins left="0" right="0" top="0" bottom="0" header="0" footer="0"/>
      <pageSetup orientation="portrait" r:id="rId21"/>
      <headerFooter alignWithMargins="0">
        <oddFooter>&amp;R&amp;"Book Antiqua,Bold"&amp;8Bid Form (1st Envelope)  / Page &amp;P of &amp;N</oddFooter>
      </headerFooter>
    </customSheetView>
    <customSheetView guid="{7F1A5DE7-1043-4C11-AB2C-CC6BC6A0F482}" showPageBreaks="1" showGridLines="0" zeroValues="0" printArea="1" hiddenColumns="1" view="pageBreakPreview">
      <selection activeCell="C5" sqref="C5:F5"/>
      <pageMargins left="0" right="0" top="0" bottom="0" header="0" footer="0"/>
      <pageSetup orientation="portrait" r:id="rId22"/>
      <headerFooter alignWithMargins="0">
        <oddFooter>&amp;R&amp;"Book Antiqua,Bold"&amp;8Bid Form (1st Envelope)  / Page &amp;P of &amp;N</oddFooter>
      </headerFooter>
    </customSheetView>
    <customSheetView guid="{75D87FDD-0292-4E5A-8E8F-63018B009393}" scale="115" showPageBreaks="1" showGridLines="0" zeroValues="0" printArea="1" hiddenRows="1" view="pageBreakPreview">
      <selection activeCell="F49" sqref="F49"/>
      <pageMargins left="0" right="0" top="0" bottom="0" header="0" footer="0"/>
      <pageSetup orientation="portrait" r:id="rId23"/>
      <headerFooter alignWithMargins="0">
        <oddFooter>&amp;R&amp;"Book Antiqua,Bold"&amp;8Bid Form (1st Envelope)  / Page &amp;P of &amp;N</oddFooter>
      </headerFooter>
    </customSheetView>
  </customSheetViews>
  <mergeCells count="45">
    <mergeCell ref="B21:F21"/>
    <mergeCell ref="D22:F22"/>
    <mergeCell ref="B20:F20"/>
    <mergeCell ref="A3:F3"/>
    <mergeCell ref="C5:F5"/>
    <mergeCell ref="B6:C6"/>
    <mergeCell ref="C16:F16"/>
    <mergeCell ref="B18:F18"/>
    <mergeCell ref="B19:F19"/>
    <mergeCell ref="B22:C22"/>
    <mergeCell ref="A64:F64"/>
    <mergeCell ref="B29:F29"/>
    <mergeCell ref="B30:F30"/>
    <mergeCell ref="B31:F31"/>
    <mergeCell ref="D60:F60"/>
    <mergeCell ref="B32:F32"/>
    <mergeCell ref="A63:F63"/>
    <mergeCell ref="A59:C59"/>
    <mergeCell ref="A62:C62"/>
    <mergeCell ref="D59:F59"/>
    <mergeCell ref="A61:C61"/>
    <mergeCell ref="A55:C55"/>
    <mergeCell ref="A58:C58"/>
    <mergeCell ref="A56:C56"/>
    <mergeCell ref="A60:C60"/>
    <mergeCell ref="A57:C57"/>
    <mergeCell ref="D57:F57"/>
    <mergeCell ref="D58:F58"/>
    <mergeCell ref="B39:F39"/>
    <mergeCell ref="B28:F28"/>
    <mergeCell ref="B26:C26"/>
    <mergeCell ref="B36:F36"/>
    <mergeCell ref="D54:F54"/>
    <mergeCell ref="B35:F35"/>
    <mergeCell ref="B37:F37"/>
    <mergeCell ref="A48:F48"/>
    <mergeCell ref="A54:C54"/>
    <mergeCell ref="B38:F38"/>
    <mergeCell ref="B45:C45"/>
    <mergeCell ref="B23:C23"/>
    <mergeCell ref="B24:C24"/>
    <mergeCell ref="B25:C25"/>
    <mergeCell ref="B34:F34"/>
    <mergeCell ref="B27:C27"/>
    <mergeCell ref="B33:F33"/>
  </mergeCells>
  <phoneticPr fontId="32" type="noConversion"/>
  <conditionalFormatting sqref="C50:C51">
    <cfRule type="expression" dxfId="1" priority="2" stopIfTrue="1">
      <formula>$B$50=""</formula>
    </cfRule>
  </conditionalFormatting>
  <conditionalFormatting sqref="F50:F51">
    <cfRule type="expression" dxfId="0" priority="1" stopIfTrue="1">
      <formula>$E$50=""</formula>
    </cfRule>
  </conditionalFormatting>
  <pageMargins left="0.75" right="0.77" top="0.62" bottom="0.61" header="0.39" footer="0.32"/>
  <pageSetup orientation="portrait" r:id="rId24"/>
  <headerFooter alignWithMargins="0">
    <oddHeader>&amp;C&amp;"Calibri"&amp;12&amp;KFF0000 डेटा वर्गीकरण : प्रतिबंधित/RESTRICTED&amp;1#_x000D_</oddHeader>
    <oddFooter>&amp;R&amp;"Book Antiqua,Bold"&amp;8Bid Form (1st Envelope)  / Page &amp;P of &amp;N</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472" customWidth="1"/>
    <col min="2" max="2" width="46.875" style="472" customWidth="1"/>
    <col min="3" max="3" width="2.25" style="472" customWidth="1"/>
    <col min="4" max="4" width="17.625" style="531" customWidth="1"/>
    <col min="5" max="5" width="4.125" style="531" customWidth="1"/>
    <col min="6" max="6" width="17.625" style="531" customWidth="1"/>
    <col min="7" max="7" width="29.625" style="475" customWidth="1"/>
    <col min="8" max="8" width="15.25" style="475" customWidth="1"/>
    <col min="9" max="9" width="8.875" style="475" bestFit="1" customWidth="1"/>
    <col min="10" max="11" width="8" style="475"/>
    <col min="12" max="12" width="14" style="475" customWidth="1"/>
    <col min="13" max="16384" width="8" style="475"/>
  </cols>
  <sheetData>
    <row r="1" spans="1:8" ht="15.95" customHeight="1">
      <c r="B1" s="1348" t="s">
        <v>675</v>
      </c>
      <c r="C1" s="1349"/>
      <c r="D1" s="1349"/>
      <c r="E1" s="1349"/>
      <c r="F1" s="1349"/>
    </row>
    <row r="2" spans="1:8" ht="15.95" customHeight="1">
      <c r="B2" s="473"/>
      <c r="C2" s="474"/>
      <c r="D2" s="476"/>
      <c r="E2" s="476"/>
      <c r="F2" s="476"/>
    </row>
    <row r="3" spans="1:8" s="477" customFormat="1" ht="15.95" customHeight="1">
      <c r="A3" s="472"/>
      <c r="B3" s="472"/>
      <c r="C3" s="472"/>
      <c r="D3" s="1350" t="s">
        <v>676</v>
      </c>
      <c r="E3" s="1350"/>
      <c r="F3" s="1350"/>
    </row>
    <row r="4" spans="1:8" s="477" customFormat="1" ht="20.25" customHeight="1">
      <c r="A4" s="1351" t="s">
        <v>677</v>
      </c>
      <c r="B4" s="1351"/>
      <c r="C4" s="1351"/>
      <c r="D4" s="1352" t="e">
        <f>'Sch-1'!G9:I9</f>
        <v>#VALUE!</v>
      </c>
      <c r="E4" s="1352"/>
      <c r="F4" s="1352"/>
    </row>
    <row r="5" spans="1:8" s="482" customFormat="1" ht="21" customHeight="1">
      <c r="A5" s="478" t="s">
        <v>541</v>
      </c>
      <c r="B5" s="1344" t="s">
        <v>678</v>
      </c>
      <c r="C5" s="1345"/>
      <c r="D5" s="479" t="s">
        <v>679</v>
      </c>
      <c r="E5" s="1346" t="s">
        <v>680</v>
      </c>
      <c r="F5" s="1347"/>
    </row>
    <row r="6" spans="1:8" s="477" customFormat="1" ht="36" customHeight="1">
      <c r="A6" s="483">
        <v>1</v>
      </c>
      <c r="B6" s="484" t="s">
        <v>681</v>
      </c>
      <c r="C6" s="485"/>
      <c r="D6" s="486">
        <f>'Sch-3'!D14</f>
        <v>0</v>
      </c>
      <c r="E6" s="487" t="s">
        <v>146</v>
      </c>
      <c r="F6" s="488">
        <f>D6</f>
        <v>0</v>
      </c>
      <c r="G6" s="489"/>
    </row>
    <row r="7" spans="1:8" s="477" customFormat="1" ht="34.5" customHeight="1">
      <c r="A7" s="483">
        <v>2</v>
      </c>
      <c r="B7" s="484" t="s">
        <v>682</v>
      </c>
      <c r="C7" s="485"/>
      <c r="D7" s="486">
        <f>'Sch-3'!D16</f>
        <v>0</v>
      </c>
      <c r="E7" s="487"/>
      <c r="F7" s="488">
        <f>D7</f>
        <v>0</v>
      </c>
      <c r="G7" s="489"/>
    </row>
    <row r="8" spans="1:8" s="477" customFormat="1" ht="21" customHeight="1">
      <c r="A8" s="483">
        <v>3</v>
      </c>
      <c r="B8" s="484" t="s">
        <v>683</v>
      </c>
      <c r="C8" s="485"/>
      <c r="D8" s="490" t="e">
        <f>'Sch-3'!#REF!</f>
        <v>#REF!</v>
      </c>
      <c r="E8" s="480"/>
      <c r="F8" s="481" t="e">
        <f>D8</f>
        <v>#REF!</v>
      </c>
      <c r="G8" s="489"/>
    </row>
    <row r="9" spans="1:8" s="477" customFormat="1" ht="21" customHeight="1">
      <c r="A9" s="483">
        <v>4</v>
      </c>
      <c r="B9" s="484" t="s">
        <v>684</v>
      </c>
      <c r="C9" s="485"/>
      <c r="D9" s="490" t="s">
        <v>685</v>
      </c>
      <c r="E9" s="487"/>
      <c r="F9" s="481" t="str">
        <f>D9</f>
        <v>Not Applicable</v>
      </c>
    </row>
    <row r="10" spans="1:8" s="477" customFormat="1" ht="21" customHeight="1">
      <c r="A10" s="483">
        <v>5</v>
      </c>
      <c r="B10" s="484" t="s">
        <v>686</v>
      </c>
      <c r="C10" s="485"/>
      <c r="D10" s="491" t="e">
        <f>SUM(D6,D7,D8)</f>
        <v>#REF!</v>
      </c>
      <c r="E10" s="487"/>
      <c r="F10" s="492" t="e">
        <f>SUM(F6,F7,F8)</f>
        <v>#REF!</v>
      </c>
    </row>
    <row r="11" spans="1:8" s="477" customFormat="1" ht="21" customHeight="1">
      <c r="A11" s="483">
        <v>6</v>
      </c>
      <c r="B11" s="493" t="s">
        <v>687</v>
      </c>
      <c r="C11" s="494" t="s">
        <v>146</v>
      </c>
      <c r="D11" s="486" t="e">
        <f>H11</f>
        <v>#REF!</v>
      </c>
      <c r="E11" s="495" t="s">
        <v>146</v>
      </c>
      <c r="F11" s="488" t="e">
        <f>D11</f>
        <v>#REF!</v>
      </c>
      <c r="H11" s="496" t="e">
        <f>ROUND(('Sch-1'!N23-'Sch-1 dis'!F75)+('Sch-2'!J20-'Sch-2 Dis'!F56)+ (#REF!-'Sch-3 Dis'!F81),0)</f>
        <v>#REF!</v>
      </c>
    </row>
    <row r="12" spans="1:8" s="477" customFormat="1" ht="21.95" customHeight="1">
      <c r="A12" s="483">
        <v>7</v>
      </c>
      <c r="B12" s="493" t="s">
        <v>688</v>
      </c>
      <c r="C12" s="485"/>
      <c r="D12" s="479" t="e">
        <f>D10-D11</f>
        <v>#REF!</v>
      </c>
      <c r="E12" s="487"/>
      <c r="F12" s="492" t="e">
        <f>F10-F11</f>
        <v>#REF!</v>
      </c>
      <c r="G12" s="497"/>
      <c r="H12" s="496"/>
    </row>
    <row r="13" spans="1:8" s="477" customFormat="1" ht="21.95" customHeight="1">
      <c r="A13" s="483">
        <v>8</v>
      </c>
      <c r="B13" s="484" t="s">
        <v>689</v>
      </c>
      <c r="C13" s="485"/>
      <c r="D13" s="486"/>
      <c r="E13" s="487"/>
      <c r="F13" s="488"/>
    </row>
    <row r="14" spans="1:8" s="477" customFormat="1" ht="21.95" customHeight="1">
      <c r="A14" s="483" t="s">
        <v>146</v>
      </c>
      <c r="B14" s="484" t="s">
        <v>690</v>
      </c>
      <c r="C14" s="498"/>
      <c r="D14" s="499" t="e">
        <f>'Sch-5 Dis'!D14:E14</f>
        <v>#REF!</v>
      </c>
      <c r="E14" s="500"/>
      <c r="F14" s="481">
        <f>F32</f>
        <v>0</v>
      </c>
      <c r="G14" s="489"/>
    </row>
    <row r="15" spans="1:8" s="477" customFormat="1" ht="21.95" customHeight="1">
      <c r="A15" s="483"/>
      <c r="B15" s="484" t="s">
        <v>691</v>
      </c>
      <c r="C15" s="485"/>
      <c r="D15" s="499" t="e">
        <f>'Sch-5 Dis'!D16:E16</f>
        <v>#REF!</v>
      </c>
      <c r="E15" s="501"/>
      <c r="F15" s="481">
        <f>F34</f>
        <v>0</v>
      </c>
      <c r="G15" s="489"/>
    </row>
    <row r="16" spans="1:8" s="477" customFormat="1" ht="21.95" customHeight="1">
      <c r="A16" s="483"/>
      <c r="B16" s="484" t="s">
        <v>692</v>
      </c>
      <c r="C16" s="485"/>
      <c r="D16" s="499" t="e">
        <f>'Sch-5 Dis'!#REF!</f>
        <v>#REF!</v>
      </c>
      <c r="E16" s="501"/>
      <c r="F16" s="481">
        <f>F35</f>
        <v>0</v>
      </c>
      <c r="G16" s="489"/>
    </row>
    <row r="17" spans="1:12" s="477" customFormat="1" ht="21.95" customHeight="1">
      <c r="A17" s="483"/>
      <c r="B17" s="484" t="s">
        <v>693</v>
      </c>
      <c r="C17" s="485"/>
      <c r="D17" s="499" t="e">
        <f>SUM('Sch-5 Dis'!#REF!,'Sch-5 Dis'!#REF!)</f>
        <v>#REF!</v>
      </c>
      <c r="E17" s="501"/>
      <c r="F17" s="481">
        <f>F38</f>
        <v>0</v>
      </c>
      <c r="G17" s="489"/>
    </row>
    <row r="18" spans="1:12" s="477" customFormat="1" ht="21.95" customHeight="1">
      <c r="A18" s="483"/>
      <c r="B18" s="484" t="s">
        <v>694</v>
      </c>
      <c r="C18" s="485"/>
      <c r="D18" s="490" t="s">
        <v>7</v>
      </c>
      <c r="E18" s="480"/>
      <c r="F18" s="481" t="str">
        <f>F36</f>
        <v/>
      </c>
    </row>
    <row r="19" spans="1:12" s="477" customFormat="1" ht="27" customHeight="1">
      <c r="A19" s="483"/>
      <c r="B19" s="484" t="s">
        <v>695</v>
      </c>
      <c r="C19" s="502"/>
      <c r="D19" s="503" t="e">
        <f>SUM(D14,D15,D16,D17,D18)</f>
        <v>#REF!</v>
      </c>
      <c r="E19" s="504"/>
      <c r="F19" s="502">
        <f>SUM(F14:F18)</f>
        <v>0</v>
      </c>
      <c r="G19" s="489"/>
    </row>
    <row r="20" spans="1:12" s="477" customFormat="1" ht="33.75" customHeight="1">
      <c r="A20" s="483">
        <v>8</v>
      </c>
      <c r="B20" s="484" t="s">
        <v>696</v>
      </c>
      <c r="C20" s="485"/>
      <c r="D20" s="479" t="e">
        <f>D10+D19</f>
        <v>#REF!</v>
      </c>
      <c r="E20" s="505" t="s">
        <v>146</v>
      </c>
      <c r="F20" s="506" t="e">
        <f>F10+F19</f>
        <v>#REF!</v>
      </c>
      <c r="G20" s="489"/>
    </row>
    <row r="21" spans="1:12" s="477" customFormat="1" ht="51" customHeight="1">
      <c r="A21" s="483">
        <v>9</v>
      </c>
      <c r="B21" s="484" t="s">
        <v>697</v>
      </c>
      <c r="C21" s="485"/>
      <c r="D21" s="486">
        <v>0</v>
      </c>
      <c r="E21" s="487"/>
      <c r="F21" s="488">
        <f>D21</f>
        <v>0</v>
      </c>
    </row>
    <row r="22" spans="1:12" s="477" customFormat="1" ht="23.25" customHeight="1">
      <c r="A22" s="507" t="s">
        <v>146</v>
      </c>
      <c r="B22" s="508" t="s">
        <v>146</v>
      </c>
      <c r="C22" s="508"/>
      <c r="D22" s="509"/>
      <c r="E22" s="510"/>
      <c r="F22" s="511"/>
    </row>
    <row r="23" spans="1:12" s="477" customFormat="1" ht="18.75" customHeight="1">
      <c r="A23" s="512" t="s">
        <v>698</v>
      </c>
      <c r="B23" s="1330" t="s">
        <v>699</v>
      </c>
      <c r="C23" s="1330"/>
      <c r="D23" s="1330"/>
      <c r="E23" s="1330"/>
      <c r="F23" s="1353"/>
    </row>
    <row r="24" spans="1:12" s="477" customFormat="1" ht="18.75" customHeight="1">
      <c r="A24" s="512"/>
      <c r="B24" s="1336" t="e">
        <f>H24&amp;" "&amp;G24&amp;" "&amp;I24&amp;" "&amp;J24&amp;"%"&amp; " as"&amp;" "&amp;K24&amp; " "&amp;L24</f>
        <v>#REF!</v>
      </c>
      <c r="C24" s="1337"/>
      <c r="D24" s="1337"/>
      <c r="E24" s="1337"/>
      <c r="F24" s="1338"/>
      <c r="G24" s="514" t="s">
        <v>7</v>
      </c>
      <c r="H24" s="515" t="s">
        <v>700</v>
      </c>
      <c r="I24" s="515" t="str">
        <f>IF(J24="","","@")</f>
        <v/>
      </c>
      <c r="J24" s="516" t="s">
        <v>7</v>
      </c>
      <c r="K24" s="517" t="e">
        <f>IF(OR(L24=0,L24=""),"","Rs.")</f>
        <v>#REF!</v>
      </c>
      <c r="L24" s="518" t="e">
        <f>IF(D14=0,"",D14)</f>
        <v>#REF!</v>
      </c>
    </row>
    <row r="25" spans="1:12" s="477" customFormat="1" ht="19.5" customHeight="1">
      <c r="B25" s="1336" t="e">
        <f>H25&amp;" "&amp;G25&amp;" "&amp;I25&amp;" "&amp;J25&amp;"%"&amp; " as"&amp;" "&amp;K25&amp; " "&amp;L25</f>
        <v>#REF!</v>
      </c>
      <c r="C25" s="1337"/>
      <c r="D25" s="1337"/>
      <c r="E25" s="1337"/>
      <c r="F25" s="1338"/>
      <c r="G25" s="514" t="s">
        <v>7</v>
      </c>
      <c r="H25" s="515" t="s">
        <v>701</v>
      </c>
      <c r="I25" s="515" t="str">
        <f>IF(J25="","","@")</f>
        <v/>
      </c>
      <c r="J25" s="516" t="s">
        <v>7</v>
      </c>
      <c r="K25" s="517" t="e">
        <f>IF(OR(L25=0,L25=""),"","Rs.")</f>
        <v>#REF!</v>
      </c>
      <c r="L25" s="518" t="e">
        <f>IF(D15=0,"",D15)</f>
        <v>#REF!</v>
      </c>
    </row>
    <row r="26" spans="1:12" s="477" customFormat="1" ht="19.5" customHeight="1">
      <c r="B26" s="1336" t="e">
        <f>H26&amp;" "&amp;G26&amp;" "&amp;I26&amp;" "&amp;J26&amp;"%"&amp; " as"&amp;" "&amp;K26&amp; " "&amp;L26</f>
        <v>#REF!</v>
      </c>
      <c r="C26" s="1337"/>
      <c r="D26" s="1337"/>
      <c r="E26" s="1337"/>
      <c r="F26" s="1338"/>
      <c r="G26" s="514" t="s">
        <v>7</v>
      </c>
      <c r="H26" s="515" t="s">
        <v>702</v>
      </c>
      <c r="I26" s="515" t="str">
        <f>IF(J26="","","@")</f>
        <v/>
      </c>
      <c r="J26" s="516" t="s">
        <v>7</v>
      </c>
      <c r="K26" s="517" t="e">
        <f>IF(OR(L26=0,L26=""),"","Rs.")</f>
        <v>#REF!</v>
      </c>
      <c r="L26" s="518" t="e">
        <f>IF(D16=0,"",D16)</f>
        <v>#REF!</v>
      </c>
    </row>
    <row r="27" spans="1:12" s="477" customFormat="1" ht="19.5" customHeight="1">
      <c r="B27" s="1336" t="e">
        <f>H27&amp;" "&amp;G27&amp;" "&amp;I27&amp;" "&amp;J27&amp; " as"&amp;" "&amp;K27&amp; " "&amp;L27</f>
        <v>#REF!</v>
      </c>
      <c r="C27" s="1337"/>
      <c r="D27" s="1337"/>
      <c r="E27" s="1337"/>
      <c r="F27" s="1338"/>
      <c r="G27" s="514" t="s">
        <v>7</v>
      </c>
      <c r="H27" s="515" t="s">
        <v>703</v>
      </c>
      <c r="I27" s="515"/>
      <c r="J27" s="519"/>
      <c r="K27" s="517" t="e">
        <f>IF(OR(L27=0,L27=""),"","Rs.")</f>
        <v>#REF!</v>
      </c>
      <c r="L27" s="518" t="e">
        <f>IF(D17=0,"",D17)</f>
        <v>#REF!</v>
      </c>
    </row>
    <row r="28" spans="1:12" s="477" customFormat="1" ht="19.5" customHeight="1">
      <c r="B28" s="1336" t="str">
        <f>H28&amp;" "&amp;G28&amp;" "&amp;I28&amp;" "&amp;J28&amp; " as"&amp;" "&amp;K28&amp; " "&amp;L28</f>
        <v xml:space="preserve">Others     as  </v>
      </c>
      <c r="C28" s="1337"/>
      <c r="D28" s="1337"/>
      <c r="E28" s="1337"/>
      <c r="F28" s="1338"/>
      <c r="G28" s="514" t="s">
        <v>7</v>
      </c>
      <c r="H28" s="513" t="s">
        <v>704</v>
      </c>
      <c r="I28" s="513"/>
      <c r="J28" s="513"/>
      <c r="K28" s="513" t="str">
        <f>IF(OR(L28=0,L28=""),"","Rs.")</f>
        <v/>
      </c>
      <c r="L28" s="520" t="str">
        <f>IF(D18=0,"",D18)</f>
        <v/>
      </c>
    </row>
    <row r="29" spans="1:12" s="477" customFormat="1" ht="19.5" customHeight="1">
      <c r="B29" s="1342"/>
      <c r="C29" s="1342"/>
      <c r="D29" s="1342"/>
      <c r="E29" s="1342"/>
      <c r="F29" s="1343"/>
    </row>
    <row r="30" spans="1:12" ht="59.25" customHeight="1">
      <c r="A30" s="521" t="s">
        <v>705</v>
      </c>
      <c r="B30" s="1339" t="s">
        <v>706</v>
      </c>
      <c r="C30" s="1340"/>
      <c r="D30" s="1340"/>
      <c r="E30" s="1340"/>
      <c r="F30" s="1341"/>
    </row>
    <row r="31" spans="1:12" s="477" customFormat="1" ht="19.5" customHeight="1">
      <c r="A31" s="522" t="s">
        <v>707</v>
      </c>
      <c r="B31" s="1330" t="s">
        <v>708</v>
      </c>
      <c r="C31" s="1330"/>
      <c r="D31" s="1330"/>
      <c r="E31" s="513" t="s">
        <v>709</v>
      </c>
      <c r="F31" s="518">
        <v>0</v>
      </c>
    </row>
    <row r="32" spans="1:12" s="477" customFormat="1" ht="19.5" customHeight="1">
      <c r="A32" s="522" t="s">
        <v>710</v>
      </c>
      <c r="B32" s="515" t="s">
        <v>711</v>
      </c>
      <c r="C32" s="523"/>
      <c r="D32" s="524">
        <v>0.1</v>
      </c>
      <c r="E32" s="513" t="s">
        <v>709</v>
      </c>
      <c r="F32" s="518">
        <f>ROUND(D32*F31,0)</f>
        <v>0</v>
      </c>
      <c r="H32" s="1330"/>
      <c r="I32" s="1330"/>
      <c r="J32" s="1330"/>
    </row>
    <row r="33" spans="1:10" s="477" customFormat="1" ht="19.5" customHeight="1">
      <c r="A33" s="525" t="s">
        <v>712</v>
      </c>
      <c r="B33" s="515" t="s">
        <v>713</v>
      </c>
      <c r="C33" s="523"/>
      <c r="D33" s="526">
        <v>0</v>
      </c>
      <c r="E33" s="513"/>
      <c r="F33" s="518">
        <f>D33</f>
        <v>0</v>
      </c>
      <c r="H33" s="513"/>
      <c r="I33" s="513"/>
      <c r="J33" s="513"/>
    </row>
    <row r="34" spans="1:10" s="477" customFormat="1" ht="19.5" customHeight="1">
      <c r="A34" s="525" t="s">
        <v>714</v>
      </c>
      <c r="B34" s="515" t="s">
        <v>715</v>
      </c>
      <c r="D34" s="524">
        <v>0.02</v>
      </c>
      <c r="E34" s="513" t="s">
        <v>709</v>
      </c>
      <c r="F34" s="518">
        <f>ROUND((F33+(F33*D32))*D34,0)</f>
        <v>0</v>
      </c>
    </row>
    <row r="35" spans="1:10" s="477" customFormat="1" ht="19.5" customHeight="1">
      <c r="A35" s="525" t="s">
        <v>716</v>
      </c>
      <c r="B35" s="515" t="s">
        <v>717</v>
      </c>
      <c r="C35" s="513"/>
      <c r="D35" s="524">
        <v>0.01</v>
      </c>
      <c r="E35" s="513"/>
      <c r="F35" s="518">
        <f>ROUND(((F31-F33)+((F31-F33)*D32))*D35,0)</f>
        <v>0</v>
      </c>
    </row>
    <row r="36" spans="1:10" s="477" customFormat="1" ht="19.5" customHeight="1">
      <c r="A36" s="525" t="s">
        <v>718</v>
      </c>
      <c r="B36" s="517" t="s">
        <v>719</v>
      </c>
      <c r="C36" s="513"/>
      <c r="D36" s="513"/>
      <c r="E36" s="513" t="s">
        <v>709</v>
      </c>
      <c r="F36" s="527" t="str">
        <f>L28</f>
        <v/>
      </c>
    </row>
    <row r="37" spans="1:10" s="477" customFormat="1" ht="19.5" customHeight="1">
      <c r="A37" s="525" t="s">
        <v>720</v>
      </c>
      <c r="B37" s="1330" t="s">
        <v>721</v>
      </c>
      <c r="C37" s="1330"/>
      <c r="D37" s="1330"/>
      <c r="E37" s="513" t="s">
        <v>709</v>
      </c>
      <c r="F37" s="528">
        <f>SUM(F31,F32,F34,F35,F36)</f>
        <v>0</v>
      </c>
    </row>
    <row r="38" spans="1:10" s="477" customFormat="1" ht="19.5" customHeight="1">
      <c r="A38" s="525" t="s">
        <v>722</v>
      </c>
      <c r="B38" s="517" t="s">
        <v>723</v>
      </c>
      <c r="C38" s="513"/>
      <c r="D38" s="524"/>
      <c r="E38" s="513" t="s">
        <v>709</v>
      </c>
      <c r="F38" s="527">
        <f>ROUND(D38*F37,0)</f>
        <v>0</v>
      </c>
    </row>
    <row r="39" spans="1:10" s="477" customFormat="1" ht="19.5" customHeight="1">
      <c r="A39" s="522"/>
      <c r="B39" s="513"/>
      <c r="C39" s="513"/>
      <c r="D39" s="513"/>
      <c r="E39" s="513"/>
      <c r="F39" s="529"/>
    </row>
    <row r="40" spans="1:10" s="477" customFormat="1" ht="15" customHeight="1">
      <c r="A40" s="522"/>
      <c r="B40" s="513"/>
      <c r="C40" s="513"/>
      <c r="D40" s="513"/>
      <c r="E40" s="513"/>
      <c r="F40" s="529"/>
    </row>
    <row r="41" spans="1:10" s="477" customFormat="1" ht="15" customHeight="1">
      <c r="A41" s="522"/>
      <c r="B41" s="513"/>
      <c r="C41" s="513"/>
      <c r="D41" s="513"/>
      <c r="E41" s="513"/>
      <c r="F41" s="529"/>
    </row>
    <row r="42" spans="1:10" s="477" customFormat="1" ht="19.5" customHeight="1">
      <c r="A42" s="522"/>
      <c r="B42" s="513"/>
      <c r="C42" s="513"/>
      <c r="D42" s="513"/>
      <c r="E42" s="513"/>
      <c r="F42" s="529"/>
    </row>
    <row r="43" spans="1:10" ht="49.5" customHeight="1">
      <c r="A43" s="1331" t="str">
        <f>Basic!B1</f>
        <v>Extension of residential quarters 2 nos C type &amp; 2 nos B2 type quarters over the existing C type &amp; B2 type at 400/220 KV Shahjahanpur &amp; 765/400 KV Sohawal Substation</v>
      </c>
      <c r="B43" s="1332"/>
      <c r="C43" s="1333"/>
      <c r="D43" s="1334" t="s">
        <v>724</v>
      </c>
      <c r="E43" s="1335"/>
      <c r="F43" s="537" t="s">
        <v>725</v>
      </c>
    </row>
    <row r="44" spans="1:10" ht="33">
      <c r="A44" s="532" t="s">
        <v>726</v>
      </c>
      <c r="B44" s="533" t="str">
        <f>Basic!B5</f>
        <v>NR3/NT/W-CIVIL/DOM/K00/25/09879 (Rfx No.5002004724)</v>
      </c>
      <c r="C44" s="534"/>
      <c r="D44" s="535"/>
      <c r="E44" s="536"/>
      <c r="F44" s="538"/>
    </row>
    <row r="46" spans="1:10">
      <c r="A46" s="530"/>
    </row>
  </sheetData>
  <customSheetViews>
    <customSheetView guid="{B48B8B4C-A880-453D-8729-90D004BEF0D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7043F04C-1FA3-449D-BEB8-4AC08DF68A5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E81F0721-C35D-4189-B675-E46A2133986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17F5C48B-526E-48D2-9F97-823D578F98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7F1A5DE7-1043-4C11-AB2C-CC6BC6A0F48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75D87FDD-0292-4E5A-8E8F-63018B00939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28" type="noConversion"/>
  <printOptions horizontalCentered="1"/>
  <pageMargins left="0.79" right="0.37" top="0.65" bottom="0.45" header="0.38" footer="0"/>
  <pageSetup paperSize="9" scale="84" fitToHeight="0" orientation="portrait" horizontalDpi="1200" verticalDpi="1200" r:id="rId20"/>
  <headerFooter alignWithMargins="0">
    <oddHeader>&amp;C&amp;"Calibri"&amp;12&amp;KFF0000 डेटा वर्गीकरण : प्रतिबंधित/RESTRICTED&amp;1#_x000D_</oddHeader>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06" customWidth="1"/>
    <col min="2" max="2" width="46.875" style="106" customWidth="1"/>
    <col min="3" max="3" width="2.25" style="106" customWidth="1"/>
    <col min="4" max="4" width="17.625" style="144" customWidth="1"/>
    <col min="5" max="5" width="4.125" style="144" customWidth="1"/>
    <col min="6" max="6" width="17.625" style="144" customWidth="1"/>
    <col min="7" max="7" width="21.625" style="109" customWidth="1"/>
    <col min="8" max="8" width="15.25" style="258" customWidth="1"/>
    <col min="9" max="10" width="13.75" style="258" customWidth="1"/>
    <col min="11" max="11" width="14.875" style="258" customWidth="1"/>
    <col min="12" max="12" width="13.75" style="258" customWidth="1"/>
    <col min="13" max="16" width="8" style="258" customWidth="1"/>
    <col min="17" max="16384" width="8" style="109"/>
  </cols>
  <sheetData>
    <row r="1" spans="1:16" ht="15.95" customHeight="1">
      <c r="B1" s="1360" t="s">
        <v>675</v>
      </c>
      <c r="C1" s="1361"/>
      <c r="D1" s="1361"/>
      <c r="E1" s="1361"/>
      <c r="F1" s="1361"/>
    </row>
    <row r="2" spans="1:16" ht="15.95" customHeight="1">
      <c r="B2" s="107"/>
      <c r="C2" s="108"/>
      <c r="D2" s="110"/>
      <c r="E2" s="110"/>
      <c r="F2" s="110"/>
    </row>
    <row r="3" spans="1:16" s="111" customFormat="1" ht="15.95" customHeight="1">
      <c r="A3" s="106"/>
      <c r="B3" s="106"/>
      <c r="C3" s="106"/>
      <c r="D3" s="1362" t="s">
        <v>676</v>
      </c>
      <c r="E3" s="1362"/>
      <c r="F3" s="1362"/>
      <c r="H3" s="882"/>
      <c r="I3" s="882"/>
      <c r="J3" s="882"/>
      <c r="K3" s="882"/>
      <c r="L3" s="882"/>
      <c r="M3" s="882"/>
      <c r="N3" s="882"/>
      <c r="O3" s="882"/>
      <c r="P3" s="882"/>
    </row>
    <row r="4" spans="1:16" s="111" customFormat="1" ht="20.25" customHeight="1">
      <c r="A4" s="1368" t="s">
        <v>677</v>
      </c>
      <c r="B4" s="1368"/>
      <c r="C4" s="1368"/>
      <c r="D4" s="1363" t="str">
        <f>'Sch-1'!G9</f>
        <v/>
      </c>
      <c r="E4" s="1363"/>
      <c r="F4" s="1363"/>
      <c r="H4" s="882"/>
      <c r="I4" s="882"/>
      <c r="J4" s="882"/>
      <c r="K4" s="882"/>
      <c r="L4" s="882"/>
      <c r="M4" s="882"/>
      <c r="N4" s="882"/>
      <c r="O4" s="882"/>
      <c r="P4" s="882"/>
    </row>
    <row r="5" spans="1:16" s="117" customFormat="1" ht="21" customHeight="1">
      <c r="A5" s="113" t="s">
        <v>541</v>
      </c>
      <c r="B5" s="1366" t="s">
        <v>678</v>
      </c>
      <c r="C5" s="1367"/>
      <c r="D5" s="114" t="s">
        <v>679</v>
      </c>
      <c r="E5" s="1364" t="s">
        <v>680</v>
      </c>
      <c r="F5" s="1365"/>
      <c r="H5" s="883"/>
      <c r="I5" s="883"/>
      <c r="J5" s="883"/>
      <c r="K5" s="883"/>
      <c r="L5" s="883"/>
      <c r="M5" s="883"/>
      <c r="N5" s="883"/>
      <c r="O5" s="883"/>
      <c r="P5" s="883"/>
    </row>
    <row r="6" spans="1:16" s="111" customFormat="1" ht="36" customHeight="1">
      <c r="A6" s="118">
        <v>1</v>
      </c>
      <c r="B6" s="119" t="s">
        <v>681</v>
      </c>
      <c r="C6" s="120"/>
      <c r="D6" s="121">
        <f>'Sch-3'!D14</f>
        <v>0</v>
      </c>
      <c r="E6" s="122" t="s">
        <v>146</v>
      </c>
      <c r="F6" s="123">
        <f>D6</f>
        <v>0</v>
      </c>
      <c r="G6" s="124"/>
      <c r="H6" s="882"/>
      <c r="I6" s="882"/>
      <c r="J6" s="882"/>
      <c r="K6" s="882"/>
      <c r="L6" s="882"/>
      <c r="M6" s="882"/>
      <c r="N6" s="882"/>
      <c r="O6" s="882"/>
      <c r="P6" s="882"/>
    </row>
    <row r="7" spans="1:16" s="111" customFormat="1" ht="34.5" customHeight="1">
      <c r="A7" s="118">
        <v>2</v>
      </c>
      <c r="B7" s="119" t="s">
        <v>682</v>
      </c>
      <c r="C7" s="120"/>
      <c r="D7" s="121">
        <f>'Sch-3'!D16</f>
        <v>0</v>
      </c>
      <c r="E7" s="122"/>
      <c r="F7" s="123">
        <f>D7</f>
        <v>0</v>
      </c>
      <c r="G7" s="124"/>
      <c r="H7" s="882"/>
      <c r="I7" s="882"/>
      <c r="J7" s="882"/>
      <c r="K7" s="882"/>
      <c r="L7" s="882"/>
      <c r="M7" s="882"/>
      <c r="N7" s="882"/>
      <c r="O7" s="882"/>
      <c r="P7" s="882"/>
    </row>
    <row r="8" spans="1:16" s="111" customFormat="1" ht="21" customHeight="1">
      <c r="A8" s="118">
        <v>3</v>
      </c>
      <c r="B8" s="119" t="s">
        <v>683</v>
      </c>
      <c r="C8" s="120"/>
      <c r="D8" s="121" t="e">
        <f>'Sch-3'!#REF!</f>
        <v>#REF!</v>
      </c>
      <c r="E8" s="122"/>
      <c r="F8" s="123" t="e">
        <f>D8</f>
        <v>#REF!</v>
      </c>
      <c r="G8" s="124"/>
      <c r="H8" s="882"/>
      <c r="I8" s="882"/>
      <c r="J8" s="882"/>
      <c r="K8" s="882"/>
      <c r="L8" s="882"/>
      <c r="M8" s="882"/>
      <c r="N8" s="882"/>
      <c r="O8" s="882"/>
      <c r="P8" s="882"/>
    </row>
    <row r="9" spans="1:16" s="111" customFormat="1" ht="21" customHeight="1">
      <c r="A9" s="118">
        <v>4</v>
      </c>
      <c r="B9" s="119" t="s">
        <v>684</v>
      </c>
      <c r="C9" s="120"/>
      <c r="D9" s="125" t="s">
        <v>685</v>
      </c>
      <c r="E9" s="122"/>
      <c r="F9" s="116" t="str">
        <f>D9</f>
        <v>Not Applicable</v>
      </c>
      <c r="H9" s="882"/>
      <c r="I9" s="882"/>
      <c r="J9" s="882"/>
      <c r="K9" s="882"/>
      <c r="L9" s="882"/>
      <c r="M9" s="882"/>
      <c r="N9" s="882"/>
      <c r="O9" s="882"/>
      <c r="P9" s="882"/>
    </row>
    <row r="10" spans="1:16" s="111" customFormat="1" ht="21" customHeight="1">
      <c r="A10" s="118">
        <v>5</v>
      </c>
      <c r="B10" s="119" t="s">
        <v>686</v>
      </c>
      <c r="C10" s="120"/>
      <c r="D10" s="126" t="e">
        <f>SUM(D6,D7,D8)</f>
        <v>#REF!</v>
      </c>
      <c r="E10" s="122"/>
      <c r="F10" s="127" t="e">
        <f>F6+F7+F8</f>
        <v>#REF!</v>
      </c>
      <c r="H10" s="882"/>
      <c r="I10" s="882"/>
      <c r="J10" s="882"/>
      <c r="K10" s="882"/>
      <c r="L10" s="882"/>
      <c r="M10" s="882"/>
      <c r="N10" s="882"/>
      <c r="O10" s="882"/>
      <c r="P10" s="882"/>
    </row>
    <row r="11" spans="1:16" s="111" customFormat="1" ht="21" customHeight="1">
      <c r="A11" s="118">
        <v>6</v>
      </c>
      <c r="B11" s="128" t="s">
        <v>687</v>
      </c>
      <c r="C11" s="129" t="s">
        <v>146</v>
      </c>
      <c r="D11" s="121" t="e">
        <f>'Sch-1'!#REF!+'Sch-2'!#REF!+#REF!+'Sch-7'!#REF!</f>
        <v>#REF!</v>
      </c>
      <c r="E11" s="130" t="s">
        <v>146</v>
      </c>
      <c r="F11" s="123" t="e">
        <f>D11</f>
        <v>#REF!</v>
      </c>
      <c r="H11" s="882"/>
      <c r="I11" s="882"/>
      <c r="J11" s="882"/>
      <c r="K11" s="882"/>
      <c r="L11" s="882"/>
      <c r="M11" s="882"/>
      <c r="N11" s="882"/>
      <c r="O11" s="882"/>
      <c r="P11" s="882"/>
    </row>
    <row r="12" spans="1:16" s="111" customFormat="1" ht="21.95" customHeight="1">
      <c r="A12" s="118">
        <v>7</v>
      </c>
      <c r="B12" s="128" t="s">
        <v>688</v>
      </c>
      <c r="C12" s="120"/>
      <c r="D12" s="114" t="e">
        <f>D10-D11</f>
        <v>#REF!</v>
      </c>
      <c r="E12" s="122"/>
      <c r="F12" s="127" t="e">
        <f>F10-F11</f>
        <v>#REF!</v>
      </c>
      <c r="G12" s="131"/>
      <c r="H12" s="882"/>
      <c r="I12" s="882"/>
      <c r="J12" s="882"/>
      <c r="K12" s="882"/>
      <c r="L12" s="882"/>
      <c r="M12" s="882"/>
      <c r="N12" s="882"/>
      <c r="O12" s="882"/>
      <c r="P12" s="882"/>
    </row>
    <row r="13" spans="1:16" s="111" customFormat="1" ht="21.95" customHeight="1">
      <c r="A13" s="118">
        <v>8</v>
      </c>
      <c r="B13" s="119" t="s">
        <v>689</v>
      </c>
      <c r="C13" s="120"/>
      <c r="D13" s="121"/>
      <c r="E13" s="122"/>
      <c r="F13" s="123"/>
      <c r="H13" s="882"/>
      <c r="I13" s="882"/>
      <c r="J13" s="882"/>
      <c r="K13" s="882"/>
      <c r="L13" s="882"/>
      <c r="M13" s="882"/>
      <c r="N13" s="882"/>
      <c r="O13" s="882"/>
      <c r="P13" s="882"/>
    </row>
    <row r="14" spans="1:16" s="111" customFormat="1" ht="21.95" customHeight="1">
      <c r="A14" s="118" t="s">
        <v>146</v>
      </c>
      <c r="B14" s="119" t="s">
        <v>690</v>
      </c>
      <c r="C14" s="132"/>
      <c r="D14" s="125" t="e">
        <f>'Schedule-2'!K14</f>
        <v>#REF!</v>
      </c>
      <c r="E14" s="133"/>
      <c r="F14" s="116" t="e">
        <f>F32</f>
        <v>#REF!</v>
      </c>
      <c r="G14" s="124"/>
      <c r="H14" s="882"/>
      <c r="I14" s="882"/>
      <c r="J14" s="882"/>
      <c r="K14" s="882"/>
      <c r="L14" s="882"/>
      <c r="M14" s="882"/>
      <c r="N14" s="882"/>
      <c r="O14" s="882"/>
      <c r="P14" s="882"/>
    </row>
    <row r="15" spans="1:16" s="111" customFormat="1" ht="21.95" customHeight="1">
      <c r="A15" s="118"/>
      <c r="B15" s="119" t="s">
        <v>727</v>
      </c>
      <c r="C15" s="120"/>
      <c r="D15" s="125" t="e">
        <f>'Schedule-2'!#REF!+'Schedule-2'!#REF!</f>
        <v>#REF!</v>
      </c>
      <c r="E15" s="134"/>
      <c r="F15" s="116" t="e">
        <f>F33</f>
        <v>#REF!</v>
      </c>
      <c r="G15" s="124"/>
      <c r="H15" s="882"/>
      <c r="I15" s="882"/>
      <c r="J15" s="882"/>
      <c r="K15" s="882"/>
      <c r="L15" s="882"/>
      <c r="M15" s="882"/>
      <c r="N15" s="882"/>
      <c r="O15" s="882"/>
      <c r="P15" s="882"/>
    </row>
    <row r="16" spans="1:16" s="111" customFormat="1" ht="21.95" customHeight="1">
      <c r="A16" s="118"/>
      <c r="B16" s="119" t="s">
        <v>728</v>
      </c>
      <c r="C16" s="120"/>
      <c r="D16" s="125" t="e">
        <f>#REF!+#REF!</f>
        <v>#REF!</v>
      </c>
      <c r="E16" s="134"/>
      <c r="F16" s="116" t="e">
        <f>F36</f>
        <v>#REF!</v>
      </c>
      <c r="G16" s="124"/>
      <c r="H16" s="882"/>
      <c r="I16" s="882"/>
      <c r="J16" s="882"/>
      <c r="K16" s="882"/>
      <c r="L16" s="882"/>
      <c r="M16" s="882"/>
      <c r="N16" s="882"/>
      <c r="O16" s="882"/>
      <c r="P16" s="882"/>
    </row>
    <row r="17" spans="1:16" s="111" customFormat="1" ht="21.95" customHeight="1">
      <c r="A17" s="118"/>
      <c r="B17" s="119" t="s">
        <v>729</v>
      </c>
      <c r="C17" s="120"/>
      <c r="D17" s="125" t="e">
        <f>#REF!</f>
        <v>#REF!</v>
      </c>
      <c r="E17" s="115"/>
      <c r="F17" s="116">
        <f>F34</f>
        <v>0</v>
      </c>
      <c r="H17" s="882"/>
      <c r="I17" s="882"/>
      <c r="J17" s="882"/>
      <c r="K17" s="882"/>
      <c r="L17" s="882"/>
      <c r="M17" s="882"/>
      <c r="N17" s="882"/>
      <c r="O17" s="882"/>
      <c r="P17" s="882"/>
    </row>
    <row r="18" spans="1:16" s="111" customFormat="1" ht="27" customHeight="1">
      <c r="A18" s="118"/>
      <c r="B18" s="119" t="s">
        <v>730</v>
      </c>
      <c r="C18" s="135"/>
      <c r="D18" s="246" t="e">
        <f>D14+D15+D16+D17</f>
        <v>#REF!</v>
      </c>
      <c r="E18" s="136"/>
      <c r="F18" s="135" t="e">
        <f>SUM(F14:F17)</f>
        <v>#REF!</v>
      </c>
      <c r="G18" s="124"/>
      <c r="H18" s="882"/>
      <c r="I18" s="882"/>
      <c r="J18" s="882"/>
      <c r="K18" s="882"/>
      <c r="L18" s="882"/>
      <c r="M18" s="882"/>
      <c r="N18" s="882"/>
      <c r="O18" s="882"/>
      <c r="P18" s="882"/>
    </row>
    <row r="19" spans="1:16" s="111" customFormat="1" ht="33.75" customHeight="1">
      <c r="A19" s="118">
        <v>8</v>
      </c>
      <c r="B19" s="119" t="s">
        <v>696</v>
      </c>
      <c r="C19" s="120"/>
      <c r="D19" s="114" t="e">
        <f>D10+D18</f>
        <v>#REF!</v>
      </c>
      <c r="E19" s="137" t="s">
        <v>146</v>
      </c>
      <c r="F19" s="138" t="e">
        <f>F10+F18</f>
        <v>#REF!</v>
      </c>
      <c r="G19" s="124"/>
      <c r="H19" s="882"/>
      <c r="I19" s="882"/>
      <c r="J19" s="882"/>
      <c r="K19" s="882"/>
      <c r="L19" s="882"/>
      <c r="M19" s="882"/>
      <c r="N19" s="882"/>
      <c r="O19" s="882"/>
      <c r="P19" s="882"/>
    </row>
    <row r="20" spans="1:16" s="111" customFormat="1" ht="51" customHeight="1">
      <c r="A20" s="118">
        <v>9</v>
      </c>
      <c r="B20" s="119" t="s">
        <v>697</v>
      </c>
      <c r="C20" s="120"/>
      <c r="D20" s="121">
        <f>'Sch-1'!N22</f>
        <v>0</v>
      </c>
      <c r="E20" s="122"/>
      <c r="F20" s="123">
        <f>D20</f>
        <v>0</v>
      </c>
      <c r="H20" s="882"/>
      <c r="I20" s="882"/>
      <c r="J20" s="882"/>
      <c r="K20" s="882"/>
      <c r="L20" s="882"/>
      <c r="M20" s="882"/>
      <c r="N20" s="882"/>
      <c r="O20" s="882"/>
      <c r="P20" s="882"/>
    </row>
    <row r="21" spans="1:16" s="111" customFormat="1" ht="23.25" customHeight="1">
      <c r="A21" s="139" t="s">
        <v>698</v>
      </c>
      <c r="B21" s="1354" t="s">
        <v>699</v>
      </c>
      <c r="C21" s="1354"/>
      <c r="D21" s="1354"/>
      <c r="E21" s="1354"/>
      <c r="F21" s="1355"/>
      <c r="H21" s="882"/>
      <c r="I21" s="882"/>
      <c r="J21" s="882"/>
      <c r="K21" s="882"/>
      <c r="L21" s="882"/>
      <c r="M21" s="882"/>
      <c r="N21" s="882"/>
      <c r="O21" s="882"/>
      <c r="P21" s="882"/>
    </row>
    <row r="22" spans="1:16" s="111" customFormat="1" ht="18.75" customHeight="1">
      <c r="A22" s="141" t="s">
        <v>707</v>
      </c>
      <c r="B22" s="1359" t="s">
        <v>548</v>
      </c>
      <c r="C22" s="1359"/>
      <c r="D22" s="1359"/>
      <c r="E22" s="140" t="s">
        <v>709</v>
      </c>
      <c r="F22" s="143" t="e">
        <f>D14</f>
        <v>#REF!</v>
      </c>
      <c r="H22" s="882"/>
      <c r="I22" s="882"/>
      <c r="J22" s="882"/>
      <c r="K22" s="882"/>
      <c r="L22" s="882"/>
      <c r="M22" s="882"/>
      <c r="N22" s="882"/>
      <c r="O22" s="882"/>
      <c r="P22" s="882"/>
    </row>
    <row r="23" spans="1:16" s="111" customFormat="1" ht="19.5" customHeight="1">
      <c r="A23" s="141" t="s">
        <v>710</v>
      </c>
      <c r="B23" s="1359" t="s">
        <v>731</v>
      </c>
      <c r="C23" s="1359"/>
      <c r="D23" s="1359"/>
      <c r="E23" s="140" t="s">
        <v>709</v>
      </c>
      <c r="F23" s="143" t="e">
        <f>D15</f>
        <v>#REF!</v>
      </c>
      <c r="H23" s="882"/>
      <c r="I23" s="882"/>
      <c r="J23" s="882"/>
      <c r="K23" s="882"/>
      <c r="L23" s="882"/>
      <c r="M23" s="882"/>
      <c r="N23" s="882"/>
      <c r="O23" s="882"/>
      <c r="P23" s="882"/>
    </row>
    <row r="24" spans="1:16" s="111" customFormat="1" ht="19.5" customHeight="1">
      <c r="A24" s="141" t="s">
        <v>712</v>
      </c>
      <c r="B24" s="1359" t="s">
        <v>732</v>
      </c>
      <c r="C24" s="1359"/>
      <c r="D24" s="1359"/>
      <c r="E24" s="140" t="s">
        <v>709</v>
      </c>
      <c r="F24" s="143" t="e">
        <f>D16</f>
        <v>#REF!</v>
      </c>
      <c r="H24" s="882"/>
      <c r="I24" s="882"/>
      <c r="J24" s="882"/>
      <c r="K24" s="882"/>
      <c r="L24" s="882"/>
      <c r="M24" s="882"/>
      <c r="N24" s="882"/>
      <c r="O24" s="882"/>
      <c r="P24" s="882"/>
    </row>
    <row r="25" spans="1:16" s="111" customFormat="1" ht="19.5" customHeight="1">
      <c r="A25" s="141" t="s">
        <v>714</v>
      </c>
      <c r="B25" s="1359" t="s">
        <v>704</v>
      </c>
      <c r="C25" s="1359"/>
      <c r="D25" s="1359"/>
      <c r="E25" s="140" t="s">
        <v>709</v>
      </c>
      <c r="F25" s="143" t="e">
        <f>D17</f>
        <v>#REF!</v>
      </c>
      <c r="H25" s="882"/>
      <c r="I25" s="882"/>
      <c r="J25" s="882"/>
      <c r="K25" s="882"/>
      <c r="L25" s="882"/>
      <c r="M25" s="882"/>
      <c r="N25" s="882"/>
      <c r="O25" s="882"/>
      <c r="P25" s="882"/>
    </row>
    <row r="26" spans="1:16" s="111" customFormat="1" ht="19.5" customHeight="1">
      <c r="A26" s="145" t="s">
        <v>705</v>
      </c>
      <c r="B26" s="1354" t="s">
        <v>733</v>
      </c>
      <c r="C26" s="1354"/>
      <c r="D26" s="1354"/>
      <c r="E26" s="1354"/>
      <c r="F26" s="1355"/>
      <c r="H26" s="882"/>
      <c r="I26" s="882"/>
      <c r="J26" s="882"/>
      <c r="K26" s="882"/>
      <c r="L26" s="882"/>
      <c r="M26" s="882"/>
      <c r="N26" s="882"/>
      <c r="O26" s="882"/>
      <c r="P26" s="882"/>
    </row>
    <row r="27" spans="1:16" ht="19.5" customHeight="1">
      <c r="A27" s="247"/>
      <c r="B27" s="109"/>
      <c r="C27" s="109"/>
      <c r="D27" s="109"/>
      <c r="E27" s="109"/>
      <c r="F27" s="248"/>
    </row>
    <row r="28" spans="1:16" s="111" customFormat="1" ht="19.5" customHeight="1">
      <c r="A28" s="249"/>
      <c r="F28" s="250"/>
      <c r="H28" s="882"/>
      <c r="I28" s="882"/>
      <c r="J28" s="882"/>
      <c r="K28" s="882"/>
      <c r="L28" s="882"/>
      <c r="M28" s="882"/>
      <c r="N28" s="882"/>
      <c r="O28" s="882"/>
      <c r="P28" s="882"/>
    </row>
    <row r="29" spans="1:16" s="111" customFormat="1" ht="19.5" customHeight="1">
      <c r="A29" s="249"/>
      <c r="F29" s="250"/>
      <c r="H29" s="882"/>
      <c r="I29" s="882"/>
      <c r="J29" s="882"/>
      <c r="K29" s="882"/>
      <c r="L29" s="882"/>
      <c r="M29" s="882"/>
      <c r="N29" s="882"/>
      <c r="O29" s="882"/>
      <c r="P29" s="882"/>
    </row>
    <row r="30" spans="1:16" s="111" customFormat="1" ht="60" customHeight="1">
      <c r="A30" s="145" t="s">
        <v>734</v>
      </c>
      <c r="B30" s="1356" t="s">
        <v>735</v>
      </c>
      <c r="C30" s="1357"/>
      <c r="D30" s="1357"/>
      <c r="E30" s="1357"/>
      <c r="F30" s="1358"/>
      <c r="H30" s="882" t="s">
        <v>736</v>
      </c>
      <c r="I30" s="882"/>
      <c r="J30" s="882"/>
      <c r="K30" s="882"/>
      <c r="L30" s="882"/>
      <c r="M30" s="882"/>
      <c r="N30" s="882"/>
      <c r="O30" s="882"/>
      <c r="P30" s="882"/>
    </row>
    <row r="31" spans="1:16" s="111" customFormat="1" ht="19.5" customHeight="1">
      <c r="A31" s="141" t="s">
        <v>707</v>
      </c>
      <c r="B31" s="1359" t="s">
        <v>708</v>
      </c>
      <c r="C31" s="1359"/>
      <c r="D31" s="1359"/>
      <c r="E31" s="140" t="s">
        <v>709</v>
      </c>
      <c r="F31" s="142" t="e">
        <f>'Sch-1'!#REF!</f>
        <v>#REF!</v>
      </c>
      <c r="H31" s="883" t="s">
        <v>737</v>
      </c>
      <c r="I31" s="883" t="e">
        <f>#REF!</f>
        <v>#REF!</v>
      </c>
      <c r="J31" s="883" t="e">
        <f>IF(I31=0, "", I31)</f>
        <v>#REF!</v>
      </c>
      <c r="K31" s="884" t="e">
        <f>IF(I31=0, "", "Discount on lum-sum basis on total price quoted by us without Taxes &amp; Duties. In Rs. ")</f>
        <v>#REF!</v>
      </c>
      <c r="L31" s="883" t="s">
        <v>738</v>
      </c>
      <c r="M31" s="885" t="e">
        <f>#REF!</f>
        <v>#REF!</v>
      </c>
      <c r="N31" s="885" t="e">
        <f t="shared" ref="N31:N37" si="0">IF(M31=0, "", M31)</f>
        <v>#REF!</v>
      </c>
      <c r="O31" s="884" t="e">
        <f>IF(M31=0, "", " Discount on lum-sum basis on total price quoted by us without Taxes &amp; Duties. In Percent (%) .")</f>
        <v>#REF!</v>
      </c>
      <c r="P31" s="882"/>
    </row>
    <row r="32" spans="1:16" s="111" customFormat="1" ht="19.5" customHeight="1">
      <c r="A32" s="141" t="s">
        <v>710</v>
      </c>
      <c r="B32" s="1359" t="s">
        <v>739</v>
      </c>
      <c r="C32" s="1359"/>
      <c r="D32" s="1359"/>
      <c r="E32" s="140" t="s">
        <v>709</v>
      </c>
      <c r="F32" s="142" t="e">
        <f>ROUND(0.103*F31,0)</f>
        <v>#REF!</v>
      </c>
      <c r="H32" s="882"/>
      <c r="I32" s="882"/>
      <c r="J32" s="883"/>
      <c r="K32" s="884" t="e">
        <f>IF(SUM(I33:I37)=0, "", "Discount on lum-sum basis on the Schedules as given below , In Rs. :")</f>
        <v>#REF!</v>
      </c>
      <c r="L32" s="882"/>
      <c r="M32" s="882"/>
      <c r="N32" s="885"/>
      <c r="O32" s="884" t="e">
        <f>IF(SUM(M33:M37)=0, "", "Discount on lum-sum basis on the Schedules as given below , In Percent (%) :")</f>
        <v>#REF!</v>
      </c>
      <c r="P32" s="882"/>
    </row>
    <row r="33" spans="1:16" s="111" customFormat="1" ht="19.5" customHeight="1">
      <c r="A33" s="141" t="s">
        <v>712</v>
      </c>
      <c r="B33" s="1359" t="s">
        <v>740</v>
      </c>
      <c r="C33" s="1359"/>
      <c r="D33" s="1359"/>
      <c r="E33" s="140" t="s">
        <v>709</v>
      </c>
      <c r="F33" s="142" t="e">
        <f>'Schedule-2'!#REF!+'Schedule-2'!#REF!</f>
        <v>#REF!</v>
      </c>
      <c r="H33" s="883" t="s">
        <v>741</v>
      </c>
      <c r="I33" s="883" t="e">
        <f>#REF!</f>
        <v>#REF!</v>
      </c>
      <c r="J33" s="883" t="e">
        <f>IF(I33=0, "", I33)</f>
        <v>#REF!</v>
      </c>
      <c r="K33" s="259" t="e">
        <f>IF(I33=0, "", "Schedule-1 : Ex works prices (Direct Only)")</f>
        <v>#REF!</v>
      </c>
      <c r="L33" s="883" t="s">
        <v>742</v>
      </c>
      <c r="M33" s="885" t="e">
        <f>#REF!</f>
        <v>#REF!</v>
      </c>
      <c r="N33" s="885" t="e">
        <f t="shared" si="0"/>
        <v>#REF!</v>
      </c>
      <c r="O33" s="259" t="e">
        <f>IF(M33=0, "", "Schedule-1 : Ex works prices (Direct Only)")</f>
        <v>#REF!</v>
      </c>
      <c r="P33" s="882"/>
    </row>
    <row r="34" spans="1:16" s="111" customFormat="1" ht="19.5" customHeight="1">
      <c r="A34" s="141" t="s">
        <v>714</v>
      </c>
      <c r="B34" s="1359" t="s">
        <v>704</v>
      </c>
      <c r="C34" s="1359"/>
      <c r="D34" s="1359"/>
      <c r="E34" s="140" t="s">
        <v>709</v>
      </c>
      <c r="F34" s="261"/>
      <c r="H34" s="883" t="s">
        <v>743</v>
      </c>
      <c r="I34" s="883" t="e">
        <f>#REF!</f>
        <v>#REF!</v>
      </c>
      <c r="J34" s="883" t="e">
        <f>IF(I34=0, "", I34)</f>
        <v>#REF!</v>
      </c>
      <c r="K34" s="259" t="e">
        <f>IF(I34=0, "", "Schedule-1 : Ex works prices (Bought Out Only)")</f>
        <v>#REF!</v>
      </c>
      <c r="L34" s="883" t="s">
        <v>744</v>
      </c>
      <c r="M34" s="885" t="e">
        <f>#REF!</f>
        <v>#REF!</v>
      </c>
      <c r="N34" s="885" t="e">
        <f t="shared" si="0"/>
        <v>#REF!</v>
      </c>
      <c r="O34" s="259" t="e">
        <f>IF(M34=0, "", "Schedule-1 : Ex works prices (Bought Out Only)")</f>
        <v>#REF!</v>
      </c>
      <c r="P34" s="882"/>
    </row>
    <row r="35" spans="1:16" s="111" customFormat="1" ht="15" customHeight="1">
      <c r="A35" s="141" t="s">
        <v>716</v>
      </c>
      <c r="B35" s="1359" t="s">
        <v>721</v>
      </c>
      <c r="C35" s="1359"/>
      <c r="D35" s="1359"/>
      <c r="E35" s="140" t="s">
        <v>709</v>
      </c>
      <c r="F35" s="143" t="e">
        <f>D6+D7+F32+F33+F34</f>
        <v>#REF!</v>
      </c>
      <c r="H35" s="883" t="s">
        <v>745</v>
      </c>
      <c r="I35" s="883" t="e">
        <f>#REF!</f>
        <v>#REF!</v>
      </c>
      <c r="J35" s="883" t="e">
        <f>IF(I35=0, "", I35)</f>
        <v>#REF!</v>
      </c>
      <c r="K35" s="259" t="e">
        <f>IF(I35=0, "", "Schedule-2 : Freight &amp; Insurance")</f>
        <v>#REF!</v>
      </c>
      <c r="L35" s="883" t="s">
        <v>746</v>
      </c>
      <c r="M35" s="885" t="e">
        <f>#REF!</f>
        <v>#REF!</v>
      </c>
      <c r="N35" s="885" t="e">
        <f t="shared" si="0"/>
        <v>#REF!</v>
      </c>
      <c r="O35" s="259" t="e">
        <f>IF(M35=0, "", "Schedule-2 : Freight &amp; Insurance")</f>
        <v>#REF!</v>
      </c>
      <c r="P35" s="882"/>
    </row>
    <row r="36" spans="1:16" s="111" customFormat="1" ht="15" customHeight="1">
      <c r="A36" s="141" t="s">
        <v>718</v>
      </c>
      <c r="B36" s="1359" t="s">
        <v>747</v>
      </c>
      <c r="C36" s="1359"/>
      <c r="D36" s="1359"/>
      <c r="E36" s="140" t="s">
        <v>709</v>
      </c>
      <c r="F36" s="143" t="e">
        <f>ROUND(0.01*F35,0)</f>
        <v>#REF!</v>
      </c>
      <c r="H36" s="883" t="s">
        <v>748</v>
      </c>
      <c r="I36" s="883" t="e">
        <f>#REF!</f>
        <v>#REF!</v>
      </c>
      <c r="J36" s="883" t="e">
        <f>IF(I36=0, "", I36)</f>
        <v>#REF!</v>
      </c>
      <c r="K36" s="259" t="e">
        <f>IF(I36=0, "", "Schedule-3 : Erection Charges")</f>
        <v>#REF!</v>
      </c>
      <c r="L36" s="883" t="s">
        <v>749</v>
      </c>
      <c r="M36" s="885" t="e">
        <f>#REF!</f>
        <v>#REF!</v>
      </c>
      <c r="N36" s="885" t="e">
        <f t="shared" si="0"/>
        <v>#REF!</v>
      </c>
      <c r="O36" s="259" t="e">
        <f>IF(M36=0, "", "Schedule-3 : Erection Charges")</f>
        <v>#REF!</v>
      </c>
      <c r="P36" s="882"/>
    </row>
    <row r="37" spans="1:16" s="111" customFormat="1" ht="19.5" customHeight="1">
      <c r="A37" s="251"/>
      <c r="B37" s="252"/>
      <c r="C37" s="252"/>
      <c r="D37" s="252"/>
      <c r="E37" s="252"/>
      <c r="F37" s="253"/>
      <c r="H37" s="883" t="s">
        <v>750</v>
      </c>
      <c r="I37" s="883" t="e">
        <f>#REF!</f>
        <v>#REF!</v>
      </c>
      <c r="J37" s="883" t="e">
        <f>IF(I37=0, "", I37)</f>
        <v>#REF!</v>
      </c>
      <c r="K37" s="259" t="e">
        <f>IF(I37=0, "", "Schedule-7 : Type Test Charges")</f>
        <v>#REF!</v>
      </c>
      <c r="L37" s="883" t="s">
        <v>751</v>
      </c>
      <c r="M37" s="885" t="e">
        <f>#REF!</f>
        <v>#REF!</v>
      </c>
      <c r="N37" s="885" t="e">
        <f t="shared" si="0"/>
        <v>#REF!</v>
      </c>
      <c r="O37" s="259" t="e">
        <f>IF(M37=0, "", "Schedule-7 : Type Test Charges")</f>
        <v>#REF!</v>
      </c>
      <c r="P37" s="882"/>
    </row>
    <row r="38" spans="1:16" ht="49.5" customHeight="1">
      <c r="A38" s="1369" t="str">
        <f>Cover!B2</f>
        <v>Extension of residential quarters 2 nos C type &amp; 2 nos B2 type quarters over the existing C type &amp; B2 type at 400/220 KV Shahjahanpur &amp; 765/400 KV Sohawal Substation</v>
      </c>
      <c r="B38" s="1369"/>
      <c r="C38" s="1369"/>
      <c r="D38" s="1370" t="s">
        <v>724</v>
      </c>
      <c r="E38" s="1371"/>
      <c r="F38" s="112" t="s">
        <v>725</v>
      </c>
      <c r="H38" s="883" t="s">
        <v>752</v>
      </c>
      <c r="I38" s="883" t="e">
        <f>#REF!</f>
        <v>#REF!</v>
      </c>
      <c r="J38" s="883"/>
      <c r="K38" s="883"/>
      <c r="L38" s="883"/>
      <c r="M38" s="883"/>
      <c r="N38" s="883"/>
    </row>
    <row r="39" spans="1:16">
      <c r="H39" s="258" t="s">
        <v>753</v>
      </c>
      <c r="I39" s="260" t="e">
        <f>K31 &amp;J31 &amp;O31 &amp; N31</f>
        <v>#REF!</v>
      </c>
    </row>
    <row r="40" spans="1:16">
      <c r="I40" s="260" t="e">
        <f>K32 &amp; K33&amp;J33&amp;K34&amp;J34&amp;K35&amp;J35&amp;K36&amp;J36&amp;K37&amp;J37</f>
        <v>#REF!</v>
      </c>
    </row>
    <row r="41" spans="1:16">
      <c r="I41" s="260" t="e">
        <f>O32&amp;O33&amp;N33&amp;O34&amp;N34&amp;O35&amp;N35&amp;O36&amp;N36&amp;O37&amp;N37</f>
        <v>#REF!</v>
      </c>
    </row>
  </sheetData>
  <customSheetViews>
    <customSheetView guid="{B48B8B4C-A880-453D-8729-90D004BEF0DB}"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7043F04C-1FA3-449D-BEB8-4AC08DF68A5A}"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E81F0721-C35D-4189-B675-E46A21339863}"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17F5C48B-526E-48D2-9F97-823D578F9893}"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7F1A5DE7-1043-4C11-AB2C-CC6BC6A0F482}"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75D87FDD-0292-4E5A-8E8F-63018B009393}"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3" type="noConversion"/>
  <printOptions horizontalCentered="1"/>
  <pageMargins left="0.79" right="0.37" top="0.65" bottom="0.45" header="0.38" footer="0"/>
  <pageSetup paperSize="9" scale="96" fitToHeight="0" orientation="portrait" horizontalDpi="1200" verticalDpi="1200" r:id="rId24"/>
  <headerFooter alignWithMargins="0">
    <oddHeader>&amp;C&amp;"Calibri"&amp;12&amp;KFF0000 डेटा वर्गीकरण : प्रतिबंधित/RESTRICTED&amp;1#_x000D_</oddHeader>
    <oddFooter xml:space="preserve">&amp;R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indexed="8"/>
  </sheetPr>
  <dimension ref="A1:D112"/>
  <sheetViews>
    <sheetView workbookViewId="0">
      <selection sqref="A1:F1"/>
    </sheetView>
  </sheetViews>
  <sheetFormatPr defaultColWidth="8" defaultRowHeight="12.75"/>
  <cols>
    <col min="1" max="1" width="11.625" style="105" customWidth="1"/>
    <col min="2" max="2" width="22.125" style="105" customWidth="1"/>
    <col min="3" max="16384" width="8" style="105"/>
  </cols>
  <sheetData>
    <row r="1" spans="1:4" s="104" customFormat="1" ht="30" customHeight="1">
      <c r="A1" s="1372">
        <f>'Bid Form '!AB18</f>
        <v>0</v>
      </c>
      <c r="B1" s="1372"/>
    </row>
    <row r="2" spans="1:4" s="104" customFormat="1" ht="30" customHeight="1"/>
    <row r="3" spans="1:4">
      <c r="A3" s="104"/>
    </row>
    <row r="4" spans="1:4">
      <c r="A4" s="311" t="str">
        <f>IF(OR((A1&gt;9999999999),(A1&lt;0)),"Invalid Entry - More than 1000 crore OR -ve value",IF(A1=0, "Rs. Zero Only ",+CONCATENATE("Rs. ", B11,D11,B10,D10,B9,D9,B8,D8,B7,D7,B6," Only")))</f>
        <v xml:space="preserve">Rs. Zero Only </v>
      </c>
      <c r="B4" s="312"/>
    </row>
    <row r="5" spans="1:4">
      <c r="A5" s="313"/>
      <c r="B5" s="312"/>
    </row>
    <row r="6" spans="1:4">
      <c r="A6" s="314">
        <f>-INT(A1/100)*100+ROUND(A1,0)</f>
        <v>0</v>
      </c>
      <c r="B6" s="312" t="str">
        <f t="shared" ref="B6:B11" si="0">IF(A6=0,"",LOOKUP(A6,$A$13:$A$112,$B$13:$B$112))</f>
        <v/>
      </c>
      <c r="D6" s="886"/>
    </row>
    <row r="7" spans="1:4">
      <c r="A7" s="314">
        <f>-INT(A1/1000)*10+INT(A1/100)</f>
        <v>0</v>
      </c>
      <c r="B7" s="312" t="str">
        <f t="shared" si="0"/>
        <v/>
      </c>
      <c r="D7" s="886" t="str">
        <f>+IF(B7="",""," Hundred ")</f>
        <v/>
      </c>
    </row>
    <row r="8" spans="1:4">
      <c r="A8" s="314">
        <f>-INT(A1/100000)*100+INT(A1/1000)</f>
        <v>0</v>
      </c>
      <c r="B8" s="312" t="str">
        <f t="shared" si="0"/>
        <v/>
      </c>
      <c r="D8" s="886" t="str">
        <f>IF((B8=""),IF(C8="",""," Thousand ")," Thousand ")</f>
        <v/>
      </c>
    </row>
    <row r="9" spans="1:4">
      <c r="A9" s="314">
        <f>-INT(A1/10000000)*100+INT(A1/100000)</f>
        <v>0</v>
      </c>
      <c r="B9" s="312" t="str">
        <f t="shared" si="0"/>
        <v/>
      </c>
      <c r="D9" s="886" t="str">
        <f>IF((B9=""),IF(C9="",""," Lac ")," Lac ")</f>
        <v/>
      </c>
    </row>
    <row r="10" spans="1:4">
      <c r="A10" s="314">
        <f>-INT(A1/1000000000)*100+INT(A1/10000000)</f>
        <v>0</v>
      </c>
      <c r="B10" s="315" t="str">
        <f t="shared" si="0"/>
        <v/>
      </c>
      <c r="D10" s="886" t="str">
        <f>IF((B10=""),IF(C10="",""," Crore ")," Crore ")</f>
        <v/>
      </c>
    </row>
    <row r="11" spans="1:4">
      <c r="A11" s="316">
        <f>-INT(A1/10000000000)*1000+INT(A1/1000000000)</f>
        <v>0</v>
      </c>
      <c r="B11" s="315" t="str">
        <f t="shared" si="0"/>
        <v/>
      </c>
      <c r="D11" s="886" t="str">
        <f>IF((B11=""),IF(C11="",""," Hundred ")," Hundred ")</f>
        <v/>
      </c>
    </row>
    <row r="12" spans="1:4">
      <c r="A12" s="312"/>
      <c r="B12" s="312"/>
    </row>
    <row r="13" spans="1:4">
      <c r="A13" s="309">
        <v>1</v>
      </c>
      <c r="B13" s="310" t="s">
        <v>754</v>
      </c>
    </row>
    <row r="14" spans="1:4">
      <c r="A14" s="309">
        <v>2</v>
      </c>
      <c r="B14" s="310" t="s">
        <v>755</v>
      </c>
    </row>
    <row r="15" spans="1:4">
      <c r="A15" s="309">
        <v>3</v>
      </c>
      <c r="B15" s="310" t="s">
        <v>756</v>
      </c>
    </row>
    <row r="16" spans="1:4">
      <c r="A16" s="309">
        <v>4</v>
      </c>
      <c r="B16" s="310" t="s">
        <v>757</v>
      </c>
    </row>
    <row r="17" spans="1:2">
      <c r="A17" s="309">
        <v>5</v>
      </c>
      <c r="B17" s="310" t="s">
        <v>758</v>
      </c>
    </row>
    <row r="18" spans="1:2">
      <c r="A18" s="309">
        <v>6</v>
      </c>
      <c r="B18" s="310" t="s">
        <v>759</v>
      </c>
    </row>
    <row r="19" spans="1:2">
      <c r="A19" s="309">
        <v>7</v>
      </c>
      <c r="B19" s="310" t="s">
        <v>760</v>
      </c>
    </row>
    <row r="20" spans="1:2">
      <c r="A20" s="309">
        <v>8</v>
      </c>
      <c r="B20" s="310" t="s">
        <v>761</v>
      </c>
    </row>
    <row r="21" spans="1:2">
      <c r="A21" s="309">
        <v>9</v>
      </c>
      <c r="B21" s="310" t="s">
        <v>762</v>
      </c>
    </row>
    <row r="22" spans="1:2">
      <c r="A22" s="309">
        <v>10</v>
      </c>
      <c r="B22" s="310" t="s">
        <v>763</v>
      </c>
    </row>
    <row r="23" spans="1:2">
      <c r="A23" s="309">
        <v>11</v>
      </c>
      <c r="B23" s="310" t="s">
        <v>764</v>
      </c>
    </row>
    <row r="24" spans="1:2">
      <c r="A24" s="309">
        <v>12</v>
      </c>
      <c r="B24" s="310" t="s">
        <v>765</v>
      </c>
    </row>
    <row r="25" spans="1:2">
      <c r="A25" s="309">
        <v>13</v>
      </c>
      <c r="B25" s="310" t="s">
        <v>766</v>
      </c>
    </row>
    <row r="26" spans="1:2">
      <c r="A26" s="309">
        <v>14</v>
      </c>
      <c r="B26" s="310" t="s">
        <v>767</v>
      </c>
    </row>
    <row r="27" spans="1:2">
      <c r="A27" s="309">
        <v>15</v>
      </c>
      <c r="B27" s="310" t="s">
        <v>768</v>
      </c>
    </row>
    <row r="28" spans="1:2">
      <c r="A28" s="309">
        <v>16</v>
      </c>
      <c r="B28" s="310" t="s">
        <v>769</v>
      </c>
    </row>
    <row r="29" spans="1:2">
      <c r="A29" s="309">
        <v>17</v>
      </c>
      <c r="B29" s="310" t="s">
        <v>770</v>
      </c>
    </row>
    <row r="30" spans="1:2">
      <c r="A30" s="309">
        <v>18</v>
      </c>
      <c r="B30" s="310" t="s">
        <v>771</v>
      </c>
    </row>
    <row r="31" spans="1:2">
      <c r="A31" s="309">
        <v>19</v>
      </c>
      <c r="B31" s="310" t="s">
        <v>772</v>
      </c>
    </row>
    <row r="32" spans="1:2">
      <c r="A32" s="309">
        <v>20</v>
      </c>
      <c r="B32" s="310" t="s">
        <v>773</v>
      </c>
    </row>
    <row r="33" spans="1:2">
      <c r="A33" s="309">
        <v>21</v>
      </c>
      <c r="B33" s="310" t="s">
        <v>774</v>
      </c>
    </row>
    <row r="34" spans="1:2">
      <c r="A34" s="309">
        <v>22</v>
      </c>
      <c r="B34" s="310" t="s">
        <v>775</v>
      </c>
    </row>
    <row r="35" spans="1:2">
      <c r="A35" s="309">
        <v>23</v>
      </c>
      <c r="B35" s="310" t="s">
        <v>776</v>
      </c>
    </row>
    <row r="36" spans="1:2">
      <c r="A36" s="309">
        <v>24</v>
      </c>
      <c r="B36" s="310" t="s">
        <v>777</v>
      </c>
    </row>
    <row r="37" spans="1:2">
      <c r="A37" s="309">
        <v>25</v>
      </c>
      <c r="B37" s="310" t="s">
        <v>778</v>
      </c>
    </row>
    <row r="38" spans="1:2">
      <c r="A38" s="309">
        <v>26</v>
      </c>
      <c r="B38" s="310" t="s">
        <v>779</v>
      </c>
    </row>
    <row r="39" spans="1:2">
      <c r="A39" s="309">
        <v>27</v>
      </c>
      <c r="B39" s="310" t="s">
        <v>780</v>
      </c>
    </row>
    <row r="40" spans="1:2">
      <c r="A40" s="309">
        <v>28</v>
      </c>
      <c r="B40" s="310" t="s">
        <v>781</v>
      </c>
    </row>
    <row r="41" spans="1:2">
      <c r="A41" s="309">
        <v>29</v>
      </c>
      <c r="B41" s="310" t="s">
        <v>782</v>
      </c>
    </row>
    <row r="42" spans="1:2">
      <c r="A42" s="309">
        <v>30</v>
      </c>
      <c r="B42" s="310" t="s">
        <v>783</v>
      </c>
    </row>
    <row r="43" spans="1:2">
      <c r="A43" s="309">
        <v>31</v>
      </c>
      <c r="B43" s="310" t="s">
        <v>784</v>
      </c>
    </row>
    <row r="44" spans="1:2">
      <c r="A44" s="309">
        <v>32</v>
      </c>
      <c r="B44" s="310" t="s">
        <v>785</v>
      </c>
    </row>
    <row r="45" spans="1:2">
      <c r="A45" s="309">
        <v>33</v>
      </c>
      <c r="B45" s="310" t="s">
        <v>786</v>
      </c>
    </row>
    <row r="46" spans="1:2">
      <c r="A46" s="309">
        <v>34</v>
      </c>
      <c r="B46" s="310" t="s">
        <v>787</v>
      </c>
    </row>
    <row r="47" spans="1:2">
      <c r="A47" s="309">
        <v>35</v>
      </c>
      <c r="B47" s="310" t="s">
        <v>788</v>
      </c>
    </row>
    <row r="48" spans="1:2">
      <c r="A48" s="309">
        <v>36</v>
      </c>
      <c r="B48" s="310" t="s">
        <v>789</v>
      </c>
    </row>
    <row r="49" spans="1:2">
      <c r="A49" s="309">
        <v>37</v>
      </c>
      <c r="B49" s="310" t="s">
        <v>790</v>
      </c>
    </row>
    <row r="50" spans="1:2">
      <c r="A50" s="309">
        <v>38</v>
      </c>
      <c r="B50" s="310" t="s">
        <v>791</v>
      </c>
    </row>
    <row r="51" spans="1:2">
      <c r="A51" s="309">
        <v>39</v>
      </c>
      <c r="B51" s="310" t="s">
        <v>792</v>
      </c>
    </row>
    <row r="52" spans="1:2">
      <c r="A52" s="309">
        <v>40</v>
      </c>
      <c r="B52" s="310" t="s">
        <v>793</v>
      </c>
    </row>
    <row r="53" spans="1:2">
      <c r="A53" s="309">
        <v>41</v>
      </c>
      <c r="B53" s="310" t="s">
        <v>794</v>
      </c>
    </row>
    <row r="54" spans="1:2">
      <c r="A54" s="309">
        <v>42</v>
      </c>
      <c r="B54" s="310" t="s">
        <v>795</v>
      </c>
    </row>
    <row r="55" spans="1:2">
      <c r="A55" s="309">
        <v>43</v>
      </c>
      <c r="B55" s="310" t="s">
        <v>796</v>
      </c>
    </row>
    <row r="56" spans="1:2">
      <c r="A56" s="309">
        <v>44</v>
      </c>
      <c r="B56" s="310" t="s">
        <v>797</v>
      </c>
    </row>
    <row r="57" spans="1:2">
      <c r="A57" s="309">
        <v>45</v>
      </c>
      <c r="B57" s="310" t="s">
        <v>798</v>
      </c>
    </row>
    <row r="58" spans="1:2">
      <c r="A58" s="309">
        <v>46</v>
      </c>
      <c r="B58" s="310" t="s">
        <v>799</v>
      </c>
    </row>
    <row r="59" spans="1:2">
      <c r="A59" s="309">
        <v>47</v>
      </c>
      <c r="B59" s="310" t="s">
        <v>800</v>
      </c>
    </row>
    <row r="60" spans="1:2">
      <c r="A60" s="309">
        <v>48</v>
      </c>
      <c r="B60" s="310" t="s">
        <v>801</v>
      </c>
    </row>
    <row r="61" spans="1:2">
      <c r="A61" s="309">
        <v>49</v>
      </c>
      <c r="B61" s="310" t="s">
        <v>802</v>
      </c>
    </row>
    <row r="62" spans="1:2">
      <c r="A62" s="309">
        <v>50</v>
      </c>
      <c r="B62" s="310" t="s">
        <v>803</v>
      </c>
    </row>
    <row r="63" spans="1:2">
      <c r="A63" s="309">
        <v>51</v>
      </c>
      <c r="B63" s="310" t="s">
        <v>804</v>
      </c>
    </row>
    <row r="64" spans="1:2">
      <c r="A64" s="309">
        <v>52</v>
      </c>
      <c r="B64" s="310" t="s">
        <v>805</v>
      </c>
    </row>
    <row r="65" spans="1:2">
      <c r="A65" s="309">
        <v>53</v>
      </c>
      <c r="B65" s="310" t="s">
        <v>806</v>
      </c>
    </row>
    <row r="66" spans="1:2">
      <c r="A66" s="309">
        <v>54</v>
      </c>
      <c r="B66" s="310" t="s">
        <v>807</v>
      </c>
    </row>
    <row r="67" spans="1:2">
      <c r="A67" s="309">
        <v>55</v>
      </c>
      <c r="B67" s="310" t="s">
        <v>808</v>
      </c>
    </row>
    <row r="68" spans="1:2">
      <c r="A68" s="309">
        <v>56</v>
      </c>
      <c r="B68" s="310" t="s">
        <v>809</v>
      </c>
    </row>
    <row r="69" spans="1:2">
      <c r="A69" s="309">
        <v>57</v>
      </c>
      <c r="B69" s="310" t="s">
        <v>810</v>
      </c>
    </row>
    <row r="70" spans="1:2">
      <c r="A70" s="309">
        <v>58</v>
      </c>
      <c r="B70" s="310" t="s">
        <v>811</v>
      </c>
    </row>
    <row r="71" spans="1:2">
      <c r="A71" s="309">
        <v>59</v>
      </c>
      <c r="B71" s="310" t="s">
        <v>812</v>
      </c>
    </row>
    <row r="72" spans="1:2">
      <c r="A72" s="309">
        <v>60</v>
      </c>
      <c r="B72" s="310" t="s">
        <v>813</v>
      </c>
    </row>
    <row r="73" spans="1:2">
      <c r="A73" s="309">
        <v>61</v>
      </c>
      <c r="B73" s="310" t="s">
        <v>814</v>
      </c>
    </row>
    <row r="74" spans="1:2">
      <c r="A74" s="309">
        <v>62</v>
      </c>
      <c r="B74" s="310" t="s">
        <v>815</v>
      </c>
    </row>
    <row r="75" spans="1:2">
      <c r="A75" s="309">
        <v>63</v>
      </c>
      <c r="B75" s="310" t="s">
        <v>816</v>
      </c>
    </row>
    <row r="76" spans="1:2">
      <c r="A76" s="309">
        <v>64</v>
      </c>
      <c r="B76" s="310" t="s">
        <v>817</v>
      </c>
    </row>
    <row r="77" spans="1:2">
      <c r="A77" s="309">
        <v>65</v>
      </c>
      <c r="B77" s="310" t="s">
        <v>818</v>
      </c>
    </row>
    <row r="78" spans="1:2">
      <c r="A78" s="309">
        <v>66</v>
      </c>
      <c r="B78" s="310" t="s">
        <v>819</v>
      </c>
    </row>
    <row r="79" spans="1:2">
      <c r="A79" s="309">
        <v>67</v>
      </c>
      <c r="B79" s="310" t="s">
        <v>820</v>
      </c>
    </row>
    <row r="80" spans="1:2">
      <c r="A80" s="309">
        <v>68</v>
      </c>
      <c r="B80" s="310" t="s">
        <v>821</v>
      </c>
    </row>
    <row r="81" spans="1:2">
      <c r="A81" s="309">
        <v>69</v>
      </c>
      <c r="B81" s="310" t="s">
        <v>822</v>
      </c>
    </row>
    <row r="82" spans="1:2">
      <c r="A82" s="309">
        <v>70</v>
      </c>
      <c r="B82" s="310" t="s">
        <v>823</v>
      </c>
    </row>
    <row r="83" spans="1:2">
      <c r="A83" s="309">
        <v>71</v>
      </c>
      <c r="B83" s="310" t="s">
        <v>824</v>
      </c>
    </row>
    <row r="84" spans="1:2">
      <c r="A84" s="309">
        <v>72</v>
      </c>
      <c r="B84" s="310" t="s">
        <v>825</v>
      </c>
    </row>
    <row r="85" spans="1:2">
      <c r="A85" s="309">
        <v>73</v>
      </c>
      <c r="B85" s="310" t="s">
        <v>826</v>
      </c>
    </row>
    <row r="86" spans="1:2">
      <c r="A86" s="309">
        <v>74</v>
      </c>
      <c r="B86" s="310" t="s">
        <v>827</v>
      </c>
    </row>
    <row r="87" spans="1:2">
      <c r="A87" s="309">
        <v>75</v>
      </c>
      <c r="B87" s="310" t="s">
        <v>828</v>
      </c>
    </row>
    <row r="88" spans="1:2">
      <c r="A88" s="309">
        <v>76</v>
      </c>
      <c r="B88" s="310" t="s">
        <v>829</v>
      </c>
    </row>
    <row r="89" spans="1:2">
      <c r="A89" s="309">
        <v>77</v>
      </c>
      <c r="B89" s="310" t="s">
        <v>830</v>
      </c>
    </row>
    <row r="90" spans="1:2">
      <c r="A90" s="309">
        <v>78</v>
      </c>
      <c r="B90" s="310" t="s">
        <v>831</v>
      </c>
    </row>
    <row r="91" spans="1:2">
      <c r="A91" s="309">
        <v>79</v>
      </c>
      <c r="B91" s="310" t="s">
        <v>832</v>
      </c>
    </row>
    <row r="92" spans="1:2">
      <c r="A92" s="309">
        <v>80</v>
      </c>
      <c r="B92" s="310" t="s">
        <v>833</v>
      </c>
    </row>
    <row r="93" spans="1:2">
      <c r="A93" s="309">
        <v>81</v>
      </c>
      <c r="B93" s="310" t="s">
        <v>834</v>
      </c>
    </row>
    <row r="94" spans="1:2">
      <c r="A94" s="309">
        <v>82</v>
      </c>
      <c r="B94" s="310" t="s">
        <v>835</v>
      </c>
    </row>
    <row r="95" spans="1:2">
      <c r="A95" s="309">
        <v>83</v>
      </c>
      <c r="B95" s="310" t="s">
        <v>836</v>
      </c>
    </row>
    <row r="96" spans="1:2">
      <c r="A96" s="309">
        <v>84</v>
      </c>
      <c r="B96" s="310" t="s">
        <v>837</v>
      </c>
    </row>
    <row r="97" spans="1:2">
      <c r="A97" s="309">
        <v>85</v>
      </c>
      <c r="B97" s="310" t="s">
        <v>838</v>
      </c>
    </row>
    <row r="98" spans="1:2">
      <c r="A98" s="309">
        <v>86</v>
      </c>
      <c r="B98" s="310" t="s">
        <v>839</v>
      </c>
    </row>
    <row r="99" spans="1:2">
      <c r="A99" s="309">
        <v>87</v>
      </c>
      <c r="B99" s="310" t="s">
        <v>840</v>
      </c>
    </row>
    <row r="100" spans="1:2">
      <c r="A100" s="309">
        <v>88</v>
      </c>
      <c r="B100" s="310" t="s">
        <v>841</v>
      </c>
    </row>
    <row r="101" spans="1:2">
      <c r="A101" s="309">
        <v>89</v>
      </c>
      <c r="B101" s="310" t="s">
        <v>842</v>
      </c>
    </row>
    <row r="102" spans="1:2">
      <c r="A102" s="309">
        <v>90</v>
      </c>
      <c r="B102" s="310" t="s">
        <v>843</v>
      </c>
    </row>
    <row r="103" spans="1:2">
      <c r="A103" s="309">
        <v>91</v>
      </c>
      <c r="B103" s="310" t="s">
        <v>844</v>
      </c>
    </row>
    <row r="104" spans="1:2">
      <c r="A104" s="309">
        <v>92</v>
      </c>
      <c r="B104" s="310" t="s">
        <v>845</v>
      </c>
    </row>
    <row r="105" spans="1:2">
      <c r="A105" s="309">
        <v>93</v>
      </c>
      <c r="B105" s="310" t="s">
        <v>846</v>
      </c>
    </row>
    <row r="106" spans="1:2">
      <c r="A106" s="309">
        <v>94</v>
      </c>
      <c r="B106" s="310" t="s">
        <v>847</v>
      </c>
    </row>
    <row r="107" spans="1:2">
      <c r="A107" s="309">
        <v>95</v>
      </c>
      <c r="B107" s="310" t="s">
        <v>848</v>
      </c>
    </row>
    <row r="108" spans="1:2">
      <c r="A108" s="309">
        <v>96</v>
      </c>
      <c r="B108" s="310" t="s">
        <v>849</v>
      </c>
    </row>
    <row r="109" spans="1:2">
      <c r="A109" s="309">
        <v>97</v>
      </c>
      <c r="B109" s="310" t="s">
        <v>850</v>
      </c>
    </row>
    <row r="110" spans="1:2">
      <c r="A110" s="309">
        <v>98</v>
      </c>
      <c r="B110" s="310" t="s">
        <v>851</v>
      </c>
    </row>
    <row r="111" spans="1:2">
      <c r="A111" s="309">
        <v>99</v>
      </c>
      <c r="B111" s="310" t="s">
        <v>852</v>
      </c>
    </row>
    <row r="112" spans="1:2">
      <c r="A112" s="309">
        <v>100</v>
      </c>
      <c r="B112" s="310" t="s">
        <v>853</v>
      </c>
    </row>
  </sheetData>
  <customSheetViews>
    <customSheetView guid="{B48B8B4C-A880-453D-8729-90D004BEF0DB}" state="hidden">
      <selection sqref="A1:F1"/>
      <pageMargins left="0" right="0" top="0" bottom="0" header="0" footer="0"/>
      <pageSetup orientation="portrait" r:id="rId1"/>
      <headerFooter alignWithMargins="0"/>
    </customSheetView>
    <customSheetView guid="{7043F04C-1FA3-449D-BEB8-4AC08DF68A5A}" state="hidden">
      <selection sqref="A1:F1"/>
      <pageMargins left="0" right="0" top="0" bottom="0" header="0" footer="0"/>
      <pageSetup orientation="portrait" r:id="rId2"/>
      <headerFooter alignWithMargins="0"/>
    </customSheetView>
    <customSheetView guid="{D0757F9E-DF41-4B40-A5E5-F4F8FDD8D61D}" state="hidden">
      <selection sqref="A1:F1"/>
      <pageMargins left="0" right="0" top="0" bottom="0" header="0" footer="0"/>
      <pageSetup orientation="portrait" r:id="rId3"/>
      <headerFooter alignWithMargins="0"/>
    </customSheetView>
    <customSheetView guid="{E81F0721-C35D-4189-B675-E46A21339863}" state="hidden">
      <selection sqref="A1:F1"/>
      <pageMargins left="0" right="0" top="0" bottom="0" header="0" footer="0"/>
      <pageSetup orientation="portrait" r:id="rId4"/>
      <headerFooter alignWithMargins="0"/>
    </customSheetView>
    <customSheetView guid="{223BC0FC-814D-40F0-9795-CE82A16FF3A5}" state="hidden">
      <selection sqref="A1:F1"/>
      <pageMargins left="0" right="0" top="0" bottom="0" header="0" footer="0"/>
      <pageSetup orientation="portrait" r:id="rId5"/>
      <headerFooter alignWithMargins="0"/>
    </customSheetView>
    <customSheetView guid="{D53177B2-31EC-4222-B97A-A37DCFD9E45B}" state="hidden">
      <selection sqref="A1:F1"/>
      <pageMargins left="0" right="0" top="0" bottom="0" header="0" footer="0"/>
      <pageSetup orientation="portrait" r:id="rId6"/>
      <headerFooter alignWithMargins="0"/>
    </customSheetView>
    <customSheetView guid="{B3CE7B10-A914-4559-A6DA-AED8C22AFD6D}" state="hidden">
      <selection sqref="A1:F1"/>
      <pageMargins left="0" right="0" top="0" bottom="0" header="0" footer="0"/>
      <pageSetup orientation="portrait" r:id="rId7"/>
      <headerFooter alignWithMargins="0"/>
    </customSheetView>
    <customSheetView guid="{7487ED9F-BBED-4B2A-9631-22F1A430946B}" state="hidden">
      <selection sqref="A1:F1"/>
      <pageMargins left="0" right="0" top="0" bottom="0" header="0" footer="0"/>
      <pageSetup orientation="portrait" r:id="rId8"/>
      <headerFooter alignWithMargins="0"/>
    </customSheetView>
    <customSheetView guid="{A7DBDDEF-9245-44C6-9EBF-032DB6E1C0A2}" state="hidden">
      <selection sqref="A1:F1"/>
      <pageMargins left="0" right="0" top="0" bottom="0" header="0" footer="0"/>
      <pageSetup orientation="portrait" r:id="rId9"/>
      <headerFooter alignWithMargins="0"/>
    </customSheetView>
    <customSheetView guid="{E9F4E142-7D26-464D-BECA-4F3806DB1FE1}" state="hidden">
      <selection sqref="A1:F1"/>
      <pageMargins left="0" right="0" top="0" bottom="0" header="0" footer="0"/>
      <pageSetup orientation="portrait" r:id="rId10"/>
      <headerFooter alignWithMargins="0"/>
    </customSheetView>
    <customSheetView guid="{27A45B7A-04F2-4516-B80B-5ED0825D4ED3}" state="hidden" topLeftCell="A2">
      <selection activeCell="C2" sqref="C2"/>
      <pageMargins left="0" right="0" top="0" bottom="0" header="0" footer="0"/>
      <pageSetup orientation="portrait" r:id="rId11"/>
      <headerFooter alignWithMargins="0"/>
    </customSheetView>
    <customSheetView guid="{14D7F02E-BCCA-4517-ABC7-537FF4AEB67A}" state="hidden" topLeftCell="A2">
      <selection activeCell="C2" sqref="C2"/>
      <pageMargins left="0" right="0" top="0" bottom="0" header="0" footer="0"/>
      <pageSetup orientation="portrait" r:id="rId12"/>
      <headerFooter alignWithMargins="0"/>
    </customSheetView>
    <customSheetView guid="{01ACF2E1-8E61-4459-ABC1-B6C183DEED61}" state="hidden" showRuler="0">
      <selection sqref="A1:B1"/>
      <pageMargins left="0" right="0" top="0" bottom="0" header="0" footer="0"/>
      <pageSetup orientation="portrait" r:id="rId13"/>
      <headerFooter alignWithMargins="0"/>
    </customSheetView>
    <customSheetView guid="{4F65FF32-EC61-4022-A399-2986D7B6B8B3}" state="hidden" showRuler="0">
      <selection sqref="A1:B1"/>
      <pageMargins left="0" right="0" top="0" bottom="0" header="0" footer="0"/>
      <pageSetup orientation="portrait" r:id="rId14"/>
      <headerFooter alignWithMargins="0"/>
    </customSheetView>
    <customSheetView guid="{ECE9294F-C910-4036-88BC-B1F2176FB06B}" state="hidden">
      <selection sqref="A1:F1"/>
      <pageMargins left="0" right="0" top="0" bottom="0" header="0" footer="0"/>
      <pageSetup orientation="portrait" r:id="rId15"/>
      <headerFooter alignWithMargins="0"/>
    </customSheetView>
    <customSheetView guid="{B23AD343-29DA-4CE0-BD10-47BF44F3782F}" state="hidden">
      <selection sqref="A1:F1"/>
      <pageMargins left="0" right="0" top="0" bottom="0" header="0" footer="0"/>
      <pageSetup orientation="portrait" r:id="rId16"/>
      <headerFooter alignWithMargins="0"/>
    </customSheetView>
    <customSheetView guid="{4AA1107B-A795-4744-B566-827168772C7A}" state="hidden">
      <selection sqref="A1:F1"/>
      <pageMargins left="0" right="0" top="0" bottom="0" header="0" footer="0"/>
      <pageSetup orientation="portrait" r:id="rId17"/>
      <headerFooter alignWithMargins="0"/>
    </customSheetView>
    <customSheetView guid="{EE46BCD1-F715-4FA9-A5FC-1B125AD601E0}" state="hidden">
      <selection sqref="A1:F1"/>
      <pageMargins left="0" right="0" top="0" bottom="0" header="0" footer="0"/>
      <pageSetup orientation="portrait" r:id="rId18"/>
      <headerFooter alignWithMargins="0"/>
    </customSheetView>
    <customSheetView guid="{E97134B6-5E8D-4951-8DA0-73D065532361}" state="hidden">
      <selection sqref="A1:F1"/>
      <pageMargins left="0" right="0" top="0" bottom="0" header="0" footer="0"/>
      <pageSetup orientation="portrait" r:id="rId19"/>
      <headerFooter alignWithMargins="0"/>
    </customSheetView>
    <customSheetView guid="{B835C05C-B615-4DCB-982D-4519616B3CD8}" state="hidden">
      <selection sqref="A1:F1"/>
      <pageMargins left="0" right="0" top="0" bottom="0" header="0" footer="0"/>
      <pageSetup orientation="portrait" r:id="rId20"/>
      <headerFooter alignWithMargins="0"/>
    </customSheetView>
    <customSheetView guid="{17F5C48B-526E-48D2-9F97-823D578F9893}" state="hidden">
      <selection sqref="A1:F1"/>
      <pageMargins left="0" right="0" top="0" bottom="0" header="0" footer="0"/>
      <pageSetup orientation="portrait" r:id="rId21"/>
      <headerFooter alignWithMargins="0"/>
    </customSheetView>
    <customSheetView guid="{7F1A5DE7-1043-4C11-AB2C-CC6BC6A0F482}" state="hidden">
      <selection sqref="A1:F1"/>
      <pageMargins left="0" right="0" top="0" bottom="0" header="0" footer="0"/>
      <pageSetup orientation="portrait" r:id="rId22"/>
      <headerFooter alignWithMargins="0"/>
    </customSheetView>
    <customSheetView guid="{75D87FDD-0292-4E5A-8E8F-63018B009393}" state="hidden">
      <selection sqref="A1:F1"/>
      <pageMargins left="0" right="0" top="0" bottom="0" header="0" footer="0"/>
      <pageSetup orientation="portrait" r:id="rId23"/>
      <headerFooter alignWithMargins="0"/>
    </customSheetView>
  </customSheetViews>
  <mergeCells count="1">
    <mergeCell ref="A1:B1"/>
  </mergeCells>
  <phoneticPr fontId="4" type="noConversion"/>
  <pageMargins left="0.75" right="0.75" top="1" bottom="1" header="0.5" footer="0.5"/>
  <pageSetup orientation="portrait" r:id="rId24"/>
  <headerFooter alignWithMargins="0">
    <oddHeader>&amp;C&amp;"Calibri"&amp;12&amp;KFF0000 डेटा वर्गीकरण : प्रतिबंधित/RESTRICTED&amp;1#_x000D_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headerFooter>
    <oddHeader>&amp;C&amp;"Calibri"&amp;12&amp;KFF0000 डेटा वर्गीकरण : प्रतिबंधित/RESTRICTED&amp;1#_x000D_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
  <sheetViews>
    <sheetView workbookViewId="0"/>
  </sheetViews>
  <sheetFormatPr defaultRowHeight="16.5"/>
  <sheetData/>
  <customSheetViews>
    <customSheetView guid="{B48B8B4C-A880-453D-8729-90D004BEF0DB}" state="hidden">
      <pageMargins left="0" right="0" top="0" bottom="0" header="0" footer="0"/>
    </customSheetView>
    <customSheetView guid="{7043F04C-1FA3-449D-BEB8-4AC08DF68A5A}" state="hidden">
      <pageMargins left="0" right="0" top="0" bottom="0" header="0" footer="0"/>
    </customSheetView>
    <customSheetView guid="{D0757F9E-DF41-4B40-A5E5-F4F8FDD8D61D}" state="hidden">
      <pageMargins left="0" right="0" top="0" bottom="0" header="0" footer="0"/>
    </customSheetView>
    <customSheetView guid="{E81F0721-C35D-4189-B675-E46A21339863}" state="hidden">
      <pageMargins left="0" right="0" top="0" bottom="0" header="0" footer="0"/>
    </customSheetView>
    <customSheetView guid="{223BC0FC-814D-40F0-9795-CE82A16FF3A5}" state="hidden">
      <pageMargins left="0" right="0" top="0" bottom="0" header="0" footer="0"/>
    </customSheetView>
    <customSheetView guid="{D53177B2-31EC-4222-B97A-A37DCFD9E45B}" state="hidden">
      <pageMargins left="0" right="0" top="0" bottom="0" header="0" footer="0"/>
    </customSheetView>
    <customSheetView guid="{B3CE7B10-A914-4559-A6DA-AED8C22AFD6D}" state="hidden">
      <pageMargins left="0" right="0" top="0" bottom="0" header="0" footer="0"/>
    </customSheetView>
    <customSheetView guid="{7487ED9F-BBED-4B2A-9631-22F1A430946B}" state="hidden">
      <pageMargins left="0" right="0" top="0" bottom="0" header="0" footer="0"/>
    </customSheetView>
    <customSheetView guid="{A7DBDDEF-9245-44C6-9EBF-032DB6E1C0A2}" state="hidden">
      <pageMargins left="0" right="0" top="0" bottom="0" header="0" footer="0"/>
    </customSheetView>
    <customSheetView guid="{E9F4E142-7D26-464D-BECA-4F3806DB1FE1}" state="hidden">
      <pageMargins left="0" right="0" top="0" bottom="0" header="0" footer="0"/>
    </customSheetView>
    <customSheetView guid="{ECE9294F-C910-4036-88BC-B1F2176FB06B}" state="hidden">
      <pageMargins left="0" right="0" top="0" bottom="0" header="0" footer="0"/>
    </customSheetView>
    <customSheetView guid="{B23AD343-29DA-4CE0-BD10-47BF44F3782F}" state="hidden">
      <pageMargins left="0" right="0" top="0" bottom="0" header="0" footer="0"/>
    </customSheetView>
    <customSheetView guid="{4AA1107B-A795-4744-B566-827168772C7A}" state="hidden">
      <pageMargins left="0" right="0" top="0" bottom="0" header="0" footer="0"/>
    </customSheetView>
    <customSheetView guid="{EE46BCD1-F715-4FA9-A5FC-1B125AD601E0}" state="hidden">
      <pageMargins left="0" right="0" top="0" bottom="0" header="0" footer="0"/>
    </customSheetView>
    <customSheetView guid="{E97134B6-5E8D-4951-8DA0-73D065532361}" state="hidden">
      <pageMargins left="0" right="0" top="0" bottom="0" header="0" footer="0"/>
    </customSheetView>
    <customSheetView guid="{B835C05C-B615-4DCB-982D-4519616B3CD8}" state="hidden">
      <pageMargins left="0" right="0" top="0" bottom="0" header="0" footer="0"/>
    </customSheetView>
    <customSheetView guid="{17F5C48B-526E-48D2-9F97-823D578F9893}" state="hidden">
      <pageMargins left="0" right="0" top="0" bottom="0" header="0" footer="0"/>
    </customSheetView>
    <customSheetView guid="{7F1A5DE7-1043-4C11-AB2C-CC6BC6A0F482}" state="hidden">
      <pageMargins left="0" right="0" top="0" bottom="0" header="0" footer="0"/>
    </customSheetView>
    <customSheetView guid="{75D87FDD-0292-4E5A-8E8F-63018B009393}" state="hidden">
      <pageMargins left="0" right="0" top="0" bottom="0" header="0" footer="0"/>
    </customSheetView>
  </customSheetViews>
  <phoneticPr fontId="28" type="noConversion"/>
  <pageMargins left="0.7" right="0.7" top="0.75" bottom="0.75" header="0.3" footer="0.3"/>
  <headerFooter>
    <oddHeader>&amp;C&amp;"Calibri"&amp;12&amp;KFF0000 डेटा वर्गीकरण : प्रतिबंधित/RESTRICTED&amp;1#_x000D_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6"/>
  <sheetViews>
    <sheetView showGridLines="0" view="pageBreakPreview" zoomScaleNormal="100" zoomScaleSheetLayoutView="100" workbookViewId="0">
      <selection activeCell="C19" sqref="C19"/>
    </sheetView>
  </sheetViews>
  <sheetFormatPr defaultColWidth="9" defaultRowHeight="16.5"/>
  <cols>
    <col min="1" max="1" width="9" style="267"/>
    <col min="2" max="2" width="9" style="268"/>
    <col min="3" max="3" width="72.625" style="268" customWidth="1"/>
    <col min="4" max="4" width="66.125" style="280" customWidth="1"/>
    <col min="5" max="16384" width="9" style="266"/>
  </cols>
  <sheetData>
    <row r="1" spans="1:11" ht="45" customHeight="1">
      <c r="A1" s="1127" t="s">
        <v>11</v>
      </c>
      <c r="B1" s="1127"/>
      <c r="C1" s="1127"/>
      <c r="D1" s="265"/>
      <c r="E1" s="860"/>
      <c r="F1" s="860"/>
      <c r="G1" s="860"/>
      <c r="H1" s="860"/>
      <c r="I1" s="860"/>
      <c r="J1" s="860"/>
      <c r="K1" s="860"/>
    </row>
    <row r="2" spans="1:11" ht="18" customHeight="1">
      <c r="D2" s="269"/>
      <c r="E2" s="270"/>
      <c r="F2" s="270"/>
      <c r="G2" s="270"/>
      <c r="H2" s="270"/>
      <c r="I2" s="270"/>
      <c r="J2" s="270"/>
      <c r="K2" s="270"/>
    </row>
    <row r="3" spans="1:11" ht="18" customHeight="1">
      <c r="A3" s="271" t="s">
        <v>12</v>
      </c>
      <c r="B3" s="268" t="s">
        <v>13</v>
      </c>
      <c r="D3" s="272"/>
      <c r="E3" s="273"/>
      <c r="F3" s="273"/>
      <c r="G3" s="273"/>
      <c r="H3" s="273"/>
      <c r="I3" s="273"/>
      <c r="J3" s="273"/>
      <c r="K3" s="273"/>
    </row>
    <row r="4" spans="1:11" ht="18" customHeight="1">
      <c r="B4" s="274" t="s">
        <v>14</v>
      </c>
      <c r="C4" s="275" t="s">
        <v>15</v>
      </c>
      <c r="D4" s="272"/>
      <c r="E4" s="273"/>
      <c r="F4" s="273"/>
      <c r="G4" s="273"/>
      <c r="H4" s="273"/>
      <c r="I4" s="273"/>
      <c r="J4" s="273"/>
      <c r="K4" s="273"/>
    </row>
    <row r="5" spans="1:11" ht="38.1" customHeight="1">
      <c r="B5" s="274" t="s">
        <v>16</v>
      </c>
      <c r="C5" s="275" t="s">
        <v>17</v>
      </c>
      <c r="D5" s="272"/>
      <c r="E5" s="273"/>
      <c r="F5" s="273"/>
      <c r="G5" s="273"/>
      <c r="H5" s="273"/>
      <c r="I5" s="273"/>
      <c r="J5" s="273"/>
      <c r="K5" s="273"/>
    </row>
    <row r="6" spans="1:11" ht="18" customHeight="1">
      <c r="B6" s="274" t="s">
        <v>18</v>
      </c>
      <c r="C6" s="275" t="s">
        <v>19</v>
      </c>
      <c r="D6" s="272"/>
      <c r="E6" s="273"/>
      <c r="F6" s="273"/>
      <c r="G6" s="273"/>
      <c r="H6" s="273"/>
      <c r="I6" s="273"/>
      <c r="J6" s="273"/>
      <c r="K6" s="273"/>
    </row>
    <row r="7" spans="1:11" ht="18" customHeight="1">
      <c r="B7" s="274" t="s">
        <v>20</v>
      </c>
      <c r="C7" s="275" t="s">
        <v>21</v>
      </c>
      <c r="D7" s="272"/>
      <c r="E7" s="273"/>
      <c r="F7" s="273"/>
      <c r="G7" s="273"/>
      <c r="H7" s="273"/>
      <c r="I7" s="273"/>
      <c r="J7" s="273"/>
      <c r="K7" s="273"/>
    </row>
    <row r="8" spans="1:11" ht="18" customHeight="1">
      <c r="B8" s="274" t="s">
        <v>22</v>
      </c>
      <c r="C8" s="275" t="s">
        <v>23</v>
      </c>
      <c r="D8" s="272"/>
      <c r="E8" s="273"/>
      <c r="F8" s="273"/>
      <c r="G8" s="273"/>
      <c r="H8" s="273"/>
      <c r="I8" s="273"/>
      <c r="J8" s="273"/>
      <c r="K8" s="273"/>
    </row>
    <row r="9" spans="1:11" ht="18" customHeight="1">
      <c r="B9" s="274" t="s">
        <v>24</v>
      </c>
      <c r="C9" s="275" t="s">
        <v>25</v>
      </c>
      <c r="D9" s="272"/>
      <c r="E9" s="273"/>
      <c r="F9" s="273"/>
      <c r="G9" s="273"/>
      <c r="H9" s="273"/>
      <c r="I9" s="273"/>
      <c r="J9" s="273"/>
      <c r="K9" s="273"/>
    </row>
    <row r="10" spans="1:11" ht="18" customHeight="1">
      <c r="B10" s="274"/>
      <c r="C10" s="275"/>
      <c r="D10" s="272"/>
      <c r="E10" s="273"/>
      <c r="F10" s="273"/>
      <c r="G10" s="273"/>
      <c r="H10" s="273"/>
      <c r="I10" s="273"/>
      <c r="J10" s="273"/>
      <c r="K10" s="273"/>
    </row>
    <row r="11" spans="1:11" ht="18" customHeight="1">
      <c r="A11" s="271" t="s">
        <v>26</v>
      </c>
      <c r="B11" s="268" t="s">
        <v>27</v>
      </c>
      <c r="D11" s="272"/>
      <c r="E11" s="273"/>
      <c r="F11" s="273"/>
      <c r="G11" s="273"/>
      <c r="H11" s="273"/>
      <c r="I11" s="273"/>
      <c r="J11" s="273"/>
      <c r="K11" s="273"/>
    </row>
    <row r="12" spans="1:11" ht="18" customHeight="1">
      <c r="B12" s="1128" t="s">
        <v>28</v>
      </c>
      <c r="C12" s="1128"/>
      <c r="D12" s="277"/>
      <c r="E12" s="273"/>
      <c r="F12" s="273"/>
      <c r="G12" s="273"/>
      <c r="H12" s="273"/>
      <c r="I12" s="273"/>
      <c r="J12" s="273"/>
      <c r="K12" s="273"/>
    </row>
    <row r="13" spans="1:11" ht="18" customHeight="1">
      <c r="B13" s="278"/>
      <c r="C13" s="275" t="s">
        <v>29</v>
      </c>
      <c r="D13" s="272"/>
      <c r="E13" s="273"/>
      <c r="F13" s="273"/>
      <c r="G13" s="273"/>
      <c r="H13" s="273"/>
      <c r="I13" s="273"/>
      <c r="J13" s="273"/>
      <c r="K13" s="273"/>
    </row>
    <row r="14" spans="1:11" ht="18" customHeight="1">
      <c r="B14" s="1128" t="s">
        <v>30</v>
      </c>
      <c r="C14" s="1128"/>
      <c r="D14" s="277"/>
      <c r="E14" s="273"/>
      <c r="F14" s="273"/>
      <c r="G14" s="273"/>
      <c r="H14" s="273"/>
      <c r="I14" s="273"/>
      <c r="J14" s="273"/>
      <c r="K14" s="273"/>
    </row>
    <row r="15" spans="1:11" ht="38.1" hidden="1" customHeight="1">
      <c r="B15" s="279" t="s">
        <v>31</v>
      </c>
      <c r="C15" s="275" t="s">
        <v>32</v>
      </c>
      <c r="D15" s="272"/>
      <c r="E15" s="273"/>
      <c r="F15" s="273"/>
      <c r="G15" s="273"/>
      <c r="H15" s="273"/>
      <c r="I15" s="273"/>
      <c r="J15" s="273"/>
      <c r="K15" s="273"/>
    </row>
    <row r="16" spans="1:11" ht="24.75" hidden="1" customHeight="1">
      <c r="B16" s="279" t="s">
        <v>31</v>
      </c>
      <c r="C16" s="275" t="s">
        <v>33</v>
      </c>
      <c r="D16" s="272"/>
      <c r="E16" s="273"/>
      <c r="F16" s="273"/>
      <c r="G16" s="273"/>
      <c r="H16" s="273"/>
      <c r="I16" s="273"/>
      <c r="J16" s="273"/>
      <c r="K16" s="273"/>
    </row>
    <row r="17" spans="2:11" ht="37.5" hidden="1">
      <c r="B17" s="279" t="s">
        <v>31</v>
      </c>
      <c r="C17" s="275" t="s">
        <v>34</v>
      </c>
      <c r="D17" s="272"/>
      <c r="E17" s="273"/>
      <c r="F17" s="273"/>
      <c r="G17" s="273"/>
      <c r="H17" s="273"/>
      <c r="I17" s="273"/>
      <c r="J17" s="273"/>
      <c r="K17" s="273"/>
    </row>
    <row r="18" spans="2:11" ht="18" customHeight="1">
      <c r="B18" s="279" t="s">
        <v>31</v>
      </c>
      <c r="C18" s="275" t="s">
        <v>35</v>
      </c>
      <c r="D18" s="272"/>
      <c r="E18" s="273"/>
      <c r="F18" s="273"/>
      <c r="G18" s="273"/>
      <c r="H18" s="273"/>
      <c r="I18" s="273"/>
      <c r="J18" s="273"/>
      <c r="K18" s="273"/>
    </row>
    <row r="19" spans="2:11" ht="18" customHeight="1">
      <c r="B19" s="279" t="s">
        <v>31</v>
      </c>
      <c r="C19" s="275" t="s">
        <v>36</v>
      </c>
      <c r="D19" s="272"/>
      <c r="E19" s="273"/>
      <c r="F19" s="273"/>
      <c r="G19" s="273"/>
      <c r="H19" s="273"/>
      <c r="I19" s="273"/>
      <c r="J19" s="273"/>
      <c r="K19" s="273"/>
    </row>
    <row r="20" spans="2:11" ht="18" customHeight="1">
      <c r="B20" s="279" t="s">
        <v>31</v>
      </c>
      <c r="C20" s="275" t="s">
        <v>37</v>
      </c>
      <c r="D20" s="272"/>
      <c r="E20" s="273"/>
      <c r="F20" s="273"/>
      <c r="G20" s="273"/>
      <c r="H20" s="273"/>
      <c r="I20" s="273"/>
      <c r="J20" s="273"/>
      <c r="K20" s="273"/>
    </row>
    <row r="21" spans="2:11" ht="18" hidden="1" customHeight="1">
      <c r="B21" s="1128" t="s">
        <v>38</v>
      </c>
      <c r="C21" s="1128"/>
      <c r="D21" s="277"/>
      <c r="E21" s="273"/>
      <c r="F21" s="273"/>
      <c r="G21" s="273"/>
      <c r="H21" s="273"/>
      <c r="I21" s="273"/>
      <c r="J21" s="273"/>
      <c r="K21" s="273"/>
    </row>
    <row r="22" spans="2:11" ht="54" hidden="1" customHeight="1">
      <c r="B22" s="279" t="s">
        <v>31</v>
      </c>
      <c r="C22" s="275" t="s">
        <v>39</v>
      </c>
      <c r="D22" s="272"/>
      <c r="E22" s="273"/>
      <c r="F22" s="273"/>
      <c r="G22" s="273"/>
      <c r="H22" s="273"/>
      <c r="I22" s="273"/>
      <c r="J22" s="273"/>
      <c r="K22" s="273"/>
    </row>
    <row r="23" spans="2:11" ht="54" hidden="1" customHeight="1">
      <c r="B23" s="279" t="s">
        <v>31</v>
      </c>
      <c r="C23" s="275" t="s">
        <v>40</v>
      </c>
      <c r="D23" s="272"/>
      <c r="E23" s="273"/>
      <c r="F23" s="273"/>
      <c r="G23" s="273"/>
      <c r="H23" s="273"/>
      <c r="I23" s="273"/>
      <c r="J23" s="273"/>
      <c r="K23" s="273"/>
    </row>
    <row r="24" spans="2:11" ht="38.1" hidden="1" customHeight="1">
      <c r="B24" s="279" t="s">
        <v>31</v>
      </c>
      <c r="C24" s="275"/>
      <c r="D24" s="272"/>
      <c r="E24" s="273"/>
      <c r="F24" s="273"/>
      <c r="G24" s="273"/>
      <c r="H24" s="273"/>
      <c r="I24" s="273"/>
      <c r="J24" s="273"/>
      <c r="K24" s="273"/>
    </row>
    <row r="25" spans="2:11" ht="18" hidden="1" customHeight="1">
      <c r="B25" s="279" t="s">
        <v>31</v>
      </c>
      <c r="C25" s="275" t="s">
        <v>41</v>
      </c>
      <c r="D25" s="272"/>
      <c r="E25" s="273"/>
      <c r="F25" s="273"/>
      <c r="G25" s="273"/>
      <c r="H25" s="273"/>
      <c r="I25" s="273"/>
      <c r="J25" s="273"/>
      <c r="K25" s="273"/>
    </row>
    <row r="26" spans="2:11" ht="38.1" hidden="1" customHeight="1">
      <c r="B26" s="279" t="s">
        <v>31</v>
      </c>
      <c r="C26" s="275" t="s">
        <v>42</v>
      </c>
      <c r="D26" s="272"/>
      <c r="E26" s="273"/>
      <c r="F26" s="273"/>
      <c r="G26" s="273"/>
      <c r="H26" s="273"/>
      <c r="I26" s="273"/>
      <c r="J26" s="273"/>
      <c r="K26" s="273"/>
    </row>
    <row r="27" spans="2:11" hidden="1">
      <c r="B27" s="1128" t="s">
        <v>43</v>
      </c>
      <c r="C27" s="1128"/>
      <c r="D27" s="277"/>
      <c r="E27" s="273"/>
      <c r="F27" s="273"/>
      <c r="G27" s="273"/>
      <c r="H27" s="273"/>
      <c r="I27" s="273"/>
      <c r="J27" s="273"/>
      <c r="K27" s="273"/>
    </row>
    <row r="28" spans="2:11" ht="47.25" hidden="1">
      <c r="B28" s="279" t="s">
        <v>31</v>
      </c>
      <c r="C28" s="275" t="s">
        <v>39</v>
      </c>
      <c r="D28" s="272"/>
      <c r="E28" s="273"/>
      <c r="F28" s="273"/>
      <c r="G28" s="273"/>
      <c r="H28" s="273"/>
      <c r="I28" s="273"/>
      <c r="J28" s="273"/>
      <c r="K28" s="273"/>
    </row>
    <row r="29" spans="2:11" hidden="1">
      <c r="B29" s="279" t="s">
        <v>31</v>
      </c>
      <c r="C29" s="275" t="s">
        <v>41</v>
      </c>
      <c r="D29" s="272"/>
      <c r="E29" s="273"/>
      <c r="F29" s="273"/>
      <c r="G29" s="273"/>
      <c r="H29" s="273"/>
      <c r="I29" s="273"/>
      <c r="J29" s="273"/>
      <c r="K29" s="273"/>
    </row>
    <row r="30" spans="2:11">
      <c r="B30" s="1128" t="s">
        <v>1259</v>
      </c>
      <c r="C30" s="1128"/>
      <c r="D30" s="277"/>
    </row>
    <row r="31" spans="2:11" ht="47.25">
      <c r="B31" s="279" t="s">
        <v>31</v>
      </c>
      <c r="C31" s="275" t="s">
        <v>39</v>
      </c>
      <c r="D31" s="272"/>
      <c r="E31" s="273"/>
      <c r="F31" s="273"/>
      <c r="G31" s="273"/>
      <c r="H31" s="273"/>
      <c r="I31" s="273"/>
      <c r="J31" s="273"/>
      <c r="K31" s="273"/>
    </row>
    <row r="32" spans="2:11">
      <c r="B32" s="279" t="s">
        <v>31</v>
      </c>
      <c r="C32" s="275" t="s">
        <v>41</v>
      </c>
      <c r="D32" s="272"/>
    </row>
    <row r="33" spans="1:11" hidden="1">
      <c r="B33" s="1128" t="s">
        <v>44</v>
      </c>
      <c r="C33" s="1128"/>
      <c r="D33" s="277"/>
    </row>
    <row r="34" spans="1:11" hidden="1">
      <c r="B34" s="279" t="s">
        <v>31</v>
      </c>
      <c r="C34" s="275" t="s">
        <v>45</v>
      </c>
      <c r="D34" s="272"/>
    </row>
    <row r="35" spans="1:11" ht="18" customHeight="1">
      <c r="B35" s="1128" t="s">
        <v>1260</v>
      </c>
      <c r="C35" s="1128"/>
      <c r="D35" s="277"/>
    </row>
    <row r="36" spans="1:11" ht="37.5" customHeight="1">
      <c r="B36" s="279" t="s">
        <v>31</v>
      </c>
      <c r="C36" s="275" t="s">
        <v>46</v>
      </c>
      <c r="D36" s="272"/>
      <c r="E36" s="273"/>
      <c r="F36" s="273"/>
      <c r="G36" s="273"/>
      <c r="H36" s="273"/>
      <c r="I36" s="273"/>
      <c r="J36" s="273"/>
      <c r="K36" s="273"/>
    </row>
    <row r="37" spans="1:11" ht="18" customHeight="1">
      <c r="B37" s="1128" t="s">
        <v>47</v>
      </c>
      <c r="C37" s="1128"/>
    </row>
    <row r="38" spans="1:11" ht="38.1" customHeight="1">
      <c r="B38" s="279" t="s">
        <v>31</v>
      </c>
      <c r="C38" s="275" t="s">
        <v>48</v>
      </c>
    </row>
    <row r="39" spans="1:11" ht="38.1" customHeight="1">
      <c r="B39" s="279" t="s">
        <v>31</v>
      </c>
      <c r="C39" s="275" t="s">
        <v>46</v>
      </c>
    </row>
    <row r="40" spans="1:11" ht="18" hidden="1" customHeight="1">
      <c r="B40" s="1128" t="s">
        <v>49</v>
      </c>
      <c r="C40" s="1128"/>
    </row>
    <row r="41" spans="1:11" ht="18" hidden="1" customHeight="1">
      <c r="B41" s="279" t="s">
        <v>31</v>
      </c>
      <c r="C41" s="281" t="s">
        <v>50</v>
      </c>
    </row>
    <row r="42" spans="1:11" ht="18" hidden="1" customHeight="1">
      <c r="B42" s="279" t="s">
        <v>31</v>
      </c>
      <c r="C42" s="281" t="s">
        <v>51</v>
      </c>
    </row>
    <row r="43" spans="1:11" ht="18" customHeight="1">
      <c r="B43" s="1128" t="s">
        <v>52</v>
      </c>
      <c r="C43" s="1128"/>
    </row>
    <row r="44" spans="1:11" ht="18" customHeight="1">
      <c r="B44" s="279" t="s">
        <v>31</v>
      </c>
      <c r="C44" s="275" t="s">
        <v>53</v>
      </c>
      <c r="D44" s="272"/>
      <c r="E44" s="273"/>
      <c r="F44" s="273"/>
      <c r="G44" s="273"/>
      <c r="H44" s="273"/>
      <c r="I44" s="273"/>
      <c r="J44" s="273"/>
      <c r="K44" s="273"/>
    </row>
    <row r="45" spans="1:11" ht="18" customHeight="1">
      <c r="B45" s="279" t="s">
        <v>31</v>
      </c>
      <c r="C45" s="275" t="s">
        <v>54</v>
      </c>
      <c r="D45" s="272"/>
      <c r="E45" s="273"/>
      <c r="F45" s="273"/>
      <c r="G45" s="273"/>
      <c r="H45" s="273"/>
      <c r="I45" s="273"/>
      <c r="J45" s="273"/>
      <c r="K45" s="273"/>
    </row>
    <row r="46" spans="1:11" ht="36" customHeight="1">
      <c r="B46" s="279" t="s">
        <v>31</v>
      </c>
      <c r="C46" s="275" t="s">
        <v>55</v>
      </c>
      <c r="D46" s="272"/>
      <c r="E46" s="273"/>
      <c r="F46" s="273"/>
      <c r="G46" s="273"/>
      <c r="H46" s="273"/>
      <c r="I46" s="273"/>
      <c r="J46" s="273"/>
      <c r="K46" s="273"/>
    </row>
    <row r="47" spans="1:11" ht="18" customHeight="1">
      <c r="B47" s="279" t="s">
        <v>31</v>
      </c>
      <c r="C47" s="275" t="s">
        <v>56</v>
      </c>
      <c r="D47" s="272"/>
      <c r="E47" s="273"/>
      <c r="F47" s="273"/>
      <c r="G47" s="273"/>
      <c r="H47" s="273"/>
      <c r="I47" s="273"/>
      <c r="J47" s="273"/>
      <c r="K47" s="273"/>
    </row>
    <row r="48" spans="1:11" ht="18" customHeight="1">
      <c r="A48" s="268"/>
      <c r="C48" s="282"/>
    </row>
    <row r="49" spans="1:4" ht="18" customHeight="1">
      <c r="A49" s="1131"/>
      <c r="B49" s="1131"/>
      <c r="C49" s="1131"/>
      <c r="D49" s="276"/>
    </row>
    <row r="50" spans="1:4" ht="18" customHeight="1">
      <c r="A50" s="1130" t="s">
        <v>57</v>
      </c>
      <c r="B50" s="1130"/>
      <c r="C50" s="1130"/>
      <c r="D50" s="276"/>
    </row>
    <row r="51" spans="1:4" ht="36" customHeight="1">
      <c r="A51" s="1129" t="s">
        <v>58</v>
      </c>
      <c r="B51" s="1129"/>
      <c r="C51" s="1129"/>
    </row>
    <row r="52" spans="1:4" ht="18" customHeight="1">
      <c r="B52" s="283"/>
      <c r="C52" s="283"/>
    </row>
    <row r="53" spans="1:4" ht="18" customHeight="1">
      <c r="C53" s="281"/>
    </row>
    <row r="54" spans="1:4" ht="18" customHeight="1">
      <c r="C54" s="282"/>
    </row>
    <row r="55" spans="1:4" ht="18" customHeight="1">
      <c r="C55" s="281"/>
    </row>
    <row r="56" spans="1:4" ht="18" customHeight="1">
      <c r="B56" s="282"/>
      <c r="C56" s="282"/>
    </row>
    <row r="57" spans="1:4" ht="18" customHeight="1">
      <c r="B57" s="282"/>
      <c r="C57" s="282"/>
    </row>
    <row r="58" spans="1:4" ht="18" customHeight="1">
      <c r="B58" s="282"/>
      <c r="C58" s="282"/>
    </row>
    <row r="59" spans="1:4" ht="18" customHeight="1">
      <c r="B59" s="282"/>
      <c r="C59" s="282"/>
    </row>
    <row r="60" spans="1:4" ht="18" customHeight="1">
      <c r="B60" s="282"/>
      <c r="C60" s="282"/>
    </row>
    <row r="61" spans="1:4" ht="18" customHeight="1">
      <c r="B61" s="282"/>
      <c r="C61" s="282"/>
    </row>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sheetData>
  <sheetProtection algorithmName="SHA-512" hashValue="aLqaCyHyVkSBGugnqkzEd3lKM+EutrdnXAfcAV1eM+bGxGTOuIzkMvYC22GSHNxB14tz83oWZh/AB9n/l0JeqA==" saltValue="X1v+v5ZQqF4rv8jibdwbbQ==" spinCount="100000" sheet="1" objects="1" scenarios="1"/>
  <customSheetViews>
    <customSheetView guid="{B48B8B4C-A880-453D-8729-90D004BEF0DB}" scale="89" showGridLines="0" printArea="1" hiddenRows="1" view="pageBreakPreview">
      <selection activeCell="D36" sqref="D36"/>
      <rowBreaks count="1" manualBreakCount="1">
        <brk id="29" max="2" man="1"/>
      </rowBreaks>
      <pageMargins left="0" right="0" top="0" bottom="0" header="0" footer="0"/>
      <pageSetup orientation="portrait" r:id="rId1"/>
      <headerFooter alignWithMargins="0">
        <oddFooter>&amp;RPage &amp;P of &amp;N</oddFooter>
      </headerFooter>
    </customSheetView>
    <customSheetView guid="{7043F04C-1FA3-449D-BEB8-4AC08DF68A5A}" scale="89" showGridLines="0" printArea="1" view="pageBreakPreview" topLeftCell="A16">
      <selection activeCell="D36" sqref="D36"/>
      <rowBreaks count="1" manualBreakCount="1">
        <brk id="29" max="2" man="1"/>
      </rowBreaks>
      <pageMargins left="0" right="0" top="0" bottom="0" header="0" footer="0"/>
      <pageSetup orientation="portrait" r:id="rId2"/>
      <headerFooter alignWithMargins="0">
        <oddFooter>&amp;RPage &amp;P of &amp;N</oddFooter>
      </headerFooter>
    </customSheetView>
    <customSheetView guid="{D0757F9E-DF41-4B40-A5E5-F4F8FDD8D61D}" scale="89" showGridLines="0" printArea="1" view="pageBreakPreview" topLeftCell="A19">
      <selection activeCell="D36" sqref="D36"/>
      <rowBreaks count="1" manualBreakCount="1">
        <brk id="29" max="2" man="1"/>
      </rowBreaks>
      <pageMargins left="0" right="0" top="0" bottom="0" header="0" footer="0"/>
      <pageSetup orientation="portrait" r:id="rId3"/>
      <headerFooter alignWithMargins="0">
        <oddFooter>&amp;RPage &amp;P of &amp;N</oddFooter>
      </headerFooter>
    </customSheetView>
    <customSheetView guid="{E81F0721-C35D-4189-B675-E46A21339863}" showGridLines="0" topLeftCell="A53">
      <selection activeCell="D9" sqref="D9"/>
      <rowBreaks count="1" manualBreakCount="1">
        <brk id="29" max="2" man="1"/>
      </rowBreaks>
      <pageMargins left="0" right="0" top="0" bottom="0" header="0" footer="0"/>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0"/>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1"/>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2"/>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7"/>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18"/>
      <headerFooter alignWithMargins="0">
        <oddFooter>&amp;RPage &amp;P of &amp;N</oddFooter>
      </headerFooter>
    </customSheetView>
    <customSheetView guid="{B835C05C-B615-4DCB-982D-4519616B3CD8}" showGridLines="0" topLeftCell="A53">
      <selection activeCell="D9" sqref="D9"/>
      <rowBreaks count="1" manualBreakCount="1">
        <brk id="29" max="2" man="1"/>
      </rowBreaks>
      <pageMargins left="0" right="0" top="0" bottom="0" header="0" footer="0"/>
      <pageSetup orientation="portrait" r:id="rId19"/>
      <headerFooter alignWithMargins="0">
        <oddFooter>&amp;RPage &amp;P of &amp;N</oddFooter>
      </headerFooter>
    </customSheetView>
    <customSheetView guid="{17F5C48B-526E-48D2-9F97-823D578F9893}" scale="89" showGridLines="0" printArea="1" view="pageBreakPreview" topLeftCell="A28">
      <selection activeCell="D36" sqref="D36"/>
      <rowBreaks count="1" manualBreakCount="1">
        <brk id="29" max="2" man="1"/>
      </rowBreaks>
      <pageMargins left="0" right="0" top="0" bottom="0" header="0" footer="0"/>
      <pageSetup orientation="portrait" r:id="rId20"/>
      <headerFooter alignWithMargins="0">
        <oddFooter>&amp;RPage &amp;P of &amp;N</oddFooter>
      </headerFooter>
    </customSheetView>
    <customSheetView guid="{7F1A5DE7-1043-4C11-AB2C-CC6BC6A0F482}" scale="89" showGridLines="0" printArea="1" view="pageBreakPreview" topLeftCell="A19">
      <selection activeCell="D36" sqref="D36"/>
      <rowBreaks count="1" manualBreakCount="1">
        <brk id="29" max="2" man="1"/>
      </rowBreaks>
      <pageMargins left="0" right="0" top="0" bottom="0" header="0" footer="0"/>
      <pageSetup orientation="portrait" r:id="rId21"/>
      <headerFooter alignWithMargins="0">
        <oddFooter>&amp;RPage &amp;P of &amp;N</oddFooter>
      </headerFooter>
    </customSheetView>
    <customSheetView guid="{75D87FDD-0292-4E5A-8E8F-63018B009393}" scale="89" showGridLines="0" printArea="1" hiddenRows="1" view="pageBreakPreview">
      <selection activeCell="D36" sqref="D36"/>
      <rowBreaks count="1" manualBreakCount="1">
        <brk id="29" max="2" man="1"/>
      </rowBreaks>
      <pageMargins left="0" right="0" top="0" bottom="0" header="0" footer="0"/>
      <pageSetup orientation="portrait" r:id="rId22"/>
      <headerFooter alignWithMargins="0">
        <oddFooter>&amp;RPage &amp;P of &amp;N</oddFooter>
      </headerFooter>
    </customSheetView>
  </customSheetViews>
  <mergeCells count="14">
    <mergeCell ref="A1:C1"/>
    <mergeCell ref="B12:C12"/>
    <mergeCell ref="B14:C14"/>
    <mergeCell ref="B21:C21"/>
    <mergeCell ref="A51:C51"/>
    <mergeCell ref="A50:C50"/>
    <mergeCell ref="A49:C49"/>
    <mergeCell ref="B27:C27"/>
    <mergeCell ref="B30:C30"/>
    <mergeCell ref="B33:C33"/>
    <mergeCell ref="B35:C35"/>
    <mergeCell ref="B43:C43"/>
    <mergeCell ref="B37:C37"/>
    <mergeCell ref="B40:C40"/>
  </mergeCells>
  <phoneticPr fontId="28" type="noConversion"/>
  <pageMargins left="0.75" right="0.75" top="0.55000000000000004" bottom="0.47" header="0.32" footer="0.25"/>
  <pageSetup orientation="portrait" r:id="rId23"/>
  <headerFooter alignWithMargins="0">
    <oddHeader>&amp;C&amp;"Calibri"&amp;12&amp;KFF0000 डेटा वर्गीकरण : प्रतिबंधित/RESTRICTED&amp;1#_x000D_</oddHeader>
    <oddFooter>&amp;RPage &amp;P of &amp;N</oddFooter>
  </headerFooter>
  <rowBreaks count="1" manualBreakCount="1">
    <brk id="29" max="2" man="1"/>
  </rowBreaks>
  <drawing r:id="rId2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C35"/>
  <sheetViews>
    <sheetView showGridLines="0" view="pageBreakPreview" zoomScaleNormal="100" zoomScaleSheetLayoutView="100" workbookViewId="0">
      <selection activeCell="C31" sqref="C31"/>
    </sheetView>
  </sheetViews>
  <sheetFormatPr defaultColWidth="8" defaultRowHeight="16.5"/>
  <cols>
    <col min="1" max="1" width="8" style="147" customWidth="1"/>
    <col min="2" max="2" width="28.875" style="149" customWidth="1"/>
    <col min="3" max="3" width="10.25" style="149" customWidth="1"/>
    <col min="4" max="5" width="5.625" style="149" customWidth="1"/>
    <col min="6" max="6" width="5.625" style="154" customWidth="1"/>
    <col min="7" max="7" width="34.125" style="154" customWidth="1"/>
    <col min="8" max="25" width="10.375" style="154" customWidth="1"/>
    <col min="26" max="26" width="8" style="147" customWidth="1"/>
    <col min="27" max="27" width="13.375" style="147" customWidth="1"/>
    <col min="28" max="16384" width="8" style="147"/>
  </cols>
  <sheetData>
    <row r="1" spans="2:29" s="152" customFormat="1" ht="50.25" customHeight="1">
      <c r="B1" s="1147" t="str">
        <f>Cover!$B$2</f>
        <v>Extension of residential quarters 2 nos C type &amp; 2 nos B2 type quarters over the existing C type &amp; B2 type at 400/220 KV Shahjahanpur &amp; 765/400 KV Sohawal Substation</v>
      </c>
      <c r="C1" s="1147"/>
      <c r="D1" s="1147"/>
      <c r="E1" s="1147"/>
      <c r="F1" s="1147"/>
      <c r="G1" s="1147"/>
      <c r="H1" s="148"/>
      <c r="I1" s="148"/>
      <c r="J1" s="148"/>
      <c r="K1" s="148"/>
      <c r="L1" s="148"/>
      <c r="M1" s="148"/>
      <c r="N1" s="148"/>
      <c r="O1" s="148"/>
      <c r="P1" s="148"/>
      <c r="Q1" s="148"/>
      <c r="R1" s="148"/>
      <c r="S1" s="148"/>
      <c r="T1" s="148"/>
      <c r="U1" s="148"/>
      <c r="V1" s="148"/>
      <c r="W1" s="148"/>
      <c r="X1" s="148"/>
      <c r="Y1" s="148"/>
      <c r="AA1" s="169"/>
      <c r="AB1" s="169"/>
      <c r="AC1" s="169"/>
    </row>
    <row r="2" spans="2:29" ht="20.100000000000001" customHeight="1">
      <c r="B2" s="1148" t="str">
        <f>Cover!B3</f>
        <v>NR3/NT/W-CIVIL/DOM/K00/25/09879 (Rfx No.5002004724)</v>
      </c>
      <c r="C2" s="1148"/>
      <c r="D2" s="1148"/>
      <c r="E2" s="1148"/>
      <c r="F2" s="1148"/>
      <c r="G2" s="1148"/>
      <c r="H2" s="149"/>
      <c r="I2" s="149"/>
      <c r="J2" s="149"/>
      <c r="K2" s="149"/>
      <c r="L2" s="149"/>
      <c r="M2" s="149"/>
      <c r="N2" s="149"/>
      <c r="O2" s="149"/>
      <c r="P2" s="149"/>
      <c r="Q2" s="149"/>
      <c r="R2" s="149"/>
      <c r="S2" s="149"/>
      <c r="T2" s="149"/>
      <c r="U2" s="149"/>
      <c r="V2" s="149"/>
      <c r="W2" s="149"/>
      <c r="X2" s="149"/>
      <c r="Y2" s="149"/>
      <c r="AA2" s="147" t="s">
        <v>59</v>
      </c>
      <c r="AB2" s="320">
        <v>1</v>
      </c>
      <c r="AC2" s="170"/>
    </row>
    <row r="3" spans="2:29" ht="3" customHeight="1">
      <c r="B3" s="150"/>
      <c r="C3" s="150"/>
      <c r="D3" s="150"/>
      <c r="E3" s="150"/>
      <c r="F3" s="149"/>
      <c r="G3" s="149"/>
      <c r="H3" s="149"/>
      <c r="I3" s="149"/>
      <c r="J3" s="149"/>
      <c r="K3" s="149"/>
      <c r="L3" s="149"/>
      <c r="M3" s="149"/>
      <c r="N3" s="149"/>
      <c r="O3" s="149"/>
      <c r="P3" s="149"/>
      <c r="Q3" s="149"/>
      <c r="R3" s="149"/>
      <c r="S3" s="149"/>
      <c r="T3" s="149"/>
      <c r="U3" s="149"/>
      <c r="V3" s="149"/>
      <c r="W3" s="149"/>
      <c r="X3" s="149"/>
      <c r="Y3" s="149"/>
      <c r="AA3" s="147" t="s">
        <v>60</v>
      </c>
      <c r="AB3" s="320" t="s">
        <v>61</v>
      </c>
      <c r="AC3" s="170"/>
    </row>
    <row r="4" spans="2:29" ht="20.100000000000001" customHeight="1">
      <c r="B4" s="1149" t="s">
        <v>62</v>
      </c>
      <c r="C4" s="1149"/>
      <c r="D4" s="1149"/>
      <c r="E4" s="1149"/>
      <c r="F4" s="1149"/>
      <c r="G4" s="1149"/>
      <c r="H4" s="149"/>
      <c r="I4" s="149"/>
      <c r="J4" s="149"/>
      <c r="K4" s="149"/>
      <c r="L4" s="149"/>
      <c r="M4" s="149"/>
      <c r="N4" s="149"/>
      <c r="O4" s="149"/>
      <c r="P4" s="149"/>
      <c r="Q4" s="149"/>
      <c r="R4" s="149"/>
      <c r="S4" s="149"/>
      <c r="T4" s="149"/>
      <c r="U4" s="149"/>
      <c r="V4" s="149"/>
      <c r="W4" s="149"/>
      <c r="X4" s="149"/>
      <c r="Y4" s="149"/>
      <c r="AB4" s="320"/>
      <c r="AC4" s="170"/>
    </row>
    <row r="5" spans="2:29" ht="12" customHeight="1">
      <c r="B5" s="151"/>
      <c r="C5" s="151"/>
      <c r="F5" s="149"/>
      <c r="G5" s="149"/>
      <c r="H5" s="149"/>
      <c r="I5" s="149"/>
      <c r="J5" s="149"/>
      <c r="K5" s="149"/>
      <c r="L5" s="149"/>
      <c r="M5" s="149"/>
      <c r="N5" s="149"/>
      <c r="O5" s="149"/>
      <c r="P5" s="149"/>
      <c r="Q5" s="149"/>
      <c r="R5" s="149"/>
      <c r="S5" s="149"/>
      <c r="T5" s="149"/>
      <c r="U5" s="149"/>
      <c r="V5" s="149"/>
      <c r="W5" s="149"/>
      <c r="X5" s="149"/>
      <c r="Y5" s="149"/>
      <c r="AA5" s="170"/>
      <c r="AB5" s="170"/>
      <c r="AC5" s="170"/>
    </row>
    <row r="6" spans="2:29" s="152" customFormat="1" ht="9" hidden="1" customHeight="1" thickBot="1">
      <c r="B6" s="578" t="s">
        <v>63</v>
      </c>
      <c r="C6" s="580"/>
      <c r="D6" s="1150" t="s">
        <v>59</v>
      </c>
      <c r="E6" s="1150"/>
      <c r="F6" s="1150"/>
      <c r="G6" s="1150"/>
      <c r="H6" s="153"/>
      <c r="I6" s="153"/>
      <c r="J6" s="153"/>
      <c r="K6" s="153"/>
      <c r="L6" s="153"/>
      <c r="M6" s="153"/>
      <c r="N6" s="153"/>
      <c r="O6" s="153"/>
      <c r="P6" s="153"/>
      <c r="Q6" s="153"/>
      <c r="R6" s="153"/>
      <c r="S6" s="153"/>
      <c r="U6" s="153"/>
      <c r="V6" s="153"/>
      <c r="W6" s="153"/>
      <c r="X6" s="153"/>
      <c r="Y6" s="153"/>
      <c r="AA6" s="861">
        <f>IF(D6= "Sole Bidder", 0, D7)</f>
        <v>0</v>
      </c>
      <c r="AB6" s="169"/>
      <c r="AC6" s="169"/>
    </row>
    <row r="7" spans="2:29" ht="7.5" customHeight="1">
      <c r="B7" s="577" t="str">
        <f>IF(D6= "JV (Joint Venture)", "Total Nos. of  Partners in the JV [excluding the Lead Partner]", "")</f>
        <v/>
      </c>
      <c r="C7" s="579"/>
      <c r="D7" s="1151" t="s">
        <v>61</v>
      </c>
      <c r="E7" s="1152"/>
      <c r="F7" s="1152"/>
      <c r="G7" s="1153"/>
      <c r="AA7" s="170"/>
      <c r="AB7" s="170"/>
      <c r="AC7" s="170"/>
    </row>
    <row r="8" spans="2:29" ht="19.5" customHeight="1">
      <c r="B8" s="155"/>
      <c r="C8" s="155"/>
      <c r="D8" s="153"/>
    </row>
    <row r="9" spans="2:29" ht="20.100000000000001" customHeight="1">
      <c r="B9" s="759" t="s">
        <v>64</v>
      </c>
      <c r="C9" s="157"/>
      <c r="D9" s="1136"/>
      <c r="E9" s="1137"/>
      <c r="F9" s="1137"/>
      <c r="G9" s="1138"/>
    </row>
    <row r="10" spans="2:29" ht="20.100000000000001" customHeight="1">
      <c r="B10" s="760" t="s">
        <v>65</v>
      </c>
      <c r="C10" s="159"/>
      <c r="D10" s="1136"/>
      <c r="E10" s="1137"/>
      <c r="F10" s="1137"/>
      <c r="G10" s="1138"/>
    </row>
    <row r="11" spans="2:29" ht="20.100000000000001" customHeight="1">
      <c r="B11" s="160"/>
      <c r="C11" s="161"/>
      <c r="D11" s="1136"/>
      <c r="E11" s="1137"/>
      <c r="F11" s="1137"/>
      <c r="G11" s="1138"/>
    </row>
    <row r="12" spans="2:29" ht="20.100000000000001" customHeight="1">
      <c r="B12" s="162"/>
      <c r="C12" s="163"/>
      <c r="D12" s="1136"/>
      <c r="E12" s="1137"/>
      <c r="F12" s="1137"/>
      <c r="G12" s="1138"/>
    </row>
    <row r="13" spans="2:29" ht="20.100000000000001" customHeight="1"/>
    <row r="14" spans="2:29" ht="20.100000000000001" customHeight="1">
      <c r="B14" s="156" t="str">
        <f>IF(D7=1, "Name of other Partner","Name of other Partner - 1")</f>
        <v>Name of other Partner - 1</v>
      </c>
      <c r="C14" s="157"/>
      <c r="D14" s="1136"/>
      <c r="E14" s="1137"/>
      <c r="F14" s="1137"/>
      <c r="G14" s="1138"/>
    </row>
    <row r="15" spans="2:29" ht="20.100000000000001" customHeight="1">
      <c r="B15" s="158" t="str">
        <f>IF(D7=1, "Address of other Partner","Address of other Partner - 1")</f>
        <v>Address of other Partner - 1</v>
      </c>
      <c r="C15" s="159"/>
      <c r="D15" s="1139"/>
      <c r="E15" s="1140"/>
      <c r="F15" s="1140"/>
      <c r="G15" s="1141"/>
    </row>
    <row r="16" spans="2:29" ht="9" customHeight="1">
      <c r="B16" s="160"/>
      <c r="C16" s="161"/>
      <c r="D16" s="1139" t="s">
        <v>66</v>
      </c>
      <c r="E16" s="1140"/>
      <c r="F16" s="1140"/>
      <c r="G16" s="1141"/>
    </row>
    <row r="17" spans="2:7" ht="19.5" hidden="1" customHeight="1">
      <c r="B17" s="162"/>
      <c r="C17" s="163"/>
      <c r="D17" s="1139" t="s">
        <v>66</v>
      </c>
      <c r="E17" s="1140"/>
      <c r="F17" s="1140"/>
      <c r="G17" s="1141"/>
    </row>
    <row r="18" spans="2:7" ht="19.5" hidden="1" customHeight="1"/>
    <row r="19" spans="2:7" ht="19.5" hidden="1" customHeight="1">
      <c r="B19" s="156" t="s">
        <v>67</v>
      </c>
      <c r="C19" s="157"/>
      <c r="D19" s="1142" t="s">
        <v>66</v>
      </c>
      <c r="E19" s="1143"/>
      <c r="F19" s="1143"/>
      <c r="G19" s="1144"/>
    </row>
    <row r="20" spans="2:7" ht="19.5" hidden="1" customHeight="1">
      <c r="B20" s="158" t="s">
        <v>68</v>
      </c>
      <c r="C20" s="159"/>
      <c r="D20" s="1142" t="s">
        <v>66</v>
      </c>
      <c r="E20" s="1143"/>
      <c r="F20" s="1143"/>
      <c r="G20" s="1144"/>
    </row>
    <row r="21" spans="2:7" ht="19.5" hidden="1" customHeight="1">
      <c r="B21" s="160"/>
      <c r="C21" s="161"/>
      <c r="D21" s="1142" t="s">
        <v>66</v>
      </c>
      <c r="E21" s="1143"/>
      <c r="F21" s="1143"/>
      <c r="G21" s="1144"/>
    </row>
    <row r="22" spans="2:7" ht="19.5" hidden="1" customHeight="1">
      <c r="B22" s="162"/>
      <c r="C22" s="163"/>
      <c r="D22" s="1136" t="s">
        <v>66</v>
      </c>
      <c r="E22" s="1145"/>
      <c r="F22" s="1145"/>
      <c r="G22" s="1146"/>
    </row>
    <row r="23" spans="2:7" ht="19.5" hidden="1" customHeight="1"/>
    <row r="24" spans="2:7" ht="19.5" hidden="1" customHeight="1"/>
    <row r="25" spans="2:7" ht="19.5" hidden="1" customHeight="1"/>
    <row r="26" spans="2:7" ht="21" customHeight="1">
      <c r="B26" s="164" t="s">
        <v>69</v>
      </c>
      <c r="C26" s="165"/>
      <c r="D26" s="1136"/>
      <c r="E26" s="1137"/>
      <c r="F26" s="1137"/>
      <c r="G26" s="1138"/>
    </row>
    <row r="27" spans="2:7" ht="21" customHeight="1">
      <c r="B27" s="164" t="s">
        <v>70</v>
      </c>
      <c r="C27" s="165"/>
      <c r="D27" s="1136"/>
      <c r="E27" s="1137"/>
      <c r="F27" s="1137"/>
      <c r="G27" s="1138"/>
    </row>
    <row r="28" spans="2:7" ht="21" customHeight="1">
      <c r="B28" s="164" t="s">
        <v>71</v>
      </c>
      <c r="C28" s="165"/>
      <c r="D28" s="1132"/>
      <c r="E28" s="1133"/>
      <c r="F28" s="1133"/>
      <c r="G28" s="1133"/>
    </row>
    <row r="29" spans="2:7" ht="21" customHeight="1">
      <c r="B29" s="164" t="s">
        <v>72</v>
      </c>
      <c r="C29" s="165"/>
      <c r="D29" s="1134"/>
      <c r="E29" s="1135"/>
      <c r="F29" s="1135"/>
      <c r="G29" s="1135"/>
    </row>
    <row r="30" spans="2:7" ht="21" customHeight="1">
      <c r="B30" s="164" t="s">
        <v>73</v>
      </c>
      <c r="C30" s="165"/>
      <c r="D30" s="1134"/>
      <c r="E30" s="1135"/>
      <c r="F30" s="1135"/>
      <c r="G30" s="1135"/>
    </row>
    <row r="31" spans="2:7" ht="21" customHeight="1">
      <c r="B31" s="164" t="s">
        <v>74</v>
      </c>
      <c r="C31" s="165"/>
      <c r="D31" s="1134"/>
      <c r="E31" s="1135"/>
      <c r="F31" s="1135"/>
      <c r="G31" s="1135"/>
    </row>
    <row r="32" spans="2:7">
      <c r="B32" s="166"/>
      <c r="C32" s="166"/>
      <c r="D32" s="166"/>
    </row>
    <row r="33" spans="2:25" s="152" customFormat="1" ht="24.75" customHeight="1">
      <c r="B33" s="164" t="s">
        <v>75</v>
      </c>
      <c r="C33" s="165"/>
      <c r="D33" s="317"/>
      <c r="E33" s="468"/>
      <c r="F33" s="317">
        <v>2025</v>
      </c>
      <c r="G33" s="318" t="str">
        <f>IF(D33&gt;H33, "Invalid Date !", "")</f>
        <v/>
      </c>
      <c r="H33" s="319">
        <f>IF(E33="Feb",28,IF(OR(E33="Apr", E33="Jun", E33="Sep", E33="Nov"),30,31))</f>
        <v>31</v>
      </c>
      <c r="I33" s="149"/>
      <c r="J33" s="149"/>
      <c r="K33" s="149"/>
      <c r="L33" s="149"/>
      <c r="M33" s="149"/>
      <c r="N33" s="149"/>
      <c r="O33" s="149"/>
      <c r="P33" s="149"/>
      <c r="Q33" s="149"/>
      <c r="R33" s="149"/>
      <c r="S33" s="149"/>
      <c r="T33" s="149"/>
      <c r="U33" s="149"/>
      <c r="V33" s="149"/>
      <c r="W33" s="149"/>
      <c r="X33" s="149"/>
      <c r="Y33" s="149"/>
    </row>
    <row r="34" spans="2:25" ht="21" customHeight="1">
      <c r="B34" s="164" t="s">
        <v>76</v>
      </c>
      <c r="C34" s="165"/>
      <c r="D34" s="1136"/>
      <c r="E34" s="1137"/>
      <c r="F34" s="1137"/>
      <c r="G34" s="1138"/>
    </row>
    <row r="35" spans="2:25">
      <c r="E35" s="154"/>
    </row>
  </sheetData>
  <sheetProtection algorithmName="SHA-512" hashValue="5calNnhmTWVRWFtOrjfCMPyXVqoBGsi8QlinNBunwAWVa4f1zRXYPpgLAS0TyzTa7A+qeqBFPvAlIw+IuY1njA==" saltValue="vhVyKMK0Gef75bw1/7PnPw==" spinCount="100000" sheet="1" objects="1" scenarios="1"/>
  <dataConsolidate/>
  <customSheetViews>
    <customSheetView guid="{B48B8B4C-A880-453D-8729-90D004BEF0DB}" showGridLines="0" printArea="1" hiddenRows="1" view="pageBreakPreview" topLeftCell="A10">
      <selection activeCell="D12" sqref="D12:G12"/>
      <pageMargins left="0" right="0" top="0" bottom="0" header="0" footer="0"/>
      <pageSetup orientation="portrait" r:id="rId1"/>
      <headerFooter alignWithMargins="0"/>
    </customSheetView>
    <customSheetView guid="{7043F04C-1FA3-449D-BEB8-4AC08DF68A5A}" showGridLines="0" printArea="1" hiddenRows="1" view="pageBreakPreview">
      <selection activeCell="D9" sqref="D9:G9"/>
      <pageMargins left="0" right="0" top="0" bottom="0" header="0" footer="0"/>
      <pageSetup orientation="portrait" r:id="rId2"/>
      <headerFooter alignWithMargins="0"/>
    </customSheetView>
    <customSheetView guid="{D0757F9E-DF41-4B40-A5E5-F4F8FDD8D61D}" showGridLines="0" printArea="1" view="pageBreakPreview">
      <selection activeCell="F33" sqref="F33"/>
      <pageMargins left="0" right="0" top="0" bottom="0" header="0" footer="0"/>
      <pageSetup orientation="portrait" r:id="rId3"/>
      <headerFooter alignWithMargins="0"/>
    </customSheetView>
    <customSheetView guid="{E81F0721-C35D-4189-B675-E46A21339863}" showGridLines="0" printArea="1" view="pageBreakPreview">
      <selection activeCell="D10" sqref="D10:G10"/>
      <pageMargins left="0" right="0" top="0" bottom="0" header="0" footer="0"/>
      <pageSetup orientation="portrait" r:id="rId4"/>
      <headerFooter alignWithMargins="0"/>
    </customSheetView>
    <customSheetView guid="{223BC0FC-814D-40F0-9795-CE82A16FF3A5}" showGridLines="0" printArea="1" view="pageBreakPreview">
      <selection activeCell="D6" sqref="D6:G6"/>
      <pageMargins left="0" right="0" top="0" bottom="0" header="0" footer="0"/>
      <pageSetup orientation="portrait" r:id="rId5"/>
      <headerFooter alignWithMargins="0"/>
    </customSheetView>
    <customSheetView guid="{D53177B2-31EC-4222-B97A-A37DCFD9E45B}" showGridLines="0" printArea="1" view="pageBreakPreview">
      <selection activeCell="D6" sqref="D6:G6"/>
      <pageMargins left="0" right="0" top="0" bottom="0" header="0" footer="0"/>
      <pageSetup orientation="portrait" r:id="rId6"/>
      <headerFooter alignWithMargins="0"/>
    </customSheetView>
    <customSheetView guid="{B3CE7B10-A914-4559-A6DA-AED8C22AFD6D}" showGridLines="0" printArea="1" view="pageBreakPreview">
      <selection activeCell="D9" sqref="D9:G9"/>
      <pageMargins left="0" right="0" top="0" bottom="0" header="0" footer="0"/>
      <pageSetup orientation="portrait" r:id="rId7"/>
      <headerFooter alignWithMargins="0"/>
    </customSheetView>
    <customSheetView guid="{7487ED9F-BBED-4B2A-9631-22F1A430946B}" showGridLines="0" printArea="1" view="pageBreakPreview">
      <selection activeCell="D6" sqref="D6:G6"/>
      <pageMargins left="0" right="0" top="0" bottom="0" header="0" footer="0"/>
      <pageSetup orientation="portrait" r:id="rId8"/>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9"/>
      <headerFooter alignWithMargins="0"/>
    </customSheetView>
    <customSheetView guid="{E9F4E142-7D26-464D-BECA-4F3806DB1FE1}" showGridLines="0">
      <selection activeCell="G8" sqref="G8"/>
      <pageMargins left="0" right="0" top="0" bottom="0" header="0" footer="0"/>
      <pageSetup orientation="portrait" r:id="rId10"/>
      <headerFooter alignWithMargins="0"/>
    </customSheetView>
    <customSheetView guid="{27A45B7A-04F2-4516-B80B-5ED0825D4ED3}" showGridLines="0">
      <selection activeCell="D6" sqref="D6:G6"/>
      <pageMargins left="0" right="0" top="0" bottom="0" header="0" footer="0"/>
      <pageSetup orientation="portrait" r:id="rId11"/>
      <headerFooter alignWithMargins="0"/>
    </customSheetView>
    <customSheetView guid="{14D7F02E-BCCA-4517-ABC7-537FF4AEB67A}" showGridLines="0">
      <selection activeCell="D10" sqref="D10:G10"/>
      <pageMargins left="0" right="0" top="0" bottom="0" header="0" footer="0"/>
      <pageSetup orientation="portrait" r:id="rId12"/>
      <headerFooter alignWithMargins="0"/>
    </customSheetView>
    <customSheetView guid="{01ACF2E1-8E61-4459-ABC1-B6C183DEED61}" showGridLines="0" showRuler="0">
      <selection activeCell="D28" sqref="D28"/>
      <pageMargins left="0" right="0" top="0" bottom="0" header="0" footer="0"/>
      <pageSetup orientation="portrait" r:id="rId13"/>
      <headerFooter alignWithMargins="0"/>
    </customSheetView>
    <customSheetView guid="{4F65FF32-EC61-4022-A399-2986D7B6B8B3}" showGridLines="0" showRuler="0">
      <selection activeCell="D6" sqref="D6"/>
      <pageMargins left="0" right="0" top="0" bottom="0" header="0" footer="0"/>
      <pageSetup orientation="portrait" r:id="rId14"/>
      <headerFooter alignWithMargins="0"/>
    </customSheetView>
    <customSheetView guid="{ECE9294F-C910-4036-88BC-B1F2176FB06B}" showGridLines="0">
      <selection activeCell="D14" sqref="D14:G14"/>
      <pageMargins left="0" right="0" top="0" bottom="0" header="0" footer="0"/>
      <pageSetup orientation="portrait" r:id="rId15"/>
      <headerFooter alignWithMargins="0"/>
    </customSheetView>
    <customSheetView guid="{B23AD343-29DA-4CE0-BD10-47BF44F3782F}" showGridLines="0">
      <selection activeCell="G8" sqref="G8"/>
      <pageMargins left="0" right="0" top="0" bottom="0" header="0" footer="0"/>
      <pageSetup orientation="portrait" r:id="rId16"/>
      <headerFooter alignWithMargins="0"/>
    </customSheetView>
    <customSheetView guid="{4AA1107B-A795-4744-B566-827168772C7A}" showGridLines="0" printArea="1" view="pageBreakPreview">
      <selection activeCell="D6" sqref="D6:G6"/>
      <pageMargins left="0" right="0" top="0" bottom="0" header="0" footer="0"/>
      <pageSetup orientation="portrait" r:id="rId17"/>
      <headerFooter alignWithMargins="0"/>
    </customSheetView>
    <customSheetView guid="{EE46BCD1-F715-4FA9-A5FC-1B125AD601E0}" showGridLines="0" printArea="1" view="pageBreakPreview">
      <selection activeCell="D7" sqref="D7:G7"/>
      <pageMargins left="0" right="0" top="0" bottom="0" header="0" footer="0"/>
      <pageSetup orientation="portrait" r:id="rId18"/>
      <headerFooter alignWithMargins="0"/>
    </customSheetView>
    <customSheetView guid="{E97134B6-5E8D-4951-8DA0-73D065532361}" showGridLines="0" printArea="1" view="pageBreakPreview">
      <selection activeCell="D6" sqref="D6:G6"/>
      <pageMargins left="0" right="0" top="0" bottom="0" header="0" footer="0"/>
      <pageSetup orientation="portrait" r:id="rId19"/>
      <headerFooter alignWithMargins="0"/>
    </customSheetView>
    <customSheetView guid="{B835C05C-B615-4DCB-982D-4519616B3CD8}" showGridLines="0" printArea="1" view="pageBreakPreview">
      <selection activeCell="D10" sqref="D10:G10"/>
      <pageMargins left="0" right="0" top="0" bottom="0" header="0" footer="0"/>
      <pageSetup orientation="portrait" r:id="rId20"/>
      <headerFooter alignWithMargins="0"/>
    </customSheetView>
    <customSheetView guid="{17F5C48B-526E-48D2-9F97-823D578F9893}" showGridLines="0" printArea="1" view="pageBreakPreview" topLeftCell="A15">
      <selection activeCell="D34" sqref="D34:G34"/>
      <pageMargins left="0" right="0" top="0" bottom="0" header="0" footer="0"/>
      <pageSetup orientation="portrait" r:id="rId21"/>
      <headerFooter alignWithMargins="0"/>
    </customSheetView>
    <customSheetView guid="{7F1A5DE7-1043-4C11-AB2C-CC6BC6A0F482}" showGridLines="0" printArea="1" view="pageBreakPreview">
      <selection activeCell="D34" sqref="D34:G34"/>
      <pageMargins left="0" right="0" top="0" bottom="0" header="0" footer="0"/>
      <pageSetup orientation="portrait" r:id="rId22"/>
      <headerFooter alignWithMargins="0"/>
    </customSheetView>
    <customSheetView guid="{75D87FDD-0292-4E5A-8E8F-63018B009393}" showGridLines="0" printArea="1" hiddenRows="1" view="pageBreakPreview" topLeftCell="A10">
      <selection activeCell="D12" sqref="D12:G12"/>
      <pageMargins left="0" right="0" top="0" bottom="0" header="0" footer="0"/>
      <pageSetup orientation="portrait" r:id="rId23"/>
      <headerFooter alignWithMargins="0"/>
    </customSheetView>
  </customSheetViews>
  <mergeCells count="24">
    <mergeCell ref="B1:G1"/>
    <mergeCell ref="B2:G2"/>
    <mergeCell ref="B4:G4"/>
    <mergeCell ref="D6:G6"/>
    <mergeCell ref="D7:G7"/>
    <mergeCell ref="D20:G20"/>
    <mergeCell ref="D19:G19"/>
    <mergeCell ref="D26:G26"/>
    <mergeCell ref="D27:G27"/>
    <mergeCell ref="D22:G22"/>
    <mergeCell ref="D21:G21"/>
    <mergeCell ref="D9:G9"/>
    <mergeCell ref="D10:G10"/>
    <mergeCell ref="D11:G11"/>
    <mergeCell ref="D12:G12"/>
    <mergeCell ref="D17:G17"/>
    <mergeCell ref="D16:G16"/>
    <mergeCell ref="D14:G14"/>
    <mergeCell ref="D15:G15"/>
    <mergeCell ref="D28:G28"/>
    <mergeCell ref="D29:G29"/>
    <mergeCell ref="D30:G30"/>
    <mergeCell ref="D31:G31"/>
    <mergeCell ref="D34:G34"/>
  </mergeCells>
  <phoneticPr fontId="32" type="noConversion"/>
  <conditionalFormatting sqref="B14:C17">
    <cfRule type="expression" dxfId="33" priority="8" stopIfTrue="1">
      <formula>$AA$6&lt;1</formula>
    </cfRule>
  </conditionalFormatting>
  <conditionalFormatting sqref="B19:C22">
    <cfRule type="expression" dxfId="32" priority="7" stopIfTrue="1">
      <formula>$AA$6&lt;2</formula>
    </cfRule>
  </conditionalFormatting>
  <conditionalFormatting sqref="B7:G7">
    <cfRule type="expression" dxfId="31" priority="10" stopIfTrue="1">
      <formula>$D$6="Sole Bidder"</formula>
    </cfRule>
  </conditionalFormatting>
  <conditionalFormatting sqref="D14:G17">
    <cfRule type="expression" dxfId="30" priority="2" stopIfTrue="1">
      <formula>$AA$6&lt;1</formula>
    </cfRule>
  </conditionalFormatting>
  <conditionalFormatting sqref="D19:G22">
    <cfRule type="expression" dxfId="29" priority="1" stopIfTrue="1">
      <formula>$AA$6&lt;2</formula>
    </cfRule>
  </conditionalFormatting>
  <dataValidations count="5">
    <dataValidation type="list" allowBlank="1" showInputMessage="1" showErrorMessage="1" sqref="D7:G7" xr:uid="{00000000-0002-0000-0300-000000000000}">
      <formula1>$AB$2:$AB$3</formula1>
    </dataValidation>
    <dataValidation type="list" allowBlank="1" showInputMessage="1" showErrorMessage="1" sqref="D33" xr:uid="{00000000-0002-0000-0300-000001000000}">
      <formula1>"1,2,3,4,5,6,7,8,9,10,11,12,13,14,15,16,17,18,19,20,21,22,23,24,25,26,27,28,29,30,31"</formula1>
    </dataValidation>
    <dataValidation type="list" allowBlank="1" showInputMessage="1" showErrorMessage="1" sqref="E33" xr:uid="{00000000-0002-0000-0300-000002000000}">
      <formula1>"Jan,Feb,Mar,Apr,May,Jun,Jul,Aug,Sep,Oct,Nov,Dec"</formula1>
    </dataValidation>
    <dataValidation type="list" allowBlank="1" showInputMessage="1" showErrorMessage="1" sqref="F33" xr:uid="{00000000-0002-0000-0300-000003000000}">
      <formula1>"2025"</formula1>
    </dataValidation>
    <dataValidation type="list" allowBlank="1" showInputMessage="1" showErrorMessage="1" sqref="D6:G6" xr:uid="{00000000-0002-0000-0300-000004000000}">
      <formula1>$AA$2:$AA$3</formula1>
    </dataValidation>
  </dataValidations>
  <pageMargins left="0.75" right="0.75" top="0.69" bottom="0.7" header="0.4" footer="0.37"/>
  <pageSetup orientation="portrait" r:id="rId24"/>
  <headerFooter alignWithMargins="0">
    <oddHeader>&amp;C&amp;"Calibri"&amp;12&amp;KFF0000 डेटा वर्गीकरण : प्रतिबंधित/RESTRICTED&amp;1#_x000D_</oddHeader>
  </headerFooter>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fitToPage="1"/>
  </sheetPr>
  <dimension ref="A1:Z130"/>
  <sheetViews>
    <sheetView view="pageBreakPreview" topLeftCell="A15" zoomScale="70" zoomScaleNormal="100" zoomScaleSheetLayoutView="70" workbookViewId="0">
      <selection activeCell="A16" sqref="A16"/>
    </sheetView>
  </sheetViews>
  <sheetFormatPr defaultColWidth="9" defaultRowHeight="19.5"/>
  <cols>
    <col min="1" max="1" width="9" style="602" customWidth="1"/>
    <col min="2" max="2" width="15.25" style="602" hidden="1" customWidth="1"/>
    <col min="3" max="3" width="9.625" style="602" hidden="1" customWidth="1"/>
    <col min="4" max="4" width="45" style="602" hidden="1" customWidth="1"/>
    <col min="5" max="5" width="15.75" style="602" hidden="1" customWidth="1"/>
    <col min="6" max="6" width="14.625" style="602" customWidth="1"/>
    <col min="7" max="7" width="17.25" style="603" customWidth="1"/>
    <col min="8" max="8" width="11" style="602" customWidth="1"/>
    <col min="9" max="9" width="15.375" style="602" customWidth="1"/>
    <col min="10" max="10" width="62.625" style="600" customWidth="1"/>
    <col min="11" max="11" width="11.625" style="602" customWidth="1"/>
    <col min="12" max="12" width="10.5" style="603" customWidth="1"/>
    <col min="13" max="13" width="17.75" style="600" customWidth="1"/>
    <col min="14" max="14" width="25.25" style="600" customWidth="1"/>
    <col min="15" max="15" width="26" style="714" customWidth="1"/>
    <col min="16" max="16" width="19.75" style="597" customWidth="1"/>
    <col min="17" max="17" width="14.25" style="597" customWidth="1"/>
    <col min="18" max="18" width="11.375" style="598" customWidth="1"/>
    <col min="19" max="19" width="13.625" style="598" customWidth="1"/>
    <col min="20" max="20" width="9" style="599" customWidth="1"/>
    <col min="21" max="21" width="19.875" style="599" customWidth="1"/>
    <col min="22" max="26" width="9" style="599" customWidth="1"/>
    <col min="27" max="27" width="9" style="600" customWidth="1"/>
    <col min="28" max="16384" width="9" style="600"/>
  </cols>
  <sheetData>
    <row r="1" spans="1:19" ht="18" customHeight="1">
      <c r="A1" s="591" t="str">
        <f>Cover!B3</f>
        <v>NR3/NT/W-CIVIL/DOM/K00/25/09879 (Rfx No.5002004724)</v>
      </c>
      <c r="B1" s="591"/>
      <c r="C1" s="591"/>
      <c r="D1" s="591"/>
      <c r="E1" s="591"/>
      <c r="F1" s="591"/>
      <c r="G1" s="594"/>
      <c r="H1" s="591"/>
      <c r="I1" s="593"/>
      <c r="J1" s="592"/>
      <c r="K1" s="593"/>
      <c r="L1" s="594"/>
      <c r="M1" s="595"/>
      <c r="N1" s="596" t="s">
        <v>77</v>
      </c>
    </row>
    <row r="2" spans="1:19" ht="14.1" customHeight="1">
      <c r="A2" s="601"/>
      <c r="B2" s="601"/>
      <c r="C2" s="601"/>
      <c r="D2" s="601"/>
      <c r="E2" s="601"/>
      <c r="F2" s="601"/>
      <c r="H2" s="601"/>
    </row>
    <row r="3" spans="1:19" ht="37.5" customHeight="1">
      <c r="A3" s="1162" t="str">
        <f>Basic!B1</f>
        <v>Extension of residential quarters 2 nos C type &amp; 2 nos B2 type quarters over the existing C type &amp; B2 type at 400/220 KV Shahjahanpur &amp; 765/400 KV Sohawal Substation</v>
      </c>
      <c r="B3" s="1162"/>
      <c r="C3" s="1162"/>
      <c r="D3" s="1162"/>
      <c r="E3" s="1162"/>
      <c r="F3" s="1162"/>
      <c r="G3" s="1162"/>
      <c r="H3" s="1162"/>
      <c r="I3" s="1162"/>
      <c r="J3" s="1162"/>
      <c r="K3" s="1162"/>
      <c r="L3" s="1162"/>
      <c r="M3" s="1162"/>
      <c r="N3" s="1162"/>
      <c r="O3" s="715"/>
    </row>
    <row r="4" spans="1:19">
      <c r="A4" s="665"/>
      <c r="B4" s="665"/>
      <c r="C4" s="665"/>
      <c r="D4" s="665"/>
      <c r="E4" s="665"/>
      <c r="F4" s="665"/>
      <c r="G4" s="670"/>
      <c r="H4" s="665"/>
      <c r="I4" s="665"/>
      <c r="J4" s="665"/>
      <c r="K4" s="665"/>
      <c r="L4" s="665"/>
      <c r="M4" s="665"/>
      <c r="N4" s="665"/>
      <c r="O4" s="716"/>
    </row>
    <row r="5" spans="1:19" ht="21.95" customHeight="1">
      <c r="A5" s="1172" t="s">
        <v>78</v>
      </c>
      <c r="B5" s="1172"/>
      <c r="C5" s="1172"/>
      <c r="D5" s="1172"/>
      <c r="E5" s="1172"/>
      <c r="F5" s="1172"/>
      <c r="G5" s="1172"/>
      <c r="H5" s="1172"/>
      <c r="I5" s="1172"/>
      <c r="J5" s="1172"/>
      <c r="K5" s="1172"/>
      <c r="L5" s="1172"/>
      <c r="M5" s="1172"/>
      <c r="N5" s="1172"/>
      <c r="O5" s="1172"/>
    </row>
    <row r="6" spans="1:19" ht="14.1" customHeight="1"/>
    <row r="7" spans="1:19" ht="18" customHeight="1">
      <c r="A7" s="604" t="str">
        <f>"Bidder’s Name and Address (" &amp; MID('Names of Bidder'!B9,9, 20) &amp; ") :"</f>
        <v>Bidder’s Name and Address (Bidder) :</v>
      </c>
      <c r="B7" s="604"/>
      <c r="C7" s="604"/>
      <c r="D7" s="604"/>
      <c r="E7" s="604"/>
      <c r="F7" s="604"/>
      <c r="G7" s="607"/>
      <c r="H7" s="604"/>
      <c r="I7" s="606"/>
      <c r="J7" s="605"/>
      <c r="K7" s="606"/>
      <c r="L7" s="607"/>
      <c r="M7" s="608" t="s">
        <v>79</v>
      </c>
      <c r="O7" s="717"/>
    </row>
    <row r="8" spans="1:19">
      <c r="A8" s="1173" t="str">
        <f>IF('Names of Bidder'!D9="", "", IF('Names of Bidder'!D6= "JV (Joint Venture)", "JV of " &amp;#REF!, ""))</f>
        <v/>
      </c>
      <c r="B8" s="1173"/>
      <c r="C8" s="1173"/>
      <c r="D8" s="1173"/>
      <c r="E8" s="1173"/>
      <c r="F8" s="1173"/>
      <c r="G8" s="1173"/>
      <c r="H8" s="1173"/>
      <c r="I8" s="1173"/>
      <c r="J8" s="1173"/>
      <c r="K8" s="1173"/>
      <c r="L8" s="1173"/>
      <c r="M8" s="609" t="s">
        <v>80</v>
      </c>
      <c r="O8" s="717"/>
    </row>
    <row r="9" spans="1:19">
      <c r="A9" s="604" t="s">
        <v>81</v>
      </c>
      <c r="B9" s="604"/>
      <c r="C9" s="604"/>
      <c r="D9" s="604"/>
      <c r="E9" s="604"/>
      <c r="F9" s="604"/>
      <c r="G9" s="1158" t="str">
        <f>IF('Names of Bidder'!D9=0, "", 'Names of Bidder'!D9)</f>
        <v/>
      </c>
      <c r="H9" s="1158"/>
      <c r="I9" s="1158"/>
      <c r="M9" s="1163" t="s">
        <v>82</v>
      </c>
      <c r="N9" s="1163"/>
      <c r="O9" s="717"/>
    </row>
    <row r="10" spans="1:19" ht="18" customHeight="1">
      <c r="A10" s="604" t="s">
        <v>83</v>
      </c>
      <c r="B10" s="604"/>
      <c r="C10" s="604"/>
      <c r="D10" s="604"/>
      <c r="E10" s="604"/>
      <c r="F10" s="604"/>
      <c r="G10" s="1158" t="str">
        <f>IF('Names of Bidder'!D10=0, "", 'Names of Bidder'!D10)</f>
        <v/>
      </c>
      <c r="H10" s="1158"/>
      <c r="I10" s="1158"/>
      <c r="M10" s="1158" t="s">
        <v>84</v>
      </c>
      <c r="N10" s="1158"/>
      <c r="O10" s="717"/>
    </row>
    <row r="11" spans="1:19" ht="18" customHeight="1">
      <c r="A11" s="605"/>
      <c r="B11" s="605"/>
      <c r="C11" s="605"/>
      <c r="D11" s="605"/>
      <c r="E11" s="605"/>
      <c r="F11" s="605"/>
      <c r="G11" s="1158" t="str">
        <f>IF('Names of Bidder'!D11=0, "", 'Names of Bidder'!D11)</f>
        <v/>
      </c>
      <c r="H11" s="1158"/>
      <c r="I11" s="1158"/>
      <c r="M11" s="1158" t="s">
        <v>85</v>
      </c>
      <c r="N11" s="1158"/>
      <c r="O11" s="717"/>
    </row>
    <row r="12" spans="1:19" ht="18" customHeight="1">
      <c r="A12" s="605"/>
      <c r="B12" s="605"/>
      <c r="C12" s="605"/>
      <c r="D12" s="605"/>
      <c r="E12" s="605"/>
      <c r="F12" s="605"/>
      <c r="G12" s="1158" t="str">
        <f>IF('Names of Bidder'!D12=0, "", 'Names of Bidder'!D12)</f>
        <v/>
      </c>
      <c r="H12" s="1158"/>
      <c r="I12" s="1158"/>
      <c r="M12" s="609" t="s">
        <v>86</v>
      </c>
      <c r="O12" s="717"/>
    </row>
    <row r="13" spans="1:19" ht="14.1" customHeight="1">
      <c r="A13" s="605"/>
      <c r="B13" s="605"/>
      <c r="C13" s="605"/>
      <c r="D13" s="605"/>
      <c r="E13" s="605"/>
      <c r="F13" s="605"/>
      <c r="G13" s="611"/>
      <c r="H13" s="605"/>
      <c r="I13" s="610"/>
      <c r="J13" s="605"/>
      <c r="K13" s="610"/>
      <c r="L13" s="611"/>
      <c r="M13" s="604"/>
      <c r="N13" s="268"/>
      <c r="O13" s="718"/>
    </row>
    <row r="14" spans="1:19" s="700" customFormat="1" ht="25.5" hidden="1" customHeight="1">
      <c r="A14" s="1171" t="s">
        <v>87</v>
      </c>
      <c r="B14" s="1171"/>
      <c r="C14" s="1171"/>
      <c r="D14" s="1171"/>
      <c r="E14" s="1171"/>
      <c r="F14" s="1171"/>
      <c r="G14" s="1171"/>
      <c r="H14" s="1171"/>
      <c r="I14" s="1171"/>
      <c r="J14" s="1171"/>
      <c r="K14" s="1171"/>
      <c r="L14" s="1171"/>
      <c r="M14" s="1171"/>
      <c r="N14" s="1171"/>
      <c r="O14" s="1171"/>
      <c r="P14" s="698"/>
      <c r="Q14" s="698"/>
      <c r="R14" s="699"/>
      <c r="S14" s="699"/>
    </row>
    <row r="15" spans="1:19" ht="19.5" customHeight="1" thickBot="1">
      <c r="M15" s="743"/>
      <c r="N15" s="744" t="s">
        <v>88</v>
      </c>
      <c r="S15" s="602"/>
    </row>
    <row r="16" spans="1:19" ht="129.75" customHeight="1">
      <c r="A16" s="782" t="s">
        <v>89</v>
      </c>
      <c r="B16" s="783" t="s">
        <v>90</v>
      </c>
      <c r="C16" s="783" t="s">
        <v>91</v>
      </c>
      <c r="D16" s="783" t="s">
        <v>92</v>
      </c>
      <c r="E16" s="783" t="s">
        <v>93</v>
      </c>
      <c r="F16" s="782" t="s">
        <v>94</v>
      </c>
      <c r="G16" s="784" t="s">
        <v>95</v>
      </c>
      <c r="H16" s="782" t="s">
        <v>96</v>
      </c>
      <c r="I16" s="782" t="s">
        <v>97</v>
      </c>
      <c r="J16" s="785" t="s">
        <v>98</v>
      </c>
      <c r="K16" s="786" t="s">
        <v>99</v>
      </c>
      <c r="L16" s="787" t="s">
        <v>100</v>
      </c>
      <c r="M16" s="782" t="s">
        <v>101</v>
      </c>
      <c r="N16" s="782" t="s">
        <v>102</v>
      </c>
      <c r="O16" s="788" t="s">
        <v>103</v>
      </c>
      <c r="S16" s="602"/>
    </row>
    <row r="17" spans="1:26" ht="18" customHeight="1">
      <c r="A17" s="614">
        <v>1</v>
      </c>
      <c r="B17" s="614">
        <v>2</v>
      </c>
      <c r="C17" s="614">
        <v>3</v>
      </c>
      <c r="D17" s="614">
        <v>4</v>
      </c>
      <c r="E17" s="614">
        <v>5</v>
      </c>
      <c r="F17" s="614">
        <v>6</v>
      </c>
      <c r="G17" s="615">
        <v>7</v>
      </c>
      <c r="H17" s="614">
        <v>8</v>
      </c>
      <c r="I17" s="614">
        <v>9</v>
      </c>
      <c r="J17" s="614">
        <v>10</v>
      </c>
      <c r="K17" s="614">
        <v>11</v>
      </c>
      <c r="L17" s="615">
        <v>12</v>
      </c>
      <c r="M17" s="614">
        <v>13</v>
      </c>
      <c r="N17" s="614" t="s">
        <v>104</v>
      </c>
      <c r="O17" s="719">
        <v>11</v>
      </c>
    </row>
    <row r="18" spans="1:26" s="711" customFormat="1" ht="90" customHeight="1">
      <c r="A18" s="745">
        <v>1</v>
      </c>
      <c r="B18" s="709">
        <v>7000005840</v>
      </c>
      <c r="C18" s="709">
        <v>20</v>
      </c>
      <c r="D18" s="709" t="s">
        <v>105</v>
      </c>
      <c r="E18" s="709"/>
      <c r="F18" s="761">
        <v>76169990</v>
      </c>
      <c r="G18" s="761"/>
      <c r="H18" s="762">
        <v>0.18</v>
      </c>
      <c r="I18" s="763"/>
      <c r="J18" s="764" t="s">
        <v>106</v>
      </c>
      <c r="K18" s="765" t="s">
        <v>107</v>
      </c>
      <c r="L18" s="766">
        <v>1300</v>
      </c>
      <c r="M18" s="767"/>
      <c r="N18" s="768" t="str">
        <f>IF(M18=0, "Included",IF(ISERROR(L18*M18), M18, L18*M18))</f>
        <v>Included</v>
      </c>
      <c r="O18" s="769">
        <f t="shared" ref="O18:O20" si="0">R18</f>
        <v>0</v>
      </c>
      <c r="P18" s="710"/>
      <c r="Q18" s="711">
        <f t="shared" ref="Q18:Q20" si="1">IF(N18="Included",0,N18)</f>
        <v>0</v>
      </c>
      <c r="R18" s="712">
        <f>IF(I18="", Q18*H18,I18*Q18)</f>
        <v>0</v>
      </c>
      <c r="S18" s="712"/>
    </row>
    <row r="19" spans="1:26" s="711" customFormat="1" ht="129.75" customHeight="1">
      <c r="A19" s="745">
        <v>2</v>
      </c>
      <c r="B19" s="709"/>
      <c r="C19" s="709"/>
      <c r="D19" s="709"/>
      <c r="E19" s="709"/>
      <c r="F19" s="761">
        <v>76169990</v>
      </c>
      <c r="G19" s="761"/>
      <c r="H19" s="762">
        <v>0.18</v>
      </c>
      <c r="I19" s="763"/>
      <c r="J19" s="764" t="s">
        <v>108</v>
      </c>
      <c r="K19" s="765" t="s">
        <v>107</v>
      </c>
      <c r="L19" s="766">
        <v>1300</v>
      </c>
      <c r="M19" s="767"/>
      <c r="N19" s="768" t="str">
        <f t="shared" ref="N19:N20" si="2">IF(M19=0, "Included",IF(ISERROR(L19*M19), M19, L19*M19))</f>
        <v>Included</v>
      </c>
      <c r="O19" s="769">
        <f t="shared" si="0"/>
        <v>0</v>
      </c>
      <c r="P19" s="710"/>
      <c r="Q19" s="711">
        <f t="shared" si="1"/>
        <v>0</v>
      </c>
      <c r="R19" s="712">
        <f t="shared" ref="R19:R20" si="3">IF(I19="", Q19*H19,I19*Q19)</f>
        <v>0</v>
      </c>
      <c r="S19" s="712"/>
    </row>
    <row r="20" spans="1:26" s="711" customFormat="1" ht="114.75" customHeight="1">
      <c r="A20" s="745">
        <v>3</v>
      </c>
      <c r="B20" s="709"/>
      <c r="C20" s="709"/>
      <c r="D20" s="709"/>
      <c r="E20" s="709"/>
      <c r="F20" s="761">
        <v>76169990</v>
      </c>
      <c r="G20" s="761"/>
      <c r="H20" s="762">
        <v>0.18</v>
      </c>
      <c r="I20" s="763"/>
      <c r="J20" s="764" t="s">
        <v>109</v>
      </c>
      <c r="K20" s="765" t="s">
        <v>107</v>
      </c>
      <c r="L20" s="766">
        <v>23400</v>
      </c>
      <c r="M20" s="767"/>
      <c r="N20" s="768" t="str">
        <f t="shared" si="2"/>
        <v>Included</v>
      </c>
      <c r="O20" s="769">
        <f t="shared" si="0"/>
        <v>0</v>
      </c>
      <c r="P20" s="710"/>
      <c r="Q20" s="711">
        <f t="shared" si="1"/>
        <v>0</v>
      </c>
      <c r="R20" s="712">
        <f t="shared" si="3"/>
        <v>0</v>
      </c>
      <c r="S20" s="712"/>
    </row>
    <row r="21" spans="1:26" ht="47.25" customHeight="1">
      <c r="A21" s="690"/>
      <c r="B21" s="691"/>
      <c r="C21" s="691"/>
      <c r="D21" s="691"/>
      <c r="E21" s="691"/>
      <c r="F21" s="691"/>
      <c r="G21" s="692"/>
      <c r="H21" s="691"/>
      <c r="I21" s="691"/>
      <c r="J21" s="701" t="s">
        <v>110</v>
      </c>
      <c r="K21" s="702"/>
      <c r="L21" s="703"/>
      <c r="M21" s="704"/>
      <c r="N21" s="742">
        <f>SUM(N18:N20)</f>
        <v>0</v>
      </c>
      <c r="O21" s="774">
        <f>SUM(O18:O20)</f>
        <v>0</v>
      </c>
      <c r="R21" s="617"/>
      <c r="S21" s="597"/>
      <c r="T21" s="600"/>
      <c r="U21" s="600"/>
      <c r="V21" s="600"/>
      <c r="W21" s="600"/>
      <c r="X21" s="600"/>
      <c r="Y21" s="600"/>
      <c r="Z21" s="600"/>
    </row>
    <row r="22" spans="1:26" ht="35.25" hidden="1" customHeight="1">
      <c r="A22" s="693"/>
      <c r="B22" s="694"/>
      <c r="C22" s="694"/>
      <c r="D22" s="694"/>
      <c r="E22" s="694"/>
      <c r="F22" s="694"/>
      <c r="G22" s="695"/>
      <c r="H22" s="694"/>
      <c r="I22" s="694"/>
      <c r="J22" s="1165" t="s">
        <v>111</v>
      </c>
      <c r="K22" s="1166"/>
      <c r="L22" s="1167"/>
      <c r="M22" s="705"/>
      <c r="N22" s="706">
        <f>'Sch-7'!F20</f>
        <v>0</v>
      </c>
      <c r="O22" s="720"/>
      <c r="T22" s="600"/>
      <c r="U22" s="600"/>
      <c r="V22" s="600"/>
      <c r="W22" s="600"/>
      <c r="X22" s="600"/>
      <c r="Y22" s="600"/>
      <c r="Z22" s="600"/>
    </row>
    <row r="23" spans="1:26" ht="45.75" hidden="1" customHeight="1">
      <c r="A23" s="696"/>
      <c r="B23" s="696"/>
      <c r="C23" s="696"/>
      <c r="D23" s="696"/>
      <c r="E23" s="696"/>
      <c r="F23" s="696"/>
      <c r="G23" s="697"/>
      <c r="H23" s="696"/>
      <c r="I23" s="696"/>
      <c r="J23" s="1169" t="s">
        <v>112</v>
      </c>
      <c r="K23" s="1169"/>
      <c r="L23" s="1169"/>
      <c r="M23" s="707"/>
      <c r="N23" s="708">
        <f>N21+N22</f>
        <v>0</v>
      </c>
      <c r="O23" s="721">
        <f>+O21</f>
        <v>0</v>
      </c>
      <c r="T23" s="600"/>
      <c r="U23" s="674" t="s">
        <v>113</v>
      </c>
      <c r="V23" s="600"/>
      <c r="W23" s="600"/>
      <c r="X23" s="600"/>
      <c r="Y23" s="600"/>
      <c r="Z23" s="600"/>
    </row>
    <row r="24" spans="1:26" ht="25.5" hidden="1" customHeight="1">
      <c r="A24" s="682"/>
      <c r="B24" s="682"/>
      <c r="C24" s="682"/>
      <c r="D24" s="682"/>
      <c r="E24" s="682"/>
      <c r="F24" s="682"/>
      <c r="G24" s="683"/>
      <c r="H24" s="682"/>
      <c r="I24" s="682"/>
      <c r="K24" s="684"/>
      <c r="L24" s="684"/>
      <c r="M24" s="685"/>
      <c r="N24" s="676"/>
      <c r="O24" s="722"/>
      <c r="T24" s="600"/>
      <c r="V24" s="600"/>
      <c r="W24" s="600"/>
      <c r="X24" s="600"/>
      <c r="Y24" s="600"/>
      <c r="Z24" s="600"/>
    </row>
    <row r="25" spans="1:26" ht="16.5" hidden="1" customHeight="1">
      <c r="A25" s="1170"/>
      <c r="B25" s="1170"/>
      <c r="C25" s="1170"/>
      <c r="D25" s="1170"/>
      <c r="E25" s="1170"/>
      <c r="F25" s="1170"/>
      <c r="G25" s="1170"/>
      <c r="H25" s="1170"/>
      <c r="I25" s="1170"/>
      <c r="J25" s="1170"/>
      <c r="K25" s="1170"/>
      <c r="L25" s="1170"/>
      <c r="M25" s="1170"/>
      <c r="N25" s="1170"/>
      <c r="O25" s="1170"/>
      <c r="T25" s="600"/>
      <c r="U25" s="600"/>
      <c r="V25" s="600"/>
      <c r="W25" s="600"/>
      <c r="X25" s="600"/>
      <c r="Y25" s="600"/>
      <c r="Z25" s="600"/>
    </row>
    <row r="26" spans="1:26" ht="27" hidden="1" customHeight="1">
      <c r="A26" s="617" t="s">
        <v>114</v>
      </c>
      <c r="B26" s="617"/>
      <c r="C26" s="617" t="s">
        <v>115</v>
      </c>
      <c r="D26" s="617"/>
      <c r="E26" s="617"/>
      <c r="F26" s="689"/>
      <c r="G26" s="689"/>
      <c r="H26" s="689"/>
      <c r="I26" s="689"/>
      <c r="J26" s="689"/>
      <c r="K26" s="689"/>
      <c r="L26" s="689"/>
      <c r="M26" s="689"/>
      <c r="N26" s="689"/>
      <c r="O26" s="723"/>
      <c r="P26" s="675"/>
      <c r="Q26" s="669"/>
      <c r="T26" s="600"/>
      <c r="U26" s="600"/>
      <c r="V26" s="600"/>
      <c r="W26" s="600"/>
      <c r="X26" s="600"/>
      <c r="Y26" s="600"/>
      <c r="Z26" s="600"/>
    </row>
    <row r="27" spans="1:26" ht="52.5" customHeight="1">
      <c r="A27" s="680" t="s">
        <v>116</v>
      </c>
      <c r="B27" s="680"/>
      <c r="C27" s="1164" t="s">
        <v>117</v>
      </c>
      <c r="D27" s="1164"/>
      <c r="E27" s="1164"/>
      <c r="F27" s="1164"/>
      <c r="G27" s="1164"/>
      <c r="H27" s="1164"/>
      <c r="I27" s="1164"/>
      <c r="J27" s="1164"/>
      <c r="K27" s="1164"/>
      <c r="L27" s="1164"/>
      <c r="M27" s="1164"/>
      <c r="N27" s="1164"/>
      <c r="O27" s="723"/>
      <c r="P27" s="675"/>
      <c r="Q27" s="669"/>
      <c r="T27" s="600"/>
      <c r="U27" s="600"/>
      <c r="V27" s="600"/>
      <c r="W27" s="600"/>
      <c r="X27" s="600"/>
      <c r="Y27" s="600"/>
      <c r="Z27" s="600"/>
    </row>
    <row r="28" spans="1:26" ht="21.75" customHeight="1">
      <c r="A28" s="618" t="s">
        <v>118</v>
      </c>
      <c r="B28" s="618"/>
      <c r="C28" s="618"/>
      <c r="D28" s="618"/>
      <c r="E28" s="618"/>
      <c r="F28" s="619" t="str">
        <f>'Names of Bidder'!D33&amp;"-"&amp; 'Names of Bidder'!E33&amp;"-" &amp;'Names of Bidder'!F33</f>
        <v>--2025</v>
      </c>
      <c r="H28" s="618"/>
      <c r="I28" s="616"/>
      <c r="K28" s="620"/>
      <c r="L28" s="621"/>
      <c r="O28" s="724"/>
      <c r="T28" s="600"/>
      <c r="U28" s="600"/>
      <c r="V28" s="600"/>
      <c r="W28" s="600"/>
      <c r="X28" s="600"/>
      <c r="Y28" s="600"/>
      <c r="Z28" s="600"/>
    </row>
    <row r="29" spans="1:26" ht="33">
      <c r="A29" s="618" t="s">
        <v>119</v>
      </c>
      <c r="B29" s="618"/>
      <c r="C29" s="618"/>
      <c r="D29" s="618"/>
      <c r="E29" s="618"/>
      <c r="F29" s="619" t="str">
        <f>IF('Names of Bidder'!D34=0, "", 'Names of Bidder'!D34)</f>
        <v/>
      </c>
      <c r="H29" s="618"/>
      <c r="I29" s="616"/>
      <c r="J29" s="713"/>
      <c r="K29" s="1174" t="s">
        <v>120</v>
      </c>
      <c r="L29" s="1174"/>
      <c r="M29" s="622" t="str">
        <f>IF('Names of Bidder'!D26=0, "", 'Names of Bidder'!D26)</f>
        <v/>
      </c>
      <c r="O29" s="724"/>
      <c r="T29" s="600"/>
      <c r="U29" s="600"/>
      <c r="V29" s="600"/>
      <c r="W29" s="600"/>
      <c r="X29" s="600"/>
      <c r="Y29" s="600"/>
      <c r="Z29" s="600"/>
    </row>
    <row r="30" spans="1:26" ht="22.5" customHeight="1">
      <c r="A30" s="598"/>
      <c r="B30" s="598"/>
      <c r="C30" s="598"/>
      <c r="D30" s="598"/>
      <c r="E30" s="598"/>
      <c r="F30" s="598"/>
      <c r="G30" s="671"/>
      <c r="H30" s="598"/>
      <c r="I30" s="598"/>
      <c r="J30" s="599"/>
      <c r="K30" s="1174" t="s">
        <v>121</v>
      </c>
      <c r="L30" s="1174"/>
      <c r="M30" s="622" t="str">
        <f>IF('Names of Bidder'!D27=0, "", 'Names of Bidder'!D27)</f>
        <v/>
      </c>
      <c r="N30" s="599"/>
      <c r="O30" s="725"/>
      <c r="T30" s="600"/>
      <c r="U30" s="600"/>
      <c r="V30" s="600"/>
      <c r="W30" s="600"/>
      <c r="X30" s="600"/>
      <c r="Y30" s="600"/>
      <c r="Z30" s="600"/>
    </row>
    <row r="31" spans="1:26" ht="33.6" customHeight="1">
      <c r="A31" s="623"/>
      <c r="B31" s="623"/>
      <c r="C31" s="623"/>
      <c r="D31" s="623"/>
      <c r="E31" s="623"/>
      <c r="F31" s="623"/>
      <c r="G31" s="626"/>
      <c r="H31" s="623"/>
      <c r="I31" s="623"/>
      <c r="J31" s="624"/>
      <c r="K31" s="623"/>
      <c r="L31" s="621"/>
      <c r="M31" s="625"/>
      <c r="N31" s="624"/>
      <c r="O31" s="726"/>
      <c r="T31" s="600"/>
      <c r="U31" s="600"/>
      <c r="V31" s="600"/>
      <c r="W31" s="600"/>
      <c r="X31" s="600"/>
      <c r="Y31" s="600"/>
      <c r="Z31" s="600"/>
    </row>
    <row r="32" spans="1:26">
      <c r="A32" s="623"/>
      <c r="B32" s="623"/>
      <c r="C32" s="623"/>
      <c r="D32" s="623"/>
      <c r="E32" s="623"/>
      <c r="F32" s="623"/>
      <c r="G32" s="626"/>
      <c r="H32" s="623"/>
      <c r="I32" s="623"/>
      <c r="J32" s="624"/>
      <c r="K32" s="623"/>
      <c r="L32" s="626"/>
      <c r="M32" s="624"/>
      <c r="N32" s="624"/>
      <c r="O32" s="726"/>
      <c r="T32" s="600"/>
      <c r="U32" s="600"/>
      <c r="V32" s="600"/>
      <c r="W32" s="600"/>
      <c r="X32" s="600"/>
      <c r="Y32" s="600"/>
      <c r="Z32" s="600"/>
    </row>
    <row r="33" spans="1:26">
      <c r="A33" s="623"/>
      <c r="B33" s="623"/>
      <c r="C33" s="623"/>
      <c r="D33" s="623"/>
      <c r="E33" s="623"/>
      <c r="F33" s="623"/>
      <c r="G33" s="626"/>
      <c r="H33" s="623"/>
      <c r="I33" s="623"/>
      <c r="J33" s="624"/>
      <c r="K33" s="623"/>
      <c r="L33" s="626"/>
      <c r="M33" s="624"/>
      <c r="N33" s="624"/>
      <c r="O33" s="726"/>
      <c r="T33" s="600"/>
      <c r="U33" s="600"/>
      <c r="V33" s="600"/>
      <c r="W33" s="600"/>
      <c r="X33" s="600"/>
      <c r="Y33" s="600"/>
      <c r="Z33" s="600"/>
    </row>
    <row r="34" spans="1:26">
      <c r="A34" s="623"/>
      <c r="B34" s="623"/>
      <c r="C34" s="623"/>
      <c r="D34" s="623"/>
      <c r="E34" s="623"/>
      <c r="F34" s="623"/>
      <c r="G34" s="626"/>
      <c r="H34" s="623"/>
      <c r="I34" s="623"/>
      <c r="J34" s="624"/>
      <c r="K34" s="623"/>
      <c r="L34" s="626"/>
      <c r="M34" s="624"/>
      <c r="N34" s="624"/>
      <c r="O34" s="726"/>
      <c r="T34" s="600"/>
      <c r="U34" s="600"/>
      <c r="V34" s="600"/>
      <c r="W34" s="600"/>
      <c r="X34" s="600"/>
      <c r="Y34" s="600"/>
      <c r="Z34" s="600"/>
    </row>
    <row r="35" spans="1:26">
      <c r="A35" s="623"/>
      <c r="B35" s="623"/>
      <c r="C35" s="623"/>
      <c r="D35" s="623"/>
      <c r="E35" s="623"/>
      <c r="F35" s="623"/>
      <c r="G35" s="626"/>
      <c r="H35" s="623"/>
      <c r="I35" s="623"/>
      <c r="J35" s="624"/>
      <c r="K35" s="623"/>
      <c r="L35" s="626"/>
      <c r="M35" s="624"/>
      <c r="N35" s="624"/>
      <c r="O35" s="726"/>
      <c r="P35" s="600"/>
      <c r="Q35" s="600"/>
      <c r="R35" s="600"/>
      <c r="S35" s="600"/>
      <c r="T35" s="600"/>
      <c r="U35" s="600"/>
      <c r="V35" s="600"/>
      <c r="W35" s="600"/>
      <c r="X35" s="600"/>
      <c r="Y35" s="600"/>
      <c r="Z35" s="600"/>
    </row>
    <row r="36" spans="1:26">
      <c r="A36" s="623"/>
      <c r="B36" s="623"/>
      <c r="C36" s="623"/>
      <c r="D36" s="623"/>
      <c r="E36" s="623"/>
      <c r="F36" s="623"/>
      <c r="G36" s="626"/>
      <c r="H36" s="623"/>
      <c r="I36" s="623"/>
      <c r="J36" s="624"/>
      <c r="K36" s="623"/>
      <c r="L36" s="626"/>
      <c r="M36" s="624"/>
      <c r="N36" s="624"/>
      <c r="O36" s="726"/>
      <c r="P36" s="600"/>
      <c r="Q36" s="600"/>
      <c r="R36" s="600"/>
      <c r="S36" s="600"/>
      <c r="T36" s="600"/>
      <c r="U36" s="600"/>
      <c r="V36" s="600"/>
      <c r="W36" s="600"/>
      <c r="X36" s="600"/>
      <c r="Y36" s="600"/>
      <c r="Z36" s="600"/>
    </row>
    <row r="37" spans="1:26">
      <c r="A37" s="623"/>
      <c r="B37" s="623"/>
      <c r="C37" s="623"/>
      <c r="D37" s="623"/>
      <c r="E37" s="623"/>
      <c r="F37" s="623"/>
      <c r="G37" s="626"/>
      <c r="H37" s="623"/>
      <c r="I37" s="623"/>
      <c r="J37" s="624"/>
      <c r="K37" s="623"/>
      <c r="L37" s="626"/>
      <c r="M37" s="624"/>
      <c r="N37" s="624"/>
      <c r="O37" s="726"/>
      <c r="P37" s="600"/>
      <c r="Q37" s="600"/>
      <c r="R37" s="600"/>
      <c r="S37" s="600"/>
      <c r="T37" s="600"/>
      <c r="U37" s="600"/>
      <c r="V37" s="600"/>
      <c r="W37" s="600"/>
      <c r="X37" s="600"/>
      <c r="Y37" s="600"/>
      <c r="Z37" s="600"/>
    </row>
    <row r="38" spans="1:26">
      <c r="A38" s="623"/>
      <c r="B38" s="623"/>
      <c r="C38" s="623"/>
      <c r="D38" s="623"/>
      <c r="E38" s="623"/>
      <c r="F38" s="623"/>
      <c r="G38" s="626"/>
      <c r="H38" s="623"/>
      <c r="I38" s="623"/>
      <c r="J38" s="624"/>
      <c r="K38" s="623"/>
      <c r="L38" s="626"/>
      <c r="M38" s="624"/>
      <c r="N38" s="624"/>
      <c r="O38" s="726"/>
      <c r="P38" s="600"/>
      <c r="Q38" s="600"/>
      <c r="R38" s="600"/>
      <c r="S38" s="600"/>
      <c r="T38" s="600"/>
      <c r="U38" s="600"/>
      <c r="V38" s="600"/>
      <c r="W38" s="600"/>
      <c r="X38" s="600"/>
      <c r="Y38" s="600"/>
      <c r="Z38" s="600"/>
    </row>
    <row r="39" spans="1:26">
      <c r="A39" s="623"/>
      <c r="B39" s="623"/>
      <c r="C39" s="623"/>
      <c r="D39" s="623"/>
      <c r="E39" s="623"/>
      <c r="F39" s="623"/>
      <c r="G39" s="626"/>
      <c r="H39" s="623"/>
      <c r="I39" s="623"/>
      <c r="J39" s="624"/>
      <c r="K39" s="623"/>
      <c r="L39" s="626"/>
      <c r="M39" s="624"/>
      <c r="N39" s="624"/>
      <c r="O39" s="726"/>
      <c r="P39" s="600"/>
      <c r="Q39" s="600"/>
      <c r="R39" s="600"/>
      <c r="S39" s="600"/>
      <c r="T39" s="600"/>
      <c r="U39" s="600"/>
      <c r="V39" s="600"/>
      <c r="W39" s="600"/>
      <c r="X39" s="600"/>
      <c r="Y39" s="600"/>
      <c r="Z39" s="600"/>
    </row>
    <row r="40" spans="1:26">
      <c r="A40" s="623"/>
      <c r="B40" s="623"/>
      <c r="C40" s="623"/>
      <c r="D40" s="623"/>
      <c r="E40" s="623"/>
      <c r="F40" s="623"/>
      <c r="G40" s="626"/>
      <c r="H40" s="623"/>
      <c r="I40" s="623"/>
      <c r="J40" s="624"/>
      <c r="K40" s="623"/>
      <c r="L40" s="626"/>
      <c r="M40" s="624"/>
      <c r="N40" s="624"/>
      <c r="O40" s="726"/>
      <c r="P40" s="600"/>
      <c r="Q40" s="600"/>
      <c r="R40" s="600"/>
      <c r="S40" s="600"/>
      <c r="T40" s="600"/>
      <c r="U40" s="600"/>
      <c r="V40" s="600"/>
      <c r="W40" s="600"/>
      <c r="X40" s="600"/>
      <c r="Y40" s="600"/>
      <c r="Z40" s="600"/>
    </row>
    <row r="41" spans="1:26">
      <c r="A41" s="623"/>
      <c r="B41" s="623"/>
      <c r="C41" s="623"/>
      <c r="D41" s="623"/>
      <c r="E41" s="623"/>
      <c r="F41" s="623"/>
      <c r="G41" s="626"/>
      <c r="H41" s="623"/>
      <c r="I41" s="623"/>
      <c r="J41" s="624"/>
      <c r="K41" s="623"/>
      <c r="L41" s="626"/>
      <c r="M41" s="624"/>
      <c r="N41" s="624"/>
      <c r="O41" s="726"/>
      <c r="P41" s="600"/>
      <c r="Q41" s="600"/>
      <c r="R41" s="600"/>
      <c r="S41" s="600"/>
      <c r="T41" s="600"/>
      <c r="U41" s="600"/>
      <c r="V41" s="600"/>
      <c r="W41" s="600"/>
      <c r="X41" s="600"/>
      <c r="Y41" s="600"/>
      <c r="Z41" s="600"/>
    </row>
    <row r="42" spans="1:26">
      <c r="A42" s="623"/>
      <c r="B42" s="623"/>
      <c r="C42" s="623"/>
      <c r="D42" s="623"/>
      <c r="E42" s="623"/>
      <c r="F42" s="623"/>
      <c r="G42" s="626"/>
      <c r="H42" s="623"/>
      <c r="I42" s="623"/>
      <c r="J42" s="624"/>
      <c r="K42" s="623"/>
      <c r="L42" s="626"/>
      <c r="M42" s="624"/>
      <c r="N42" s="624"/>
      <c r="O42" s="726"/>
      <c r="P42" s="600"/>
      <c r="Q42" s="600"/>
      <c r="R42" s="600"/>
      <c r="S42" s="600"/>
      <c r="T42" s="600"/>
      <c r="U42" s="600"/>
      <c r="V42" s="600"/>
      <c r="W42" s="600"/>
      <c r="X42" s="600"/>
      <c r="Y42" s="600"/>
      <c r="Z42" s="600"/>
    </row>
    <row r="43" spans="1:26">
      <c r="A43" s="623"/>
      <c r="B43" s="623"/>
      <c r="C43" s="623"/>
      <c r="D43" s="623"/>
      <c r="E43" s="623"/>
      <c r="F43" s="623"/>
      <c r="G43" s="626"/>
      <c r="H43" s="623"/>
      <c r="I43" s="623"/>
      <c r="J43" s="624"/>
      <c r="K43" s="623"/>
      <c r="L43" s="626"/>
      <c r="M43" s="624"/>
      <c r="N43" s="624"/>
      <c r="O43" s="726"/>
      <c r="P43" s="600"/>
      <c r="Q43" s="600"/>
      <c r="R43" s="600"/>
      <c r="S43" s="600"/>
      <c r="T43" s="600"/>
      <c r="U43" s="600"/>
      <c r="V43" s="600"/>
      <c r="W43" s="600"/>
      <c r="X43" s="600"/>
      <c r="Y43" s="600"/>
      <c r="Z43" s="600"/>
    </row>
    <row r="44" spans="1:26">
      <c r="A44" s="623"/>
      <c r="B44" s="623"/>
      <c r="C44" s="623"/>
      <c r="D44" s="623"/>
      <c r="E44" s="623"/>
      <c r="F44" s="623"/>
      <c r="G44" s="626"/>
      <c r="H44" s="623"/>
      <c r="I44" s="623"/>
      <c r="J44" s="624"/>
      <c r="K44" s="623"/>
      <c r="L44" s="626"/>
      <c r="M44" s="624"/>
      <c r="N44" s="624"/>
      <c r="O44" s="726"/>
      <c r="P44" s="600"/>
      <c r="Q44" s="600"/>
      <c r="R44" s="600"/>
      <c r="S44" s="600"/>
      <c r="T44" s="600"/>
      <c r="U44" s="600"/>
      <c r="V44" s="600"/>
      <c r="W44" s="600"/>
      <c r="X44" s="600"/>
      <c r="Y44" s="600"/>
      <c r="Z44" s="600"/>
    </row>
    <row r="45" spans="1:26">
      <c r="A45" s="623"/>
      <c r="B45" s="623"/>
      <c r="C45" s="623"/>
      <c r="D45" s="623"/>
      <c r="E45" s="623"/>
      <c r="F45" s="623"/>
      <c r="G45" s="626"/>
      <c r="H45" s="623"/>
      <c r="I45" s="623"/>
      <c r="J45" s="624"/>
      <c r="K45" s="623"/>
      <c r="L45" s="626"/>
      <c r="M45" s="624"/>
      <c r="N45" s="624"/>
      <c r="O45" s="726"/>
      <c r="P45" s="600"/>
      <c r="Q45" s="600"/>
      <c r="R45" s="600"/>
      <c r="S45" s="600"/>
      <c r="T45" s="600"/>
      <c r="U45" s="600"/>
      <c r="V45" s="600"/>
      <c r="W45" s="600"/>
      <c r="X45" s="600"/>
      <c r="Y45" s="600"/>
      <c r="Z45" s="600"/>
    </row>
    <row r="46" spans="1:26">
      <c r="A46" s="623"/>
      <c r="B46" s="623"/>
      <c r="C46" s="623"/>
      <c r="D46" s="623"/>
      <c r="E46" s="623"/>
      <c r="F46" s="623"/>
      <c r="G46" s="626"/>
      <c r="H46" s="623"/>
      <c r="I46" s="623"/>
      <c r="J46" s="624"/>
      <c r="K46" s="623"/>
      <c r="L46" s="626"/>
      <c r="M46" s="624"/>
      <c r="N46" s="624"/>
      <c r="O46" s="726"/>
      <c r="P46" s="600"/>
      <c r="Q46" s="600"/>
      <c r="R46" s="600"/>
      <c r="S46" s="600"/>
      <c r="T46" s="600"/>
      <c r="U46" s="600"/>
      <c r="V46" s="600"/>
      <c r="W46" s="600"/>
      <c r="X46" s="600"/>
      <c r="Y46" s="600"/>
      <c r="Z46" s="600"/>
    </row>
    <row r="47" spans="1:26">
      <c r="A47" s="623"/>
      <c r="B47" s="623"/>
      <c r="C47" s="623"/>
      <c r="D47" s="623"/>
      <c r="E47" s="623"/>
      <c r="F47" s="623"/>
      <c r="G47" s="626"/>
      <c r="H47" s="623"/>
      <c r="I47" s="623"/>
      <c r="J47" s="624"/>
      <c r="K47" s="623"/>
      <c r="L47" s="626"/>
      <c r="M47" s="624"/>
      <c r="N47" s="624"/>
      <c r="O47" s="726"/>
      <c r="P47" s="600"/>
      <c r="Q47" s="600"/>
      <c r="R47" s="600"/>
      <c r="S47" s="600"/>
      <c r="T47" s="600"/>
      <c r="U47" s="600"/>
      <c r="V47" s="600"/>
      <c r="W47" s="600"/>
      <c r="X47" s="600"/>
      <c r="Y47" s="600"/>
      <c r="Z47" s="600"/>
    </row>
    <row r="48" spans="1:26">
      <c r="A48" s="623"/>
      <c r="B48" s="623"/>
      <c r="C48" s="623"/>
      <c r="D48" s="623"/>
      <c r="E48" s="623"/>
      <c r="F48" s="623"/>
      <c r="G48" s="626"/>
      <c r="H48" s="623"/>
      <c r="I48" s="623"/>
      <c r="J48" s="624"/>
      <c r="K48" s="623"/>
      <c r="L48" s="626"/>
      <c r="M48" s="624"/>
      <c r="N48" s="624"/>
      <c r="O48" s="726"/>
      <c r="P48" s="600"/>
      <c r="Q48" s="600"/>
      <c r="R48" s="600"/>
      <c r="S48" s="600"/>
      <c r="T48" s="600"/>
      <c r="U48" s="600"/>
      <c r="V48" s="600"/>
      <c r="W48" s="600"/>
      <c r="X48" s="600"/>
      <c r="Y48" s="600"/>
      <c r="Z48" s="600"/>
    </row>
    <row r="49" spans="1:26">
      <c r="A49" s="623"/>
      <c r="B49" s="623"/>
      <c r="C49" s="623"/>
      <c r="D49" s="623"/>
      <c r="E49" s="623"/>
      <c r="F49" s="623"/>
      <c r="G49" s="626"/>
      <c r="H49" s="623"/>
      <c r="I49" s="623"/>
      <c r="J49" s="624"/>
      <c r="K49" s="623"/>
      <c r="L49" s="626"/>
      <c r="M49" s="624"/>
      <c r="N49" s="624"/>
      <c r="O49" s="726"/>
      <c r="P49" s="600"/>
      <c r="Q49" s="600"/>
      <c r="R49" s="600"/>
      <c r="S49" s="600"/>
      <c r="T49" s="600"/>
      <c r="U49" s="600"/>
      <c r="V49" s="600"/>
      <c r="W49" s="600"/>
      <c r="X49" s="600"/>
      <c r="Y49" s="600"/>
      <c r="Z49" s="600"/>
    </row>
    <row r="50" spans="1:26">
      <c r="A50" s="623"/>
      <c r="B50" s="623"/>
      <c r="C50" s="623"/>
      <c r="D50" s="623"/>
      <c r="E50" s="623"/>
      <c r="F50" s="623"/>
      <c r="G50" s="626"/>
      <c r="H50" s="623"/>
      <c r="I50" s="623"/>
      <c r="J50" s="624"/>
      <c r="K50" s="623"/>
      <c r="L50" s="626"/>
      <c r="M50" s="624"/>
      <c r="N50" s="624"/>
      <c r="O50" s="726"/>
      <c r="P50" s="600"/>
      <c r="Q50" s="600"/>
      <c r="R50" s="600"/>
      <c r="S50" s="600"/>
      <c r="T50" s="600"/>
      <c r="U50" s="600"/>
      <c r="V50" s="600"/>
      <c r="W50" s="600"/>
      <c r="X50" s="600"/>
      <c r="Y50" s="600"/>
      <c r="Z50" s="600"/>
    </row>
    <row r="51" spans="1:26">
      <c r="A51" s="623"/>
      <c r="B51" s="623"/>
      <c r="C51" s="623"/>
      <c r="D51" s="623"/>
      <c r="E51" s="623"/>
      <c r="F51" s="623"/>
      <c r="G51" s="626"/>
      <c r="H51" s="623"/>
      <c r="I51" s="623"/>
      <c r="J51" s="624"/>
      <c r="K51" s="623"/>
      <c r="L51" s="626"/>
      <c r="M51" s="624"/>
      <c r="N51" s="624"/>
      <c r="O51" s="726"/>
      <c r="T51" s="600"/>
      <c r="U51" s="600"/>
      <c r="V51" s="600"/>
      <c r="W51" s="600"/>
      <c r="X51" s="600"/>
      <c r="Y51" s="600"/>
      <c r="Z51" s="600"/>
    </row>
    <row r="52" spans="1:26">
      <c r="A52" s="623"/>
      <c r="B52" s="623"/>
      <c r="C52" s="623"/>
      <c r="D52" s="623"/>
      <c r="E52" s="623"/>
      <c r="F52" s="623"/>
      <c r="G52" s="626"/>
      <c r="H52" s="623"/>
      <c r="I52" s="623"/>
      <c r="J52" s="624"/>
      <c r="K52" s="623"/>
      <c r="L52" s="626"/>
      <c r="M52" s="624"/>
      <c r="N52" s="624"/>
      <c r="O52" s="726"/>
      <c r="T52" s="600"/>
      <c r="U52" s="600"/>
      <c r="V52" s="600"/>
      <c r="W52" s="600"/>
      <c r="X52" s="600"/>
      <c r="Y52" s="600"/>
      <c r="Z52" s="600"/>
    </row>
    <row r="53" spans="1:26">
      <c r="A53" s="623"/>
      <c r="B53" s="623"/>
      <c r="C53" s="623"/>
      <c r="D53" s="623"/>
      <c r="E53" s="623"/>
      <c r="F53" s="623"/>
      <c r="G53" s="626"/>
      <c r="H53" s="623"/>
      <c r="I53" s="623"/>
      <c r="J53" s="624"/>
      <c r="K53" s="623"/>
      <c r="L53" s="626"/>
      <c r="M53" s="624"/>
      <c r="N53" s="624"/>
      <c r="O53" s="726"/>
      <c r="T53" s="600"/>
      <c r="U53" s="600"/>
      <c r="V53" s="600"/>
      <c r="W53" s="600"/>
      <c r="X53" s="600"/>
      <c r="Y53" s="600"/>
      <c r="Z53" s="600"/>
    </row>
    <row r="54" spans="1:26">
      <c r="A54" s="623"/>
      <c r="B54" s="623"/>
      <c r="C54" s="623"/>
      <c r="D54" s="623"/>
      <c r="E54" s="623"/>
      <c r="F54" s="623"/>
      <c r="G54" s="626"/>
      <c r="H54" s="623"/>
      <c r="I54" s="623"/>
      <c r="J54" s="624"/>
      <c r="K54" s="623"/>
      <c r="L54" s="626"/>
      <c r="M54" s="624"/>
      <c r="N54" s="624"/>
      <c r="O54" s="726"/>
      <c r="T54" s="600"/>
      <c r="U54" s="600"/>
      <c r="V54" s="600"/>
      <c r="W54" s="600"/>
      <c r="X54" s="600"/>
      <c r="Y54" s="600"/>
      <c r="Z54" s="600"/>
    </row>
    <row r="55" spans="1:26">
      <c r="A55" s="623"/>
      <c r="B55" s="623"/>
      <c r="C55" s="623"/>
      <c r="D55" s="623"/>
      <c r="E55" s="623"/>
      <c r="F55" s="623"/>
      <c r="G55" s="626"/>
      <c r="H55" s="623"/>
      <c r="I55" s="623"/>
      <c r="J55" s="624"/>
      <c r="K55" s="623"/>
      <c r="L55" s="626"/>
      <c r="M55" s="624"/>
      <c r="N55" s="624"/>
      <c r="O55" s="726"/>
      <c r="T55" s="600"/>
      <c r="U55" s="600"/>
      <c r="V55" s="600"/>
      <c r="W55" s="600"/>
      <c r="X55" s="600"/>
      <c r="Y55" s="600"/>
      <c r="Z55" s="600"/>
    </row>
    <row r="56" spans="1:26" ht="18" customHeight="1">
      <c r="A56" s="627"/>
      <c r="B56" s="627"/>
      <c r="C56" s="627"/>
      <c r="D56" s="627"/>
      <c r="E56" s="627"/>
      <c r="F56" s="627"/>
      <c r="G56" s="629"/>
      <c r="H56" s="627"/>
      <c r="I56" s="628"/>
      <c r="J56" s="624"/>
      <c r="K56" s="628"/>
      <c r="L56" s="629"/>
      <c r="M56" s="630"/>
      <c r="N56" s="630"/>
      <c r="O56" s="727"/>
      <c r="T56" s="600"/>
      <c r="U56" s="600"/>
      <c r="V56" s="600"/>
      <c r="W56" s="600"/>
      <c r="X56" s="600"/>
      <c r="Y56" s="600"/>
      <c r="Z56" s="600"/>
    </row>
    <row r="57" spans="1:26" ht="18" customHeight="1">
      <c r="A57" s="631"/>
      <c r="B57" s="631"/>
      <c r="C57" s="631"/>
      <c r="D57" s="631"/>
      <c r="E57" s="631"/>
      <c r="F57" s="631"/>
      <c r="G57" s="626"/>
      <c r="H57" s="631"/>
      <c r="I57" s="623"/>
      <c r="J57" s="624"/>
      <c r="K57" s="623"/>
      <c r="L57" s="626"/>
      <c r="M57" s="624"/>
      <c r="N57" s="624"/>
      <c r="O57" s="726"/>
      <c r="T57" s="600"/>
      <c r="U57" s="600"/>
      <c r="V57" s="600"/>
      <c r="W57" s="600"/>
      <c r="X57" s="600"/>
      <c r="Y57" s="600"/>
      <c r="Z57" s="600"/>
    </row>
    <row r="58" spans="1:26" ht="39.950000000000003" customHeight="1">
      <c r="A58" s="1168"/>
      <c r="B58" s="1168"/>
      <c r="C58" s="1168"/>
      <c r="D58" s="1168"/>
      <c r="E58" s="1168"/>
      <c r="F58" s="1168"/>
      <c r="G58" s="1168"/>
      <c r="H58" s="1168"/>
      <c r="I58" s="1168"/>
      <c r="J58" s="1168"/>
      <c r="K58" s="1168"/>
      <c r="L58" s="1168"/>
      <c r="M58" s="1168"/>
      <c r="N58" s="1168"/>
      <c r="O58" s="1168"/>
      <c r="T58" s="600"/>
      <c r="U58" s="600"/>
      <c r="V58" s="600"/>
      <c r="W58" s="600"/>
      <c r="X58" s="600"/>
      <c r="Y58" s="600"/>
      <c r="Z58" s="600"/>
    </row>
    <row r="59" spans="1:26" ht="21.95" customHeight="1">
      <c r="A59" s="1159"/>
      <c r="B59" s="1159"/>
      <c r="C59" s="1159"/>
      <c r="D59" s="1159"/>
      <c r="E59" s="1159"/>
      <c r="F59" s="1159"/>
      <c r="G59" s="1159"/>
      <c r="H59" s="1159"/>
      <c r="I59" s="1159"/>
      <c r="J59" s="1159"/>
      <c r="K59" s="1159"/>
      <c r="L59" s="1159"/>
      <c r="M59" s="1159"/>
      <c r="N59" s="1159"/>
      <c r="O59" s="1159"/>
      <c r="T59" s="600"/>
      <c r="U59" s="600"/>
      <c r="V59" s="600"/>
      <c r="W59" s="600"/>
      <c r="X59" s="600"/>
      <c r="Y59" s="600"/>
      <c r="Z59" s="600"/>
    </row>
    <row r="60" spans="1:26" ht="18" customHeight="1">
      <c r="A60" s="623"/>
      <c r="B60" s="623"/>
      <c r="C60" s="623"/>
      <c r="D60" s="623"/>
      <c r="E60" s="623"/>
      <c r="F60" s="623"/>
      <c r="G60" s="626"/>
      <c r="H60" s="623"/>
      <c r="I60" s="623"/>
      <c r="J60" s="624"/>
      <c r="K60" s="623"/>
      <c r="L60" s="626"/>
      <c r="M60" s="624"/>
      <c r="N60" s="624"/>
      <c r="O60" s="726"/>
      <c r="T60" s="600"/>
      <c r="U60" s="600"/>
      <c r="V60" s="600"/>
      <c r="W60" s="600"/>
      <c r="X60" s="600"/>
      <c r="Y60" s="600"/>
      <c r="Z60" s="600"/>
    </row>
    <row r="61" spans="1:26" ht="18" customHeight="1">
      <c r="A61" s="633"/>
      <c r="B61" s="633"/>
      <c r="C61" s="633"/>
      <c r="D61" s="633"/>
      <c r="E61" s="633"/>
      <c r="F61" s="633"/>
      <c r="G61" s="636"/>
      <c r="H61" s="633"/>
      <c r="I61" s="635"/>
      <c r="J61" s="634"/>
      <c r="K61" s="635"/>
      <c r="L61" s="636"/>
      <c r="M61" s="631"/>
      <c r="N61" s="624"/>
      <c r="O61" s="728"/>
      <c r="T61" s="600"/>
      <c r="U61" s="600"/>
      <c r="V61" s="600"/>
      <c r="W61" s="600"/>
      <c r="X61" s="600"/>
      <c r="Y61" s="600"/>
      <c r="Z61" s="600"/>
    </row>
    <row r="62" spans="1:26" ht="35.25" customHeight="1">
      <c r="A62" s="1160"/>
      <c r="B62" s="1160"/>
      <c r="C62" s="1160"/>
      <c r="D62" s="1160"/>
      <c r="E62" s="1160"/>
      <c r="F62" s="1160"/>
      <c r="G62" s="1160"/>
      <c r="H62" s="1160"/>
      <c r="I62" s="1160"/>
      <c r="J62" s="1160"/>
      <c r="K62" s="1160"/>
      <c r="L62" s="1160"/>
      <c r="M62" s="637"/>
      <c r="N62" s="624"/>
      <c r="O62" s="728"/>
      <c r="T62" s="600"/>
      <c r="U62" s="600"/>
      <c r="V62" s="600"/>
      <c r="W62" s="600"/>
      <c r="X62" s="600"/>
      <c r="Y62" s="600"/>
      <c r="Z62" s="600"/>
    </row>
    <row r="63" spans="1:26" ht="18" customHeight="1">
      <c r="A63" s="633"/>
      <c r="B63" s="633"/>
      <c r="C63" s="633"/>
      <c r="D63" s="633"/>
      <c r="E63" s="633"/>
      <c r="F63" s="633"/>
      <c r="G63" s="636"/>
      <c r="H63" s="633"/>
      <c r="I63" s="635"/>
      <c r="J63" s="1155"/>
      <c r="K63" s="1155"/>
      <c r="L63" s="1155"/>
      <c r="M63" s="637"/>
      <c r="N63" s="624"/>
      <c r="O63" s="728"/>
      <c r="T63" s="600"/>
      <c r="U63" s="600"/>
      <c r="V63" s="600"/>
      <c r="W63" s="600"/>
      <c r="X63" s="600"/>
      <c r="Y63" s="600"/>
      <c r="Z63" s="600"/>
    </row>
    <row r="64" spans="1:26" ht="18" customHeight="1">
      <c r="A64" s="633"/>
      <c r="B64" s="633"/>
      <c r="C64" s="633"/>
      <c r="D64" s="633"/>
      <c r="E64" s="633"/>
      <c r="F64" s="633"/>
      <c r="G64" s="636"/>
      <c r="H64" s="633"/>
      <c r="I64" s="635"/>
      <c r="J64" s="1155"/>
      <c r="K64" s="1155"/>
      <c r="L64" s="1155"/>
      <c r="M64" s="637"/>
      <c r="N64" s="624"/>
      <c r="O64" s="728"/>
      <c r="T64" s="600"/>
      <c r="U64" s="600"/>
      <c r="V64" s="600"/>
      <c r="W64" s="600"/>
      <c r="X64" s="600"/>
      <c r="Y64" s="600"/>
      <c r="Z64" s="600"/>
    </row>
    <row r="65" spans="1:26" ht="18" customHeight="1">
      <c r="A65" s="634"/>
      <c r="B65" s="634"/>
      <c r="C65" s="634"/>
      <c r="D65" s="634"/>
      <c r="E65" s="634"/>
      <c r="F65" s="634"/>
      <c r="G65" s="639"/>
      <c r="H65" s="634"/>
      <c r="I65" s="638"/>
      <c r="J65" s="1155"/>
      <c r="K65" s="1155"/>
      <c r="L65" s="1155"/>
      <c r="M65" s="637"/>
      <c r="N65" s="624"/>
      <c r="O65" s="728"/>
      <c r="T65" s="600"/>
      <c r="U65" s="600"/>
      <c r="V65" s="600"/>
      <c r="W65" s="600"/>
      <c r="X65" s="600"/>
      <c r="Y65" s="600"/>
      <c r="Z65" s="600"/>
    </row>
    <row r="66" spans="1:26" ht="18" customHeight="1">
      <c r="A66" s="634"/>
      <c r="B66" s="634"/>
      <c r="C66" s="634"/>
      <c r="D66" s="634"/>
      <c r="E66" s="634"/>
      <c r="F66" s="634"/>
      <c r="G66" s="639"/>
      <c r="H66" s="634"/>
      <c r="I66" s="638"/>
      <c r="J66" s="1155"/>
      <c r="K66" s="1155"/>
      <c r="L66" s="1155"/>
      <c r="M66" s="637"/>
      <c r="N66" s="624"/>
      <c r="O66" s="728"/>
      <c r="T66" s="600"/>
      <c r="U66" s="600"/>
      <c r="V66" s="600"/>
      <c r="W66" s="600"/>
      <c r="X66" s="600"/>
      <c r="Y66" s="600"/>
      <c r="Z66" s="600"/>
    </row>
    <row r="67" spans="1:26" ht="18" customHeight="1">
      <c r="A67" s="634"/>
      <c r="B67" s="634"/>
      <c r="C67" s="634"/>
      <c r="D67" s="634"/>
      <c r="E67" s="634"/>
      <c r="F67" s="634"/>
      <c r="G67" s="639"/>
      <c r="H67" s="634"/>
      <c r="I67" s="638"/>
      <c r="J67" s="634"/>
      <c r="K67" s="638"/>
      <c r="L67" s="639"/>
      <c r="M67" s="633"/>
      <c r="N67" s="624"/>
      <c r="O67" s="726"/>
      <c r="T67" s="600"/>
      <c r="U67" s="600"/>
      <c r="V67" s="600"/>
      <c r="W67" s="600"/>
      <c r="X67" s="600"/>
      <c r="Y67" s="600"/>
      <c r="Z67" s="600"/>
    </row>
    <row r="68" spans="1:26" ht="40.5" customHeight="1">
      <c r="A68" s="1157"/>
      <c r="B68" s="1157"/>
      <c r="C68" s="1157"/>
      <c r="D68" s="1157"/>
      <c r="E68" s="1157"/>
      <c r="F68" s="1157"/>
      <c r="G68" s="1157"/>
      <c r="H68" s="1157"/>
      <c r="I68" s="1157"/>
      <c r="J68" s="1157"/>
      <c r="K68" s="1157"/>
      <c r="L68" s="1157"/>
      <c r="M68" s="1157"/>
      <c r="N68" s="1157"/>
      <c r="O68" s="1157"/>
      <c r="P68" s="612"/>
      <c r="Q68" s="612"/>
      <c r="R68" s="613"/>
      <c r="S68" s="613"/>
      <c r="T68" s="600"/>
      <c r="U68" s="600"/>
      <c r="V68" s="600"/>
      <c r="W68" s="600"/>
      <c r="X68" s="600"/>
      <c r="Y68" s="600"/>
      <c r="Z68" s="600"/>
    </row>
    <row r="69" spans="1:26" ht="18" customHeight="1">
      <c r="A69" s="623"/>
      <c r="B69" s="623"/>
      <c r="C69" s="623"/>
      <c r="D69" s="623"/>
      <c r="E69" s="623"/>
      <c r="F69" s="623"/>
      <c r="G69" s="626"/>
      <c r="H69" s="623"/>
      <c r="I69" s="623"/>
      <c r="J69" s="624"/>
      <c r="K69" s="623"/>
      <c r="L69" s="626"/>
      <c r="M69" s="630"/>
      <c r="N69" s="630"/>
      <c r="O69" s="727"/>
      <c r="T69" s="600"/>
      <c r="U69" s="600"/>
      <c r="V69" s="600"/>
      <c r="W69" s="600"/>
      <c r="X69" s="600"/>
      <c r="Y69" s="600"/>
      <c r="Z69" s="600"/>
    </row>
    <row r="70" spans="1:26" ht="66" customHeight="1">
      <c r="A70" s="632"/>
      <c r="B70" s="632"/>
      <c r="C70" s="632"/>
      <c r="D70" s="632"/>
      <c r="E70" s="632"/>
      <c r="F70" s="632"/>
      <c r="G70" s="672"/>
      <c r="H70" s="632"/>
      <c r="I70" s="632"/>
      <c r="J70" s="640"/>
      <c r="K70" s="628"/>
      <c r="L70" s="629"/>
      <c r="M70" s="632"/>
      <c r="N70" s="632"/>
      <c r="O70" s="729"/>
      <c r="T70" s="600"/>
      <c r="U70" s="600"/>
      <c r="V70" s="600"/>
      <c r="W70" s="600"/>
      <c r="X70" s="600"/>
      <c r="Y70" s="600"/>
      <c r="Z70" s="600"/>
    </row>
    <row r="71" spans="1:26" ht="18" customHeight="1">
      <c r="A71" s="628"/>
      <c r="B71" s="628"/>
      <c r="C71" s="628"/>
      <c r="D71" s="628"/>
      <c r="E71" s="628"/>
      <c r="F71" s="628"/>
      <c r="G71" s="629"/>
      <c r="H71" s="628"/>
      <c r="I71" s="628"/>
      <c r="J71" s="630"/>
      <c r="K71" s="628"/>
      <c r="L71" s="629"/>
      <c r="M71" s="628"/>
      <c r="N71" s="628"/>
      <c r="O71" s="727"/>
      <c r="T71" s="600"/>
      <c r="U71" s="600"/>
      <c r="V71" s="600"/>
      <c r="W71" s="600"/>
      <c r="X71" s="600"/>
      <c r="Y71" s="600"/>
      <c r="Z71" s="600"/>
    </row>
    <row r="72" spans="1:26" ht="18" customHeight="1">
      <c r="A72" s="641"/>
      <c r="B72" s="641"/>
      <c r="C72" s="641"/>
      <c r="D72" s="641"/>
      <c r="E72" s="641"/>
      <c r="F72" s="641"/>
      <c r="G72" s="673"/>
      <c r="H72" s="641"/>
      <c r="I72" s="641"/>
      <c r="J72" s="642"/>
      <c r="K72" s="643"/>
      <c r="L72" s="644"/>
      <c r="M72" s="645"/>
      <c r="N72" s="646"/>
      <c r="O72" s="726"/>
      <c r="T72" s="600"/>
      <c r="U72" s="600"/>
      <c r="V72" s="600"/>
      <c r="W72" s="600"/>
      <c r="X72" s="600"/>
      <c r="Y72" s="600"/>
      <c r="Z72" s="600"/>
    </row>
    <row r="73" spans="1:26" ht="111" customHeight="1">
      <c r="A73" s="647"/>
      <c r="B73" s="647"/>
      <c r="C73" s="647"/>
      <c r="D73" s="647"/>
      <c r="E73" s="647"/>
      <c r="F73" s="647"/>
      <c r="G73" s="644"/>
      <c r="H73" s="647"/>
      <c r="I73" s="647"/>
      <c r="J73" s="648"/>
      <c r="K73" s="643"/>
      <c r="L73" s="644"/>
      <c r="M73" s="649"/>
      <c r="N73" s="650"/>
      <c r="O73" s="730"/>
      <c r="T73" s="600"/>
      <c r="U73" s="600"/>
      <c r="V73" s="600"/>
      <c r="W73" s="600"/>
      <c r="X73" s="600"/>
      <c r="Y73" s="600"/>
      <c r="Z73" s="600"/>
    </row>
    <row r="74" spans="1:26" ht="21.95" customHeight="1">
      <c r="A74" s="647"/>
      <c r="B74" s="647"/>
      <c r="C74" s="647"/>
      <c r="D74" s="647"/>
      <c r="E74" s="647"/>
      <c r="F74" s="647"/>
      <c r="G74" s="644"/>
      <c r="H74" s="647"/>
      <c r="I74" s="647"/>
      <c r="J74" s="651"/>
      <c r="K74" s="643"/>
      <c r="L74" s="644"/>
      <c r="M74" s="652"/>
      <c r="N74" s="653"/>
      <c r="O74" s="726"/>
      <c r="T74" s="600"/>
      <c r="U74" s="600"/>
      <c r="V74" s="600"/>
      <c r="W74" s="600"/>
      <c r="X74" s="600"/>
      <c r="Y74" s="600"/>
      <c r="Z74" s="600"/>
    </row>
    <row r="75" spans="1:26" ht="21.95" customHeight="1">
      <c r="A75" s="654"/>
      <c r="B75" s="654"/>
      <c r="C75" s="654"/>
      <c r="D75" s="654"/>
      <c r="E75" s="654"/>
      <c r="F75" s="654"/>
      <c r="G75" s="644"/>
      <c r="H75" s="654"/>
      <c r="I75" s="654"/>
      <c r="J75" s="648"/>
      <c r="K75" s="643"/>
      <c r="L75" s="644"/>
      <c r="M75" s="645"/>
      <c r="N75" s="646"/>
      <c r="O75" s="726"/>
      <c r="T75" s="600"/>
      <c r="U75" s="600"/>
      <c r="V75" s="600"/>
      <c r="W75" s="600"/>
      <c r="X75" s="600"/>
      <c r="Y75" s="600"/>
      <c r="Z75" s="600"/>
    </row>
    <row r="76" spans="1:26" ht="21.95" customHeight="1">
      <c r="A76" s="654"/>
      <c r="B76" s="654"/>
      <c r="C76" s="654"/>
      <c r="D76" s="654"/>
      <c r="E76" s="654"/>
      <c r="F76" s="654"/>
      <c r="G76" s="644"/>
      <c r="H76" s="654"/>
      <c r="I76" s="654"/>
      <c r="J76" s="648"/>
      <c r="K76" s="643"/>
      <c r="L76" s="644"/>
      <c r="M76" s="645"/>
      <c r="N76" s="646"/>
      <c r="O76" s="726"/>
      <c r="T76" s="600"/>
      <c r="U76" s="600"/>
      <c r="V76" s="600"/>
      <c r="W76" s="600"/>
      <c r="X76" s="600"/>
      <c r="Y76" s="600"/>
      <c r="Z76" s="600"/>
    </row>
    <row r="77" spans="1:26">
      <c r="A77" s="647"/>
      <c r="B77" s="647"/>
      <c r="C77" s="647"/>
      <c r="D77" s="647"/>
      <c r="E77" s="647"/>
      <c r="F77" s="647"/>
      <c r="G77" s="644"/>
      <c r="H77" s="647"/>
      <c r="I77" s="647"/>
      <c r="J77" s="648"/>
      <c r="K77" s="643"/>
      <c r="L77" s="644"/>
      <c r="M77" s="645"/>
      <c r="N77" s="646"/>
      <c r="O77" s="726"/>
      <c r="T77" s="600"/>
      <c r="U77" s="600"/>
      <c r="V77" s="600"/>
      <c r="W77" s="600"/>
      <c r="X77" s="600"/>
      <c r="Y77" s="600"/>
      <c r="Z77" s="600"/>
    </row>
    <row r="78" spans="1:26" ht="21.95" customHeight="1">
      <c r="A78" s="647"/>
      <c r="B78" s="647"/>
      <c r="C78" s="647"/>
      <c r="D78" s="647"/>
      <c r="E78" s="647"/>
      <c r="F78" s="647"/>
      <c r="G78" s="644"/>
      <c r="H78" s="647"/>
      <c r="I78" s="647"/>
      <c r="J78" s="651"/>
      <c r="K78" s="643"/>
      <c r="L78" s="644"/>
      <c r="M78" s="645"/>
      <c r="N78" s="646"/>
      <c r="O78" s="730"/>
      <c r="T78" s="600"/>
      <c r="U78" s="600"/>
      <c r="V78" s="600"/>
      <c r="W78" s="600"/>
      <c r="X78" s="600"/>
      <c r="Y78" s="600"/>
      <c r="Z78" s="600"/>
    </row>
    <row r="79" spans="1:26" ht="21.95" customHeight="1">
      <c r="A79" s="647"/>
      <c r="B79" s="647"/>
      <c r="C79" s="647"/>
      <c r="D79" s="647"/>
      <c r="E79" s="647"/>
      <c r="F79" s="647"/>
      <c r="G79" s="644"/>
      <c r="H79" s="647"/>
      <c r="I79" s="647"/>
      <c r="J79" s="648"/>
      <c r="K79" s="643"/>
      <c r="L79" s="644"/>
      <c r="M79" s="645"/>
      <c r="N79" s="646"/>
      <c r="O79" s="726"/>
      <c r="T79" s="600"/>
      <c r="U79" s="600"/>
      <c r="V79" s="600"/>
      <c r="W79" s="600"/>
      <c r="X79" s="600"/>
      <c r="Y79" s="600"/>
      <c r="Z79" s="600"/>
    </row>
    <row r="80" spans="1:26" ht="21.95" customHeight="1">
      <c r="A80" s="647"/>
      <c r="B80" s="647"/>
      <c r="C80" s="647"/>
      <c r="D80" s="647"/>
      <c r="E80" s="647"/>
      <c r="F80" s="647"/>
      <c r="G80" s="644"/>
      <c r="H80" s="647"/>
      <c r="I80" s="647"/>
      <c r="J80" s="648"/>
      <c r="K80" s="643"/>
      <c r="L80" s="644"/>
      <c r="M80" s="645"/>
      <c r="N80" s="646"/>
      <c r="O80" s="726"/>
      <c r="T80" s="600"/>
      <c r="U80" s="600"/>
      <c r="V80" s="600"/>
      <c r="W80" s="600"/>
      <c r="X80" s="600"/>
      <c r="Y80" s="600"/>
      <c r="Z80" s="600"/>
    </row>
    <row r="81" spans="1:26">
      <c r="A81" s="647"/>
      <c r="B81" s="647"/>
      <c r="C81" s="647"/>
      <c r="D81" s="647"/>
      <c r="E81" s="647"/>
      <c r="F81" s="647"/>
      <c r="G81" s="644"/>
      <c r="H81" s="647"/>
      <c r="I81" s="647"/>
      <c r="J81" s="648"/>
      <c r="K81" s="643"/>
      <c r="L81" s="644"/>
      <c r="M81" s="645"/>
      <c r="N81" s="646"/>
      <c r="O81" s="730"/>
      <c r="T81" s="600"/>
      <c r="U81" s="600"/>
      <c r="V81" s="600"/>
      <c r="W81" s="600"/>
      <c r="X81" s="600"/>
      <c r="Y81" s="600"/>
      <c r="Z81" s="600"/>
    </row>
    <row r="82" spans="1:26" ht="21.95" customHeight="1">
      <c r="A82" s="647"/>
      <c r="B82" s="647"/>
      <c r="C82" s="647"/>
      <c r="D82" s="647"/>
      <c r="E82" s="647"/>
      <c r="F82" s="647"/>
      <c r="G82" s="644"/>
      <c r="H82" s="647"/>
      <c r="I82" s="647"/>
      <c r="J82" s="651"/>
      <c r="K82" s="643"/>
      <c r="L82" s="644"/>
      <c r="M82" s="655"/>
      <c r="N82" s="646"/>
      <c r="O82" s="731"/>
      <c r="T82" s="600"/>
      <c r="U82" s="600"/>
      <c r="V82" s="600"/>
      <c r="W82" s="600"/>
      <c r="X82" s="600"/>
      <c r="Y82" s="600"/>
      <c r="Z82" s="600"/>
    </row>
    <row r="83" spans="1:26" ht="35.1" customHeight="1">
      <c r="A83" s="654"/>
      <c r="B83" s="654"/>
      <c r="C83" s="654"/>
      <c r="D83" s="654"/>
      <c r="E83" s="654"/>
      <c r="F83" s="654"/>
      <c r="G83" s="644"/>
      <c r="H83" s="654"/>
      <c r="I83" s="654"/>
      <c r="J83" s="656"/>
      <c r="K83" s="643"/>
      <c r="L83" s="644"/>
      <c r="M83" s="645"/>
      <c r="N83" s="646"/>
      <c r="O83" s="726"/>
      <c r="T83" s="600"/>
      <c r="U83" s="600"/>
      <c r="V83" s="600"/>
      <c r="W83" s="600"/>
      <c r="X83" s="600"/>
      <c r="Y83" s="600"/>
      <c r="Z83" s="600"/>
    </row>
    <row r="84" spans="1:26" ht="21.95" customHeight="1">
      <c r="A84" s="654"/>
      <c r="B84" s="654"/>
      <c r="C84" s="654"/>
      <c r="D84" s="654"/>
      <c r="E84" s="654"/>
      <c r="F84" s="654"/>
      <c r="G84" s="644"/>
      <c r="H84" s="654"/>
      <c r="I84" s="654"/>
      <c r="J84" s="657"/>
      <c r="K84" s="643"/>
      <c r="L84" s="644"/>
      <c r="M84" s="655"/>
      <c r="N84" s="646"/>
      <c r="O84" s="726"/>
      <c r="T84" s="600"/>
      <c r="U84" s="600"/>
      <c r="V84" s="600"/>
      <c r="W84" s="600"/>
      <c r="X84" s="600"/>
      <c r="Y84" s="600"/>
      <c r="Z84" s="600"/>
    </row>
    <row r="85" spans="1:26" ht="21.95" customHeight="1">
      <c r="A85" s="654"/>
      <c r="B85" s="654"/>
      <c r="C85" s="654"/>
      <c r="D85" s="654"/>
      <c r="E85" s="654"/>
      <c r="F85" s="654"/>
      <c r="G85" s="644"/>
      <c r="H85" s="654"/>
      <c r="I85" s="654"/>
      <c r="J85" s="657"/>
      <c r="K85" s="643"/>
      <c r="L85" s="644"/>
      <c r="M85" s="655"/>
      <c r="N85" s="646"/>
      <c r="O85" s="726"/>
      <c r="T85" s="600"/>
      <c r="U85" s="600"/>
      <c r="V85" s="600"/>
      <c r="W85" s="600"/>
      <c r="X85" s="600"/>
      <c r="Y85" s="600"/>
      <c r="Z85" s="600"/>
    </row>
    <row r="86" spans="1:26" ht="24" customHeight="1">
      <c r="A86" s="641"/>
      <c r="B86" s="641"/>
      <c r="C86" s="641"/>
      <c r="D86" s="641"/>
      <c r="E86" s="641"/>
      <c r="F86" s="641"/>
      <c r="G86" s="673"/>
      <c r="H86" s="641"/>
      <c r="I86" s="641"/>
      <c r="J86" s="658"/>
      <c r="K86" s="643"/>
      <c r="L86" s="644"/>
      <c r="M86" s="645"/>
      <c r="N86" s="646"/>
      <c r="O86" s="726"/>
      <c r="T86" s="600"/>
      <c r="U86" s="600"/>
      <c r="V86" s="600"/>
      <c r="W86" s="600"/>
      <c r="X86" s="600"/>
      <c r="Y86" s="600"/>
      <c r="Z86" s="600"/>
    </row>
    <row r="87" spans="1:26" ht="24" customHeight="1">
      <c r="A87" s="654"/>
      <c r="B87" s="654"/>
      <c r="C87" s="654"/>
      <c r="D87" s="654"/>
      <c r="E87" s="654"/>
      <c r="F87" s="654"/>
      <c r="G87" s="644"/>
      <c r="H87" s="654"/>
      <c r="I87" s="654"/>
      <c r="J87" s="659"/>
      <c r="K87" s="643"/>
      <c r="L87" s="644"/>
      <c r="M87" s="645"/>
      <c r="N87" s="646"/>
      <c r="O87" s="726"/>
      <c r="T87" s="600"/>
      <c r="U87" s="600"/>
      <c r="V87" s="600"/>
      <c r="W87" s="600"/>
      <c r="X87" s="600"/>
      <c r="Y87" s="600"/>
      <c r="Z87" s="600"/>
    </row>
    <row r="88" spans="1:26" ht="24" customHeight="1">
      <c r="A88" s="647"/>
      <c r="B88" s="647"/>
      <c r="C88" s="647"/>
      <c r="D88" s="647"/>
      <c r="E88" s="647"/>
      <c r="F88" s="647"/>
      <c r="G88" s="644"/>
      <c r="H88" s="647"/>
      <c r="I88" s="647"/>
      <c r="J88" s="648"/>
      <c r="K88" s="643"/>
      <c r="L88" s="644"/>
      <c r="M88" s="645"/>
      <c r="N88" s="646"/>
      <c r="O88" s="726"/>
      <c r="T88" s="600"/>
      <c r="U88" s="600"/>
      <c r="V88" s="600"/>
      <c r="W88" s="600"/>
      <c r="X88" s="600"/>
      <c r="Y88" s="600"/>
      <c r="Z88" s="600"/>
    </row>
    <row r="89" spans="1:26" ht="24" customHeight="1">
      <c r="A89" s="654"/>
      <c r="B89" s="654"/>
      <c r="C89" s="654"/>
      <c r="D89" s="654"/>
      <c r="E89" s="654"/>
      <c r="F89" s="654"/>
      <c r="G89" s="644"/>
      <c r="H89" s="654"/>
      <c r="I89" s="654"/>
      <c r="J89" s="657"/>
      <c r="K89" s="643"/>
      <c r="L89" s="644"/>
      <c r="M89" s="655"/>
      <c r="N89" s="646"/>
      <c r="O89" s="726"/>
      <c r="T89" s="600"/>
      <c r="U89" s="600"/>
      <c r="V89" s="600"/>
      <c r="W89" s="600"/>
      <c r="X89" s="600"/>
      <c r="Y89" s="600"/>
      <c r="Z89" s="600"/>
    </row>
    <row r="90" spans="1:26" ht="24" customHeight="1">
      <c r="A90" s="641"/>
      <c r="B90" s="641"/>
      <c r="C90" s="641"/>
      <c r="D90" s="641"/>
      <c r="E90" s="641"/>
      <c r="F90" s="641"/>
      <c r="G90" s="673"/>
      <c r="H90" s="641"/>
      <c r="I90" s="641"/>
      <c r="J90" s="642"/>
      <c r="K90" s="643"/>
      <c r="L90" s="644"/>
      <c r="M90" s="645"/>
      <c r="N90" s="646"/>
      <c r="O90" s="726"/>
      <c r="T90" s="600"/>
      <c r="U90" s="600"/>
      <c r="V90" s="600"/>
      <c r="W90" s="600"/>
      <c r="X90" s="600"/>
      <c r="Y90" s="600"/>
      <c r="Z90" s="600"/>
    </row>
    <row r="91" spans="1:26" ht="35.1" customHeight="1">
      <c r="A91" s="647"/>
      <c r="B91" s="647"/>
      <c r="C91" s="647"/>
      <c r="D91" s="647"/>
      <c r="E91" s="647"/>
      <c r="F91" s="647"/>
      <c r="G91" s="644"/>
      <c r="H91" s="647"/>
      <c r="I91" s="647"/>
      <c r="J91" s="648"/>
      <c r="K91" s="643"/>
      <c r="L91" s="644"/>
      <c r="M91" s="655"/>
      <c r="N91" s="646"/>
      <c r="O91" s="731"/>
      <c r="T91" s="600"/>
      <c r="U91" s="600"/>
      <c r="V91" s="600"/>
      <c r="W91" s="600"/>
      <c r="X91" s="600"/>
      <c r="Y91" s="600"/>
      <c r="Z91" s="600"/>
    </row>
    <row r="92" spans="1:26" ht="24" customHeight="1">
      <c r="A92" s="647"/>
      <c r="B92" s="647"/>
      <c r="C92" s="647"/>
      <c r="D92" s="647"/>
      <c r="E92" s="647"/>
      <c r="F92" s="647"/>
      <c r="G92" s="644"/>
      <c r="H92" s="647"/>
      <c r="I92" s="647"/>
      <c r="J92" s="648"/>
      <c r="K92" s="654"/>
      <c r="L92" s="644"/>
      <c r="M92" s="655"/>
      <c r="N92" s="646"/>
      <c r="O92" s="726"/>
      <c r="T92" s="600"/>
      <c r="U92" s="600"/>
      <c r="V92" s="600"/>
      <c r="W92" s="600"/>
      <c r="X92" s="600"/>
      <c r="Y92" s="600"/>
      <c r="Z92" s="600"/>
    </row>
    <row r="93" spans="1:26" ht="24" customHeight="1">
      <c r="A93" s="654"/>
      <c r="B93" s="654"/>
      <c r="C93" s="654"/>
      <c r="D93" s="654"/>
      <c r="E93" s="654"/>
      <c r="F93" s="654"/>
      <c r="G93" s="644"/>
      <c r="H93" s="654"/>
      <c r="I93" s="654"/>
      <c r="J93" s="648"/>
      <c r="K93" s="654"/>
      <c r="L93" s="644"/>
      <c r="M93" s="655"/>
      <c r="N93" s="646"/>
      <c r="O93" s="726"/>
      <c r="T93" s="600"/>
      <c r="U93" s="600"/>
      <c r="V93" s="600"/>
      <c r="W93" s="600"/>
      <c r="X93" s="600"/>
      <c r="Y93" s="600"/>
      <c r="Z93" s="600"/>
    </row>
    <row r="94" spans="1:26" ht="24" customHeight="1">
      <c r="A94" s="654"/>
      <c r="B94" s="654"/>
      <c r="C94" s="654"/>
      <c r="D94" s="654"/>
      <c r="E94" s="654"/>
      <c r="F94" s="654"/>
      <c r="G94" s="644"/>
      <c r="H94" s="654"/>
      <c r="I94" s="654"/>
      <c r="J94" s="648"/>
      <c r="K94" s="654"/>
      <c r="L94" s="644"/>
      <c r="M94" s="655"/>
      <c r="N94" s="646"/>
      <c r="O94" s="726"/>
      <c r="T94" s="600"/>
      <c r="U94" s="600"/>
      <c r="V94" s="600"/>
      <c r="W94" s="600"/>
      <c r="X94" s="600"/>
      <c r="Y94" s="600"/>
      <c r="Z94" s="600"/>
    </row>
    <row r="95" spans="1:26" ht="24" customHeight="1">
      <c r="A95" s="654"/>
      <c r="B95" s="654"/>
      <c r="C95" s="654"/>
      <c r="D95" s="654"/>
      <c r="E95" s="654"/>
      <c r="F95" s="654"/>
      <c r="G95" s="644"/>
      <c r="H95" s="654"/>
      <c r="I95" s="654"/>
      <c r="J95" s="648"/>
      <c r="K95" s="654"/>
      <c r="L95" s="644"/>
      <c r="M95" s="655"/>
      <c r="N95" s="646"/>
      <c r="O95" s="726"/>
      <c r="T95" s="600"/>
      <c r="U95" s="600"/>
      <c r="V95" s="600"/>
      <c r="W95" s="600"/>
      <c r="X95" s="600"/>
      <c r="Y95" s="600"/>
      <c r="Z95" s="600"/>
    </row>
    <row r="96" spans="1:26" ht="24" customHeight="1">
      <c r="A96" s="654"/>
      <c r="B96" s="654"/>
      <c r="C96" s="654"/>
      <c r="D96" s="654"/>
      <c r="E96" s="654"/>
      <c r="F96" s="654"/>
      <c r="G96" s="644"/>
      <c r="H96" s="654"/>
      <c r="I96" s="654"/>
      <c r="J96" s="648"/>
      <c r="K96" s="654"/>
      <c r="L96" s="644"/>
      <c r="M96" s="655"/>
      <c r="N96" s="646"/>
      <c r="O96" s="726"/>
      <c r="T96" s="600"/>
      <c r="U96" s="600"/>
      <c r="V96" s="600"/>
      <c r="W96" s="600"/>
      <c r="X96" s="600"/>
      <c r="Y96" s="600"/>
      <c r="Z96" s="600"/>
    </row>
    <row r="97" spans="1:26" ht="24" customHeight="1">
      <c r="A97" s="654"/>
      <c r="B97" s="654"/>
      <c r="C97" s="654"/>
      <c r="D97" s="654"/>
      <c r="E97" s="654"/>
      <c r="F97" s="654"/>
      <c r="G97" s="644"/>
      <c r="H97" s="654"/>
      <c r="I97" s="654"/>
      <c r="J97" s="648"/>
      <c r="K97" s="654"/>
      <c r="L97" s="644"/>
      <c r="M97" s="655"/>
      <c r="N97" s="646"/>
      <c r="O97" s="726"/>
      <c r="T97" s="600"/>
      <c r="U97" s="600"/>
      <c r="V97" s="600"/>
      <c r="W97" s="600"/>
      <c r="X97" s="600"/>
      <c r="Y97" s="600"/>
      <c r="Z97" s="600"/>
    </row>
    <row r="98" spans="1:26" ht="24" customHeight="1">
      <c r="A98" s="654"/>
      <c r="B98" s="654"/>
      <c r="C98" s="654"/>
      <c r="D98" s="654"/>
      <c r="E98" s="654"/>
      <c r="F98" s="654"/>
      <c r="G98" s="644"/>
      <c r="H98" s="654"/>
      <c r="I98" s="654"/>
      <c r="J98" s="648"/>
      <c r="K98" s="654"/>
      <c r="L98" s="644"/>
      <c r="M98" s="655"/>
      <c r="N98" s="646"/>
      <c r="O98" s="726"/>
      <c r="T98" s="600"/>
      <c r="U98" s="600"/>
      <c r="V98" s="600"/>
      <c r="W98" s="600"/>
      <c r="X98" s="600"/>
      <c r="Y98" s="600"/>
      <c r="Z98" s="600"/>
    </row>
    <row r="99" spans="1:26" ht="35.1" customHeight="1">
      <c r="A99" s="641"/>
      <c r="B99" s="641"/>
      <c r="C99" s="641"/>
      <c r="D99" s="641"/>
      <c r="E99" s="641"/>
      <c r="F99" s="641"/>
      <c r="G99" s="673"/>
      <c r="H99" s="641"/>
      <c r="I99" s="641"/>
      <c r="J99" s="642"/>
      <c r="K99" s="643"/>
      <c r="L99" s="644"/>
      <c r="M99" s="645"/>
      <c r="N99" s="646"/>
      <c r="O99" s="726"/>
      <c r="T99" s="600"/>
      <c r="U99" s="600"/>
      <c r="V99" s="600"/>
      <c r="W99" s="600"/>
      <c r="X99" s="600"/>
      <c r="Y99" s="600"/>
      <c r="Z99" s="600"/>
    </row>
    <row r="100" spans="1:26" ht="24" customHeight="1">
      <c r="A100" s="647"/>
      <c r="B100" s="647"/>
      <c r="C100" s="647"/>
      <c r="D100" s="647"/>
      <c r="E100" s="647"/>
      <c r="F100" s="647"/>
      <c r="G100" s="644"/>
      <c r="H100" s="647"/>
      <c r="I100" s="647"/>
      <c r="J100" s="660"/>
      <c r="K100" s="643"/>
      <c r="L100" s="644"/>
      <c r="M100" s="655"/>
      <c r="N100" s="646"/>
      <c r="O100" s="731"/>
      <c r="T100" s="600"/>
      <c r="U100" s="600"/>
      <c r="V100" s="600"/>
      <c r="W100" s="600"/>
      <c r="X100" s="600"/>
      <c r="Y100" s="600"/>
      <c r="Z100" s="600"/>
    </row>
    <row r="101" spans="1:26" ht="24" customHeight="1">
      <c r="A101" s="647"/>
      <c r="B101" s="647"/>
      <c r="C101" s="647"/>
      <c r="D101" s="647"/>
      <c r="E101" s="647"/>
      <c r="F101" s="647"/>
      <c r="G101" s="644"/>
      <c r="H101" s="647"/>
      <c r="I101" s="647"/>
      <c r="J101" s="648"/>
      <c r="K101" s="654"/>
      <c r="L101" s="644"/>
      <c r="M101" s="655"/>
      <c r="N101" s="646"/>
      <c r="O101" s="726"/>
      <c r="T101" s="600"/>
      <c r="U101" s="600"/>
      <c r="V101" s="600"/>
      <c r="W101" s="600"/>
      <c r="X101" s="600"/>
      <c r="Y101" s="600"/>
      <c r="Z101" s="600"/>
    </row>
    <row r="102" spans="1:26" ht="35.1" customHeight="1">
      <c r="A102" s="647"/>
      <c r="B102" s="647"/>
      <c r="C102" s="647"/>
      <c r="D102" s="647"/>
      <c r="E102" s="647"/>
      <c r="F102" s="647"/>
      <c r="G102" s="644"/>
      <c r="H102" s="647"/>
      <c r="I102" s="647"/>
      <c r="J102" s="642"/>
      <c r="K102" s="643"/>
      <c r="L102" s="644"/>
      <c r="M102" s="645"/>
      <c r="N102" s="646"/>
      <c r="O102" s="726"/>
      <c r="T102" s="600"/>
      <c r="U102" s="600"/>
      <c r="V102" s="600"/>
      <c r="W102" s="600"/>
      <c r="X102" s="600"/>
      <c r="Y102" s="600"/>
      <c r="Z102" s="600"/>
    </row>
    <row r="103" spans="1:26" ht="24" customHeight="1">
      <c r="A103" s="641"/>
      <c r="B103" s="641"/>
      <c r="C103" s="641"/>
      <c r="D103" s="641"/>
      <c r="E103" s="641"/>
      <c r="F103" s="641"/>
      <c r="G103" s="673"/>
      <c r="H103" s="641"/>
      <c r="I103" s="641"/>
      <c r="J103" s="661"/>
      <c r="K103" s="654"/>
      <c r="L103" s="644"/>
      <c r="M103" s="646"/>
      <c r="N103" s="646"/>
      <c r="O103" s="726"/>
      <c r="T103" s="600"/>
      <c r="U103" s="600"/>
      <c r="V103" s="600"/>
      <c r="W103" s="600"/>
      <c r="X103" s="600"/>
      <c r="Y103" s="600"/>
      <c r="Z103" s="600"/>
    </row>
    <row r="104" spans="1:26" ht="24" customHeight="1">
      <c r="A104" s="641"/>
      <c r="B104" s="641"/>
      <c r="C104" s="641"/>
      <c r="D104" s="641"/>
      <c r="E104" s="641"/>
      <c r="F104" s="641"/>
      <c r="G104" s="673"/>
      <c r="H104" s="641"/>
      <c r="I104" s="641"/>
      <c r="J104" s="661"/>
      <c r="K104" s="654"/>
      <c r="L104" s="644"/>
      <c r="M104" s="645"/>
      <c r="N104" s="646"/>
      <c r="O104" s="726"/>
      <c r="T104" s="600"/>
      <c r="U104" s="600"/>
      <c r="V104" s="600"/>
      <c r="W104" s="600"/>
      <c r="X104" s="600"/>
      <c r="Y104" s="600"/>
      <c r="Z104" s="600"/>
    </row>
    <row r="105" spans="1:26" ht="24" customHeight="1">
      <c r="A105" s="641"/>
      <c r="B105" s="641"/>
      <c r="C105" s="641"/>
      <c r="D105" s="641"/>
      <c r="E105" s="641"/>
      <c r="F105" s="641"/>
      <c r="G105" s="673"/>
      <c r="H105" s="641"/>
      <c r="I105" s="641"/>
      <c r="J105" s="661"/>
      <c r="K105" s="654"/>
      <c r="L105" s="644"/>
      <c r="M105" s="646"/>
      <c r="N105" s="646"/>
      <c r="O105" s="726"/>
      <c r="T105" s="600"/>
      <c r="U105" s="600"/>
      <c r="V105" s="600"/>
      <c r="W105" s="600"/>
      <c r="X105" s="600"/>
      <c r="Y105" s="600"/>
      <c r="Z105" s="600"/>
    </row>
    <row r="106" spans="1:26" ht="24" customHeight="1">
      <c r="A106" s="641"/>
      <c r="B106" s="641"/>
      <c r="C106" s="641"/>
      <c r="D106" s="641"/>
      <c r="E106" s="641"/>
      <c r="F106" s="641"/>
      <c r="G106" s="673"/>
      <c r="H106" s="641"/>
      <c r="I106" s="641"/>
      <c r="J106" s="661"/>
      <c r="K106" s="654"/>
      <c r="L106" s="644"/>
      <c r="M106" s="646"/>
      <c r="N106" s="646"/>
      <c r="O106" s="726"/>
      <c r="T106" s="600"/>
      <c r="U106" s="600"/>
      <c r="V106" s="600"/>
      <c r="W106" s="600"/>
      <c r="X106" s="600"/>
      <c r="Y106" s="600"/>
      <c r="Z106" s="600"/>
    </row>
    <row r="107" spans="1:26" ht="35.1" customHeight="1">
      <c r="A107" s="641"/>
      <c r="B107" s="641"/>
      <c r="C107" s="641"/>
      <c r="D107" s="641"/>
      <c r="E107" s="641"/>
      <c r="F107" s="641"/>
      <c r="G107" s="673"/>
      <c r="H107" s="641"/>
      <c r="I107" s="641"/>
      <c r="J107" s="648"/>
      <c r="K107" s="654"/>
      <c r="L107" s="644"/>
      <c r="M107" s="646"/>
      <c r="N107" s="646"/>
      <c r="O107" s="726"/>
      <c r="T107" s="600"/>
      <c r="U107" s="600"/>
      <c r="V107" s="600"/>
      <c r="W107" s="600"/>
      <c r="X107" s="600"/>
      <c r="Y107" s="600"/>
      <c r="Z107" s="600"/>
    </row>
    <row r="108" spans="1:26" ht="30" customHeight="1">
      <c r="A108" s="641"/>
      <c r="B108" s="641"/>
      <c r="C108" s="641"/>
      <c r="D108" s="641"/>
      <c r="E108" s="641"/>
      <c r="F108" s="641"/>
      <c r="G108" s="673"/>
      <c r="H108" s="641"/>
      <c r="I108" s="641"/>
      <c r="J108" s="648"/>
      <c r="K108" s="654"/>
      <c r="L108" s="644"/>
      <c r="M108" s="646"/>
      <c r="N108" s="646"/>
      <c r="O108" s="726"/>
      <c r="T108" s="600"/>
      <c r="U108" s="600"/>
      <c r="V108" s="600"/>
      <c r="W108" s="600"/>
      <c r="X108" s="600"/>
      <c r="Y108" s="600"/>
      <c r="Z108" s="600"/>
    </row>
    <row r="109" spans="1:26" ht="26.1" customHeight="1">
      <c r="A109" s="641"/>
      <c r="B109" s="641"/>
      <c r="C109" s="641"/>
      <c r="D109" s="641"/>
      <c r="E109" s="641"/>
      <c r="F109" s="641"/>
      <c r="G109" s="673"/>
      <c r="H109" s="641"/>
      <c r="I109" s="641"/>
      <c r="J109" s="642"/>
      <c r="K109" s="643"/>
      <c r="L109" s="644"/>
      <c r="M109" s="645"/>
      <c r="N109" s="646"/>
      <c r="O109" s="726"/>
      <c r="T109" s="600"/>
      <c r="U109" s="600"/>
      <c r="V109" s="600"/>
      <c r="W109" s="600"/>
      <c r="X109" s="600"/>
      <c r="Y109" s="600"/>
      <c r="Z109" s="600"/>
    </row>
    <row r="110" spans="1:26" ht="30" customHeight="1">
      <c r="A110" s="647"/>
      <c r="B110" s="647"/>
      <c r="C110" s="647"/>
      <c r="D110" s="647"/>
      <c r="E110" s="647"/>
      <c r="F110" s="647"/>
      <c r="G110" s="644"/>
      <c r="H110" s="647"/>
      <c r="I110" s="647"/>
      <c r="J110" s="661"/>
      <c r="K110" s="654"/>
      <c r="L110" s="644"/>
      <c r="M110" s="646"/>
      <c r="N110" s="646"/>
      <c r="O110" s="726"/>
      <c r="T110" s="600"/>
      <c r="U110" s="600"/>
      <c r="V110" s="600"/>
      <c r="W110" s="600"/>
      <c r="X110" s="600"/>
      <c r="Y110" s="600"/>
      <c r="Z110" s="600"/>
    </row>
    <row r="111" spans="1:26" ht="30" customHeight="1">
      <c r="A111" s="647"/>
      <c r="B111" s="647"/>
      <c r="C111" s="647"/>
      <c r="D111" s="647"/>
      <c r="E111" s="647"/>
      <c r="F111" s="647"/>
      <c r="G111" s="644"/>
      <c r="H111" s="647"/>
      <c r="I111" s="647"/>
      <c r="J111" s="661"/>
      <c r="K111" s="654"/>
      <c r="L111" s="644"/>
      <c r="M111" s="646"/>
      <c r="N111" s="646"/>
      <c r="O111" s="726"/>
      <c r="T111" s="600"/>
      <c r="U111" s="600"/>
      <c r="V111" s="600"/>
      <c r="W111" s="600"/>
      <c r="X111" s="600"/>
      <c r="Y111" s="600"/>
      <c r="Z111" s="600"/>
    </row>
    <row r="112" spans="1:26" ht="30" customHeight="1">
      <c r="A112" s="647"/>
      <c r="B112" s="647"/>
      <c r="C112" s="647"/>
      <c r="D112" s="647"/>
      <c r="E112" s="647"/>
      <c r="F112" s="647"/>
      <c r="G112" s="644"/>
      <c r="H112" s="647"/>
      <c r="I112" s="647"/>
      <c r="J112" s="661"/>
      <c r="K112" s="654"/>
      <c r="L112" s="644"/>
      <c r="M112" s="646"/>
      <c r="N112" s="646"/>
      <c r="O112" s="726"/>
      <c r="T112" s="600"/>
      <c r="U112" s="600"/>
      <c r="V112" s="600"/>
      <c r="W112" s="600"/>
      <c r="X112" s="600"/>
      <c r="Y112" s="600"/>
      <c r="Z112" s="600"/>
    </row>
    <row r="113" spans="1:26" ht="30" customHeight="1">
      <c r="A113" s="647"/>
      <c r="B113" s="647"/>
      <c r="C113" s="647"/>
      <c r="D113" s="647"/>
      <c r="E113" s="647"/>
      <c r="F113" s="647"/>
      <c r="G113" s="644"/>
      <c r="H113" s="647"/>
      <c r="I113" s="647"/>
      <c r="J113" s="661"/>
      <c r="K113" s="654"/>
      <c r="L113" s="644"/>
      <c r="M113" s="646"/>
      <c r="N113" s="646"/>
      <c r="O113" s="726"/>
      <c r="T113" s="600"/>
      <c r="U113" s="600"/>
      <c r="V113" s="600"/>
      <c r="W113" s="600"/>
      <c r="X113" s="600"/>
      <c r="Y113" s="600"/>
      <c r="Z113" s="600"/>
    </row>
    <row r="114" spans="1:26" ht="33" customHeight="1">
      <c r="A114" s="662"/>
      <c r="B114" s="662"/>
      <c r="C114" s="662"/>
      <c r="D114" s="662"/>
      <c r="E114" s="662"/>
      <c r="F114" s="662"/>
      <c r="G114" s="673"/>
      <c r="H114" s="662"/>
      <c r="I114" s="662"/>
      <c r="J114" s="642"/>
      <c r="K114" s="643"/>
      <c r="L114" s="644"/>
      <c r="M114" s="645"/>
      <c r="N114" s="646"/>
      <c r="O114" s="726"/>
      <c r="T114" s="600"/>
      <c r="U114" s="600"/>
      <c r="V114" s="600"/>
      <c r="W114" s="600"/>
      <c r="X114" s="600"/>
      <c r="Y114" s="600"/>
      <c r="Z114" s="600"/>
    </row>
    <row r="115" spans="1:26" ht="24" customHeight="1">
      <c r="A115" s="663"/>
      <c r="B115" s="663"/>
      <c r="C115" s="663"/>
      <c r="D115" s="663"/>
      <c r="E115" s="663"/>
      <c r="F115" s="663"/>
      <c r="G115" s="664"/>
      <c r="H115" s="663"/>
      <c r="I115" s="663"/>
      <c r="J115" s="661"/>
      <c r="K115" s="663"/>
      <c r="L115" s="664"/>
      <c r="M115" s="646"/>
      <c r="N115" s="646"/>
      <c r="O115" s="726"/>
      <c r="T115" s="600"/>
      <c r="U115" s="600"/>
      <c r="V115" s="600"/>
      <c r="W115" s="600"/>
      <c r="X115" s="600"/>
      <c r="Y115" s="600"/>
      <c r="Z115" s="600"/>
    </row>
    <row r="116" spans="1:26" ht="24" customHeight="1">
      <c r="A116" s="663"/>
      <c r="B116" s="663"/>
      <c r="C116" s="663"/>
      <c r="D116" s="663"/>
      <c r="E116" s="663"/>
      <c r="F116" s="663"/>
      <c r="G116" s="664"/>
      <c r="H116" s="663"/>
      <c r="I116" s="663"/>
      <c r="J116" s="661"/>
      <c r="K116" s="663"/>
      <c r="L116" s="664"/>
      <c r="M116" s="646"/>
      <c r="N116" s="646"/>
      <c r="O116" s="726"/>
      <c r="T116" s="600"/>
      <c r="U116" s="600"/>
      <c r="V116" s="600"/>
      <c r="W116" s="600"/>
      <c r="X116" s="600"/>
      <c r="Y116" s="600"/>
      <c r="Z116" s="600"/>
    </row>
    <row r="117" spans="1:26" ht="24" customHeight="1">
      <c r="A117" s="663"/>
      <c r="B117" s="663"/>
      <c r="C117" s="663"/>
      <c r="D117" s="663"/>
      <c r="E117" s="663"/>
      <c r="F117" s="663"/>
      <c r="G117" s="664"/>
      <c r="H117" s="663"/>
      <c r="I117" s="663"/>
      <c r="J117" s="661"/>
      <c r="K117" s="663"/>
      <c r="L117" s="664"/>
      <c r="M117" s="646"/>
      <c r="N117" s="646"/>
      <c r="O117" s="726"/>
      <c r="T117" s="600"/>
      <c r="U117" s="600"/>
      <c r="V117" s="600"/>
      <c r="W117" s="600"/>
      <c r="X117" s="600"/>
      <c r="Y117" s="600"/>
      <c r="Z117" s="600"/>
    </row>
    <row r="118" spans="1:26" ht="24" customHeight="1">
      <c r="A118" s="663"/>
      <c r="B118" s="663"/>
      <c r="C118" s="663"/>
      <c r="D118" s="663"/>
      <c r="E118" s="663"/>
      <c r="F118" s="663"/>
      <c r="G118" s="664"/>
      <c r="H118" s="663"/>
      <c r="I118" s="663"/>
      <c r="J118" s="661"/>
      <c r="K118" s="663"/>
      <c r="L118" s="664"/>
      <c r="M118" s="646"/>
      <c r="N118" s="646"/>
      <c r="O118" s="726"/>
      <c r="T118" s="600"/>
      <c r="U118" s="600"/>
      <c r="V118" s="600"/>
      <c r="W118" s="600"/>
      <c r="X118" s="600"/>
      <c r="Y118" s="600"/>
      <c r="Z118" s="600"/>
    </row>
    <row r="119" spans="1:26" ht="24" customHeight="1">
      <c r="A119" s="663"/>
      <c r="B119" s="663"/>
      <c r="C119" s="663"/>
      <c r="D119" s="663"/>
      <c r="E119" s="663"/>
      <c r="F119" s="663"/>
      <c r="G119" s="664"/>
      <c r="H119" s="663"/>
      <c r="I119" s="663"/>
      <c r="J119" s="661"/>
      <c r="K119" s="663"/>
      <c r="L119" s="664"/>
      <c r="M119" s="646"/>
      <c r="N119" s="646"/>
      <c r="O119" s="726"/>
      <c r="T119" s="600"/>
      <c r="U119" s="600"/>
      <c r="V119" s="600"/>
      <c r="W119" s="600"/>
      <c r="X119" s="600"/>
      <c r="Y119" s="600"/>
      <c r="Z119" s="600"/>
    </row>
    <row r="120" spans="1:26" ht="26.1" customHeight="1">
      <c r="A120" s="654"/>
      <c r="B120" s="654"/>
      <c r="C120" s="654"/>
      <c r="D120" s="654"/>
      <c r="E120" s="654"/>
      <c r="F120" s="654"/>
      <c r="G120" s="644"/>
      <c r="H120" s="654"/>
      <c r="I120" s="654"/>
      <c r="J120" s="1156"/>
      <c r="K120" s="1156"/>
      <c r="L120" s="1156"/>
      <c r="M120" s="646"/>
      <c r="N120" s="646"/>
      <c r="O120" s="726"/>
      <c r="T120" s="600"/>
      <c r="U120" s="600"/>
      <c r="V120" s="600"/>
      <c r="W120" s="600"/>
      <c r="X120" s="600"/>
      <c r="Y120" s="600"/>
      <c r="Z120" s="600"/>
    </row>
    <row r="121" spans="1:26" ht="26.1" customHeight="1">
      <c r="A121" s="663"/>
      <c r="B121" s="663"/>
      <c r="C121" s="663"/>
      <c r="D121" s="663"/>
      <c r="E121" s="663"/>
      <c r="F121" s="663"/>
      <c r="G121" s="664"/>
      <c r="H121" s="663"/>
      <c r="I121" s="663"/>
      <c r="J121" s="1161"/>
      <c r="K121" s="1161"/>
      <c r="L121" s="1161"/>
      <c r="M121" s="646"/>
      <c r="N121" s="646"/>
      <c r="O121" s="726"/>
      <c r="T121" s="600"/>
      <c r="U121" s="600"/>
      <c r="V121" s="600"/>
      <c r="W121" s="600"/>
      <c r="X121" s="600"/>
      <c r="Y121" s="600"/>
      <c r="Z121" s="600"/>
    </row>
    <row r="122" spans="1:26" ht="26.1" customHeight="1">
      <c r="A122" s="663"/>
      <c r="B122" s="663"/>
      <c r="C122" s="663"/>
      <c r="D122" s="663"/>
      <c r="E122" s="663"/>
      <c r="F122" s="663"/>
      <c r="G122" s="664"/>
      <c r="H122" s="663"/>
      <c r="I122" s="663"/>
      <c r="J122" s="1154"/>
      <c r="K122" s="1154"/>
      <c r="L122" s="1154"/>
      <c r="M122" s="646"/>
      <c r="N122" s="646"/>
      <c r="O122" s="726"/>
      <c r="T122" s="600"/>
      <c r="U122" s="600"/>
      <c r="V122" s="600"/>
      <c r="W122" s="600"/>
      <c r="X122" s="600"/>
      <c r="Y122" s="600"/>
      <c r="Z122" s="600"/>
    </row>
    <row r="123" spans="1:26">
      <c r="A123" s="623"/>
      <c r="B123" s="623"/>
      <c r="C123" s="623"/>
      <c r="D123" s="623"/>
      <c r="E123" s="623"/>
      <c r="F123" s="623"/>
      <c r="G123" s="626"/>
      <c r="H123" s="623"/>
      <c r="I123" s="623"/>
      <c r="J123" s="624"/>
      <c r="K123" s="623"/>
      <c r="L123" s="626"/>
      <c r="M123" s="624"/>
      <c r="N123" s="624"/>
      <c r="O123" s="726"/>
      <c r="T123" s="600"/>
      <c r="U123" s="600"/>
      <c r="V123" s="600"/>
      <c r="W123" s="600"/>
      <c r="X123" s="600"/>
      <c r="Y123" s="600"/>
      <c r="Z123" s="600"/>
    </row>
    <row r="124" spans="1:26">
      <c r="A124" s="623"/>
      <c r="B124" s="623"/>
      <c r="C124" s="623"/>
      <c r="D124" s="623"/>
      <c r="E124" s="623"/>
      <c r="F124" s="623"/>
      <c r="G124" s="626"/>
      <c r="H124" s="623"/>
      <c r="I124" s="623"/>
      <c r="J124" s="624"/>
      <c r="K124" s="623"/>
      <c r="L124" s="626"/>
      <c r="M124" s="624"/>
      <c r="N124" s="624"/>
      <c r="O124" s="726"/>
      <c r="T124" s="600"/>
      <c r="U124" s="600"/>
      <c r="V124" s="600"/>
      <c r="W124" s="600"/>
      <c r="X124" s="600"/>
      <c r="Y124" s="600"/>
      <c r="Z124" s="600"/>
    </row>
    <row r="125" spans="1:26">
      <c r="A125" s="623"/>
      <c r="B125" s="623"/>
      <c r="C125" s="623"/>
      <c r="D125" s="623"/>
      <c r="E125" s="623"/>
      <c r="F125" s="623"/>
      <c r="G125" s="626"/>
      <c r="H125" s="623"/>
      <c r="I125" s="623"/>
      <c r="J125" s="624"/>
      <c r="K125" s="623"/>
      <c r="L125" s="626"/>
      <c r="M125" s="624"/>
      <c r="N125" s="624"/>
      <c r="O125" s="726"/>
      <c r="T125" s="600"/>
      <c r="U125" s="600"/>
      <c r="V125" s="600"/>
      <c r="W125" s="600"/>
      <c r="X125" s="600"/>
      <c r="Y125" s="600"/>
      <c r="Z125" s="600"/>
    </row>
    <row r="126" spans="1:26">
      <c r="A126" s="623"/>
      <c r="B126" s="623"/>
      <c r="C126" s="623"/>
      <c r="D126" s="623"/>
      <c r="E126" s="623"/>
      <c r="F126" s="623"/>
      <c r="G126" s="626"/>
      <c r="H126" s="623"/>
      <c r="I126" s="623"/>
      <c r="J126" s="624"/>
      <c r="K126" s="623"/>
      <c r="L126" s="626"/>
      <c r="M126" s="624"/>
      <c r="N126" s="624"/>
      <c r="O126" s="726"/>
      <c r="T126" s="600"/>
      <c r="U126" s="600"/>
      <c r="V126" s="600"/>
      <c r="W126" s="600"/>
      <c r="X126" s="600"/>
      <c r="Y126" s="600"/>
      <c r="Z126" s="600"/>
    </row>
    <row r="127" spans="1:26">
      <c r="A127" s="623"/>
      <c r="B127" s="623"/>
      <c r="C127" s="623"/>
      <c r="D127" s="623"/>
      <c r="E127" s="623"/>
      <c r="F127" s="623"/>
      <c r="G127" s="626"/>
      <c r="H127" s="623"/>
      <c r="I127" s="623"/>
      <c r="J127" s="624"/>
      <c r="K127" s="623"/>
      <c r="L127" s="626"/>
      <c r="M127" s="624"/>
      <c r="N127" s="624"/>
      <c r="O127" s="726"/>
      <c r="T127" s="600"/>
      <c r="U127" s="600"/>
      <c r="V127" s="600"/>
      <c r="W127" s="600"/>
      <c r="X127" s="600"/>
      <c r="Y127" s="600"/>
      <c r="Z127" s="600"/>
    </row>
    <row r="128" spans="1:26">
      <c r="A128" s="623"/>
      <c r="B128" s="623"/>
      <c r="C128" s="623"/>
      <c r="D128" s="623"/>
      <c r="E128" s="623"/>
      <c r="F128" s="623"/>
      <c r="G128" s="626"/>
      <c r="H128" s="623"/>
      <c r="I128" s="623"/>
      <c r="J128" s="624"/>
      <c r="K128" s="623"/>
      <c r="L128" s="626"/>
      <c r="M128" s="624"/>
      <c r="N128" s="624"/>
      <c r="O128" s="726"/>
      <c r="T128" s="600"/>
      <c r="U128" s="600"/>
      <c r="V128" s="600"/>
      <c r="W128" s="600"/>
      <c r="X128" s="600"/>
      <c r="Y128" s="600"/>
      <c r="Z128" s="600"/>
    </row>
    <row r="129" spans="1:26">
      <c r="A129" s="623"/>
      <c r="B129" s="623"/>
      <c r="C129" s="623"/>
      <c r="D129" s="623"/>
      <c r="E129" s="623"/>
      <c r="F129" s="623"/>
      <c r="G129" s="626"/>
      <c r="H129" s="623"/>
      <c r="I129" s="623"/>
      <c r="J129" s="624"/>
      <c r="K129" s="623"/>
      <c r="L129" s="626"/>
      <c r="M129" s="624"/>
      <c r="N129" s="624"/>
      <c r="O129" s="726"/>
      <c r="T129" s="600"/>
      <c r="U129" s="600"/>
      <c r="V129" s="600"/>
      <c r="W129" s="600"/>
      <c r="X129" s="600"/>
      <c r="Y129" s="600"/>
      <c r="Z129" s="600"/>
    </row>
    <row r="130" spans="1:26">
      <c r="A130" s="623"/>
      <c r="B130" s="623"/>
      <c r="C130" s="623"/>
      <c r="D130" s="623"/>
      <c r="E130" s="623"/>
      <c r="F130" s="623"/>
      <c r="G130" s="626"/>
      <c r="H130" s="623"/>
      <c r="I130" s="623"/>
      <c r="J130" s="624"/>
      <c r="K130" s="623"/>
      <c r="L130" s="626"/>
      <c r="M130" s="624"/>
      <c r="N130" s="624"/>
      <c r="O130" s="726"/>
      <c r="T130" s="600"/>
      <c r="U130" s="600"/>
      <c r="V130" s="600"/>
      <c r="W130" s="600"/>
      <c r="X130" s="600"/>
      <c r="Y130" s="600"/>
      <c r="Z130" s="600"/>
    </row>
  </sheetData>
  <protectedRanges>
    <protectedRange sqref="L18:L20" name="Range1_15_1_1_1_1_1_1_2_1"/>
  </protectedRanges>
  <dataConsolidate/>
  <customSheetViews>
    <customSheetView guid="{B48B8B4C-A880-453D-8729-90D004BEF0DB}" scale="70" fitToPage="1" printArea="1" hiddenRows="1" hiddenColumns="1" view="pageBreakPreview" topLeftCell="A4">
      <selection activeCell="F18" sqref="F18"/>
      <pageMargins left="0" right="0" top="0" bottom="0" header="0" footer="0"/>
      <printOptions horizontalCentered="1"/>
      <pageSetup paperSize="9" scale="40" orientation="portrait" r:id="rId1"/>
      <headerFooter alignWithMargins="0">
        <oddHeader>&amp;R&amp;"Book Antiqua,Bold"Schedule-1
 Page &amp;P of &amp;N</oddHeader>
      </headerFooter>
    </customSheetView>
    <customSheetView guid="{7043F04C-1FA3-449D-BEB8-4AC08DF68A5A}" scale="70" fitToPage="1" printArea="1" hiddenRows="1" hiddenColumns="1" view="pageBreakPreview" topLeftCell="A22">
      <selection activeCell="G23" sqref="G23"/>
      <pageMargins left="0" right="0" top="0" bottom="0" header="0" footer="0"/>
      <printOptions horizontalCentered="1"/>
      <pageSetup paperSize="9" scale="51" orientation="portrait" r:id="rId2"/>
      <headerFooter alignWithMargins="0">
        <oddHeader>&amp;R&amp;"Book Antiqua,Bold"Schedule-1
 Page &amp;P of &amp;N</oddHeader>
      </headerFooter>
    </customSheetView>
    <customSheetView guid="{D0757F9E-DF41-4B40-A5E5-F4F8FDD8D61D}" printArea="1" hiddenColumns="1" view="pageBreakPreview" topLeftCell="H10">
      <selection activeCell="G23" sqref="G23"/>
      <pageMargins left="0" right="0" top="0" bottom="0" header="0" footer="0"/>
      <printOptions horizontalCentered="1"/>
      <pageSetup paperSize="9" scale="58" orientation="landscape" r:id="rId3"/>
      <headerFooter alignWithMargins="0">
        <oddHeader>&amp;R&amp;"Book Antiqua,Bold"Schedule-1
 Page &amp;P of &amp;N</oddHeader>
      </headerFooter>
    </customSheetView>
    <customSheetView guid="{E81F0721-C35D-4189-B675-E46A21339863}" printArea="1" hiddenColumns="1" view="pageBreakPreview" topLeftCell="A186">
      <selection activeCell="E20" sqref="E20"/>
      <pageMargins left="0" right="0" top="0" bottom="0" header="0" footer="0"/>
      <printOptions horizontalCentered="1"/>
      <pageSetup paperSize="9" orientation="landscape"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19"/>
      <headerFooter alignWithMargins="0">
        <oddFooter>&amp;R&amp;"Book Antiqua,Bold"&amp;10Schedule-1/ Page &amp;P of &amp;N</oddFooter>
      </headerFooter>
    </customSheetView>
    <customSheetView guid="{B835C05C-B615-4DCB-982D-4519616B3CD8}" printArea="1" hiddenColumns="1" view="pageBreakPreview" topLeftCell="A186">
      <selection activeCell="E20" sqref="E20"/>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17F5C48B-526E-48D2-9F97-823D578F9893}" scale="70" printArea="1" hiddenColumns="1" view="pageBreakPreview" topLeftCell="A20">
      <selection activeCell="B20" sqref="B20"/>
      <pageMargins left="0" right="0" top="0" bottom="0" header="0" footer="0"/>
      <printOptions horizontalCentered="1"/>
      <pageSetup paperSize="9" scale="79" orientation="landscape" r:id="rId21"/>
      <headerFooter alignWithMargins="0">
        <oddHeader>&amp;R&amp;"Book Antiqua,Bold"Schedule-1
 Page &amp;P of &amp;N</oddHeader>
      </headerFooter>
    </customSheetView>
    <customSheetView guid="{7F1A5DE7-1043-4C11-AB2C-CC6BC6A0F482}" scale="70" printArea="1" view="pageBreakPreview" topLeftCell="A115">
      <selection activeCell="I102" sqref="I102"/>
      <pageMargins left="0" right="0" top="0" bottom="0" header="0" footer="0"/>
      <printOptions horizontalCentered="1"/>
      <pageSetup paperSize="9" scale="59" orientation="landscape" r:id="rId22"/>
      <headerFooter alignWithMargins="0">
        <oddHeader>&amp;R&amp;"Book Antiqua,Bold"Schedule-1
 Page &amp;P of &amp;N</oddHeader>
      </headerFooter>
    </customSheetView>
    <customSheetView guid="{75D87FDD-0292-4E5A-8E8F-63018B009393}" scale="70" fitToPage="1" printArea="1" hiddenRows="1" hiddenColumns="1" view="pageBreakPreview" topLeftCell="A4">
      <selection activeCell="F18" sqref="F18"/>
      <pageMargins left="0" right="0" top="0" bottom="0" header="0" footer="0"/>
      <printOptions horizontalCentered="1"/>
      <pageSetup paperSize="9" scale="40" orientation="portrait" r:id="rId23"/>
      <headerFooter alignWithMargins="0">
        <oddHeader>&amp;R&amp;"Book Antiqua,Bold"Schedule-1
 Page &amp;P of &amp;N</oddHeader>
      </headerFooter>
    </customSheetView>
  </customSheetViews>
  <mergeCells count="28">
    <mergeCell ref="A3:N3"/>
    <mergeCell ref="M9:N9"/>
    <mergeCell ref="C27:N27"/>
    <mergeCell ref="J22:L22"/>
    <mergeCell ref="A58:O58"/>
    <mergeCell ref="J23:L23"/>
    <mergeCell ref="A25:O25"/>
    <mergeCell ref="A14:O14"/>
    <mergeCell ref="A5:O5"/>
    <mergeCell ref="A8:L8"/>
    <mergeCell ref="G9:I9"/>
    <mergeCell ref="G12:I12"/>
    <mergeCell ref="G10:I10"/>
    <mergeCell ref="G11:I11"/>
    <mergeCell ref="K29:L29"/>
    <mergeCell ref="K30:L30"/>
    <mergeCell ref="M10:N10"/>
    <mergeCell ref="M11:N11"/>
    <mergeCell ref="A59:O59"/>
    <mergeCell ref="A62:L62"/>
    <mergeCell ref="J121:L121"/>
    <mergeCell ref="J122:L122"/>
    <mergeCell ref="J63:L63"/>
    <mergeCell ref="J64:L64"/>
    <mergeCell ref="J65:L65"/>
    <mergeCell ref="J66:L66"/>
    <mergeCell ref="J120:L120"/>
    <mergeCell ref="A68:O68"/>
  </mergeCells>
  <phoneticPr fontId="4" type="noConversion"/>
  <conditionalFormatting sqref="F18:G20 I18:I20">
    <cfRule type="expression" dxfId="28" priority="1" stopIfTrue="1">
      <formula>E18&gt;0</formula>
    </cfRule>
  </conditionalFormatting>
  <conditionalFormatting sqref="M18:M20">
    <cfRule type="expression" dxfId="27" priority="59" stopIfTrue="1">
      <formula>L18&gt;0</formula>
    </cfRule>
  </conditionalFormatting>
  <conditionalFormatting sqref="M82 O82 M89 O91 M91:M98 O100 M100:M101">
    <cfRule type="cellIs" dxfId="26" priority="3268" stopIfTrue="1" operator="equal">
      <formula>"a"</formula>
    </cfRule>
  </conditionalFormatting>
  <conditionalFormatting sqref="O75:O76 O79:O80 O83:O85 O88:O89 O92:O98 O101 O103:O108 O110:O113 O115:O119">
    <cfRule type="expression" dxfId="25" priority="3267" stopIfTrue="1">
      <formula>M75=""</formula>
    </cfRule>
  </conditionalFormatting>
  <conditionalFormatting sqref="S16">
    <cfRule type="colorScale" priority="344">
      <colorScale>
        <cfvo type="min"/>
        <cfvo type="max"/>
        <color rgb="FFFF7128"/>
        <color rgb="FFFFEF9C"/>
      </colorScale>
    </cfRule>
  </conditionalFormatting>
  <dataValidations xWindow="884" yWindow="499" count="4">
    <dataValidation operator="greaterThan" allowBlank="1" showInputMessage="1" showErrorMessage="1" error="Enter only Numeric Value greater than zero or leave the cell blank !" sqref="I21:I25 G30:G65369 G21:G25 I13:I17 I1:I8 G1:G8 G13:G17 I28:I65369" xr:uid="{00000000-0002-0000-0400-000000000000}"/>
    <dataValidation type="whole" operator="greaterThan" allowBlank="1" showInputMessage="1" showErrorMessage="1" error="Enter only Numeric Value greater than zero or leave the cell blank !" sqref="F18:G20" xr:uid="{00000000-0002-0000-0400-000001000000}">
      <formula1>1</formula1>
    </dataValidation>
    <dataValidation type="decimal" operator="greaterThan" allowBlank="1" showInputMessage="1" showErrorMessage="1" error="Enter only Numeric Value greater than zero or leave the cell blank !" sqref="M18:M20" xr:uid="{00000000-0002-0000-0400-000002000000}">
      <formula1>0</formula1>
    </dataValidation>
    <dataValidation type="list" operator="greaterThan" allowBlank="1" showInputMessage="1" showErrorMessage="1" error="Enter only Numeric Value greater than zero or leave the cell blank !" sqref="I18:I20" xr:uid="{00000000-0002-0000-0400-000003000000}">
      <formula1>"0%,5%,12%,18%,28%"</formula1>
    </dataValidation>
  </dataValidations>
  <printOptions horizontalCentered="1"/>
  <pageMargins left="0.7" right="0.7" top="0.75" bottom="0.75" header="0.3" footer="0.3"/>
  <pageSetup paperSize="9" scale="40" orientation="portrait" r:id="rId24"/>
  <headerFooter alignWithMargins="0">
    <oddHeader>&amp;C&amp;"Calibri"&amp;12&amp;KFF0000 डेटा वर्गीकरण : प्रतिबंधित/RESTRICTED&amp;1#_x000D_&amp;R&amp;"Book Antiqua,Bold"Schedule-1
 Page &amp;P of &amp;N</oddHeader>
  </headerFooter>
  <drawing r:id="rId2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67" zoomScaleNormal="100" zoomScaleSheetLayoutView="100" workbookViewId="0">
      <selection activeCell="G71" sqref="G71"/>
    </sheetView>
  </sheetViews>
  <sheetFormatPr defaultColWidth="9" defaultRowHeight="16.5"/>
  <cols>
    <col min="1" max="1" width="11.375" style="307" customWidth="1"/>
    <col min="2" max="2" width="32.75" style="307" customWidth="1"/>
    <col min="3" max="3" width="7.625" style="307" customWidth="1"/>
    <col min="4" max="4" width="9.625" style="307" customWidth="1"/>
    <col min="5" max="5" width="11.625" style="306" customWidth="1"/>
    <col min="6" max="6" width="20" style="306" customWidth="1"/>
    <col min="7" max="7" width="11.625" style="306" customWidth="1"/>
    <col min="8" max="8" width="19.75" style="338" customWidth="1"/>
    <col min="9" max="9" width="9" style="237"/>
    <col min="10" max="13" width="9" style="74"/>
    <col min="14" max="14" width="14.25" style="35" customWidth="1"/>
    <col min="15" max="15" width="24.125" style="35" customWidth="1"/>
    <col min="16" max="16" width="11.125" style="1" customWidth="1"/>
    <col min="17" max="17" width="12.75" style="1" customWidth="1"/>
    <col min="18" max="18" width="11.375" style="321" customWidth="1"/>
    <col min="19" max="19" width="10.375" style="35" customWidth="1"/>
    <col min="20" max="20" width="17.75" style="35" customWidth="1"/>
    <col min="21" max="21" width="10.5" style="35" customWidth="1"/>
    <col min="22" max="22" width="12.375" style="35" customWidth="1"/>
    <col min="23" max="24" width="9" style="1"/>
    <col min="25" max="25" width="10.875" style="35" customWidth="1"/>
    <col min="26" max="26" width="18.75" style="35" customWidth="1"/>
    <col min="27" max="27" width="9" style="35"/>
    <col min="28" max="41" width="9" style="74"/>
    <col min="42" max="16384" width="9" style="305"/>
  </cols>
  <sheetData>
    <row r="1" spans="1:27" ht="18" customHeight="1">
      <c r="A1" s="56" t="str">
        <f>Cover!B3</f>
        <v>NR3/NT/W-CIVIL/DOM/K00/25/09879 (Rfx No.5002004724)</v>
      </c>
      <c r="B1" s="63"/>
      <c r="C1" s="56"/>
      <c r="D1" s="56"/>
      <c r="E1" s="7"/>
      <c r="F1" s="7"/>
      <c r="G1" s="8" t="s">
        <v>77</v>
      </c>
      <c r="T1" s="352" t="s">
        <v>122</v>
      </c>
      <c r="U1" s="341">
        <f>SUMIF(G17:G70, "Direct",F17:F70)</f>
        <v>0</v>
      </c>
      <c r="Z1" s="341" t="str">
        <f>'Names of Bidder'!D6</f>
        <v>Sole Bidder</v>
      </c>
      <c r="AA1" s="35" t="s">
        <v>123</v>
      </c>
    </row>
    <row r="2" spans="1:27" ht="14.1" customHeight="1">
      <c r="A2" s="4"/>
      <c r="B2" s="4"/>
      <c r="C2" s="4"/>
      <c r="D2" s="4"/>
      <c r="E2" s="1"/>
      <c r="F2" s="1"/>
      <c r="G2" s="1"/>
      <c r="Q2" s="6"/>
      <c r="T2" s="352" t="s">
        <v>124</v>
      </c>
      <c r="U2" s="353" t="e">
        <f>#REF!-U1</f>
        <v>#REF!</v>
      </c>
      <c r="V2" s="323"/>
      <c r="Z2" s="341">
        <f>'Names of Bidder'!AA6</f>
        <v>0</v>
      </c>
    </row>
    <row r="3" spans="1:27" ht="49.5" customHeight="1">
      <c r="A3" s="1191" t="str">
        <f>Cover!$B$2</f>
        <v>Extension of residential quarters 2 nos C type &amp; 2 nos B2 type quarters over the existing C type &amp; B2 type at 400/220 KV Shahjahanpur &amp; 765/400 KV Sohawal Substation</v>
      </c>
      <c r="B3" s="1191"/>
      <c r="C3" s="1191"/>
      <c r="D3" s="1191"/>
      <c r="E3" s="1191"/>
      <c r="F3" s="1191"/>
      <c r="G3" s="1191"/>
      <c r="O3" s="4"/>
      <c r="P3" s="288"/>
      <c r="Q3" s="288"/>
      <c r="R3" s="288"/>
      <c r="T3" s="4"/>
      <c r="U3" s="1"/>
      <c r="W3" s="1177"/>
      <c r="X3" s="1177"/>
    </row>
    <row r="4" spans="1:27" ht="21.95" customHeight="1">
      <c r="A4" s="1192" t="s">
        <v>125</v>
      </c>
      <c r="B4" s="1192"/>
      <c r="C4" s="1192"/>
      <c r="D4" s="1192"/>
      <c r="E4" s="1192"/>
      <c r="F4" s="1192"/>
      <c r="G4" s="1192"/>
      <c r="O4" s="4"/>
      <c r="P4" s="288"/>
      <c r="Q4" s="288"/>
      <c r="R4" s="288"/>
      <c r="T4" s="4"/>
      <c r="U4" s="324"/>
      <c r="V4" s="323"/>
    </row>
    <row r="5" spans="1:27" ht="14.1" customHeight="1">
      <c r="A5" s="6"/>
      <c r="B5" s="6"/>
      <c r="C5" s="6"/>
      <c r="D5" s="6"/>
      <c r="E5" s="1"/>
      <c r="F5" s="1"/>
      <c r="G5" s="1"/>
      <c r="O5" s="4"/>
      <c r="P5" s="288"/>
      <c r="Q5" s="288"/>
      <c r="R5" s="288"/>
      <c r="T5" s="4"/>
    </row>
    <row r="6" spans="1:27" ht="18" customHeight="1">
      <c r="A6" s="29" t="str">
        <f>"Bidder’s Name and Address (" &amp; MID('Names of Bidder'!B9,9, 20) &amp; ") :"</f>
        <v>Bidder’s Name and Address (Bidder) :</v>
      </c>
      <c r="B6" s="30"/>
      <c r="C6" s="29"/>
      <c r="D6" s="29"/>
      <c r="E6" s="60" t="s">
        <v>79</v>
      </c>
      <c r="F6" s="1"/>
      <c r="G6" s="30"/>
      <c r="O6" s="4"/>
      <c r="P6" s="288"/>
      <c r="Q6" s="288"/>
      <c r="R6" s="288"/>
      <c r="T6" s="4"/>
      <c r="U6" s="322"/>
    </row>
    <row r="7" spans="1:27" ht="35.25" customHeight="1">
      <c r="A7" s="1193" t="str">
        <f>IF('Names of Bidder'!D9="", "", IF('Names of Bidder'!D6= "JV (Joint Venture)", "JV of " &amp; Z8, ""))</f>
        <v/>
      </c>
      <c r="B7" s="1193"/>
      <c r="C7" s="1193"/>
      <c r="D7" s="1193"/>
      <c r="E7" s="59" t="s">
        <v>126</v>
      </c>
      <c r="F7" s="1"/>
      <c r="G7" s="30"/>
      <c r="O7" s="338"/>
      <c r="P7" s="325"/>
      <c r="Q7" s="325"/>
      <c r="R7" s="325"/>
      <c r="W7" s="1177"/>
      <c r="X7" s="1177"/>
    </row>
    <row r="8" spans="1:27" ht="18" customHeight="1">
      <c r="A8" s="29" t="s">
        <v>81</v>
      </c>
      <c r="B8" s="1194" t="str">
        <f>IF('Names of Bidder'!D9=0, "", 'Names of Bidder'!D9)</f>
        <v/>
      </c>
      <c r="C8" s="1194"/>
      <c r="D8" s="1194"/>
      <c r="E8" s="59" t="s">
        <v>82</v>
      </c>
      <c r="F8" s="1"/>
      <c r="G8" s="30"/>
      <c r="O8" s="4"/>
      <c r="P8" s="326"/>
      <c r="Q8" s="326"/>
      <c r="R8" s="326"/>
      <c r="Z8" s="341" t="str">
        <f>IF('Names of Bidder'!D7=1,'Names of Bidder'!D9&amp;" &amp; "&amp;'Names of Bidder'!D14,IF('Names of Bidder'!D7="2 or More",'Names of Bidder'!D9&amp;" , "&amp;'Names of Bidder'!D14&amp;" &amp; "&amp;'Names of Bidder'!D19,""))</f>
        <v xml:space="preserve"> ,  &amp; …….. …….. …….. …….. …….. …….. </v>
      </c>
    </row>
    <row r="9" spans="1:27" ht="18" customHeight="1">
      <c r="A9" s="29" t="s">
        <v>83</v>
      </c>
      <c r="B9" s="1194" t="str">
        <f>IF('Names of Bidder'!D10=0, "", 'Names of Bidder'!D10)</f>
        <v/>
      </c>
      <c r="C9" s="1194"/>
      <c r="D9" s="1194"/>
      <c r="E9" s="59" t="s">
        <v>127</v>
      </c>
      <c r="F9" s="1"/>
      <c r="G9" s="30"/>
      <c r="O9" s="4"/>
      <c r="P9" s="326"/>
      <c r="Q9" s="326"/>
      <c r="R9" s="326"/>
    </row>
    <row r="10" spans="1:27" ht="18" customHeight="1">
      <c r="A10" s="30"/>
      <c r="B10" s="1194" t="str">
        <f>IF('Names of Bidder'!D11=0, "", 'Names of Bidder'!D11)</f>
        <v/>
      </c>
      <c r="C10" s="1194"/>
      <c r="D10" s="1194"/>
      <c r="E10" s="59" t="s">
        <v>128</v>
      </c>
      <c r="F10" s="1"/>
      <c r="G10" s="30"/>
      <c r="O10" s="338"/>
      <c r="P10" s="339"/>
      <c r="Q10" s="288"/>
      <c r="R10" s="327"/>
    </row>
    <row r="11" spans="1:27" ht="18" customHeight="1">
      <c r="A11" s="30"/>
      <c r="B11" s="1194" t="str">
        <f>IF('Names of Bidder'!D12=0, "", 'Names of Bidder'!D12)</f>
        <v/>
      </c>
      <c r="C11" s="1194"/>
      <c r="D11" s="1194"/>
      <c r="E11" s="59" t="s">
        <v>129</v>
      </c>
      <c r="F11" s="1"/>
      <c r="G11" s="30"/>
      <c r="W11" s="1177"/>
      <c r="X11" s="1177"/>
    </row>
    <row r="12" spans="1:27" ht="14.1" customHeight="1">
      <c r="A12" s="30"/>
      <c r="B12" s="30"/>
      <c r="C12" s="30"/>
      <c r="D12" s="30"/>
      <c r="E12" s="29"/>
      <c r="F12" s="32"/>
      <c r="G12" s="32"/>
      <c r="Y12" s="328"/>
    </row>
    <row r="13" spans="1:27" ht="40.5" customHeight="1">
      <c r="A13" s="1195" t="s">
        <v>130</v>
      </c>
      <c r="B13" s="1195"/>
      <c r="C13" s="1195"/>
      <c r="D13" s="1195"/>
      <c r="E13" s="1195"/>
      <c r="F13" s="1195"/>
      <c r="G13" s="1195"/>
      <c r="H13" s="356"/>
      <c r="I13" s="239"/>
      <c r="J13" s="240"/>
      <c r="K13" s="240"/>
      <c r="L13" s="240"/>
      <c r="M13" s="240"/>
      <c r="Q13" s="6"/>
      <c r="U13" t="s">
        <v>131</v>
      </c>
      <c r="Y13" s="328"/>
    </row>
    <row r="14" spans="1:27" ht="14.1" customHeight="1">
      <c r="A14" s="6"/>
      <c r="B14" s="6"/>
      <c r="C14" s="6"/>
      <c r="D14" s="6"/>
      <c r="E14" s="7"/>
      <c r="F14" s="7"/>
      <c r="G14" s="8" t="s">
        <v>88</v>
      </c>
      <c r="P14" s="1179"/>
      <c r="Q14" s="1179"/>
      <c r="S14" s="1182"/>
      <c r="T14" s="1182"/>
      <c r="U14" t="s">
        <v>132</v>
      </c>
      <c r="W14" s="1177"/>
      <c r="X14" s="1177"/>
    </row>
    <row r="15" spans="1:27" ht="66" customHeight="1">
      <c r="A15" s="5" t="s">
        <v>89</v>
      </c>
      <c r="B15" s="5" t="s">
        <v>98</v>
      </c>
      <c r="C15" s="9" t="s">
        <v>99</v>
      </c>
      <c r="D15" s="9" t="s">
        <v>100</v>
      </c>
      <c r="E15" s="5" t="s">
        <v>133</v>
      </c>
      <c r="F15" s="5" t="s">
        <v>134</v>
      </c>
      <c r="G15" s="5" t="s">
        <v>135</v>
      </c>
      <c r="P15" s="289"/>
      <c r="Q15" s="289"/>
      <c r="S15" s="289"/>
      <c r="T15" s="289"/>
    </row>
    <row r="16" spans="1:27" ht="18" customHeight="1">
      <c r="A16" s="9">
        <v>1</v>
      </c>
      <c r="B16" s="9">
        <v>2</v>
      </c>
      <c r="C16" s="9">
        <v>3</v>
      </c>
      <c r="D16" s="9">
        <v>4</v>
      </c>
      <c r="E16" s="9">
        <v>5</v>
      </c>
      <c r="F16" s="9" t="s">
        <v>136</v>
      </c>
      <c r="G16" s="9">
        <v>7</v>
      </c>
      <c r="P16" s="175"/>
      <c r="Q16" s="175"/>
      <c r="S16" s="175"/>
      <c r="T16" s="175"/>
    </row>
    <row r="17" spans="1:10" s="409" customFormat="1" ht="66.75" customHeight="1">
      <c r="A17" s="408" t="e">
        <f>'Sch-1'!#REF!</f>
        <v>#REF!</v>
      </c>
      <c r="B17" s="408" t="e">
        <f>'Sch-1'!#REF!</f>
        <v>#REF!</v>
      </c>
      <c r="C17" s="408"/>
      <c r="D17" s="408"/>
      <c r="E17" s="465"/>
      <c r="F17" s="93"/>
      <c r="G17" s="466"/>
    </row>
    <row r="18" spans="1:10" s="409" customFormat="1" ht="18.75" customHeight="1">
      <c r="A18" s="408" t="e">
        <f>'Sch-1'!#REF!</f>
        <v>#REF!</v>
      </c>
      <c r="B18" s="408" t="e">
        <f>'Sch-1'!#REF!</f>
        <v>#REF!</v>
      </c>
      <c r="C18" s="408"/>
      <c r="D18" s="408"/>
      <c r="E18" s="465"/>
      <c r="F18" s="93"/>
      <c r="G18" s="466"/>
    </row>
    <row r="19" spans="1:10" s="409" customFormat="1" ht="15.75" customHeight="1">
      <c r="A19" s="408" t="e">
        <f>'Sch-1'!#REF!</f>
        <v>#REF!</v>
      </c>
      <c r="B19" s="408" t="e">
        <f>'Sch-1'!#REF!</f>
        <v>#REF!</v>
      </c>
      <c r="C19" s="408"/>
      <c r="D19" s="408"/>
      <c r="E19" s="465"/>
      <c r="F19" s="93"/>
      <c r="G19" s="466"/>
      <c r="J19" s="445"/>
    </row>
    <row r="20" spans="1:10" s="409" customFormat="1" ht="15.75" customHeight="1">
      <c r="A20" s="408" t="e">
        <f>'Sch-1'!#REF!</f>
        <v>#REF!</v>
      </c>
      <c r="B20" s="408" t="e">
        <f>'Sch-1'!#REF!</f>
        <v>#REF!</v>
      </c>
      <c r="C20" s="408" t="e">
        <f>'Sch-1'!#REF!</f>
        <v>#REF!</v>
      </c>
      <c r="D20" s="408" t="e">
        <f>'Sch-1'!#REF!</f>
        <v>#REF!</v>
      </c>
      <c r="E20" s="465" t="e">
        <f>'Sch-1'!#REF!</f>
        <v>#REF!</v>
      </c>
      <c r="F20" s="93" t="e">
        <f>IF(E20=0, "Included",IF(ISERROR(D20*E20), E20, D20*E20))</f>
        <v>#REF!</v>
      </c>
      <c r="G20" s="466" t="e">
        <f>'Sch-1'!#REF!</f>
        <v>#REF!</v>
      </c>
    </row>
    <row r="21" spans="1:10" s="409" customFormat="1" ht="15.75" customHeight="1">
      <c r="A21" s="408" t="e">
        <f>'Sch-1'!#REF!</f>
        <v>#REF!</v>
      </c>
      <c r="B21" s="408" t="e">
        <f>'Sch-1'!#REF!</f>
        <v>#REF!</v>
      </c>
      <c r="C21" s="408" t="e">
        <f>'Sch-1'!#REF!</f>
        <v>#REF!</v>
      </c>
      <c r="D21" s="408" t="e">
        <f>'Sch-1'!#REF!</f>
        <v>#REF!</v>
      </c>
      <c r="E21" s="465" t="e">
        <f>'Sch-1'!#REF!</f>
        <v>#REF!</v>
      </c>
      <c r="F21" s="93" t="e">
        <f>IF(E21=0, "Included",IF(ISERROR(D21*E21), E21, D21*E21))</f>
        <v>#REF!</v>
      </c>
      <c r="G21" s="466" t="e">
        <f>'Sch-1'!#REF!</f>
        <v>#REF!</v>
      </c>
    </row>
    <row r="22" spans="1:10" s="409" customFormat="1" ht="15.75" customHeight="1">
      <c r="A22" s="408"/>
      <c r="B22" s="408"/>
      <c r="C22" s="408"/>
      <c r="D22" s="408"/>
      <c r="E22" s="465"/>
      <c r="F22" s="93"/>
      <c r="G22" s="466"/>
    </row>
    <row r="23" spans="1:10" s="409" customFormat="1" ht="15.75" customHeight="1">
      <c r="A23" s="408" t="e">
        <f>'Sch-1'!#REF!</f>
        <v>#REF!</v>
      </c>
      <c r="B23" s="408" t="e">
        <f>'Sch-1'!#REF!</f>
        <v>#REF!</v>
      </c>
      <c r="C23" s="408"/>
      <c r="D23" s="408"/>
      <c r="E23" s="465"/>
      <c r="F23" s="93"/>
      <c r="G23" s="466"/>
    </row>
    <row r="24" spans="1:10" s="409" customFormat="1" ht="15.75" customHeight="1">
      <c r="A24" s="408" t="e">
        <f>'Sch-1'!#REF!</f>
        <v>#REF!</v>
      </c>
      <c r="B24" s="408" t="e">
        <f>'Sch-1'!#REF!</f>
        <v>#REF!</v>
      </c>
      <c r="C24" s="408" t="e">
        <f>'Sch-1'!#REF!</f>
        <v>#REF!</v>
      </c>
      <c r="D24" s="408" t="e">
        <f>'Sch-1'!#REF!</f>
        <v>#REF!</v>
      </c>
      <c r="E24" s="465" t="e">
        <f>'Sch-1'!#REF!</f>
        <v>#REF!</v>
      </c>
      <c r="F24" s="93" t="e">
        <f>IF(E24=0, "Included",IF(ISERROR(D24*E24), E24, D24*E24))</f>
        <v>#REF!</v>
      </c>
      <c r="G24" s="466" t="e">
        <f>'Sch-1'!#REF!</f>
        <v>#REF!</v>
      </c>
    </row>
    <row r="25" spans="1:10" s="409" customFormat="1" ht="15.75" customHeight="1">
      <c r="A25" s="408" t="e">
        <f>'Sch-1'!#REF!</f>
        <v>#REF!</v>
      </c>
      <c r="B25" s="408" t="e">
        <f>'Sch-1'!#REF!</f>
        <v>#REF!</v>
      </c>
      <c r="C25" s="408" t="e">
        <f>'Sch-1'!#REF!</f>
        <v>#REF!</v>
      </c>
      <c r="D25" s="408" t="e">
        <f>'Sch-1'!#REF!</f>
        <v>#REF!</v>
      </c>
      <c r="E25" s="465" t="e">
        <f>'Sch-1'!#REF!</f>
        <v>#REF!</v>
      </c>
      <c r="F25" s="93" t="e">
        <f>IF(E25=0, "Included",IF(ISERROR(D25*E25), E25, D25*E25))</f>
        <v>#REF!</v>
      </c>
      <c r="G25" s="466" t="e">
        <f>'Sch-1'!#REF!</f>
        <v>#REF!</v>
      </c>
    </row>
    <row r="26" spans="1:10" s="409" customFormat="1" ht="15.75" customHeight="1">
      <c r="A26" s="408"/>
      <c r="B26" s="408"/>
      <c r="C26" s="408"/>
      <c r="D26" s="408"/>
      <c r="E26" s="465"/>
      <c r="F26" s="93"/>
      <c r="G26" s="466"/>
    </row>
    <row r="27" spans="1:10" s="409" customFormat="1" ht="15.75" customHeight="1">
      <c r="A27" s="408" t="e">
        <f>'Sch-1'!#REF!</f>
        <v>#REF!</v>
      </c>
      <c r="B27" s="408" t="e">
        <f>'Sch-1'!#REF!</f>
        <v>#REF!</v>
      </c>
      <c r="C27" s="408"/>
      <c r="D27" s="408"/>
      <c r="E27" s="465"/>
      <c r="F27" s="93"/>
      <c r="G27" s="466"/>
    </row>
    <row r="28" spans="1:10" s="409" customFormat="1" ht="15.75" customHeight="1">
      <c r="A28" s="408" t="e">
        <f>'Sch-1'!#REF!</f>
        <v>#REF!</v>
      </c>
      <c r="B28" s="408" t="e">
        <f>'Sch-1'!#REF!</f>
        <v>#REF!</v>
      </c>
      <c r="C28" s="408" t="e">
        <f>'Sch-1'!#REF!</f>
        <v>#REF!</v>
      </c>
      <c r="D28" s="408" t="e">
        <f>'Sch-1'!#REF!</f>
        <v>#REF!</v>
      </c>
      <c r="E28" s="465" t="e">
        <f>'Sch-1'!#REF!</f>
        <v>#REF!</v>
      </c>
      <c r="F28" s="93" t="e">
        <f>IF(E28=0, "Included",IF(ISERROR(D28*E28), E28, D28*E28))</f>
        <v>#REF!</v>
      </c>
      <c r="G28" s="466" t="e">
        <f>'Sch-1'!#REF!</f>
        <v>#REF!</v>
      </c>
    </row>
    <row r="29" spans="1:10" s="409" customFormat="1" ht="15.75" customHeight="1">
      <c r="A29" s="408" t="e">
        <f>'Sch-1'!#REF!</f>
        <v>#REF!</v>
      </c>
      <c r="B29" s="408" t="e">
        <f>'Sch-1'!#REF!</f>
        <v>#REF!</v>
      </c>
      <c r="C29" s="408" t="e">
        <f>'Sch-1'!#REF!</f>
        <v>#REF!</v>
      </c>
      <c r="D29" s="408" t="e">
        <f>'Sch-1'!#REF!</f>
        <v>#REF!</v>
      </c>
      <c r="E29" s="465" t="e">
        <f>'Sch-1'!#REF!</f>
        <v>#REF!</v>
      </c>
      <c r="F29" s="93" t="e">
        <f>IF(E29=0, "Included",IF(ISERROR(D29*E29), E29, D29*E29))</f>
        <v>#REF!</v>
      </c>
      <c r="G29" s="466" t="e">
        <f>'Sch-1'!#REF!</f>
        <v>#REF!</v>
      </c>
    </row>
    <row r="30" spans="1:10" s="409" customFormat="1" ht="15.75" customHeight="1">
      <c r="A30" s="408"/>
      <c r="B30" s="408"/>
      <c r="C30" s="408"/>
      <c r="D30" s="408"/>
      <c r="E30" s="465"/>
      <c r="F30" s="93"/>
      <c r="G30" s="466"/>
    </row>
    <row r="31" spans="1:10" s="409" customFormat="1" ht="15.75" customHeight="1">
      <c r="A31" s="408" t="e">
        <f>'Sch-1'!#REF!</f>
        <v>#REF!</v>
      </c>
      <c r="B31" s="408" t="e">
        <f>'Sch-1'!#REF!</f>
        <v>#REF!</v>
      </c>
      <c r="C31" s="408"/>
      <c r="D31" s="408"/>
      <c r="E31" s="465"/>
      <c r="F31" s="93"/>
      <c r="G31" s="466"/>
    </row>
    <row r="32" spans="1:10" s="409" customFormat="1" ht="15.75" customHeight="1">
      <c r="A32" s="408" t="e">
        <f>'Sch-1'!#REF!</f>
        <v>#REF!</v>
      </c>
      <c r="B32" s="408" t="e">
        <f>'Sch-1'!#REF!</f>
        <v>#REF!</v>
      </c>
      <c r="C32" s="408"/>
      <c r="D32" s="408"/>
      <c r="E32" s="465"/>
      <c r="F32" s="93"/>
      <c r="G32" s="466"/>
    </row>
    <row r="33" spans="1:7" s="409" customFormat="1" ht="15.75" customHeight="1">
      <c r="A33" s="408" t="e">
        <f>'Sch-1'!#REF!</f>
        <v>#REF!</v>
      </c>
      <c r="B33" s="408" t="e">
        <f>'Sch-1'!#REF!</f>
        <v>#REF!</v>
      </c>
      <c r="C33" s="408" t="e">
        <f>'Sch-1'!#REF!</f>
        <v>#REF!</v>
      </c>
      <c r="D33" s="408" t="e">
        <f>'Sch-1'!#REF!</f>
        <v>#REF!</v>
      </c>
      <c r="E33" s="465" t="e">
        <f>'Sch-1'!#REF!</f>
        <v>#REF!</v>
      </c>
      <c r="F33" s="93" t="e">
        <f t="shared" ref="F33:F68" si="0">IF(E33=0, "Included",IF(ISERROR(D33*E33), E33, D33*E33))</f>
        <v>#REF!</v>
      </c>
      <c r="G33" s="466" t="e">
        <f>'Sch-1'!#REF!</f>
        <v>#REF!</v>
      </c>
    </row>
    <row r="34" spans="1:7" s="409" customFormat="1" ht="15.75" customHeight="1">
      <c r="A34" s="408" t="e">
        <f>'Sch-1'!#REF!</f>
        <v>#REF!</v>
      </c>
      <c r="B34" s="408" t="e">
        <f>'Sch-1'!#REF!</f>
        <v>#REF!</v>
      </c>
      <c r="C34" s="408" t="e">
        <f>'Sch-1'!#REF!</f>
        <v>#REF!</v>
      </c>
      <c r="D34" s="408" t="e">
        <f>'Sch-1'!#REF!</f>
        <v>#REF!</v>
      </c>
      <c r="E34" s="465" t="e">
        <f>'Sch-1'!#REF!</f>
        <v>#REF!</v>
      </c>
      <c r="F34" s="93" t="e">
        <f t="shared" si="0"/>
        <v>#REF!</v>
      </c>
      <c r="G34" s="466" t="e">
        <f>'Sch-1'!#REF!</f>
        <v>#REF!</v>
      </c>
    </row>
    <row r="35" spans="1:7" s="409" customFormat="1" ht="15.75" customHeight="1">
      <c r="A35" s="408"/>
      <c r="B35" s="408"/>
      <c r="C35" s="408"/>
      <c r="D35" s="408"/>
      <c r="E35" s="465"/>
      <c r="F35" s="93"/>
      <c r="G35" s="466"/>
    </row>
    <row r="36" spans="1:7" s="409" customFormat="1" ht="15.75" customHeight="1">
      <c r="A36" s="408" t="e">
        <f>'Sch-1'!#REF!</f>
        <v>#REF!</v>
      </c>
      <c r="B36" s="408" t="e">
        <f>'Sch-1'!#REF!</f>
        <v>#REF!</v>
      </c>
      <c r="C36" s="408"/>
      <c r="D36" s="408"/>
      <c r="E36" s="465"/>
      <c r="F36" s="93"/>
      <c r="G36" s="466"/>
    </row>
    <row r="37" spans="1:7" s="409" customFormat="1" ht="51" customHeight="1">
      <c r="A37" s="408" t="e">
        <f>'Sch-1'!#REF!</f>
        <v>#REF!</v>
      </c>
      <c r="B37" s="408" t="e">
        <f>'Sch-1'!#REF!</f>
        <v>#REF!</v>
      </c>
      <c r="C37" s="408" t="e">
        <f>'Sch-1'!#REF!</f>
        <v>#REF!</v>
      </c>
      <c r="D37" s="408" t="e">
        <f>'Sch-1'!#REF!</f>
        <v>#REF!</v>
      </c>
      <c r="E37" s="465" t="e">
        <f>'Sch-1'!#REF!</f>
        <v>#REF!</v>
      </c>
      <c r="F37" s="93" t="e">
        <f t="shared" si="0"/>
        <v>#REF!</v>
      </c>
      <c r="G37" s="466" t="e">
        <f>'Sch-1'!#REF!</f>
        <v>#REF!</v>
      </c>
    </row>
    <row r="38" spans="1:7" s="409" customFormat="1" ht="17.25" customHeight="1">
      <c r="A38" s="408" t="e">
        <f>'Sch-1'!#REF!</f>
        <v>#REF!</v>
      </c>
      <c r="B38" s="408" t="e">
        <f>'Sch-1'!#REF!</f>
        <v>#REF!</v>
      </c>
      <c r="C38" s="408" t="e">
        <f>'Sch-1'!#REF!</f>
        <v>#REF!</v>
      </c>
      <c r="D38" s="408" t="e">
        <f>'Sch-1'!#REF!</f>
        <v>#REF!</v>
      </c>
      <c r="E38" s="465" t="e">
        <f>'Sch-1'!#REF!</f>
        <v>#REF!</v>
      </c>
      <c r="F38" s="93" t="e">
        <f t="shared" si="0"/>
        <v>#REF!</v>
      </c>
      <c r="G38" s="466" t="e">
        <f>'Sch-1'!#REF!</f>
        <v>#REF!</v>
      </c>
    </row>
    <row r="39" spans="1:7" s="409" customFormat="1" ht="15.75" customHeight="1">
      <c r="A39" s="408" t="e">
        <f>'Sch-1'!#REF!</f>
        <v>#REF!</v>
      </c>
      <c r="B39" s="408" t="e">
        <f>'Sch-1'!#REF!</f>
        <v>#REF!</v>
      </c>
      <c r="C39" s="408" t="e">
        <f>'Sch-1'!#REF!</f>
        <v>#REF!</v>
      </c>
      <c r="D39" s="408" t="e">
        <f>'Sch-1'!#REF!</f>
        <v>#REF!</v>
      </c>
      <c r="E39" s="465" t="e">
        <f>'Sch-1'!#REF!</f>
        <v>#REF!</v>
      </c>
      <c r="F39" s="93" t="e">
        <f t="shared" si="0"/>
        <v>#REF!</v>
      </c>
      <c r="G39" s="466" t="e">
        <f>'Sch-1'!#REF!</f>
        <v>#REF!</v>
      </c>
    </row>
    <row r="40" spans="1:7" s="409" customFormat="1" ht="15.75" customHeight="1">
      <c r="A40" s="408" t="e">
        <f>'Sch-1'!#REF!</f>
        <v>#REF!</v>
      </c>
      <c r="B40" s="408" t="e">
        <f>'Sch-1'!#REF!</f>
        <v>#REF!</v>
      </c>
      <c r="C40" s="408" t="e">
        <f>'Sch-1'!#REF!</f>
        <v>#REF!</v>
      </c>
      <c r="D40" s="408" t="e">
        <f>'Sch-1'!#REF!</f>
        <v>#REF!</v>
      </c>
      <c r="E40" s="465" t="e">
        <f>'Sch-1'!#REF!</f>
        <v>#REF!</v>
      </c>
      <c r="F40" s="93" t="e">
        <f t="shared" si="0"/>
        <v>#REF!</v>
      </c>
      <c r="G40" s="466" t="e">
        <f>'Sch-1'!#REF!</f>
        <v>#REF!</v>
      </c>
    </row>
    <row r="41" spans="1:7" s="409" customFormat="1" ht="15.75" customHeight="1">
      <c r="A41" s="408" t="e">
        <f>'Sch-1'!#REF!</f>
        <v>#REF!</v>
      </c>
      <c r="B41" s="408" t="e">
        <f>'Sch-1'!#REF!</f>
        <v>#REF!</v>
      </c>
      <c r="C41" s="408" t="e">
        <f>'Sch-1'!#REF!</f>
        <v>#REF!</v>
      </c>
      <c r="D41" s="408" t="e">
        <f>'Sch-1'!#REF!</f>
        <v>#REF!</v>
      </c>
      <c r="E41" s="465" t="e">
        <f>'Sch-1'!#REF!</f>
        <v>#REF!</v>
      </c>
      <c r="F41" s="93" t="e">
        <f t="shared" si="0"/>
        <v>#REF!</v>
      </c>
      <c r="G41" s="466" t="e">
        <f>'Sch-1'!#REF!</f>
        <v>#REF!</v>
      </c>
    </row>
    <row r="42" spans="1:7" s="409" customFormat="1" ht="18.75" customHeight="1">
      <c r="A42" s="408" t="e">
        <f>'Sch-1'!#REF!</f>
        <v>#REF!</v>
      </c>
      <c r="B42" s="408" t="e">
        <f>'Sch-1'!#REF!</f>
        <v>#REF!</v>
      </c>
      <c r="C42" s="408" t="e">
        <f>'Sch-1'!#REF!</f>
        <v>#REF!</v>
      </c>
      <c r="D42" s="408" t="e">
        <f>'Sch-1'!#REF!</f>
        <v>#REF!</v>
      </c>
      <c r="E42" s="465" t="e">
        <f>'Sch-1'!#REF!</f>
        <v>#REF!</v>
      </c>
      <c r="F42" s="93" t="e">
        <f t="shared" si="0"/>
        <v>#REF!</v>
      </c>
      <c r="G42" s="466" t="e">
        <f>'Sch-1'!#REF!</f>
        <v>#REF!</v>
      </c>
    </row>
    <row r="43" spans="1:7" s="409" customFormat="1">
      <c r="A43" s="408"/>
      <c r="B43" s="408"/>
      <c r="C43" s="408"/>
      <c r="D43" s="408"/>
      <c r="E43" s="465"/>
      <c r="F43" s="93"/>
      <c r="G43" s="466"/>
    </row>
    <row r="44" spans="1:7" s="409" customFormat="1" ht="17.25" customHeight="1">
      <c r="A44" s="408" t="e">
        <f>'Sch-1'!#REF!</f>
        <v>#REF!</v>
      </c>
      <c r="B44" s="408" t="e">
        <f>'Sch-1'!#REF!</f>
        <v>#REF!</v>
      </c>
      <c r="C44" s="408"/>
      <c r="D44" s="408"/>
      <c r="E44" s="465"/>
      <c r="F44" s="93"/>
      <c r="G44" s="466"/>
    </row>
    <row r="45" spans="1:7" s="409" customFormat="1" ht="17.25" customHeight="1">
      <c r="A45" s="408" t="e">
        <f>'Sch-1'!#REF!</f>
        <v>#REF!</v>
      </c>
      <c r="B45" s="408" t="e">
        <f>'Sch-1'!#REF!</f>
        <v>#REF!</v>
      </c>
      <c r="C45" s="408" t="e">
        <f>'Sch-1'!#REF!</f>
        <v>#REF!</v>
      </c>
      <c r="D45" s="408" t="e">
        <f>'Sch-1'!#REF!</f>
        <v>#REF!</v>
      </c>
      <c r="E45" s="465" t="e">
        <f>'Sch-1'!#REF!</f>
        <v>#REF!</v>
      </c>
      <c r="F45" s="93" t="e">
        <f t="shared" si="0"/>
        <v>#REF!</v>
      </c>
      <c r="G45" s="466" t="e">
        <f>'Sch-1'!#REF!</f>
        <v>#REF!</v>
      </c>
    </row>
    <row r="46" spans="1:7" s="409" customFormat="1" ht="17.25" customHeight="1">
      <c r="A46" s="408"/>
      <c r="B46" s="408"/>
      <c r="C46" s="408"/>
      <c r="D46" s="408"/>
      <c r="E46" s="465"/>
      <c r="F46" s="93"/>
      <c r="G46" s="466"/>
    </row>
    <row r="47" spans="1:7" s="412" customFormat="1">
      <c r="A47" s="408" t="e">
        <f>'Sch-1'!#REF!</f>
        <v>#REF!</v>
      </c>
      <c r="B47" s="408" t="e">
        <f>'Sch-1'!#REF!</f>
        <v>#REF!</v>
      </c>
      <c r="C47" s="408"/>
      <c r="D47" s="408"/>
      <c r="E47" s="465"/>
      <c r="F47" s="93"/>
      <c r="G47" s="466"/>
    </row>
    <row r="48" spans="1:7" s="412" customFormat="1">
      <c r="A48" s="408" t="e">
        <f>'Sch-1'!#REF!</f>
        <v>#REF!</v>
      </c>
      <c r="B48" s="408" t="e">
        <f>'Sch-1'!#REF!</f>
        <v>#REF!</v>
      </c>
      <c r="C48" s="408" t="e">
        <f>'Sch-1'!#REF!</f>
        <v>#REF!</v>
      </c>
      <c r="D48" s="408" t="e">
        <f>'Sch-1'!#REF!</f>
        <v>#REF!</v>
      </c>
      <c r="E48" s="465" t="e">
        <f>'Sch-1'!#REF!</f>
        <v>#REF!</v>
      </c>
      <c r="F48" s="93" t="e">
        <f t="shared" si="0"/>
        <v>#REF!</v>
      </c>
      <c r="G48" s="466" t="e">
        <f>'Sch-1'!#REF!</f>
        <v>#REF!</v>
      </c>
    </row>
    <row r="49" spans="1:7" s="412" customFormat="1" ht="15" customHeight="1">
      <c r="A49" s="408" t="e">
        <f>'Sch-1'!#REF!</f>
        <v>#REF!</v>
      </c>
      <c r="B49" s="408" t="e">
        <f>'Sch-1'!#REF!</f>
        <v>#REF!</v>
      </c>
      <c r="C49" s="408" t="e">
        <f>'Sch-1'!#REF!</f>
        <v>#REF!</v>
      </c>
      <c r="D49" s="408" t="e">
        <f>'Sch-1'!#REF!</f>
        <v>#REF!</v>
      </c>
      <c r="E49" s="465" t="e">
        <f>'Sch-1'!#REF!</f>
        <v>#REF!</v>
      </c>
      <c r="F49" s="93" t="e">
        <f t="shared" si="0"/>
        <v>#REF!</v>
      </c>
      <c r="G49" s="466" t="e">
        <f>'Sch-1'!#REF!</f>
        <v>#REF!</v>
      </c>
    </row>
    <row r="50" spans="1:7" s="412" customFormat="1" ht="15" customHeight="1">
      <c r="A50" s="408" t="e">
        <f>'Sch-1'!#REF!</f>
        <v>#REF!</v>
      </c>
      <c r="B50" s="408" t="e">
        <f>'Sch-1'!#REF!</f>
        <v>#REF!</v>
      </c>
      <c r="C50" s="408" t="e">
        <f>'Sch-1'!#REF!</f>
        <v>#REF!</v>
      </c>
      <c r="D50" s="408" t="e">
        <f>'Sch-1'!#REF!</f>
        <v>#REF!</v>
      </c>
      <c r="E50" s="465" t="e">
        <f>'Sch-1'!#REF!</f>
        <v>#REF!</v>
      </c>
      <c r="F50" s="93" t="e">
        <f t="shared" si="0"/>
        <v>#REF!</v>
      </c>
      <c r="G50" s="466" t="e">
        <f>'Sch-1'!#REF!</f>
        <v>#REF!</v>
      </c>
    </row>
    <row r="51" spans="1:7" s="412" customFormat="1">
      <c r="A51" s="408" t="e">
        <f>'Sch-1'!#REF!</f>
        <v>#REF!</v>
      </c>
      <c r="B51" s="408" t="e">
        <f>'Sch-1'!#REF!</f>
        <v>#REF!</v>
      </c>
      <c r="C51" s="408" t="e">
        <f>'Sch-1'!#REF!</f>
        <v>#REF!</v>
      </c>
      <c r="D51" s="408" t="e">
        <f>'Sch-1'!#REF!</f>
        <v>#REF!</v>
      </c>
      <c r="E51" s="465" t="e">
        <f>'Sch-1'!#REF!</f>
        <v>#REF!</v>
      </c>
      <c r="F51" s="93" t="e">
        <f t="shared" si="0"/>
        <v>#REF!</v>
      </c>
      <c r="G51" s="466" t="e">
        <f>'Sch-1'!#REF!</f>
        <v>#REF!</v>
      </c>
    </row>
    <row r="52" spans="1:7" s="412" customFormat="1">
      <c r="A52" s="408"/>
      <c r="B52" s="408"/>
      <c r="C52" s="408"/>
      <c r="D52" s="408"/>
      <c r="E52" s="465"/>
      <c r="F52" s="93"/>
      <c r="G52" s="466"/>
    </row>
    <row r="53" spans="1:7" s="409" customFormat="1" ht="17.25" customHeight="1">
      <c r="A53" s="408" t="e">
        <f>'Sch-1'!#REF!</f>
        <v>#REF!</v>
      </c>
      <c r="B53" s="408" t="e">
        <f>'Sch-1'!#REF!</f>
        <v>#REF!</v>
      </c>
      <c r="C53" s="408"/>
      <c r="D53" s="408"/>
      <c r="E53" s="465"/>
      <c r="F53" s="93"/>
      <c r="G53" s="466"/>
    </row>
    <row r="54" spans="1:7" s="413" customFormat="1" ht="18">
      <c r="A54" s="408" t="e">
        <f>'Sch-1'!#REF!</f>
        <v>#REF!</v>
      </c>
      <c r="B54" s="408" t="e">
        <f>'Sch-1'!#REF!</f>
        <v>#REF!</v>
      </c>
      <c r="C54" s="408" t="e">
        <f>'Sch-1'!#REF!</f>
        <v>#REF!</v>
      </c>
      <c r="D54" s="408" t="e">
        <f>'Sch-1'!#REF!</f>
        <v>#REF!</v>
      </c>
      <c r="E54" s="465" t="e">
        <f>'Sch-1'!#REF!</f>
        <v>#REF!</v>
      </c>
      <c r="F54" s="93" t="e">
        <f t="shared" si="0"/>
        <v>#REF!</v>
      </c>
      <c r="G54" s="466" t="e">
        <f>'Sch-1'!#REF!</f>
        <v>#REF!</v>
      </c>
    </row>
    <row r="55" spans="1:7" s="409" customFormat="1">
      <c r="A55" s="408" t="e">
        <f>'Sch-1'!#REF!</f>
        <v>#REF!</v>
      </c>
      <c r="B55" s="408" t="e">
        <f>'Sch-1'!#REF!</f>
        <v>#REF!</v>
      </c>
      <c r="C55" s="408" t="e">
        <f>'Sch-1'!#REF!</f>
        <v>#REF!</v>
      </c>
      <c r="D55" s="408" t="e">
        <f>'Sch-1'!#REF!</f>
        <v>#REF!</v>
      </c>
      <c r="E55" s="465" t="e">
        <f>'Sch-1'!#REF!</f>
        <v>#REF!</v>
      </c>
      <c r="F55" s="93" t="e">
        <f t="shared" si="0"/>
        <v>#REF!</v>
      </c>
      <c r="G55" s="466" t="e">
        <f>'Sch-1'!#REF!</f>
        <v>#REF!</v>
      </c>
    </row>
    <row r="56" spans="1:7" s="409" customFormat="1" ht="18" customHeight="1">
      <c r="A56" s="408" t="e">
        <f>'Sch-1'!#REF!</f>
        <v>#REF!</v>
      </c>
      <c r="B56" s="408" t="e">
        <f>'Sch-1'!#REF!</f>
        <v>#REF!</v>
      </c>
      <c r="C56" s="408" t="e">
        <f>'Sch-1'!#REF!</f>
        <v>#REF!</v>
      </c>
      <c r="D56" s="408" t="e">
        <f>'Sch-1'!#REF!</f>
        <v>#REF!</v>
      </c>
      <c r="E56" s="465" t="e">
        <f>'Sch-1'!#REF!</f>
        <v>#REF!</v>
      </c>
      <c r="F56" s="93" t="e">
        <f t="shared" si="0"/>
        <v>#REF!</v>
      </c>
      <c r="G56" s="466" t="e">
        <f>'Sch-1'!#REF!</f>
        <v>#REF!</v>
      </c>
    </row>
    <row r="57" spans="1:7" s="409" customFormat="1" ht="18.75" customHeight="1">
      <c r="A57" s="408" t="e">
        <f>'Sch-1'!#REF!</f>
        <v>#REF!</v>
      </c>
      <c r="B57" s="408" t="e">
        <f>'Sch-1'!#REF!</f>
        <v>#REF!</v>
      </c>
      <c r="C57" s="408"/>
      <c r="D57" s="408"/>
      <c r="E57" s="465"/>
      <c r="F57" s="93"/>
      <c r="G57" s="466"/>
    </row>
    <row r="58" spans="1:7" s="409" customFormat="1" ht="18.75" customHeight="1">
      <c r="A58" s="408" t="e">
        <f>'Sch-1'!#REF!</f>
        <v>#REF!</v>
      </c>
      <c r="B58" s="408" t="e">
        <f>'Sch-1'!#REF!</f>
        <v>#REF!</v>
      </c>
      <c r="C58" s="408" t="e">
        <f>'Sch-1'!#REF!</f>
        <v>#REF!</v>
      </c>
      <c r="D58" s="408" t="e">
        <f>'Sch-1'!#REF!</f>
        <v>#REF!</v>
      </c>
      <c r="E58" s="465" t="e">
        <f>'Sch-1'!#REF!</f>
        <v>#REF!</v>
      </c>
      <c r="F58" s="93" t="e">
        <f t="shared" si="0"/>
        <v>#REF!</v>
      </c>
      <c r="G58" s="466" t="e">
        <f>'Sch-1'!#REF!</f>
        <v>#REF!</v>
      </c>
    </row>
    <row r="59" spans="1:7" s="413" customFormat="1" ht="18.75" customHeight="1">
      <c r="A59" s="408" t="e">
        <f>'Sch-1'!#REF!</f>
        <v>#REF!</v>
      </c>
      <c r="B59" s="408" t="e">
        <f>'Sch-1'!#REF!</f>
        <v>#REF!</v>
      </c>
      <c r="C59" s="408" t="e">
        <f>'Sch-1'!#REF!</f>
        <v>#REF!</v>
      </c>
      <c r="D59" s="408" t="e">
        <f>'Sch-1'!#REF!</f>
        <v>#REF!</v>
      </c>
      <c r="E59" s="465" t="e">
        <f>'Sch-1'!#REF!</f>
        <v>#REF!</v>
      </c>
      <c r="F59" s="93" t="e">
        <f t="shared" si="0"/>
        <v>#REF!</v>
      </c>
      <c r="G59" s="466" t="e">
        <f>'Sch-1'!#REF!</f>
        <v>#REF!</v>
      </c>
    </row>
    <row r="60" spans="1:7" s="409" customFormat="1" ht="18.75" customHeight="1">
      <c r="A60" s="408" t="e">
        <f>'Sch-1'!#REF!</f>
        <v>#REF!</v>
      </c>
      <c r="B60" s="408" t="e">
        <f>'Sch-1'!#REF!</f>
        <v>#REF!</v>
      </c>
      <c r="C60" s="408" t="e">
        <f>'Sch-1'!#REF!</f>
        <v>#REF!</v>
      </c>
      <c r="D60" s="408" t="e">
        <f>'Sch-1'!#REF!</f>
        <v>#REF!</v>
      </c>
      <c r="E60" s="465" t="e">
        <f>'Sch-1'!#REF!</f>
        <v>#REF!</v>
      </c>
      <c r="F60" s="93" t="e">
        <f t="shared" si="0"/>
        <v>#REF!</v>
      </c>
      <c r="G60" s="466" t="e">
        <f>'Sch-1'!#REF!</f>
        <v>#REF!</v>
      </c>
    </row>
    <row r="61" spans="1:7" s="409" customFormat="1" ht="17.25" customHeight="1">
      <c r="A61" s="408" t="e">
        <f>'Sch-1'!#REF!</f>
        <v>#REF!</v>
      </c>
      <c r="B61" s="408" t="e">
        <f>'Sch-1'!#REF!</f>
        <v>#REF!</v>
      </c>
      <c r="C61" s="408" t="e">
        <f>'Sch-1'!#REF!</f>
        <v>#REF!</v>
      </c>
      <c r="D61" s="408" t="e">
        <f>'Sch-1'!#REF!</f>
        <v>#REF!</v>
      </c>
      <c r="E61" s="465" t="e">
        <f>'Sch-1'!#REF!</f>
        <v>#REF!</v>
      </c>
      <c r="F61" s="93" t="e">
        <f t="shared" si="0"/>
        <v>#REF!</v>
      </c>
      <c r="G61" s="466" t="e">
        <f>'Sch-1'!#REF!</f>
        <v>#REF!</v>
      </c>
    </row>
    <row r="62" spans="1:7" s="409" customFormat="1" ht="17.25" customHeight="1">
      <c r="A62" s="408" t="e">
        <f>'Sch-1'!#REF!</f>
        <v>#REF!</v>
      </c>
      <c r="B62" s="408" t="e">
        <f>'Sch-1'!#REF!</f>
        <v>#REF!</v>
      </c>
      <c r="C62" s="408" t="e">
        <f>'Sch-1'!#REF!</f>
        <v>#REF!</v>
      </c>
      <c r="D62" s="408" t="e">
        <f>'Sch-1'!#REF!</f>
        <v>#REF!</v>
      </c>
      <c r="E62" s="465" t="e">
        <f>'Sch-1'!#REF!</f>
        <v>#REF!</v>
      </c>
      <c r="F62" s="93" t="e">
        <f t="shared" si="0"/>
        <v>#REF!</v>
      </c>
      <c r="G62" s="466" t="e">
        <f>'Sch-1'!#REF!</f>
        <v>#REF!</v>
      </c>
    </row>
    <row r="63" spans="1:7" s="409" customFormat="1" ht="17.25" customHeight="1">
      <c r="A63" s="408"/>
      <c r="B63" s="408"/>
      <c r="C63" s="408"/>
      <c r="D63" s="408"/>
      <c r="E63" s="465"/>
      <c r="F63" s="93"/>
      <c r="G63" s="466"/>
    </row>
    <row r="64" spans="1:7" s="409" customFormat="1" ht="17.25" customHeight="1">
      <c r="A64" s="408"/>
      <c r="B64" s="408"/>
      <c r="C64" s="408"/>
      <c r="D64" s="408"/>
      <c r="E64" s="465"/>
      <c r="F64" s="93"/>
      <c r="G64" s="466"/>
    </row>
    <row r="65" spans="1:22" s="409" customFormat="1" ht="17.25" customHeight="1">
      <c r="A65" s="408" t="e">
        <f>'Sch-1'!#REF!</f>
        <v>#REF!</v>
      </c>
      <c r="B65" s="408" t="e">
        <f>'Sch-1'!#REF!</f>
        <v>#REF!</v>
      </c>
      <c r="C65" s="408"/>
      <c r="D65" s="408"/>
      <c r="E65" s="465"/>
      <c r="F65" s="93"/>
      <c r="G65" s="466"/>
    </row>
    <row r="66" spans="1:22" s="409" customFormat="1" ht="17.25" customHeight="1">
      <c r="A66" s="408"/>
      <c r="B66" s="408" t="e">
        <f>'Sch-1'!#REF!</f>
        <v>#REF!</v>
      </c>
      <c r="C66" s="408" t="e">
        <f>'Sch-1'!#REF!</f>
        <v>#REF!</v>
      </c>
      <c r="D66" s="408" t="e">
        <f>'Sch-1'!#REF!</f>
        <v>#REF!</v>
      </c>
      <c r="E66" s="465" t="e">
        <f>'Sch-1'!#REF!</f>
        <v>#REF!</v>
      </c>
      <c r="F66" s="93" t="e">
        <f t="shared" si="0"/>
        <v>#REF!</v>
      </c>
      <c r="G66" s="466" t="e">
        <f>'Sch-1'!#REF!</f>
        <v>#REF!</v>
      </c>
    </row>
    <row r="67" spans="1:22" s="409" customFormat="1" ht="17.25" customHeight="1">
      <c r="A67" s="408"/>
      <c r="B67" s="408" t="e">
        <f>'Sch-1'!#REF!</f>
        <v>#REF!</v>
      </c>
      <c r="C67" s="408"/>
      <c r="D67" s="408"/>
      <c r="E67" s="465"/>
      <c r="F67" s="93"/>
      <c r="G67" s="466"/>
    </row>
    <row r="68" spans="1:22" s="409" customFormat="1" ht="17.25" customHeight="1">
      <c r="A68" s="408"/>
      <c r="B68" s="408" t="e">
        <f>'Sch-1'!#REF!</f>
        <v>#REF!</v>
      </c>
      <c r="C68" s="408" t="e">
        <f>'Sch-1'!#REF!</f>
        <v>#REF!</v>
      </c>
      <c r="D68" s="408" t="e">
        <f>'Sch-1'!#REF!</f>
        <v>#REF!</v>
      </c>
      <c r="E68" s="465" t="e">
        <f>'Sch-1'!#REF!</f>
        <v>#REF!</v>
      </c>
      <c r="F68" s="93" t="e">
        <f t="shared" si="0"/>
        <v>#REF!</v>
      </c>
      <c r="G68" s="466" t="e">
        <f>'Sch-1'!#REF!</f>
        <v>#REF!</v>
      </c>
    </row>
    <row r="69" spans="1:22" s="409" customFormat="1" ht="17.25" customHeight="1">
      <c r="A69" s="408"/>
      <c r="B69" s="408" t="e">
        <f>'Sch-1'!#REF!</f>
        <v>#REF!</v>
      </c>
      <c r="C69" s="408" t="e">
        <f>'Sch-1'!#REF!</f>
        <v>#REF!</v>
      </c>
      <c r="D69" s="408" t="e">
        <f>'Sch-1'!#REF!</f>
        <v>#REF!</v>
      </c>
      <c r="E69" s="465" t="e">
        <f>'Sch-1'!#REF!</f>
        <v>#REF!</v>
      </c>
      <c r="F69" s="93" t="e">
        <f>IF(E69=0, "Included",IF(ISERROR(D69*E69), E69, D69*E69))</f>
        <v>#REF!</v>
      </c>
      <c r="G69" s="466" t="e">
        <f>'Sch-1'!#REF!</f>
        <v>#REF!</v>
      </c>
    </row>
    <row r="70" spans="1:22" s="409" customFormat="1" ht="18" customHeight="1">
      <c r="A70" s="408"/>
      <c r="B70" s="408"/>
      <c r="C70" s="408"/>
      <c r="D70" s="408"/>
      <c r="E70" s="465"/>
      <c r="F70" s="93"/>
      <c r="G70" s="466"/>
    </row>
    <row r="71" spans="1:22" s="409" customFormat="1" ht="18" customHeight="1">
      <c r="A71" s="414"/>
      <c r="B71" s="364" t="s">
        <v>137</v>
      </c>
      <c r="C71" s="415"/>
      <c r="D71" s="416"/>
      <c r="E71" s="410"/>
      <c r="F71" s="93">
        <f>SUMIF(G18:G70,"Direct",F18:F70)</f>
        <v>0</v>
      </c>
      <c r="G71" s="417" t="s">
        <v>131</v>
      </c>
    </row>
    <row r="72" spans="1:22" s="409" customFormat="1" ht="18" customHeight="1">
      <c r="A72" s="414"/>
      <c r="B72" s="364" t="s">
        <v>138</v>
      </c>
      <c r="C72" s="415"/>
      <c r="D72" s="416"/>
      <c r="E72" s="410"/>
      <c r="F72" s="93">
        <f>SUMIF(G18:G70,"Bought-Out",F18:F70)</f>
        <v>0</v>
      </c>
      <c r="G72" s="417"/>
    </row>
    <row r="73" spans="1:22" ht="44.1" customHeight="1">
      <c r="A73" s="363"/>
      <c r="B73" s="364" t="s">
        <v>110</v>
      </c>
      <c r="C73" s="365"/>
      <c r="D73" s="366"/>
      <c r="E73" s="362"/>
      <c r="F73" s="362">
        <f>F71+F72</f>
        <v>0</v>
      </c>
      <c r="G73" s="862"/>
      <c r="I73" s="338"/>
      <c r="P73" s="333"/>
      <c r="Q73" s="332"/>
      <c r="S73" s="333"/>
      <c r="T73" s="332"/>
      <c r="V73" s="321"/>
    </row>
    <row r="74" spans="1:22" ht="26.1" customHeight="1">
      <c r="A74" s="863"/>
      <c r="B74" s="1185" t="s">
        <v>139</v>
      </c>
      <c r="C74" s="1185"/>
      <c r="D74" s="1185"/>
      <c r="E74" s="93"/>
      <c r="F74" s="93" t="e">
        <f>'Sch-7 Dis'!F19</f>
        <v>#REF!</v>
      </c>
      <c r="G74" s="10"/>
      <c r="I74" s="238"/>
      <c r="J74" s="172"/>
      <c r="K74" s="172"/>
      <c r="L74" s="172"/>
      <c r="M74" s="172"/>
      <c r="N74" s="1"/>
      <c r="O74" s="1"/>
      <c r="P74" s="83"/>
      <c r="Q74" s="332" t="e">
        <f>'Sch-7'!#REF!</f>
        <v>#REF!</v>
      </c>
      <c r="R74" s="6"/>
      <c r="S74" s="83"/>
      <c r="T74" s="332" t="e">
        <f>'Sch-7'!#REF!</f>
        <v>#REF!</v>
      </c>
      <c r="U74" s="1"/>
      <c r="V74" s="1"/>
    </row>
    <row r="75" spans="1:22" ht="26.1" customHeight="1">
      <c r="A75" s="864"/>
      <c r="B75" s="1186" t="s">
        <v>112</v>
      </c>
      <c r="C75" s="1186"/>
      <c r="D75" s="1186"/>
      <c r="E75" s="367"/>
      <c r="F75" s="367" t="e">
        <f>F73+F74</f>
        <v>#REF!</v>
      </c>
      <c r="G75" s="368"/>
      <c r="I75" s="238"/>
      <c r="J75" s="172"/>
      <c r="K75" s="172"/>
      <c r="L75" s="172"/>
      <c r="M75" s="172"/>
      <c r="N75" s="1"/>
      <c r="O75" s="1"/>
      <c r="P75" s="83"/>
      <c r="Q75" s="335" t="e">
        <f>SUM(#REF!,Q74)</f>
        <v>#REF!</v>
      </c>
      <c r="R75" s="11"/>
      <c r="S75" s="175"/>
      <c r="T75" s="335" t="e">
        <f>#REF!+T74</f>
        <v>#REF!</v>
      </c>
      <c r="U75" s="1"/>
      <c r="V75" s="336"/>
    </row>
    <row r="76" spans="1:22" ht="16.5" customHeight="1">
      <c r="A76" s="1187"/>
      <c r="B76" s="1187"/>
      <c r="C76" s="1187"/>
      <c r="D76" s="1187"/>
      <c r="E76" s="1187"/>
      <c r="F76" s="1187"/>
      <c r="G76" s="1187"/>
      <c r="P76" s="336" t="s">
        <v>140</v>
      </c>
      <c r="Q76" s="333" t="e">
        <f>F75-Q75</f>
        <v>#REF!</v>
      </c>
      <c r="S76" s="336" t="s">
        <v>141</v>
      </c>
      <c r="T76" s="333" t="e">
        <f>Q75-T75</f>
        <v>#REF!</v>
      </c>
    </row>
    <row r="77" spans="1:22" ht="16.5" customHeight="1">
      <c r="A77" s="6"/>
      <c r="B77" s="1188" t="str">
        <f>IF((18-COUNTA(G17:G70))&gt;0,"Do not leave Mode of Transaction Blank for any item. "&amp;(18-COUNTA(G17:G70))&amp;" item(s) is(are) left blank, if you leave it blank, the same shall be deemed to be 'Bought-out'", " ")</f>
        <v xml:space="preserve"> </v>
      </c>
      <c r="C77" s="1188"/>
      <c r="D77" s="1188"/>
      <c r="E77" s="1188"/>
      <c r="F77" s="1188"/>
      <c r="G77" s="1188"/>
      <c r="P77" s="1" t="s">
        <v>142</v>
      </c>
      <c r="Q77" s="1" t="e">
        <f>IF(#REF!&gt;0,#REF! &amp; " item(s) in Sch-1", "")</f>
        <v>#REF!</v>
      </c>
    </row>
    <row r="78" spans="1:22" ht="24" customHeight="1">
      <c r="A78" s="68"/>
      <c r="B78" s="1188"/>
      <c r="C78" s="1188"/>
      <c r="D78" s="1188"/>
      <c r="E78" s="1188"/>
      <c r="F78" s="1188"/>
      <c r="G78" s="1188"/>
    </row>
    <row r="79" spans="1:22" ht="117.75" customHeight="1">
      <c r="A79" s="69" t="s">
        <v>114</v>
      </c>
      <c r="B79" s="1189" t="s">
        <v>143</v>
      </c>
      <c r="C79" s="1189"/>
      <c r="D79" s="1189"/>
      <c r="E79" s="1189"/>
      <c r="F79" s="1189"/>
      <c r="G79" s="1189"/>
    </row>
    <row r="80" spans="1:22" ht="33.6" customHeight="1">
      <c r="A80" s="11"/>
      <c r="B80" s="2"/>
      <c r="C80" s="2"/>
      <c r="D80" s="6"/>
      <c r="E80" s="1"/>
      <c r="F80" s="1"/>
      <c r="G80" s="1"/>
    </row>
    <row r="81" spans="1:7" ht="33.6" customHeight="1">
      <c r="A81" s="33" t="s">
        <v>118</v>
      </c>
      <c r="B81" s="102" t="str">
        <f>'Names of Bidder'!D33&amp;"-"&amp; 'Names of Bidder'!E33&amp;"-" &amp;'Names of Bidder'!F33</f>
        <v>--2025</v>
      </c>
      <c r="C81" s="12"/>
      <c r="D81" s="34"/>
      <c r="E81" s="1"/>
      <c r="F81" s="1"/>
      <c r="G81" s="174"/>
    </row>
    <row r="82" spans="1:7" ht="33.6" customHeight="1">
      <c r="A82" s="33" t="s">
        <v>119</v>
      </c>
      <c r="B82" s="102" t="str">
        <f>IF('Names of Bidder'!D34=0, "", 'Names of Bidder'!D34)</f>
        <v/>
      </c>
      <c r="C82" s="1"/>
      <c r="D82" s="34" t="s">
        <v>120</v>
      </c>
      <c r="E82" s="174" t="str">
        <f>IF('Names of Bidder'!D26=0, "", 'Names of Bidder'!D26)</f>
        <v/>
      </c>
      <c r="F82" s="1"/>
      <c r="G82" s="174"/>
    </row>
    <row r="83" spans="1:7" ht="33.6" customHeight="1">
      <c r="A83" s="187"/>
      <c r="B83" s="186"/>
      <c r="C83" s="180"/>
      <c r="D83" s="34" t="s">
        <v>121</v>
      </c>
      <c r="E83" s="174" t="str">
        <f>IF('Names of Bidder'!D27=0, "", 'Names of Bidder'!D27)</f>
        <v/>
      </c>
      <c r="F83" s="180"/>
      <c r="G83" s="180"/>
    </row>
    <row r="84" spans="1:7" ht="33.6" customHeight="1">
      <c r="A84" s="187"/>
      <c r="B84" s="186"/>
      <c r="C84" s="180"/>
      <c r="D84" s="34"/>
      <c r="E84" s="195"/>
      <c r="F84" s="180"/>
      <c r="G84" s="180"/>
    </row>
    <row r="85" spans="1:7">
      <c r="A85" s="187"/>
      <c r="B85" s="187"/>
      <c r="C85" s="187"/>
      <c r="D85" s="187"/>
      <c r="E85" s="180"/>
      <c r="F85" s="180"/>
      <c r="G85" s="180"/>
    </row>
    <row r="86" spans="1:7">
      <c r="A86" s="187"/>
      <c r="B86" s="187"/>
      <c r="C86" s="187"/>
      <c r="D86" s="187"/>
      <c r="E86" s="180"/>
      <c r="F86" s="180"/>
      <c r="G86" s="180"/>
    </row>
    <row r="87" spans="1:7">
      <c r="A87" s="187"/>
      <c r="B87" s="187"/>
      <c r="C87" s="187"/>
      <c r="D87" s="187"/>
      <c r="E87" s="180"/>
      <c r="F87" s="180"/>
      <c r="G87" s="180"/>
    </row>
    <row r="88" spans="1:7">
      <c r="A88" s="187"/>
      <c r="B88" s="187"/>
      <c r="C88" s="187"/>
      <c r="D88" s="187"/>
      <c r="E88" s="180"/>
      <c r="F88" s="180"/>
      <c r="G88" s="180"/>
    </row>
    <row r="89" spans="1:7">
      <c r="A89" s="187"/>
      <c r="B89" s="187"/>
      <c r="C89" s="187"/>
      <c r="D89" s="187"/>
      <c r="E89" s="180"/>
      <c r="F89" s="180"/>
      <c r="G89" s="180"/>
    </row>
    <row r="90" spans="1:7">
      <c r="A90" s="187"/>
      <c r="B90" s="187"/>
      <c r="C90" s="187"/>
      <c r="D90" s="187"/>
      <c r="E90" s="180"/>
      <c r="F90" s="180"/>
      <c r="G90" s="180"/>
    </row>
    <row r="91" spans="1:7">
      <c r="A91" s="187"/>
      <c r="B91" s="187"/>
      <c r="C91" s="187"/>
      <c r="D91" s="187"/>
      <c r="E91" s="180"/>
      <c r="F91" s="180"/>
      <c r="G91" s="180"/>
    </row>
    <row r="92" spans="1:7">
      <c r="A92" s="187"/>
      <c r="B92" s="187"/>
      <c r="C92" s="187"/>
      <c r="D92" s="187"/>
      <c r="E92" s="180"/>
      <c r="F92" s="180"/>
      <c r="G92" s="180"/>
    </row>
    <row r="93" spans="1:7">
      <c r="A93" s="187"/>
      <c r="B93" s="187"/>
      <c r="C93" s="187"/>
      <c r="D93" s="187"/>
      <c r="E93" s="180"/>
      <c r="F93" s="180"/>
      <c r="G93" s="180"/>
    </row>
    <row r="94" spans="1:7">
      <c r="A94" s="187"/>
      <c r="B94" s="187"/>
      <c r="C94" s="187"/>
      <c r="D94" s="187"/>
      <c r="E94" s="180"/>
      <c r="F94" s="180"/>
      <c r="G94" s="180"/>
    </row>
    <row r="95" spans="1:7">
      <c r="A95" s="187"/>
      <c r="B95" s="187"/>
      <c r="C95" s="187"/>
      <c r="D95" s="187"/>
      <c r="E95" s="180"/>
      <c r="F95" s="180"/>
      <c r="G95" s="180"/>
    </row>
    <row r="96" spans="1:7">
      <c r="A96" s="187"/>
      <c r="B96" s="187"/>
      <c r="C96" s="187"/>
      <c r="D96" s="187"/>
      <c r="E96" s="180"/>
      <c r="F96" s="180"/>
      <c r="G96" s="180"/>
    </row>
    <row r="97" spans="1:24">
      <c r="A97" s="187"/>
      <c r="B97" s="187"/>
      <c r="C97" s="187"/>
      <c r="D97" s="187"/>
      <c r="E97" s="180"/>
      <c r="F97" s="180"/>
      <c r="G97" s="180"/>
    </row>
    <row r="98" spans="1:24">
      <c r="A98" s="187"/>
      <c r="B98" s="187"/>
      <c r="C98" s="187"/>
      <c r="D98" s="187"/>
      <c r="E98" s="180"/>
      <c r="F98" s="180"/>
      <c r="G98" s="180"/>
    </row>
    <row r="99" spans="1:24">
      <c r="A99" s="187"/>
      <c r="B99" s="187"/>
      <c r="C99" s="187"/>
      <c r="D99" s="187"/>
      <c r="E99" s="180"/>
      <c r="F99" s="180"/>
      <c r="G99" s="180"/>
    </row>
    <row r="100" spans="1:24">
      <c r="A100" s="187"/>
      <c r="B100" s="187"/>
      <c r="C100" s="187"/>
      <c r="D100" s="187"/>
      <c r="E100" s="180"/>
      <c r="F100" s="180"/>
      <c r="G100" s="180"/>
    </row>
    <row r="101" spans="1:24">
      <c r="A101" s="187"/>
      <c r="B101" s="187"/>
      <c r="C101" s="187"/>
      <c r="D101" s="187"/>
      <c r="E101" s="180"/>
      <c r="F101" s="180"/>
      <c r="G101" s="180"/>
    </row>
    <row r="102" spans="1:24">
      <c r="A102" s="187"/>
      <c r="B102" s="187"/>
      <c r="C102" s="187"/>
      <c r="D102" s="187"/>
      <c r="E102" s="180"/>
      <c r="F102" s="180"/>
      <c r="G102" s="180"/>
    </row>
    <row r="103" spans="1:24">
      <c r="A103" s="187"/>
      <c r="B103" s="187"/>
      <c r="C103" s="187"/>
      <c r="D103" s="187"/>
      <c r="E103" s="180"/>
      <c r="F103" s="180"/>
      <c r="G103" s="180"/>
    </row>
    <row r="104" spans="1:24">
      <c r="A104" s="187"/>
      <c r="B104" s="187"/>
      <c r="C104" s="187"/>
      <c r="D104" s="187"/>
      <c r="E104" s="180"/>
      <c r="F104" s="180"/>
      <c r="G104" s="180"/>
    </row>
    <row r="105" spans="1:24">
      <c r="A105" s="187"/>
      <c r="B105" s="187"/>
      <c r="C105" s="187"/>
      <c r="D105" s="187"/>
      <c r="E105" s="180"/>
      <c r="F105" s="180"/>
      <c r="G105" s="180"/>
    </row>
    <row r="106" spans="1:24">
      <c r="A106" s="187"/>
      <c r="B106" s="187"/>
      <c r="C106" s="187"/>
      <c r="D106" s="187"/>
      <c r="E106" s="180"/>
      <c r="F106" s="180"/>
      <c r="G106" s="180"/>
    </row>
    <row r="107" spans="1:24">
      <c r="A107" s="187"/>
      <c r="B107" s="187"/>
      <c r="C107" s="187"/>
      <c r="D107" s="187"/>
      <c r="E107" s="180"/>
      <c r="F107" s="180"/>
      <c r="G107" s="180"/>
    </row>
    <row r="108" spans="1:24">
      <c r="A108" s="187"/>
      <c r="B108" s="187"/>
      <c r="C108" s="187"/>
      <c r="D108" s="187"/>
      <c r="E108" s="180"/>
      <c r="F108" s="180"/>
      <c r="G108" s="180"/>
    </row>
    <row r="109" spans="1:24" ht="18" customHeight="1">
      <c r="A109" s="193"/>
      <c r="B109" s="185"/>
      <c r="C109" s="193"/>
      <c r="D109" s="193"/>
      <c r="E109" s="194"/>
      <c r="F109" s="194"/>
      <c r="G109" s="195"/>
      <c r="T109" s="4"/>
    </row>
    <row r="110" spans="1:24" ht="18" customHeight="1">
      <c r="A110" s="185"/>
      <c r="B110" s="185"/>
      <c r="C110" s="185"/>
      <c r="D110" s="185"/>
      <c r="E110" s="180"/>
      <c r="F110" s="180"/>
      <c r="G110" s="180"/>
      <c r="Q110" s="6"/>
      <c r="T110" s="4"/>
    </row>
    <row r="111" spans="1:24" ht="39.950000000000003" customHeight="1">
      <c r="A111" s="1190"/>
      <c r="B111" s="1190"/>
      <c r="C111" s="1190"/>
      <c r="D111" s="1190"/>
      <c r="E111" s="1190"/>
      <c r="F111" s="1190"/>
      <c r="G111" s="1190"/>
      <c r="O111" s="4"/>
      <c r="P111" s="288"/>
      <c r="Q111" s="288"/>
      <c r="R111" s="288"/>
      <c r="T111" s="4"/>
      <c r="U111" s="1"/>
      <c r="W111" s="1177"/>
      <c r="X111" s="1177"/>
    </row>
    <row r="112" spans="1:24" ht="21.95" customHeight="1">
      <c r="A112" s="1183"/>
      <c r="B112" s="1183"/>
      <c r="C112" s="1183"/>
      <c r="D112" s="1183"/>
      <c r="E112" s="1183"/>
      <c r="F112" s="1183"/>
      <c r="G112" s="1183"/>
      <c r="O112" s="4"/>
      <c r="P112" s="288"/>
      <c r="Q112" s="288"/>
      <c r="R112" s="288"/>
      <c r="T112" s="4"/>
      <c r="U112" s="1"/>
    </row>
    <row r="113" spans="1:41" ht="18" customHeight="1">
      <c r="A113" s="187"/>
      <c r="B113" s="187"/>
      <c r="C113" s="187"/>
      <c r="D113" s="187"/>
      <c r="E113" s="180"/>
      <c r="F113" s="180"/>
      <c r="G113" s="180"/>
      <c r="O113" s="4"/>
      <c r="P113" s="288"/>
      <c r="Q113" s="288"/>
      <c r="R113" s="288"/>
    </row>
    <row r="114" spans="1:41" ht="18" customHeight="1">
      <c r="A114" s="192"/>
      <c r="B114" s="179"/>
      <c r="C114" s="192"/>
      <c r="D114" s="192"/>
      <c r="E114" s="189"/>
      <c r="F114" s="180"/>
      <c r="G114" s="179"/>
      <c r="O114" s="4"/>
      <c r="P114" s="288"/>
      <c r="Q114" s="288"/>
      <c r="R114" s="288"/>
    </row>
    <row r="115" spans="1:41" ht="35.25" customHeight="1">
      <c r="A115" s="1184"/>
      <c r="B115" s="1184"/>
      <c r="C115" s="1184"/>
      <c r="D115" s="1184"/>
      <c r="E115" s="190"/>
      <c r="F115" s="180"/>
      <c r="G115" s="179"/>
      <c r="O115" s="338"/>
      <c r="P115" s="325"/>
      <c r="Q115" s="325"/>
      <c r="R115" s="325"/>
      <c r="W115" s="1177"/>
      <c r="X115" s="1177"/>
    </row>
    <row r="116" spans="1:41" ht="18" customHeight="1">
      <c r="A116" s="192"/>
      <c r="B116" s="1176"/>
      <c r="C116" s="1176"/>
      <c r="D116" s="1176"/>
      <c r="E116" s="190"/>
      <c r="F116" s="180"/>
      <c r="G116" s="179"/>
      <c r="O116" s="4"/>
      <c r="P116" s="326"/>
      <c r="Q116" s="326"/>
      <c r="R116" s="326"/>
    </row>
    <row r="117" spans="1:41" ht="18" customHeight="1">
      <c r="A117" s="192"/>
      <c r="B117" s="1176"/>
      <c r="C117" s="1176"/>
      <c r="D117" s="1176"/>
      <c r="E117" s="190"/>
      <c r="F117" s="180"/>
      <c r="G117" s="179"/>
      <c r="O117" s="4"/>
      <c r="P117" s="326"/>
      <c r="Q117" s="326"/>
      <c r="R117" s="326"/>
    </row>
    <row r="118" spans="1:41" ht="18" customHeight="1">
      <c r="A118" s="179"/>
      <c r="B118" s="1176"/>
      <c r="C118" s="1176"/>
      <c r="D118" s="1176"/>
      <c r="E118" s="190"/>
      <c r="F118" s="180"/>
      <c r="G118" s="179"/>
      <c r="O118" s="338"/>
      <c r="P118" s="340"/>
      <c r="Q118" s="337"/>
      <c r="R118" s="327"/>
    </row>
    <row r="119" spans="1:41" ht="18" customHeight="1">
      <c r="A119" s="179"/>
      <c r="B119" s="1176"/>
      <c r="C119" s="1176"/>
      <c r="D119" s="1176"/>
      <c r="E119" s="190"/>
      <c r="F119" s="180"/>
      <c r="G119" s="179"/>
      <c r="W119" s="1177"/>
      <c r="X119" s="1177"/>
    </row>
    <row r="120" spans="1:41" ht="18" customHeight="1">
      <c r="A120" s="179"/>
      <c r="B120" s="179"/>
      <c r="C120" s="179"/>
      <c r="D120" s="179"/>
      <c r="E120" s="192"/>
      <c r="F120" s="180"/>
      <c r="G120" s="180"/>
      <c r="Y120" s="328"/>
    </row>
    <row r="121" spans="1:41" ht="40.5" customHeight="1">
      <c r="A121" s="1178"/>
      <c r="B121" s="1178"/>
      <c r="C121" s="1178"/>
      <c r="D121" s="1178"/>
      <c r="E121" s="1178"/>
      <c r="F121" s="1178"/>
      <c r="G121" s="1178"/>
      <c r="H121" s="356"/>
      <c r="I121" s="239"/>
      <c r="J121" s="240"/>
      <c r="K121" s="240"/>
      <c r="L121" s="240"/>
      <c r="M121" s="240"/>
      <c r="Q121" s="6"/>
      <c r="Y121" s="328"/>
    </row>
    <row r="122" spans="1:41" ht="18" customHeight="1">
      <c r="A122" s="187"/>
      <c r="B122" s="187"/>
      <c r="C122" s="187"/>
      <c r="D122" s="187"/>
      <c r="E122" s="194"/>
      <c r="F122" s="194"/>
      <c r="G122" s="195"/>
      <c r="P122" s="1179"/>
      <c r="Q122" s="1179"/>
      <c r="S122" s="1182"/>
      <c r="T122" s="1182"/>
      <c r="W122" s="1177"/>
      <c r="X122" s="1177"/>
    </row>
    <row r="123" spans="1:41" ht="66" customHeight="1">
      <c r="A123" s="209"/>
      <c r="B123" s="209"/>
      <c r="C123" s="183"/>
      <c r="D123" s="183"/>
      <c r="E123" s="209"/>
      <c r="F123" s="209"/>
      <c r="G123" s="209"/>
      <c r="P123" s="289"/>
      <c r="Q123" s="289"/>
      <c r="S123" s="289"/>
      <c r="T123" s="289"/>
    </row>
    <row r="124" spans="1:41" ht="18" customHeight="1">
      <c r="A124" s="183"/>
      <c r="B124" s="183"/>
      <c r="C124" s="183"/>
      <c r="D124" s="183"/>
      <c r="E124" s="183"/>
      <c r="F124" s="183"/>
      <c r="G124" s="183"/>
      <c r="P124" s="175"/>
      <c r="Q124" s="175"/>
      <c r="S124" s="175"/>
      <c r="T124" s="175"/>
    </row>
    <row r="125" spans="1:41" s="306" customFormat="1" ht="18" customHeight="1">
      <c r="A125" s="201"/>
      <c r="B125" s="217"/>
      <c r="C125" s="198"/>
      <c r="D125" s="218"/>
      <c r="E125" s="219"/>
      <c r="F125" s="220"/>
      <c r="G125" s="180"/>
      <c r="H125" s="338"/>
      <c r="I125" s="238"/>
      <c r="J125" s="172"/>
      <c r="K125" s="172"/>
      <c r="L125" s="172"/>
      <c r="M125" s="172"/>
      <c r="N125" s="1"/>
      <c r="O125" s="1"/>
      <c r="P125" s="175"/>
      <c r="Q125" s="329"/>
      <c r="R125" s="6"/>
      <c r="S125" s="175"/>
      <c r="T125" s="329"/>
      <c r="U125" s="1"/>
      <c r="V125" s="1"/>
      <c r="W125" s="1"/>
      <c r="X125" s="1"/>
      <c r="Y125" s="1"/>
      <c r="Z125" s="1"/>
      <c r="AA125" s="1"/>
      <c r="AB125" s="172"/>
      <c r="AC125" s="172"/>
      <c r="AD125" s="172"/>
      <c r="AE125" s="172"/>
      <c r="AF125" s="172"/>
      <c r="AG125" s="172"/>
      <c r="AH125" s="172"/>
      <c r="AI125" s="172"/>
      <c r="AJ125" s="172"/>
      <c r="AK125" s="172"/>
      <c r="AL125" s="172"/>
      <c r="AM125" s="172"/>
      <c r="AN125" s="172"/>
      <c r="AO125" s="172"/>
    </row>
    <row r="126" spans="1:41" ht="111" customHeight="1">
      <c r="A126" s="202"/>
      <c r="B126" s="221"/>
      <c r="C126" s="198"/>
      <c r="D126" s="198"/>
      <c r="E126" s="222"/>
      <c r="F126" s="223"/>
      <c r="G126" s="224"/>
      <c r="P126" s="331"/>
      <c r="Q126" s="330"/>
      <c r="S126" s="331"/>
      <c r="T126" s="330"/>
      <c r="W126" s="1177"/>
      <c r="X126" s="1177"/>
    </row>
    <row r="127" spans="1:41" ht="21.95" customHeight="1">
      <c r="A127" s="202"/>
      <c r="B127" s="225"/>
      <c r="C127" s="198"/>
      <c r="D127" s="198"/>
      <c r="E127" s="226"/>
      <c r="F127" s="227"/>
      <c r="G127" s="180"/>
      <c r="P127" s="333"/>
      <c r="Q127" s="332"/>
      <c r="S127" s="333"/>
      <c r="T127" s="332"/>
    </row>
    <row r="128" spans="1:41" ht="21.95" customHeight="1">
      <c r="A128" s="200"/>
      <c r="B128" s="204"/>
      <c r="C128" s="198"/>
      <c r="D128" s="218"/>
      <c r="E128" s="219"/>
      <c r="F128" s="220"/>
      <c r="G128" s="180"/>
      <c r="P128" s="333"/>
      <c r="Q128" s="332"/>
      <c r="S128" s="333"/>
      <c r="T128" s="332"/>
      <c r="V128" s="321"/>
    </row>
    <row r="129" spans="1:24" ht="21.95" customHeight="1">
      <c r="A129" s="200"/>
      <c r="B129" s="204"/>
      <c r="C129" s="198"/>
      <c r="D129" s="218"/>
      <c r="E129" s="219"/>
      <c r="F129" s="220"/>
      <c r="G129" s="180"/>
      <c r="P129" s="333"/>
      <c r="Q129" s="332"/>
      <c r="S129" s="333"/>
      <c r="T129" s="332"/>
      <c r="V129" s="321"/>
    </row>
    <row r="130" spans="1:24">
      <c r="A130" s="202"/>
      <c r="B130" s="221"/>
      <c r="C130" s="198"/>
      <c r="D130" s="218"/>
      <c r="E130" s="219"/>
      <c r="F130" s="220"/>
      <c r="G130" s="180"/>
      <c r="P130" s="333"/>
      <c r="Q130" s="332"/>
      <c r="S130" s="333"/>
      <c r="T130" s="332"/>
      <c r="V130" s="321"/>
      <c r="W130" s="1177"/>
      <c r="X130" s="1177"/>
    </row>
    <row r="131" spans="1:24" ht="21.95" customHeight="1">
      <c r="A131" s="202"/>
      <c r="B131" s="225"/>
      <c r="C131" s="198"/>
      <c r="D131" s="218"/>
      <c r="E131" s="219"/>
      <c r="F131" s="220"/>
      <c r="G131" s="224"/>
      <c r="P131" s="333"/>
      <c r="Q131" s="332"/>
      <c r="S131" s="333"/>
      <c r="T131" s="332"/>
      <c r="V131" s="321"/>
    </row>
    <row r="132" spans="1:24" ht="21.95" customHeight="1">
      <c r="A132" s="202"/>
      <c r="B132" s="204"/>
      <c r="C132" s="198"/>
      <c r="D132" s="218"/>
      <c r="E132" s="219"/>
      <c r="F132" s="220"/>
      <c r="G132" s="180"/>
      <c r="P132" s="333"/>
      <c r="Q132" s="332"/>
      <c r="S132" s="333"/>
      <c r="T132" s="332"/>
      <c r="V132" s="321"/>
    </row>
    <row r="133" spans="1:24" ht="21.95" customHeight="1">
      <c r="A133" s="202"/>
      <c r="B133" s="204"/>
      <c r="C133" s="198"/>
      <c r="D133" s="218"/>
      <c r="E133" s="219"/>
      <c r="F133" s="220"/>
      <c r="G133" s="180"/>
      <c r="P133" s="333"/>
      <c r="Q133" s="332"/>
      <c r="S133" s="333"/>
      <c r="T133" s="332"/>
      <c r="V133" s="321"/>
    </row>
    <row r="134" spans="1:24">
      <c r="A134" s="202"/>
      <c r="B134" s="221"/>
      <c r="C134" s="198"/>
      <c r="D134" s="198"/>
      <c r="E134" s="219"/>
      <c r="F134" s="220"/>
      <c r="G134" s="224"/>
      <c r="P134" s="333"/>
      <c r="Q134" s="332"/>
      <c r="S134" s="333"/>
      <c r="T134" s="332"/>
      <c r="V134" s="321"/>
    </row>
    <row r="135" spans="1:24" ht="21.95" customHeight="1">
      <c r="A135" s="202"/>
      <c r="B135" s="225"/>
      <c r="C135" s="198"/>
      <c r="D135" s="198"/>
      <c r="E135" s="228"/>
      <c r="F135" s="220"/>
      <c r="G135" s="229"/>
      <c r="P135" s="333"/>
      <c r="Q135" s="332"/>
      <c r="S135" s="333"/>
      <c r="T135" s="332"/>
      <c r="V135" s="321"/>
    </row>
    <row r="136" spans="1:24" ht="35.1" customHeight="1">
      <c r="A136" s="200"/>
      <c r="B136" s="230"/>
      <c r="C136" s="198"/>
      <c r="D136" s="218"/>
      <c r="E136" s="219"/>
      <c r="F136" s="220"/>
      <c r="G136" s="180"/>
      <c r="N136" s="4"/>
      <c r="P136" s="333"/>
      <c r="Q136" s="332"/>
      <c r="S136" s="333"/>
      <c r="T136" s="332"/>
      <c r="V136" s="321"/>
    </row>
    <row r="137" spans="1:24" ht="21.95" customHeight="1">
      <c r="A137" s="200"/>
      <c r="B137" s="231"/>
      <c r="C137" s="198"/>
      <c r="D137" s="218"/>
      <c r="E137" s="228"/>
      <c r="F137" s="220"/>
      <c r="G137" s="180"/>
      <c r="N137" s="4"/>
      <c r="P137" s="333"/>
      <c r="Q137" s="332"/>
      <c r="S137" s="333"/>
      <c r="T137" s="332"/>
      <c r="V137" s="321"/>
    </row>
    <row r="138" spans="1:24" ht="21.95" customHeight="1">
      <c r="A138" s="200"/>
      <c r="B138" s="231"/>
      <c r="C138" s="198"/>
      <c r="D138" s="218"/>
      <c r="E138" s="228"/>
      <c r="F138" s="220"/>
      <c r="G138" s="180"/>
      <c r="N138" s="4"/>
      <c r="P138" s="333"/>
      <c r="Q138" s="332"/>
      <c r="S138" s="333"/>
      <c r="T138" s="332"/>
      <c r="V138" s="321"/>
    </row>
    <row r="139" spans="1:24" ht="24" customHeight="1">
      <c r="A139" s="201"/>
      <c r="B139" s="205"/>
      <c r="C139" s="198"/>
      <c r="D139" s="218"/>
      <c r="E139" s="219"/>
      <c r="F139" s="220"/>
      <c r="G139" s="180"/>
      <c r="J139" s="172"/>
      <c r="K139" s="172"/>
      <c r="L139" s="172"/>
      <c r="M139" s="172"/>
      <c r="N139" s="1"/>
      <c r="O139" s="1"/>
      <c r="P139" s="333"/>
      <c r="Q139" s="332"/>
      <c r="R139" s="6"/>
      <c r="S139" s="333"/>
      <c r="T139" s="332"/>
      <c r="U139" s="1"/>
      <c r="V139" s="6"/>
    </row>
    <row r="140" spans="1:24" ht="24" customHeight="1">
      <c r="A140" s="200"/>
      <c r="B140" s="232"/>
      <c r="C140" s="198"/>
      <c r="D140" s="218"/>
      <c r="E140" s="219"/>
      <c r="F140" s="220"/>
      <c r="G140" s="180"/>
      <c r="P140" s="333"/>
      <c r="Q140" s="332"/>
      <c r="S140" s="333"/>
      <c r="T140" s="332"/>
      <c r="V140" s="321"/>
    </row>
    <row r="141" spans="1:24" ht="24" customHeight="1">
      <c r="A141" s="202"/>
      <c r="B141" s="197"/>
      <c r="C141" s="198"/>
      <c r="D141" s="218"/>
      <c r="E141" s="219"/>
      <c r="F141" s="220"/>
      <c r="G141" s="180"/>
      <c r="P141" s="333"/>
      <c r="Q141" s="332"/>
      <c r="S141" s="333"/>
      <c r="T141" s="332"/>
      <c r="V141" s="321"/>
    </row>
    <row r="142" spans="1:24" ht="24" customHeight="1">
      <c r="A142" s="200"/>
      <c r="B142" s="231"/>
      <c r="C142" s="198"/>
      <c r="D142" s="218"/>
      <c r="E142" s="228"/>
      <c r="F142" s="220"/>
      <c r="G142" s="180"/>
      <c r="P142" s="333"/>
      <c r="Q142" s="332"/>
      <c r="S142" s="333"/>
      <c r="T142" s="332"/>
      <c r="V142" s="321"/>
    </row>
    <row r="143" spans="1:24" ht="24" customHeight="1">
      <c r="A143" s="201"/>
      <c r="B143" s="217"/>
      <c r="C143" s="198"/>
      <c r="D143" s="218"/>
      <c r="E143" s="219"/>
      <c r="F143" s="220"/>
      <c r="G143" s="180"/>
      <c r="J143" s="172"/>
      <c r="K143" s="172"/>
      <c r="L143" s="172"/>
      <c r="M143" s="172"/>
      <c r="N143" s="1"/>
      <c r="O143" s="1"/>
      <c r="P143" s="333"/>
      <c r="Q143" s="334"/>
      <c r="R143" s="6"/>
      <c r="S143" s="333"/>
      <c r="T143" s="334"/>
      <c r="U143" s="1"/>
      <c r="V143" s="6"/>
    </row>
    <row r="144" spans="1:24" ht="35.1" customHeight="1">
      <c r="A144" s="202"/>
      <c r="B144" s="197"/>
      <c r="C144" s="198"/>
      <c r="D144" s="198"/>
      <c r="E144" s="228"/>
      <c r="F144" s="220"/>
      <c r="G144" s="229"/>
      <c r="P144" s="333"/>
      <c r="Q144" s="334"/>
      <c r="S144" s="333"/>
      <c r="T144" s="334"/>
      <c r="V144" s="321"/>
    </row>
    <row r="145" spans="1:22" ht="24" customHeight="1">
      <c r="A145" s="202"/>
      <c r="B145" s="197"/>
      <c r="C145" s="200"/>
      <c r="D145" s="218"/>
      <c r="E145" s="228"/>
      <c r="F145" s="220"/>
      <c r="G145" s="180"/>
      <c r="P145" s="333"/>
      <c r="Q145" s="332"/>
      <c r="S145" s="333"/>
      <c r="T145" s="332"/>
      <c r="V145" s="321"/>
    </row>
    <row r="146" spans="1:22" ht="24" customHeight="1">
      <c r="A146" s="200"/>
      <c r="B146" s="197"/>
      <c r="C146" s="200"/>
      <c r="D146" s="218"/>
      <c r="E146" s="228"/>
      <c r="F146" s="220"/>
      <c r="G146" s="180"/>
      <c r="P146" s="333"/>
      <c r="Q146" s="332"/>
      <c r="S146" s="333"/>
      <c r="T146" s="332"/>
      <c r="V146" s="321"/>
    </row>
    <row r="147" spans="1:22" ht="24" customHeight="1">
      <c r="A147" s="200"/>
      <c r="B147" s="197"/>
      <c r="C147" s="200"/>
      <c r="D147" s="218"/>
      <c r="E147" s="228"/>
      <c r="F147" s="220"/>
      <c r="G147" s="180"/>
      <c r="P147" s="333"/>
      <c r="Q147" s="332"/>
      <c r="S147" s="333"/>
      <c r="T147" s="332"/>
      <c r="V147" s="321"/>
    </row>
    <row r="148" spans="1:22" ht="24" customHeight="1">
      <c r="A148" s="200"/>
      <c r="B148" s="197"/>
      <c r="C148" s="200"/>
      <c r="D148" s="218"/>
      <c r="E148" s="228"/>
      <c r="F148" s="220"/>
      <c r="G148" s="180"/>
      <c r="P148" s="333"/>
      <c r="Q148" s="332"/>
      <c r="S148" s="333"/>
      <c r="T148" s="332"/>
      <c r="V148" s="321"/>
    </row>
    <row r="149" spans="1:22" ht="24" customHeight="1">
      <c r="A149" s="200"/>
      <c r="B149" s="197"/>
      <c r="C149" s="200"/>
      <c r="D149" s="218"/>
      <c r="E149" s="228"/>
      <c r="F149" s="220"/>
      <c r="G149" s="180"/>
      <c r="P149" s="333"/>
      <c r="Q149" s="332"/>
      <c r="S149" s="333"/>
      <c r="T149" s="332"/>
      <c r="V149" s="321"/>
    </row>
    <row r="150" spans="1:22" ht="24" customHeight="1">
      <c r="A150" s="200"/>
      <c r="B150" s="197"/>
      <c r="C150" s="200"/>
      <c r="D150" s="218"/>
      <c r="E150" s="228"/>
      <c r="F150" s="220"/>
      <c r="G150" s="180"/>
      <c r="P150" s="333"/>
      <c r="Q150" s="332"/>
      <c r="S150" s="333"/>
      <c r="T150" s="332"/>
      <c r="V150" s="321"/>
    </row>
    <row r="151" spans="1:22" ht="24" customHeight="1">
      <c r="A151" s="200"/>
      <c r="B151" s="197"/>
      <c r="C151" s="200"/>
      <c r="D151" s="218"/>
      <c r="E151" s="228"/>
      <c r="F151" s="220"/>
      <c r="G151" s="180"/>
      <c r="P151" s="333"/>
      <c r="Q151" s="332"/>
      <c r="S151" s="333"/>
      <c r="T151" s="332"/>
      <c r="V151" s="321"/>
    </row>
    <row r="152" spans="1:22" ht="35.1" customHeight="1">
      <c r="A152" s="201"/>
      <c r="B152" s="217"/>
      <c r="C152" s="198"/>
      <c r="D152" s="218"/>
      <c r="E152" s="219"/>
      <c r="F152" s="220"/>
      <c r="G152" s="180"/>
      <c r="P152" s="333"/>
      <c r="Q152" s="334"/>
      <c r="S152" s="333"/>
      <c r="T152" s="334"/>
      <c r="V152" s="321"/>
    </row>
    <row r="153" spans="1:22" ht="24" customHeight="1">
      <c r="A153" s="202"/>
      <c r="B153" s="203"/>
      <c r="C153" s="198"/>
      <c r="D153" s="218"/>
      <c r="E153" s="228"/>
      <c r="F153" s="220"/>
      <c r="G153" s="229"/>
      <c r="P153" s="333"/>
      <c r="Q153" s="334"/>
      <c r="S153" s="333"/>
      <c r="T153" s="334"/>
      <c r="V153" s="321"/>
    </row>
    <row r="154" spans="1:22" ht="24" customHeight="1">
      <c r="A154" s="202"/>
      <c r="B154" s="197"/>
      <c r="C154" s="200"/>
      <c r="D154" s="203"/>
      <c r="E154" s="228"/>
      <c r="F154" s="220"/>
      <c r="G154" s="180"/>
      <c r="P154" s="333"/>
      <c r="Q154" s="332"/>
      <c r="S154" s="333"/>
      <c r="T154" s="332"/>
      <c r="V154" s="321"/>
    </row>
    <row r="155" spans="1:22" ht="35.1" customHeight="1">
      <c r="A155" s="202"/>
      <c r="B155" s="217"/>
      <c r="C155" s="198"/>
      <c r="D155" s="218"/>
      <c r="E155" s="219"/>
      <c r="F155" s="220"/>
      <c r="G155" s="180"/>
      <c r="P155" s="333"/>
      <c r="Q155" s="332"/>
      <c r="S155" s="333"/>
      <c r="T155" s="332"/>
      <c r="V155" s="321"/>
    </row>
    <row r="156" spans="1:22" ht="24" customHeight="1">
      <c r="A156" s="201"/>
      <c r="B156" s="199"/>
      <c r="C156" s="200"/>
      <c r="D156" s="218"/>
      <c r="E156" s="220"/>
      <c r="F156" s="220"/>
      <c r="G156" s="180"/>
      <c r="P156" s="333"/>
      <c r="Q156" s="332"/>
      <c r="S156" s="333"/>
      <c r="T156" s="332"/>
      <c r="V156" s="321"/>
    </row>
    <row r="157" spans="1:22" ht="24" customHeight="1">
      <c r="A157" s="201"/>
      <c r="B157" s="199"/>
      <c r="C157" s="200"/>
      <c r="D157" s="218"/>
      <c r="E157" s="219"/>
      <c r="F157" s="220"/>
      <c r="G157" s="180"/>
      <c r="P157" s="333"/>
      <c r="Q157" s="332"/>
      <c r="S157" s="333"/>
      <c r="T157" s="332"/>
      <c r="V157" s="321"/>
    </row>
    <row r="158" spans="1:22" ht="24" customHeight="1">
      <c r="A158" s="201"/>
      <c r="B158" s="199"/>
      <c r="C158" s="200"/>
      <c r="D158" s="218"/>
      <c r="E158" s="220"/>
      <c r="F158" s="220"/>
      <c r="G158" s="180"/>
      <c r="P158" s="333"/>
      <c r="Q158" s="332"/>
      <c r="S158" s="333"/>
      <c r="T158" s="332"/>
      <c r="V158" s="321"/>
    </row>
    <row r="159" spans="1:22" ht="24" customHeight="1">
      <c r="A159" s="201"/>
      <c r="B159" s="199"/>
      <c r="C159" s="200"/>
      <c r="D159" s="218"/>
      <c r="E159" s="220"/>
      <c r="F159" s="220"/>
      <c r="G159" s="180"/>
      <c r="P159" s="333"/>
      <c r="Q159" s="332"/>
      <c r="S159" s="333"/>
      <c r="T159" s="332"/>
      <c r="V159" s="321"/>
    </row>
    <row r="160" spans="1:22" ht="35.1" customHeight="1">
      <c r="A160" s="201"/>
      <c r="B160" s="204"/>
      <c r="C160" s="200"/>
      <c r="D160" s="218"/>
      <c r="E160" s="220"/>
      <c r="F160" s="220"/>
      <c r="G160" s="180"/>
      <c r="P160" s="333"/>
      <c r="Q160" s="332"/>
      <c r="S160" s="333"/>
      <c r="T160" s="332"/>
      <c r="V160" s="321"/>
    </row>
    <row r="161" spans="1:22" ht="30" customHeight="1">
      <c r="A161" s="201"/>
      <c r="B161" s="197"/>
      <c r="C161" s="200"/>
      <c r="D161" s="218"/>
      <c r="E161" s="220"/>
      <c r="F161" s="220"/>
      <c r="G161" s="180"/>
      <c r="P161" s="333"/>
      <c r="Q161" s="332"/>
      <c r="S161" s="333"/>
      <c r="T161" s="332"/>
      <c r="V161" s="321"/>
    </row>
    <row r="162" spans="1:22" ht="26.1" customHeight="1">
      <c r="A162" s="201"/>
      <c r="B162" s="217"/>
      <c r="C162" s="198"/>
      <c r="D162" s="218"/>
      <c r="E162" s="219"/>
      <c r="F162" s="220"/>
      <c r="G162" s="180"/>
      <c r="J162" s="172"/>
      <c r="K162" s="172"/>
      <c r="L162" s="172"/>
      <c r="M162" s="172"/>
      <c r="N162" s="1"/>
      <c r="O162" s="1"/>
      <c r="P162" s="333"/>
      <c r="Q162" s="332"/>
      <c r="R162" s="6"/>
      <c r="S162" s="333"/>
      <c r="T162" s="332"/>
      <c r="U162" s="1"/>
      <c r="V162" s="6"/>
    </row>
    <row r="163" spans="1:22" ht="30" customHeight="1">
      <c r="A163" s="202"/>
      <c r="B163" s="199"/>
      <c r="C163" s="200"/>
      <c r="D163" s="233"/>
      <c r="E163" s="220"/>
      <c r="F163" s="220"/>
      <c r="G163" s="180"/>
      <c r="P163" s="333"/>
      <c r="Q163" s="332"/>
      <c r="S163" s="333"/>
      <c r="T163" s="332"/>
      <c r="V163" s="321"/>
    </row>
    <row r="164" spans="1:22" ht="30" customHeight="1">
      <c r="A164" s="202"/>
      <c r="B164" s="199"/>
      <c r="C164" s="200"/>
      <c r="D164" s="233"/>
      <c r="E164" s="220"/>
      <c r="F164" s="220"/>
      <c r="G164" s="180"/>
      <c r="P164" s="333"/>
      <c r="Q164" s="332"/>
      <c r="S164" s="333"/>
      <c r="T164" s="332"/>
      <c r="V164" s="321"/>
    </row>
    <row r="165" spans="1:22" ht="30" customHeight="1">
      <c r="A165" s="202"/>
      <c r="B165" s="199"/>
      <c r="C165" s="200"/>
      <c r="D165" s="233"/>
      <c r="E165" s="220"/>
      <c r="F165" s="220"/>
      <c r="G165" s="180"/>
      <c r="P165" s="333"/>
      <c r="Q165" s="332"/>
      <c r="S165" s="333"/>
      <c r="T165" s="332"/>
      <c r="V165" s="321"/>
    </row>
    <row r="166" spans="1:22" ht="30" customHeight="1">
      <c r="A166" s="202"/>
      <c r="B166" s="199"/>
      <c r="C166" s="200"/>
      <c r="D166" s="233"/>
      <c r="E166" s="220"/>
      <c r="F166" s="220"/>
      <c r="G166" s="180"/>
      <c r="P166" s="333"/>
      <c r="Q166" s="332"/>
      <c r="S166" s="333"/>
      <c r="T166" s="332"/>
      <c r="V166" s="321"/>
    </row>
    <row r="167" spans="1:22" ht="33" customHeight="1">
      <c r="A167" s="234"/>
      <c r="B167" s="217"/>
      <c r="C167" s="198"/>
      <c r="D167" s="218"/>
      <c r="E167" s="219"/>
      <c r="F167" s="220"/>
      <c r="G167" s="180"/>
      <c r="P167" s="333"/>
      <c r="Q167" s="332"/>
      <c r="S167" s="333"/>
      <c r="T167" s="332"/>
      <c r="V167" s="321"/>
    </row>
    <row r="168" spans="1:22" ht="24" customHeight="1">
      <c r="A168" s="235"/>
      <c r="B168" s="199"/>
      <c r="C168" s="235"/>
      <c r="D168" s="236"/>
      <c r="E168" s="220"/>
      <c r="F168" s="220"/>
      <c r="G168" s="180"/>
      <c r="P168" s="333"/>
      <c r="Q168" s="332"/>
      <c r="S168" s="333"/>
      <c r="T168" s="332"/>
      <c r="V168" s="321"/>
    </row>
    <row r="169" spans="1:22" ht="24" customHeight="1">
      <c r="A169" s="235"/>
      <c r="B169" s="199"/>
      <c r="C169" s="235"/>
      <c r="D169" s="236"/>
      <c r="E169" s="220"/>
      <c r="F169" s="220"/>
      <c r="G169" s="180"/>
      <c r="P169" s="333"/>
      <c r="Q169" s="332"/>
      <c r="S169" s="333"/>
      <c r="T169" s="332"/>
      <c r="V169" s="321"/>
    </row>
    <row r="170" spans="1:22" ht="24" customHeight="1">
      <c r="A170" s="235"/>
      <c r="B170" s="199"/>
      <c r="C170" s="235"/>
      <c r="D170" s="236"/>
      <c r="E170" s="220"/>
      <c r="F170" s="220"/>
      <c r="G170" s="180"/>
      <c r="P170" s="333"/>
      <c r="Q170" s="332"/>
      <c r="S170" s="333"/>
      <c r="T170" s="332"/>
      <c r="V170" s="321"/>
    </row>
    <row r="171" spans="1:22" ht="24" customHeight="1">
      <c r="A171" s="235"/>
      <c r="B171" s="199"/>
      <c r="C171" s="235"/>
      <c r="D171" s="236"/>
      <c r="E171" s="220"/>
      <c r="F171" s="220"/>
      <c r="G171" s="180"/>
      <c r="P171" s="333"/>
      <c r="Q171" s="332"/>
      <c r="S171" s="333"/>
      <c r="T171" s="332"/>
      <c r="V171" s="321"/>
    </row>
    <row r="172" spans="1:22" ht="24" customHeight="1">
      <c r="A172" s="235"/>
      <c r="B172" s="199"/>
      <c r="C172" s="235"/>
      <c r="D172" s="236"/>
      <c r="E172" s="220"/>
      <c r="F172" s="220"/>
      <c r="G172" s="180"/>
      <c r="P172" s="333"/>
      <c r="Q172" s="332"/>
      <c r="S172" s="333"/>
      <c r="T172" s="332"/>
      <c r="V172" s="321"/>
    </row>
    <row r="173" spans="1:22" ht="26.1" customHeight="1">
      <c r="A173" s="200"/>
      <c r="B173" s="1180"/>
      <c r="C173" s="1180"/>
      <c r="D173" s="1180"/>
      <c r="E173" s="220"/>
      <c r="F173" s="220"/>
      <c r="G173" s="180"/>
      <c r="I173" s="238"/>
      <c r="J173" s="172"/>
      <c r="K173" s="172"/>
      <c r="L173" s="172"/>
      <c r="M173" s="172"/>
      <c r="N173" s="1"/>
      <c r="O173" s="1"/>
      <c r="P173" s="83"/>
      <c r="Q173" s="332"/>
      <c r="R173" s="6"/>
      <c r="S173" s="83"/>
      <c r="T173" s="332"/>
      <c r="U173" s="1"/>
      <c r="V173" s="6"/>
    </row>
    <row r="174" spans="1:22" ht="26.1" customHeight="1">
      <c r="A174" s="235"/>
      <c r="B174" s="1181"/>
      <c r="C174" s="1181"/>
      <c r="D174" s="1181"/>
      <c r="E174" s="220"/>
      <c r="F174" s="220"/>
      <c r="G174" s="180"/>
      <c r="I174" s="238"/>
      <c r="J174" s="172"/>
      <c r="K174" s="172"/>
      <c r="L174" s="172"/>
      <c r="M174" s="172"/>
      <c r="N174" s="1"/>
      <c r="O174" s="1"/>
      <c r="P174" s="83"/>
      <c r="Q174" s="332"/>
      <c r="R174" s="6"/>
      <c r="S174" s="83"/>
      <c r="T174" s="332"/>
      <c r="U174" s="1"/>
      <c r="V174" s="1"/>
    </row>
    <row r="175" spans="1:22" ht="26.1" customHeight="1">
      <c r="A175" s="235"/>
      <c r="B175" s="1175"/>
      <c r="C175" s="1175"/>
      <c r="D175" s="1175"/>
      <c r="E175" s="220"/>
      <c r="F175" s="220"/>
      <c r="G175" s="180"/>
      <c r="I175" s="238"/>
      <c r="J175" s="172"/>
      <c r="K175" s="172"/>
      <c r="L175" s="172"/>
      <c r="M175" s="172"/>
      <c r="N175" s="1"/>
      <c r="O175" s="1"/>
      <c r="P175" s="83"/>
      <c r="Q175" s="332"/>
      <c r="R175" s="6"/>
      <c r="S175" s="83"/>
      <c r="T175" s="332"/>
      <c r="U175" s="1"/>
      <c r="V175" s="336"/>
    </row>
    <row r="176" spans="1:22">
      <c r="A176" s="187"/>
      <c r="B176" s="187"/>
      <c r="C176" s="187"/>
      <c r="D176" s="187"/>
      <c r="E176" s="180"/>
      <c r="F176" s="180"/>
      <c r="G176" s="180"/>
    </row>
    <row r="177" spans="1:7">
      <c r="A177" s="187"/>
      <c r="B177" s="187"/>
      <c r="C177" s="187"/>
      <c r="D177" s="187"/>
      <c r="E177" s="180"/>
      <c r="F177" s="180"/>
      <c r="G177" s="180"/>
    </row>
    <row r="178" spans="1:7">
      <c r="A178" s="187"/>
      <c r="B178" s="187"/>
      <c r="C178" s="187"/>
      <c r="D178" s="187"/>
      <c r="E178" s="180"/>
      <c r="F178" s="180"/>
      <c r="G178" s="180"/>
    </row>
    <row r="179" spans="1:7">
      <c r="A179" s="187"/>
      <c r="B179" s="187"/>
      <c r="C179" s="187"/>
      <c r="D179" s="187"/>
      <c r="E179" s="180"/>
      <c r="F179" s="180"/>
      <c r="G179" s="180"/>
    </row>
    <row r="180" spans="1:7">
      <c r="A180" s="187"/>
      <c r="B180" s="187"/>
      <c r="C180" s="187"/>
      <c r="D180" s="187"/>
      <c r="E180" s="180"/>
      <c r="F180" s="180"/>
      <c r="G180" s="180"/>
    </row>
    <row r="181" spans="1:7">
      <c r="A181" s="187"/>
      <c r="B181" s="187"/>
      <c r="C181" s="187"/>
      <c r="D181" s="187"/>
      <c r="E181" s="180"/>
      <c r="F181" s="180"/>
      <c r="G181" s="180"/>
    </row>
    <row r="182" spans="1:7">
      <c r="A182" s="187"/>
      <c r="B182" s="187"/>
      <c r="C182" s="187"/>
      <c r="D182" s="187"/>
      <c r="E182" s="180"/>
      <c r="F182" s="180"/>
      <c r="G182" s="180"/>
    </row>
    <row r="183" spans="1:7">
      <c r="A183" s="187"/>
      <c r="B183" s="187"/>
      <c r="C183" s="187"/>
      <c r="D183" s="187"/>
      <c r="E183" s="180"/>
      <c r="F183" s="180"/>
      <c r="G183" s="180"/>
    </row>
  </sheetData>
  <customSheetViews>
    <customSheetView guid="{B48B8B4C-A880-453D-8729-90D004BEF0D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7043F04C-1FA3-449D-BEB8-4AC08DF68A5A}"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E81F0721-C35D-4189-B675-E46A2133986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17F5C48B-526E-48D2-9F97-823D578F98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7F1A5DE7-1043-4C11-AB2C-CC6BC6A0F482}"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75D87FDD-0292-4E5A-8E8F-63018B00939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28" type="noConversion"/>
  <conditionalFormatting sqref="E30:E72 G55 G59:G60">
    <cfRule type="cellIs" dxfId="24" priority="2" stopIfTrue="1" operator="equal">
      <formula>"a"</formula>
    </cfRule>
  </conditionalFormatting>
  <conditionalFormatting sqref="E30:E72">
    <cfRule type="expression" dxfId="23" priority="1" stopIfTrue="1">
      <formula>D30&gt;0</formula>
    </cfRule>
  </conditionalFormatting>
  <conditionalFormatting sqref="E135 G135 E142 Q143:Q144 T143:T144 G144 E144:E151 Q152:Q153 T152:T153 G153 E153:E154">
    <cfRule type="cellIs" dxfId="22" priority="4" stopIfTrue="1" operator="equal">
      <formula>"a"</formula>
    </cfRule>
  </conditionalFormatting>
  <conditionalFormatting sqref="G17:G72 G128:G129 G132:G133 G136:G138 G141:G142 G145:G151 G154 G156:G161 G163:G166 G168:G172">
    <cfRule type="expression" dxfId="21" priority="5" stopIfTrue="1">
      <formula>E17=""</formula>
    </cfRule>
  </conditionalFormatting>
  <conditionalFormatting sqref="Q17:Q73 T17:T73 Q127:Q138 T127:T138 Q141:Q142 T141:T142 Q145:Q151 T145:T151 Q154 T154 Q156:Q166 T156:T166 Q168:Q172 T168:T172">
    <cfRule type="cellIs" dxfId="20" priority="3" stopIfTrue="1" operator="equal">
      <formula>#REF!</formula>
    </cfRule>
  </conditionalFormatting>
  <printOptions horizontalCentered="1"/>
  <pageMargins left="0.511811023622047" right="0.26" top="0.48" bottom="0.54" header="0.25" footer="0.27"/>
  <pageSetup paperSize="9" orientation="portrait" horizontalDpi="300" verticalDpi="300" r:id="rId21"/>
  <headerFooter alignWithMargins="0">
    <oddHeader>&amp;C&amp;"Calibri"&amp;12&amp;KFF0000 डेटा वर्गीकरण : प्रतिबंधित/RESTRICTED&amp;1#_x000D_</oddHeader>
    <oddFooter>&amp;R&amp;"Book Antiqua,Bold"&amp;10Schedule-1/ Page &amp;P of &amp;N</oddFooter>
  </headerFooter>
  <colBreaks count="1" manualBreakCount="1">
    <brk id="7" max="1048575" man="1"/>
  </colBreaks>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sheetPr>
  <dimension ref="A1:AJ102"/>
  <sheetViews>
    <sheetView view="pageBreakPreview" topLeftCell="A13" zoomScale="90" zoomScaleNormal="100" zoomScaleSheetLayoutView="90" workbookViewId="0">
      <selection activeCell="I12" sqref="I12"/>
    </sheetView>
  </sheetViews>
  <sheetFormatPr defaultColWidth="9" defaultRowHeight="15.75"/>
  <cols>
    <col min="1" max="1" width="12" style="564" customWidth="1"/>
    <col min="2" max="2" width="17.375" style="564" hidden="1" customWidth="1"/>
    <col min="3" max="3" width="8.5" style="564" hidden="1" customWidth="1"/>
    <col min="4" max="4" width="44.25" style="564" hidden="1" customWidth="1"/>
    <col min="5" max="5" width="13.375" style="564" hidden="1" customWidth="1"/>
    <col min="6" max="6" width="54.625" style="586" customWidth="1"/>
    <col min="7" max="7" width="7.75" style="564" customWidth="1"/>
    <col min="8" max="8" width="9.625" style="565" customWidth="1"/>
    <col min="9" max="9" width="21.5" style="565" customWidth="1"/>
    <col min="10" max="10" width="23.5" style="565" customWidth="1"/>
    <col min="11" max="11" width="9" style="553" customWidth="1"/>
    <col min="12" max="13" width="9" style="544" customWidth="1"/>
    <col min="14" max="20" width="9" style="543" customWidth="1"/>
    <col min="21" max="32" width="9" style="543"/>
    <col min="33" max="16384" width="9" style="544"/>
  </cols>
  <sheetData>
    <row r="1" spans="1:36" s="546" customFormat="1" ht="16.5">
      <c r="A1" s="540" t="str">
        <f>Cover!B3</f>
        <v>NR3/NT/W-CIVIL/DOM/K00/25/09879 (Rfx No.5002004724)</v>
      </c>
      <c r="B1" s="540"/>
      <c r="C1" s="540"/>
      <c r="D1" s="540"/>
      <c r="E1" s="540"/>
      <c r="F1" s="558"/>
      <c r="G1" s="559"/>
      <c r="H1" s="559"/>
      <c r="I1" s="541"/>
      <c r="J1" s="542" t="s">
        <v>144</v>
      </c>
      <c r="K1" s="553"/>
      <c r="N1" s="553"/>
      <c r="O1" s="553"/>
      <c r="P1" s="553"/>
      <c r="Q1" s="553"/>
      <c r="R1" s="553"/>
      <c r="S1" s="553"/>
      <c r="T1" s="553"/>
      <c r="U1" s="553"/>
      <c r="V1" s="553"/>
      <c r="W1" s="553"/>
      <c r="X1" s="553"/>
      <c r="Y1" s="553"/>
      <c r="Z1" s="553"/>
      <c r="AA1" s="553"/>
      <c r="AB1" s="553"/>
      <c r="AC1" s="553"/>
      <c r="AD1" s="553"/>
      <c r="AE1" s="553"/>
      <c r="AF1" s="553"/>
    </row>
    <row r="2" spans="1:36" s="546" customFormat="1">
      <c r="A2" s="545"/>
      <c r="B2" s="545"/>
      <c r="C2" s="545"/>
      <c r="D2" s="545"/>
      <c r="E2" s="545"/>
      <c r="F2" s="560"/>
      <c r="G2" s="548"/>
      <c r="H2" s="548"/>
      <c r="K2" s="553"/>
      <c r="N2" s="553"/>
      <c r="O2" s="553"/>
      <c r="P2" s="553"/>
      <c r="Q2" s="553"/>
      <c r="R2" s="553"/>
      <c r="S2" s="553"/>
      <c r="T2" s="553"/>
      <c r="U2" s="553"/>
      <c r="V2" s="553"/>
      <c r="W2" s="553"/>
      <c r="X2" s="553"/>
      <c r="Y2" s="553"/>
      <c r="Z2" s="553"/>
      <c r="AA2" s="553"/>
      <c r="AB2" s="553"/>
      <c r="AC2" s="553"/>
      <c r="AD2" s="553"/>
      <c r="AE2" s="553"/>
      <c r="AF2" s="553"/>
    </row>
    <row r="3" spans="1:36" s="546" customFormat="1">
      <c r="A3" s="545"/>
      <c r="B3" s="545"/>
      <c r="C3" s="545"/>
      <c r="D3" s="545"/>
      <c r="E3" s="545"/>
      <c r="F3" s="560"/>
      <c r="G3" s="548"/>
      <c r="H3" s="548"/>
      <c r="K3" s="553"/>
      <c r="N3" s="553"/>
      <c r="O3" s="553"/>
      <c r="P3" s="553"/>
      <c r="Q3" s="553"/>
      <c r="R3" s="553"/>
      <c r="S3" s="553"/>
      <c r="T3" s="553"/>
      <c r="U3" s="553"/>
      <c r="V3" s="553"/>
      <c r="W3" s="553"/>
      <c r="X3" s="553"/>
      <c r="Y3" s="553"/>
      <c r="Z3" s="553"/>
      <c r="AA3" s="553"/>
      <c r="AB3" s="553"/>
      <c r="AC3" s="553"/>
      <c r="AD3" s="553"/>
      <c r="AE3" s="553"/>
      <c r="AF3" s="553"/>
    </row>
    <row r="4" spans="1:36" s="546" customFormat="1" ht="60.75" customHeight="1">
      <c r="A4" s="1201" t="str">
        <f>Cover!$B$2</f>
        <v>Extension of residential quarters 2 nos C type &amp; 2 nos B2 type quarters over the existing C type &amp; B2 type at 400/220 KV Shahjahanpur &amp; 765/400 KV Sohawal Substation</v>
      </c>
      <c r="B4" s="1201"/>
      <c r="C4" s="1201"/>
      <c r="D4" s="1201"/>
      <c r="E4" s="1201"/>
      <c r="F4" s="1201"/>
      <c r="G4" s="1201"/>
      <c r="H4" s="1201"/>
      <c r="I4" s="1201"/>
      <c r="J4" s="1201"/>
      <c r="K4" s="561"/>
      <c r="L4" s="562"/>
      <c r="M4" s="552"/>
      <c r="N4" s="553"/>
      <c r="O4" s="547"/>
      <c r="P4" s="553"/>
      <c r="Q4" s="553"/>
      <c r="R4" s="1196"/>
      <c r="S4" s="1196"/>
      <c r="T4" s="553"/>
      <c r="U4" s="553"/>
      <c r="V4" s="553"/>
      <c r="W4" s="553"/>
      <c r="X4" s="553"/>
      <c r="Y4" s="553"/>
      <c r="Z4" s="553"/>
      <c r="AA4" s="553"/>
      <c r="AB4" s="553"/>
      <c r="AC4" s="553"/>
      <c r="AD4" s="553"/>
      <c r="AE4" s="553"/>
      <c r="AF4" s="553"/>
      <c r="AG4" s="553"/>
      <c r="AH4" s="553"/>
      <c r="AI4" s="553"/>
      <c r="AJ4" s="553"/>
    </row>
    <row r="5" spans="1:36" s="546" customFormat="1" ht="16.5">
      <c r="A5" s="1197" t="s">
        <v>145</v>
      </c>
      <c r="B5" s="1197"/>
      <c r="C5" s="1197"/>
      <c r="D5" s="1197"/>
      <c r="E5" s="1197"/>
      <c r="F5" s="1197"/>
      <c r="G5" s="1197"/>
      <c r="H5" s="1197"/>
      <c r="I5" s="1197"/>
      <c r="J5" s="1197"/>
      <c r="K5" s="563"/>
      <c r="N5" s="553"/>
      <c r="O5" s="553"/>
      <c r="P5" s="553"/>
      <c r="Q5" s="553"/>
      <c r="R5" s="553"/>
      <c r="S5" s="553"/>
      <c r="T5" s="553"/>
      <c r="U5" s="553"/>
      <c r="V5" s="553"/>
      <c r="W5" s="553"/>
      <c r="X5" s="553"/>
      <c r="Y5" s="553"/>
      <c r="Z5" s="553"/>
      <c r="AA5" s="553"/>
      <c r="AB5" s="553"/>
      <c r="AC5" s="553"/>
      <c r="AD5" s="553"/>
      <c r="AE5" s="553"/>
      <c r="AF5" s="553"/>
    </row>
    <row r="6" spans="1:36" s="546" customFormat="1">
      <c r="A6" s="564"/>
      <c r="B6" s="564"/>
      <c r="C6" s="564"/>
      <c r="D6" s="564"/>
      <c r="E6" s="564"/>
      <c r="F6" s="586"/>
      <c r="G6" s="564"/>
      <c r="H6" s="565"/>
      <c r="I6" s="565"/>
      <c r="K6" s="553"/>
      <c r="N6" s="553"/>
      <c r="O6" s="553"/>
      <c r="P6" s="553"/>
      <c r="Q6" s="553"/>
      <c r="R6" s="553"/>
      <c r="S6" s="553"/>
      <c r="T6" s="553"/>
      <c r="U6" s="553"/>
      <c r="V6" s="553"/>
      <c r="W6" s="553"/>
      <c r="X6" s="553"/>
      <c r="Y6" s="553"/>
      <c r="Z6" s="553"/>
      <c r="AA6" s="553"/>
      <c r="AB6" s="553"/>
      <c r="AC6" s="553"/>
      <c r="AD6" s="553"/>
      <c r="AE6" s="553"/>
      <c r="AF6" s="553"/>
    </row>
    <row r="7" spans="1:36" s="546" customFormat="1" ht="16.5">
      <c r="A7" s="549" t="str">
        <f>'Sch-1'!A7</f>
        <v>Bidder’s Name and Address (Bidder) :</v>
      </c>
      <c r="B7" s="549"/>
      <c r="C7" s="549"/>
      <c r="D7" s="549"/>
      <c r="E7" s="549"/>
      <c r="F7" s="587"/>
      <c r="G7" s="566" t="s">
        <v>146</v>
      </c>
      <c r="H7" s="550"/>
      <c r="I7" s="567" t="s">
        <v>79</v>
      </c>
      <c r="K7" s="568"/>
      <c r="N7" s="553"/>
      <c r="O7" s="553"/>
      <c r="P7" s="553"/>
      <c r="Q7" s="553"/>
      <c r="R7" s="553"/>
      <c r="S7" s="553"/>
      <c r="T7" s="553"/>
      <c r="U7" s="553"/>
      <c r="V7" s="553"/>
      <c r="W7" s="553"/>
      <c r="X7" s="553"/>
      <c r="Y7" s="553"/>
      <c r="Z7" s="553"/>
      <c r="AA7" s="553"/>
      <c r="AB7" s="553"/>
      <c r="AC7" s="553"/>
      <c r="AD7" s="553"/>
      <c r="AE7" s="553"/>
      <c r="AF7" s="553"/>
    </row>
    <row r="8" spans="1:36" s="546" customFormat="1" ht="16.5">
      <c r="A8" s="1198" t="str">
        <f>'Sch-1'!A8</f>
        <v/>
      </c>
      <c r="B8" s="1198"/>
      <c r="C8" s="1198"/>
      <c r="D8" s="1198"/>
      <c r="E8" s="1198"/>
      <c r="F8" s="1198"/>
      <c r="G8" s="1198"/>
      <c r="H8" s="1198"/>
      <c r="I8" s="569" t="str">
        <f>'Sch-1'!M8</f>
        <v>Sr.GM , Contracts &amp; Materials Department,</v>
      </c>
      <c r="K8" s="568"/>
      <c r="N8" s="553"/>
      <c r="O8" s="553"/>
      <c r="P8" s="553"/>
      <c r="Q8" s="553"/>
      <c r="R8" s="553"/>
      <c r="S8" s="553"/>
      <c r="T8" s="553"/>
      <c r="U8" s="553"/>
      <c r="V8" s="553"/>
      <c r="W8" s="553"/>
      <c r="X8" s="553"/>
      <c r="Y8" s="553"/>
      <c r="Z8" s="553"/>
      <c r="AA8" s="553"/>
      <c r="AB8" s="553"/>
      <c r="AC8" s="553"/>
      <c r="AD8" s="553"/>
      <c r="AE8" s="553"/>
      <c r="AF8" s="553"/>
    </row>
    <row r="9" spans="1:36" s="546" customFormat="1" ht="16.5">
      <c r="A9" s="549" t="s">
        <v>81</v>
      </c>
      <c r="B9" s="549"/>
      <c r="C9" s="549"/>
      <c r="D9" s="549"/>
      <c r="E9" s="549"/>
      <c r="I9" s="569" t="str">
        <f>'Sch-1'!M9</f>
        <v>Power Grid Corporation of India Ltd.,</v>
      </c>
      <c r="K9" s="568"/>
      <c r="N9" s="553"/>
      <c r="O9" s="553"/>
      <c r="P9" s="553"/>
      <c r="Q9" s="553"/>
      <c r="R9" s="553"/>
      <c r="S9" s="553"/>
      <c r="T9" s="553"/>
      <c r="U9" s="553"/>
      <c r="V9" s="553"/>
      <c r="W9" s="553"/>
      <c r="X9" s="553"/>
      <c r="Y9" s="553"/>
      <c r="Z9" s="553"/>
      <c r="AA9" s="553"/>
      <c r="AB9" s="553"/>
      <c r="AC9" s="553"/>
      <c r="AD9" s="553"/>
      <c r="AE9" s="553"/>
      <c r="AF9" s="553"/>
    </row>
    <row r="10" spans="1:36" s="546" customFormat="1" ht="16.5">
      <c r="A10" s="549" t="s">
        <v>83</v>
      </c>
      <c r="B10" s="549"/>
      <c r="C10" s="549"/>
      <c r="D10" s="549"/>
      <c r="E10" s="549"/>
      <c r="I10" s="569" t="str">
        <f>'Sch-1'!M10</f>
        <v>SRTS-II, RHQ</v>
      </c>
      <c r="K10" s="568"/>
      <c r="N10" s="553"/>
      <c r="O10" s="553"/>
      <c r="P10" s="553"/>
      <c r="Q10" s="553"/>
      <c r="R10" s="553"/>
      <c r="S10" s="553"/>
      <c r="T10" s="553"/>
      <c r="U10" s="553"/>
      <c r="V10" s="553"/>
      <c r="W10" s="553"/>
      <c r="X10" s="553"/>
      <c r="Y10" s="553"/>
      <c r="Z10" s="553"/>
      <c r="AA10" s="553"/>
      <c r="AB10" s="553"/>
      <c r="AC10" s="553"/>
      <c r="AD10" s="553"/>
      <c r="AE10" s="553"/>
      <c r="AF10" s="553"/>
    </row>
    <row r="11" spans="1:36" s="546" customFormat="1">
      <c r="A11" s="550"/>
      <c r="B11" s="550"/>
      <c r="C11" s="550"/>
      <c r="D11" s="550"/>
      <c r="E11" s="550"/>
      <c r="I11" s="569" t="str">
        <f>'Sch-1'!M11</f>
        <v>Singanayakanahalli</v>
      </c>
      <c r="K11" s="568"/>
      <c r="N11" s="553"/>
      <c r="O11" s="553"/>
      <c r="P11" s="553"/>
      <c r="Q11" s="553"/>
      <c r="R11" s="553"/>
      <c r="S11" s="553"/>
      <c r="T11" s="553"/>
      <c r="U11" s="553"/>
      <c r="V11" s="553"/>
      <c r="W11" s="553"/>
      <c r="X11" s="553"/>
      <c r="Y11" s="553"/>
      <c r="Z11" s="553"/>
      <c r="AA11" s="553"/>
      <c r="AB11" s="553"/>
      <c r="AC11" s="553"/>
      <c r="AD11" s="553"/>
      <c r="AE11" s="553"/>
      <c r="AF11" s="553"/>
    </row>
    <row r="12" spans="1:36" s="546" customFormat="1">
      <c r="A12" s="550"/>
      <c r="B12" s="550"/>
      <c r="C12" s="550"/>
      <c r="D12" s="550"/>
      <c r="E12" s="550"/>
      <c r="I12" s="569" t="str">
        <f>'Sch-1'!M12</f>
        <v>Bengaluru-560064</v>
      </c>
      <c r="K12" s="568"/>
      <c r="N12" s="553"/>
      <c r="O12" s="553"/>
      <c r="P12" s="553"/>
      <c r="Q12" s="553"/>
      <c r="R12" s="553"/>
      <c r="S12" s="553"/>
      <c r="T12" s="553"/>
      <c r="U12" s="553"/>
      <c r="V12" s="553"/>
      <c r="W12" s="553"/>
      <c r="X12" s="553"/>
      <c r="Y12" s="553"/>
      <c r="Z12" s="553"/>
      <c r="AA12" s="553"/>
      <c r="AB12" s="553"/>
      <c r="AC12" s="553"/>
      <c r="AD12" s="553"/>
      <c r="AE12" s="553"/>
      <c r="AF12" s="553"/>
    </row>
    <row r="13" spans="1:36" s="741" customFormat="1" ht="23.25">
      <c r="A13" s="1199"/>
      <c r="B13" s="1199"/>
      <c r="C13" s="1199"/>
      <c r="D13" s="1199"/>
      <c r="E13" s="1199"/>
      <c r="F13" s="1199"/>
      <c r="G13" s="1199"/>
      <c r="H13" s="1199"/>
      <c r="I13" s="1199"/>
      <c r="J13" s="1199"/>
      <c r="K13" s="740"/>
    </row>
    <row r="14" spans="1:36" s="546" customFormat="1" ht="17.25" thickBot="1">
      <c r="A14" s="550"/>
      <c r="B14" s="550"/>
      <c r="C14" s="550"/>
      <c r="D14" s="550"/>
      <c r="E14" s="550"/>
      <c r="F14" s="588"/>
      <c r="G14" s="570"/>
      <c r="H14" s="549"/>
      <c r="I14" s="1200" t="s">
        <v>88</v>
      </c>
      <c r="J14" s="1200"/>
      <c r="K14" s="551"/>
      <c r="N14" s="553"/>
      <c r="O14" s="553"/>
      <c r="P14" s="553"/>
      <c r="Q14" s="553"/>
      <c r="R14" s="553"/>
      <c r="S14" s="553"/>
      <c r="T14" s="553"/>
      <c r="U14" s="553"/>
      <c r="V14" s="553"/>
      <c r="W14" s="553"/>
      <c r="X14" s="553"/>
      <c r="Y14" s="553"/>
      <c r="Z14" s="553"/>
      <c r="AA14" s="553"/>
      <c r="AB14" s="553"/>
      <c r="AC14" s="553"/>
      <c r="AD14" s="553"/>
      <c r="AE14" s="553"/>
      <c r="AF14" s="553"/>
    </row>
    <row r="15" spans="1:36" s="546" customFormat="1" ht="66">
      <c r="A15" s="456" t="s">
        <v>89</v>
      </c>
      <c r="B15" s="681" t="s">
        <v>90</v>
      </c>
      <c r="C15" s="681" t="s">
        <v>91</v>
      </c>
      <c r="D15" s="681" t="s">
        <v>92</v>
      </c>
      <c r="E15" s="681" t="s">
        <v>93</v>
      </c>
      <c r="F15" s="666" t="s">
        <v>147</v>
      </c>
      <c r="G15" s="667" t="s">
        <v>99</v>
      </c>
      <c r="H15" s="667" t="s">
        <v>148</v>
      </c>
      <c r="I15" s="668" t="s">
        <v>149</v>
      </c>
      <c r="J15" s="668" t="s">
        <v>150</v>
      </c>
      <c r="K15" s="553"/>
      <c r="N15" s="553"/>
      <c r="O15" s="553"/>
      <c r="P15" s="553"/>
      <c r="Q15" s="553"/>
      <c r="R15" s="553"/>
      <c r="S15" s="553"/>
      <c r="T15" s="553"/>
      <c r="U15" s="553"/>
      <c r="V15" s="553"/>
      <c r="W15" s="553"/>
      <c r="X15" s="553"/>
      <c r="Y15" s="553"/>
      <c r="Z15" s="553"/>
      <c r="AA15" s="553"/>
      <c r="AB15" s="553"/>
      <c r="AC15" s="553"/>
      <c r="AD15" s="553"/>
      <c r="AE15" s="553"/>
      <c r="AF15" s="553"/>
    </row>
    <row r="16" spans="1:36" s="735" customFormat="1" ht="16.5">
      <c r="A16" s="732">
        <v>1</v>
      </c>
      <c r="B16" s="732">
        <v>2</v>
      </c>
      <c r="C16" s="732">
        <v>3</v>
      </c>
      <c r="D16" s="732">
        <v>4</v>
      </c>
      <c r="E16" s="732">
        <v>5</v>
      </c>
      <c r="F16" s="733">
        <v>6</v>
      </c>
      <c r="G16" s="733">
        <v>7</v>
      </c>
      <c r="H16" s="733">
        <v>9</v>
      </c>
      <c r="I16" s="733">
        <v>10</v>
      </c>
      <c r="J16" s="733" t="s">
        <v>151</v>
      </c>
      <c r="K16" s="734"/>
      <c r="N16" s="736"/>
      <c r="O16" s="736"/>
      <c r="P16" s="736"/>
      <c r="Q16" s="736"/>
      <c r="R16" s="736"/>
      <c r="S16" s="736"/>
      <c r="T16" s="736"/>
      <c r="U16" s="736"/>
      <c r="V16" s="736"/>
      <c r="W16" s="736"/>
      <c r="X16" s="736"/>
      <c r="Y16" s="736"/>
      <c r="Z16" s="736"/>
      <c r="AA16" s="736"/>
      <c r="AB16" s="736"/>
      <c r="AC16" s="736"/>
      <c r="AD16" s="736"/>
      <c r="AE16" s="736"/>
      <c r="AF16" s="736"/>
    </row>
    <row r="17" spans="1:32" s="735" customFormat="1" ht="66" customHeight="1">
      <c r="A17" s="745">
        <v>1</v>
      </c>
      <c r="B17" s="770">
        <v>7000005840</v>
      </c>
      <c r="C17" s="770">
        <v>20</v>
      </c>
      <c r="D17" s="770" t="s">
        <v>105</v>
      </c>
      <c r="E17" s="770">
        <v>1000015274</v>
      </c>
      <c r="F17" s="775" t="s">
        <v>106</v>
      </c>
      <c r="G17" s="765" t="s">
        <v>107</v>
      </c>
      <c r="H17" s="771">
        <v>1300</v>
      </c>
      <c r="I17" s="772"/>
      <c r="J17" s="773" t="str">
        <f t="shared" ref="J17:J19" si="0">IF(I17=0, "Included",IF(ISERROR(H17*I17), I17, H17*I17))</f>
        <v>Included</v>
      </c>
      <c r="K17" s="734"/>
      <c r="N17" s="736"/>
      <c r="O17" s="736"/>
      <c r="P17" s="736"/>
      <c r="Q17" s="736"/>
      <c r="R17" s="736"/>
      <c r="S17" s="736"/>
      <c r="T17" s="736"/>
      <c r="U17" s="736"/>
      <c r="V17" s="736"/>
      <c r="W17" s="736"/>
      <c r="X17" s="736"/>
      <c r="Y17" s="736"/>
      <c r="Z17" s="736"/>
      <c r="AA17" s="736"/>
      <c r="AB17" s="736"/>
      <c r="AC17" s="736"/>
      <c r="AD17" s="736"/>
      <c r="AE17" s="736"/>
      <c r="AF17" s="736"/>
    </row>
    <row r="18" spans="1:32" s="735" customFormat="1" ht="101.25" customHeight="1">
      <c r="A18" s="745">
        <v>2</v>
      </c>
      <c r="B18" s="770"/>
      <c r="C18" s="770"/>
      <c r="D18" s="770"/>
      <c r="E18" s="770"/>
      <c r="F18" s="775" t="s">
        <v>108</v>
      </c>
      <c r="G18" s="765" t="s">
        <v>107</v>
      </c>
      <c r="H18" s="771">
        <v>1300</v>
      </c>
      <c r="I18" s="772"/>
      <c r="J18" s="773" t="str">
        <f t="shared" si="0"/>
        <v>Included</v>
      </c>
      <c r="K18" s="734"/>
      <c r="N18" s="736"/>
      <c r="O18" s="736"/>
      <c r="P18" s="736"/>
      <c r="Q18" s="736"/>
      <c r="R18" s="736"/>
      <c r="S18" s="736"/>
      <c r="T18" s="736"/>
      <c r="U18" s="736"/>
      <c r="V18" s="736"/>
      <c r="W18" s="736"/>
      <c r="X18" s="736"/>
      <c r="Y18" s="736"/>
      <c r="Z18" s="736"/>
      <c r="AA18" s="736"/>
      <c r="AB18" s="736"/>
      <c r="AC18" s="736"/>
      <c r="AD18" s="736"/>
      <c r="AE18" s="736"/>
      <c r="AF18" s="736"/>
    </row>
    <row r="19" spans="1:32" s="735" customFormat="1" ht="84" customHeight="1">
      <c r="A19" s="745">
        <v>3</v>
      </c>
      <c r="B19" s="770"/>
      <c r="C19" s="770"/>
      <c r="D19" s="770"/>
      <c r="E19" s="770"/>
      <c r="F19" s="775" t="s">
        <v>152</v>
      </c>
      <c r="G19" s="765" t="s">
        <v>107</v>
      </c>
      <c r="H19" s="771">
        <v>23400</v>
      </c>
      <c r="I19" s="772"/>
      <c r="J19" s="773" t="str">
        <f t="shared" si="0"/>
        <v>Included</v>
      </c>
      <c r="K19" s="734"/>
      <c r="N19" s="736"/>
      <c r="O19" s="736"/>
      <c r="P19" s="736"/>
      <c r="Q19" s="736"/>
      <c r="R19" s="736"/>
      <c r="S19" s="736"/>
      <c r="T19" s="736"/>
      <c r="U19" s="736"/>
      <c r="V19" s="736"/>
      <c r="W19" s="736"/>
      <c r="X19" s="736"/>
      <c r="Y19" s="736"/>
      <c r="Z19" s="736"/>
      <c r="AA19" s="736"/>
      <c r="AB19" s="736"/>
      <c r="AC19" s="736"/>
      <c r="AD19" s="736"/>
      <c r="AE19" s="736"/>
      <c r="AF19" s="736"/>
    </row>
    <row r="20" spans="1:32" s="738" customFormat="1" ht="32.25" customHeight="1">
      <c r="A20" s="776"/>
      <c r="B20" s="776"/>
      <c r="C20" s="776"/>
      <c r="D20" s="776"/>
      <c r="E20" s="776"/>
      <c r="F20" s="777" t="s">
        <v>153</v>
      </c>
      <c r="G20" s="778"/>
      <c r="H20" s="779"/>
      <c r="I20" s="780"/>
      <c r="J20" s="781">
        <f>SUM(J17:J19)</f>
        <v>0</v>
      </c>
      <c r="K20" s="737"/>
      <c r="N20" s="739"/>
      <c r="O20" s="739"/>
      <c r="P20" s="739"/>
      <c r="Q20" s="739"/>
      <c r="R20" s="739"/>
      <c r="S20" s="739"/>
      <c r="T20" s="739"/>
      <c r="U20" s="739"/>
      <c r="V20" s="739"/>
      <c r="W20" s="739"/>
      <c r="X20" s="739"/>
      <c r="Y20" s="739"/>
      <c r="Z20" s="739"/>
      <c r="AA20" s="739"/>
      <c r="AB20" s="739"/>
      <c r="AC20" s="739"/>
      <c r="AD20" s="739"/>
      <c r="AE20" s="739"/>
      <c r="AF20" s="739"/>
    </row>
    <row r="21" spans="1:32" ht="27.75" customHeight="1">
      <c r="A21" s="554" t="s">
        <v>118</v>
      </c>
      <c r="B21" s="554"/>
      <c r="C21" s="554"/>
      <c r="D21" s="554"/>
      <c r="E21" s="554"/>
      <c r="F21" s="586" t="str">
        <f>'Sch-1'!F28</f>
        <v>--2025</v>
      </c>
      <c r="G21" s="571"/>
      <c r="H21" s="556"/>
      <c r="I21" s="546"/>
      <c r="J21" s="546"/>
    </row>
    <row r="22" spans="1:32" ht="16.5">
      <c r="A22" s="554" t="s">
        <v>119</v>
      </c>
      <c r="B22" s="554"/>
      <c r="C22" s="554"/>
      <c r="D22" s="554"/>
      <c r="E22" s="554"/>
      <c r="F22" s="586" t="str">
        <f>'Sch-1'!F29</f>
        <v/>
      </c>
      <c r="G22" s="548"/>
      <c r="H22" s="556" t="s">
        <v>120</v>
      </c>
      <c r="I22" s="574" t="str">
        <f>'Sch-1'!M29</f>
        <v/>
      </c>
      <c r="J22" s="546"/>
    </row>
    <row r="23" spans="1:32" ht="16.5">
      <c r="A23" s="552"/>
      <c r="B23" s="552"/>
      <c r="C23" s="552"/>
      <c r="D23" s="552"/>
      <c r="E23" s="552"/>
      <c r="F23" s="575"/>
      <c r="G23" s="552"/>
      <c r="H23" s="556" t="s">
        <v>121</v>
      </c>
      <c r="I23" s="574" t="str">
        <f>'Sch-1'!M30</f>
        <v/>
      </c>
      <c r="J23" s="553"/>
    </row>
    <row r="24" spans="1:32" ht="16.5">
      <c r="A24" s="554"/>
      <c r="B24" s="554"/>
      <c r="C24" s="554"/>
      <c r="D24" s="554"/>
      <c r="E24" s="554"/>
      <c r="F24" s="555"/>
      <c r="G24" s="571"/>
      <c r="H24" s="556"/>
      <c r="I24" s="546"/>
      <c r="J24" s="546"/>
    </row>
    <row r="62" spans="1:10">
      <c r="A62" s="572"/>
      <c r="B62" s="572"/>
      <c r="C62" s="572"/>
      <c r="D62" s="572"/>
      <c r="E62" s="572"/>
      <c r="F62" s="589"/>
      <c r="G62" s="572"/>
      <c r="H62" s="572"/>
      <c r="I62" s="572"/>
      <c r="J62" s="572"/>
    </row>
    <row r="63" spans="1:10">
      <c r="A63" s="572"/>
      <c r="B63" s="572"/>
      <c r="C63" s="572"/>
      <c r="D63" s="572"/>
      <c r="E63" s="572"/>
      <c r="F63" s="589"/>
      <c r="G63" s="572"/>
      <c r="H63" s="572"/>
      <c r="I63" s="572"/>
      <c r="J63" s="572"/>
    </row>
    <row r="64" spans="1:10">
      <c r="A64" s="572"/>
      <c r="B64" s="572"/>
      <c r="C64" s="572"/>
      <c r="D64" s="572"/>
      <c r="E64" s="572"/>
      <c r="F64" s="589"/>
      <c r="G64" s="572"/>
      <c r="H64" s="572"/>
      <c r="I64" s="572"/>
      <c r="J64" s="572"/>
    </row>
    <row r="65" spans="1:10">
      <c r="A65" s="572"/>
      <c r="B65" s="572"/>
      <c r="C65" s="572"/>
      <c r="D65" s="572"/>
      <c r="E65" s="572"/>
      <c r="F65" s="589"/>
      <c r="G65" s="572"/>
      <c r="H65" s="572"/>
      <c r="I65" s="572"/>
      <c r="J65" s="572"/>
    </row>
    <row r="66" spans="1:10">
      <c r="A66" s="572"/>
      <c r="B66" s="572"/>
      <c r="C66" s="572"/>
      <c r="D66" s="572"/>
      <c r="E66" s="572"/>
      <c r="F66" s="589"/>
      <c r="G66" s="572"/>
      <c r="H66" s="572"/>
      <c r="I66" s="572"/>
      <c r="J66" s="572"/>
    </row>
    <row r="67" spans="1:10">
      <c r="A67" s="572"/>
      <c r="B67" s="572"/>
      <c r="C67" s="572"/>
      <c r="D67" s="572"/>
      <c r="E67" s="572"/>
      <c r="F67" s="589"/>
      <c r="G67" s="572"/>
      <c r="H67" s="572"/>
      <c r="I67" s="572"/>
      <c r="J67" s="572"/>
    </row>
    <row r="68" spans="1:10">
      <c r="A68" s="572"/>
      <c r="B68" s="572"/>
      <c r="C68" s="572"/>
      <c r="D68" s="572"/>
      <c r="E68" s="572"/>
      <c r="F68" s="589"/>
      <c r="G68" s="572"/>
      <c r="H68" s="572"/>
      <c r="I68" s="572"/>
      <c r="J68" s="572"/>
    </row>
    <row r="69" spans="1:10">
      <c r="A69" s="572"/>
      <c r="B69" s="572"/>
      <c r="C69" s="572"/>
      <c r="D69" s="572"/>
      <c r="E69" s="572"/>
      <c r="F69" s="589"/>
      <c r="G69" s="572"/>
      <c r="H69" s="572"/>
      <c r="I69" s="572"/>
      <c r="J69" s="572"/>
    </row>
    <row r="70" spans="1:10">
      <c r="A70" s="572"/>
      <c r="B70" s="572"/>
      <c r="C70" s="572"/>
      <c r="D70" s="572"/>
      <c r="E70" s="572"/>
      <c r="F70" s="589"/>
      <c r="G70" s="572"/>
      <c r="H70" s="572"/>
      <c r="I70" s="572"/>
      <c r="J70" s="572"/>
    </row>
    <row r="71" spans="1:10">
      <c r="A71" s="572"/>
      <c r="B71" s="572"/>
      <c r="C71" s="572"/>
      <c r="D71" s="572"/>
      <c r="E71" s="572"/>
      <c r="F71" s="589"/>
      <c r="G71" s="572"/>
      <c r="H71" s="572"/>
      <c r="I71" s="572"/>
      <c r="J71" s="572"/>
    </row>
    <row r="72" spans="1:10">
      <c r="A72" s="572"/>
      <c r="B72" s="572"/>
      <c r="C72" s="572"/>
      <c r="D72" s="572"/>
      <c r="E72" s="572"/>
      <c r="F72" s="589"/>
      <c r="G72" s="572"/>
      <c r="H72" s="572"/>
      <c r="I72" s="572"/>
      <c r="J72" s="572"/>
    </row>
    <row r="73" spans="1:10">
      <c r="A73" s="572"/>
      <c r="B73" s="572"/>
      <c r="C73" s="572"/>
      <c r="D73" s="572"/>
      <c r="E73" s="572"/>
      <c r="F73" s="589"/>
      <c r="G73" s="572"/>
      <c r="H73" s="572"/>
      <c r="I73" s="572"/>
      <c r="J73" s="572"/>
    </row>
    <row r="74" spans="1:10">
      <c r="A74" s="572"/>
      <c r="B74" s="572"/>
      <c r="C74" s="572"/>
      <c r="D74" s="572"/>
      <c r="E74" s="572"/>
      <c r="F74" s="589"/>
      <c r="G74" s="572"/>
      <c r="H74" s="572"/>
      <c r="I74" s="572"/>
      <c r="J74" s="572"/>
    </row>
    <row r="75" spans="1:10">
      <c r="A75" s="572"/>
      <c r="B75" s="572"/>
      <c r="C75" s="572"/>
      <c r="D75" s="572"/>
      <c r="E75" s="572"/>
      <c r="F75" s="589"/>
      <c r="G75" s="572"/>
      <c r="H75" s="572"/>
      <c r="I75" s="572"/>
      <c r="J75" s="572"/>
    </row>
    <row r="76" spans="1:10">
      <c r="A76" s="572"/>
      <c r="B76" s="572"/>
      <c r="C76" s="572"/>
      <c r="D76" s="572"/>
      <c r="E76" s="572"/>
      <c r="F76" s="589"/>
      <c r="G76" s="572"/>
      <c r="H76" s="572"/>
      <c r="I76" s="572"/>
      <c r="J76" s="572"/>
    </row>
    <row r="77" spans="1:10">
      <c r="A77" s="572"/>
      <c r="B77" s="572"/>
      <c r="C77" s="572"/>
      <c r="D77" s="572"/>
      <c r="E77" s="572"/>
      <c r="F77" s="589"/>
      <c r="G77" s="572"/>
      <c r="H77" s="572"/>
      <c r="I77" s="572"/>
      <c r="J77" s="572"/>
    </row>
    <row r="78" spans="1:10">
      <c r="A78" s="572"/>
      <c r="B78" s="572"/>
      <c r="C78" s="572"/>
      <c r="D78" s="572"/>
      <c r="E78" s="572"/>
      <c r="F78" s="589"/>
      <c r="G78" s="572"/>
      <c r="H78" s="572"/>
      <c r="I78" s="572"/>
      <c r="J78" s="572"/>
    </row>
    <row r="79" spans="1:10">
      <c r="A79" s="572"/>
      <c r="B79" s="572"/>
      <c r="C79" s="572"/>
      <c r="D79" s="572"/>
      <c r="E79" s="572"/>
      <c r="F79" s="589"/>
      <c r="G79" s="572"/>
      <c r="H79" s="572"/>
      <c r="I79" s="572"/>
      <c r="J79" s="572"/>
    </row>
    <row r="80" spans="1:10">
      <c r="A80" s="572"/>
      <c r="B80" s="572"/>
      <c r="C80" s="572"/>
      <c r="D80" s="572"/>
      <c r="E80" s="572"/>
      <c r="F80" s="589"/>
      <c r="G80" s="572"/>
      <c r="H80" s="572"/>
      <c r="I80" s="572"/>
      <c r="J80" s="572"/>
    </row>
    <row r="81" spans="1:10">
      <c r="A81" s="572"/>
      <c r="B81" s="572"/>
      <c r="C81" s="572"/>
      <c r="D81" s="572"/>
      <c r="E81" s="572"/>
      <c r="F81" s="589"/>
      <c r="G81" s="572"/>
      <c r="H81" s="572"/>
      <c r="I81" s="572"/>
      <c r="J81" s="572"/>
    </row>
    <row r="82" spans="1:10">
      <c r="A82" s="572"/>
      <c r="B82" s="572"/>
      <c r="C82" s="572"/>
      <c r="D82" s="572"/>
      <c r="E82" s="572"/>
      <c r="F82" s="589"/>
      <c r="G82" s="572"/>
      <c r="H82" s="572"/>
      <c r="I82" s="572"/>
      <c r="J82" s="572"/>
    </row>
    <row r="83" spans="1:10">
      <c r="A83" s="572"/>
      <c r="B83" s="572"/>
      <c r="C83" s="572"/>
      <c r="D83" s="572"/>
      <c r="E83" s="572"/>
      <c r="F83" s="589"/>
      <c r="G83" s="572"/>
      <c r="H83" s="572"/>
      <c r="I83" s="572"/>
      <c r="J83" s="572"/>
    </row>
    <row r="84" spans="1:10">
      <c r="A84" s="572"/>
      <c r="B84" s="572"/>
      <c r="C84" s="572"/>
      <c r="D84" s="572"/>
      <c r="E84" s="572"/>
      <c r="F84" s="589"/>
      <c r="G84" s="572"/>
      <c r="H84" s="572"/>
      <c r="I84" s="572"/>
      <c r="J84" s="572"/>
    </row>
    <row r="85" spans="1:10">
      <c r="A85" s="572"/>
      <c r="B85" s="572"/>
      <c r="C85" s="572"/>
      <c r="D85" s="572"/>
      <c r="E85" s="572"/>
      <c r="F85" s="590"/>
      <c r="G85" s="572"/>
      <c r="H85" s="573"/>
      <c r="I85" s="573"/>
      <c r="J85" s="573"/>
    </row>
    <row r="86" spans="1:10">
      <c r="A86" s="572"/>
      <c r="B86" s="572"/>
      <c r="C86" s="572"/>
      <c r="D86" s="572"/>
      <c r="E86" s="572"/>
      <c r="F86" s="590"/>
      <c r="G86" s="572"/>
      <c r="H86" s="573"/>
      <c r="I86" s="573"/>
      <c r="J86" s="573"/>
    </row>
    <row r="87" spans="1:10">
      <c r="A87" s="572"/>
      <c r="B87" s="572"/>
      <c r="C87" s="572"/>
      <c r="D87" s="572"/>
      <c r="E87" s="572"/>
      <c r="F87" s="590"/>
      <c r="G87" s="572"/>
      <c r="H87" s="573"/>
      <c r="I87" s="573"/>
      <c r="J87" s="573"/>
    </row>
    <row r="88" spans="1:10">
      <c r="A88" s="572"/>
      <c r="B88" s="572"/>
      <c r="C88" s="572"/>
      <c r="D88" s="572"/>
      <c r="E88" s="572"/>
      <c r="F88" s="590"/>
      <c r="G88" s="572"/>
      <c r="H88" s="573"/>
      <c r="I88" s="573"/>
      <c r="J88" s="573"/>
    </row>
    <row r="89" spans="1:10">
      <c r="A89" s="572"/>
      <c r="B89" s="572"/>
      <c r="C89" s="572"/>
      <c r="D89" s="572"/>
      <c r="E89" s="572"/>
      <c r="F89" s="590"/>
      <c r="G89" s="572"/>
      <c r="H89" s="573"/>
      <c r="I89" s="573"/>
      <c r="J89" s="573"/>
    </row>
    <row r="90" spans="1:10">
      <c r="A90" s="572"/>
      <c r="B90" s="572"/>
      <c r="C90" s="572"/>
      <c r="D90" s="572"/>
      <c r="E90" s="572"/>
      <c r="F90" s="590"/>
      <c r="G90" s="572"/>
      <c r="H90" s="573"/>
      <c r="I90" s="573"/>
      <c r="J90" s="573"/>
    </row>
    <row r="91" spans="1:10">
      <c r="A91" s="572"/>
      <c r="B91" s="572"/>
      <c r="C91" s="572"/>
      <c r="D91" s="572"/>
      <c r="E91" s="572"/>
      <c r="F91" s="590"/>
      <c r="G91" s="572"/>
      <c r="H91" s="573"/>
      <c r="I91" s="573"/>
      <c r="J91" s="573"/>
    </row>
    <row r="92" spans="1:10">
      <c r="A92" s="572"/>
      <c r="B92" s="572"/>
      <c r="C92" s="572"/>
      <c r="D92" s="572"/>
      <c r="E92" s="572"/>
      <c r="F92" s="590"/>
      <c r="G92" s="572"/>
      <c r="H92" s="573"/>
      <c r="I92" s="573"/>
      <c r="J92" s="573"/>
    </row>
    <row r="93" spans="1:10">
      <c r="A93" s="572"/>
      <c r="B93" s="572"/>
      <c r="C93" s="572"/>
      <c r="D93" s="572"/>
      <c r="E93" s="572"/>
      <c r="F93" s="590"/>
      <c r="G93" s="572"/>
      <c r="H93" s="573"/>
      <c r="I93" s="573"/>
      <c r="J93" s="573"/>
    </row>
    <row r="94" spans="1:10">
      <c r="A94" s="572"/>
      <c r="B94" s="572"/>
      <c r="C94" s="572"/>
      <c r="D94" s="572"/>
      <c r="E94" s="572"/>
      <c r="F94" s="590"/>
      <c r="G94" s="572"/>
      <c r="H94" s="573"/>
      <c r="I94" s="573"/>
      <c r="J94" s="573"/>
    </row>
    <row r="95" spans="1:10">
      <c r="A95" s="572"/>
      <c r="B95" s="572"/>
      <c r="C95" s="572"/>
      <c r="D95" s="572"/>
      <c r="E95" s="572"/>
      <c r="F95" s="590"/>
      <c r="G95" s="572"/>
      <c r="H95" s="573"/>
      <c r="I95" s="573"/>
      <c r="J95" s="573"/>
    </row>
    <row r="96" spans="1:10">
      <c r="A96" s="572"/>
      <c r="B96" s="572"/>
      <c r="C96" s="572"/>
      <c r="D96" s="572"/>
      <c r="E96" s="572"/>
      <c r="F96" s="590"/>
      <c r="G96" s="572"/>
      <c r="H96" s="573"/>
      <c r="I96" s="573"/>
      <c r="J96" s="573"/>
    </row>
    <row r="97" spans="1:10">
      <c r="A97" s="572"/>
      <c r="B97" s="572"/>
      <c r="C97" s="572"/>
      <c r="D97" s="572"/>
      <c r="E97" s="572"/>
      <c r="F97" s="590"/>
      <c r="G97" s="572"/>
      <c r="H97" s="573"/>
      <c r="I97" s="573"/>
      <c r="J97" s="573"/>
    </row>
    <row r="98" spans="1:10">
      <c r="A98" s="572"/>
      <c r="B98" s="572"/>
      <c r="C98" s="572"/>
      <c r="D98" s="572"/>
      <c r="E98" s="572"/>
      <c r="F98" s="590"/>
      <c r="G98" s="572"/>
      <c r="H98" s="573"/>
      <c r="I98" s="573"/>
      <c r="J98" s="573"/>
    </row>
    <row r="99" spans="1:10">
      <c r="A99" s="572"/>
      <c r="B99" s="572"/>
      <c r="C99" s="572"/>
      <c r="D99" s="572"/>
      <c r="E99" s="572"/>
      <c r="F99" s="590"/>
      <c r="G99" s="572"/>
      <c r="H99" s="573"/>
      <c r="I99" s="573"/>
      <c r="J99" s="573"/>
    </row>
    <row r="100" spans="1:10">
      <c r="A100" s="572"/>
      <c r="B100" s="572"/>
      <c r="C100" s="572"/>
      <c r="D100" s="572"/>
      <c r="E100" s="572"/>
      <c r="F100" s="590"/>
      <c r="G100" s="572"/>
      <c r="H100" s="573"/>
      <c r="I100" s="573"/>
      <c r="J100" s="573"/>
    </row>
    <row r="101" spans="1:10">
      <c r="A101" s="572"/>
      <c r="B101" s="572"/>
      <c r="C101" s="572"/>
      <c r="D101" s="572"/>
      <c r="E101" s="572"/>
      <c r="F101" s="590"/>
      <c r="G101" s="572"/>
      <c r="H101" s="573"/>
      <c r="I101" s="573"/>
      <c r="J101" s="573"/>
    </row>
    <row r="102" spans="1:10">
      <c r="A102" s="572"/>
      <c r="B102" s="572"/>
      <c r="C102" s="572"/>
      <c r="D102" s="572"/>
      <c r="E102" s="572"/>
      <c r="F102" s="590"/>
      <c r="G102" s="572"/>
      <c r="H102" s="573"/>
      <c r="I102" s="573"/>
      <c r="J102" s="573"/>
    </row>
  </sheetData>
  <protectedRanges>
    <protectedRange sqref="H17:H19" name="Range1_15_1_1_1_1_1_1_2_1_2"/>
  </protectedRanges>
  <customSheetViews>
    <customSheetView guid="{B48B8B4C-A880-453D-8729-90D004BEF0DB}" scale="90" printArea="1" hiddenColumns="1" view="pageBreakPreview">
      <selection activeCell="I17" sqref="I17"/>
      <pageMargins left="0" right="0" top="0" bottom="0" header="0" footer="0"/>
      <printOptions horizontalCentered="1"/>
      <pageSetup paperSize="9" scale="57" fitToHeight="2" orientation="landscape" r:id="rId1"/>
      <headerFooter alignWithMargins="0">
        <oddFooter>&amp;R&amp;"Book Antiqua,Bold"&amp;10Schedule-2/ Page &amp;P of &amp;N</oddFooter>
      </headerFooter>
    </customSheetView>
    <customSheetView guid="{7043F04C-1FA3-449D-BEB8-4AC08DF68A5A}" scale="90" printArea="1" hiddenColumns="1" state="hidden" view="pageBreakPreview" topLeftCell="A10">
      <selection activeCell="F17" sqref="F17"/>
      <pageMargins left="0" right="0" top="0" bottom="0" header="0" footer="0"/>
      <printOptions horizontalCentered="1"/>
      <pageSetup paperSize="9" scale="69" fitToHeight="2" orientation="landscape" r:id="rId2"/>
      <headerFooter alignWithMargins="0">
        <oddFooter>&amp;R&amp;"Book Antiqua,Bold"&amp;10Schedule-2/ Page &amp;P of &amp;N</oddFooter>
      </headerFooter>
    </customSheetView>
    <customSheetView guid="{D0757F9E-DF41-4B40-A5E5-F4F8FDD8D61D}" printArea="1" view="pageBreakPreview" topLeftCell="F77">
      <selection activeCell="I17" sqref="I17"/>
      <pageMargins left="0" right="0" top="0" bottom="0" header="0" footer="0"/>
      <printOptions horizontalCentered="1"/>
      <pageSetup paperSize="9" scale="69" fitToHeight="2" orientation="landscape" r:id="rId3"/>
      <headerFooter alignWithMargins="0">
        <oddFooter>&amp;R&amp;"Book Antiqua,Bold"&amp;10Schedule-2/ Page &amp;P of &amp;N</oddFooter>
      </headerFooter>
    </customSheetView>
    <customSheetView guid="{E81F0721-C35D-4189-B675-E46A21339863}" printArea="1" hiddenRows="1" hiddenColumns="1" view="pageBreakPreview" topLeftCell="A21">
      <selection activeCell="E21" sqref="E21"/>
      <pageMargins left="0" right="0" top="0" bottom="0" header="0" footer="0"/>
      <printOptions horizontalCentered="1"/>
      <pageSetup paperSize="9"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19"/>
      <headerFooter alignWithMargins="0">
        <oddFooter>&amp;R&amp;"Book Antiqua,Bold"&amp;10Schedule-2/ Page &amp;P of &amp;N</oddFooter>
      </headerFooter>
    </customSheetView>
    <customSheetView guid="{B835C05C-B615-4DCB-982D-4519616B3CD8}" printArea="1" hiddenRows="1" hiddenColumns="1" view="pageBreakPreview" topLeftCell="A21">
      <selection activeCell="E21" sqref="E21"/>
      <pageMargins left="0" right="0" top="0" bottom="0" header="0" footer="0"/>
      <printOptions horizontalCentered="1"/>
      <pageSetup paperSize="9" fitToHeight="2" orientation="landscape" r:id="rId20"/>
      <headerFooter alignWithMargins="0">
        <oddFooter>&amp;R&amp;"Book Antiqua,Bold"&amp;10Schedule-2/ Page &amp;P of &amp;N</oddFooter>
      </headerFooter>
    </customSheetView>
    <customSheetView guid="{17F5C48B-526E-48D2-9F97-823D578F9893}" scale="85" printArea="1" view="pageBreakPreview" topLeftCell="A20">
      <selection activeCell="C20" sqref="C20"/>
      <pageMargins left="0" right="0" top="0" bottom="0" header="0" footer="0"/>
      <printOptions horizontalCentered="1"/>
      <pageSetup paperSize="9" scale="76" fitToHeight="2" orientation="landscape" r:id="rId21"/>
      <headerFooter alignWithMargins="0">
        <oddFooter>&amp;R&amp;"Book Antiqua,Bold"&amp;10Schedule-2/ Page &amp;P of &amp;N</oddFooter>
      </headerFooter>
    </customSheetView>
    <customSheetView guid="{7F1A5DE7-1043-4C11-AB2C-CC6BC6A0F482}" scale="85" printArea="1" view="pageBreakPreview" topLeftCell="C91">
      <selection activeCell="I105" sqref="I105"/>
      <pageMargins left="0" right="0" top="0" bottom="0" header="0" footer="0"/>
      <printOptions horizontalCentered="1"/>
      <pageSetup paperSize="9" scale="72" fitToHeight="2" orientation="landscape" r:id="rId22"/>
      <headerFooter alignWithMargins="0">
        <oddFooter>&amp;R&amp;"Book Antiqua,Bold"&amp;10Schedule-2/ Page &amp;P of &amp;N</oddFooter>
      </headerFooter>
    </customSheetView>
    <customSheetView guid="{75D87FDD-0292-4E5A-8E8F-63018B009393}" scale="90" printArea="1" hiddenColumns="1" view="pageBreakPreview">
      <selection activeCell="I17" sqref="I17"/>
      <pageMargins left="0" right="0" top="0" bottom="0" header="0" footer="0"/>
      <printOptions horizontalCentered="1"/>
      <pageSetup paperSize="9" scale="57" fitToHeight="2" orientation="landscape" r:id="rId23"/>
      <headerFooter alignWithMargins="0">
        <oddFooter>&amp;R&amp;"Book Antiqua,Bold"&amp;10Schedule-2/ Page &amp;P of &amp;N</oddFooter>
      </headerFooter>
    </customSheetView>
  </customSheetViews>
  <mergeCells count="6">
    <mergeCell ref="R4:S4"/>
    <mergeCell ref="A5:J5"/>
    <mergeCell ref="A8:H8"/>
    <mergeCell ref="A13:J13"/>
    <mergeCell ref="I14:J14"/>
    <mergeCell ref="A4:J4"/>
  </mergeCells>
  <phoneticPr fontId="4" type="noConversion"/>
  <conditionalFormatting sqref="I17:I19">
    <cfRule type="expression" dxfId="19" priority="6" stopIfTrue="1">
      <formula>H17&gt;0</formula>
    </cfRule>
  </conditionalFormatting>
  <dataValidations count="1">
    <dataValidation type="decimal" operator="greaterThan" allowBlank="1" showInputMessage="1" showErrorMessage="1" error="Enter only Numeric Value greater than zero or leave the cell blank !" sqref="I17:I19" xr:uid="{00000000-0002-0000-0600-000000000000}">
      <formula1>0</formula1>
    </dataValidation>
  </dataValidations>
  <printOptions horizontalCentered="1"/>
  <pageMargins left="0.24" right="0.23" top="0.53" bottom="0.44" header="0.41" footer="0.24"/>
  <pageSetup paperSize="9" scale="57" fitToHeight="2" orientation="portrait" r:id="rId24"/>
  <headerFooter alignWithMargins="0">
    <oddHeader>&amp;C&amp;"Calibri"&amp;12&amp;KFF0000 डेटा वर्गीकरण : प्रतिबंधित/RESTRICTED&amp;1#_x000D_</oddHeader>
    <oddFooter>&amp;R&amp;"Book Antiqua,Bold"&amp;10Schedule-2/ Page &amp;P of &amp;N</oddFooter>
  </headerFooter>
  <drawing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57" customWidth="1"/>
    <col min="2" max="2" width="32.625" style="344" customWidth="1"/>
    <col min="3" max="3" width="7.625" style="343" customWidth="1"/>
    <col min="4" max="4" width="9.625" style="343" customWidth="1"/>
    <col min="5" max="6" width="17.625" style="343" customWidth="1"/>
    <col min="7" max="7" width="9" style="172"/>
    <col min="8" max="10" width="9" style="305"/>
    <col min="11" max="11" width="9" style="305" hidden="1" customWidth="1"/>
    <col min="12" max="13" width="17.625" style="305" hidden="1" customWidth="1"/>
    <col min="14" max="14" width="9" style="306" hidden="1" customWidth="1"/>
    <col min="15" max="15" width="15.625" style="305" hidden="1" customWidth="1"/>
    <col min="16" max="16" width="17.125" style="305" hidden="1" customWidth="1"/>
    <col min="17" max="17" width="9" style="305" hidden="1" customWidth="1"/>
    <col min="18" max="37" width="9" style="74"/>
    <col min="38" max="16384" width="9" style="305"/>
  </cols>
  <sheetData>
    <row r="1" spans="1:41" s="306" customFormat="1" ht="18" customHeight="1">
      <c r="A1" s="56" t="str">
        <f>Cover!B3</f>
        <v>NR3/NT/W-CIVIL/DOM/K00/25/09879 (Rfx No.5002004724)</v>
      </c>
      <c r="B1" s="57"/>
      <c r="C1" s="58"/>
      <c r="D1" s="58"/>
      <c r="E1" s="7"/>
      <c r="F1" s="8" t="s">
        <v>154</v>
      </c>
      <c r="G1" s="172"/>
      <c r="H1" s="1"/>
      <c r="I1" s="1"/>
      <c r="J1" s="1"/>
      <c r="K1" s="1"/>
      <c r="L1" s="1"/>
      <c r="M1" s="1"/>
      <c r="N1" s="1"/>
      <c r="O1" s="1"/>
      <c r="P1" s="1"/>
      <c r="Q1" s="1"/>
      <c r="R1" s="172"/>
      <c r="S1" s="172"/>
      <c r="T1" s="172"/>
      <c r="U1" s="172"/>
      <c r="V1" s="172"/>
      <c r="W1" s="172"/>
      <c r="X1" s="172"/>
      <c r="Y1" s="172"/>
      <c r="Z1" s="172"/>
      <c r="AA1" s="172"/>
      <c r="AB1" s="172"/>
      <c r="AC1" s="172"/>
      <c r="AD1" s="172"/>
      <c r="AE1" s="172"/>
      <c r="AF1" s="172"/>
      <c r="AG1" s="172"/>
      <c r="AH1" s="172"/>
      <c r="AI1" s="172"/>
      <c r="AJ1" s="172"/>
      <c r="AK1" s="172"/>
      <c r="AL1" s="1"/>
      <c r="AM1" s="1"/>
      <c r="AN1" s="1"/>
      <c r="AO1" s="1"/>
    </row>
    <row r="2" spans="1:41" s="306" customFormat="1" ht="15" customHeight="1">
      <c r="A2" s="4"/>
      <c r="B2" s="13"/>
      <c r="C2" s="6"/>
      <c r="D2" s="6"/>
      <c r="E2" s="1"/>
      <c r="F2" s="1"/>
      <c r="G2" s="172"/>
      <c r="H2" s="1"/>
      <c r="I2" s="1"/>
      <c r="J2" s="1"/>
      <c r="K2" s="1"/>
      <c r="L2" s="1"/>
      <c r="M2" s="1"/>
      <c r="N2" s="1"/>
      <c r="O2" s="1"/>
      <c r="P2" s="1"/>
      <c r="Q2" s="1"/>
      <c r="R2" s="172"/>
      <c r="S2" s="172"/>
      <c r="T2" s="172"/>
      <c r="U2" s="172"/>
      <c r="V2" s="172"/>
      <c r="W2" s="172"/>
      <c r="X2" s="172"/>
      <c r="Y2" s="172"/>
      <c r="Z2" s="172"/>
      <c r="AA2" s="172"/>
      <c r="AB2" s="172"/>
      <c r="AC2" s="172"/>
      <c r="AD2" s="172"/>
      <c r="AE2" s="172"/>
      <c r="AF2" s="172"/>
      <c r="AG2" s="172"/>
      <c r="AH2" s="172"/>
      <c r="AI2" s="172"/>
      <c r="AJ2" s="172"/>
      <c r="AK2" s="172"/>
      <c r="AL2" s="1"/>
      <c r="AM2" s="1"/>
      <c r="AN2" s="1"/>
      <c r="AO2" s="1"/>
    </row>
    <row r="3" spans="1:41" s="306" customFormat="1" ht="50.25" customHeight="1">
      <c r="A3" s="1191" t="str">
        <f>Cover!$B$2</f>
        <v>Extension of residential quarters 2 nos C type &amp; 2 nos B2 type quarters over the existing C type &amp; B2 type at 400/220 KV Shahjahanpur &amp; 765/400 KV Sohawal Substation</v>
      </c>
      <c r="B3" s="1191"/>
      <c r="C3" s="1191"/>
      <c r="D3" s="1191"/>
      <c r="E3" s="1191"/>
      <c r="F3" s="1191"/>
      <c r="G3" s="342"/>
      <c r="H3" s="358"/>
      <c r="I3" s="238"/>
      <c r="J3" s="172"/>
      <c r="K3" s="172" t="s">
        <v>155</v>
      </c>
      <c r="L3" s="172"/>
      <c r="M3" s="172">
        <f>IF(ISERROR(#REF!/('Sch-3'!D14+'Sch-3'!D16+'Sch-3'!#REF!)),0,#REF!/( 'Sch-3'!D14+'Sch-3'!D16+'Sch-3'!#REF!))</f>
        <v>0</v>
      </c>
      <c r="N3" s="172"/>
      <c r="O3" s="176"/>
      <c r="P3" s="177"/>
      <c r="Q3" s="177"/>
      <c r="R3" s="177"/>
      <c r="S3" s="172"/>
      <c r="T3" s="176"/>
      <c r="U3" s="172"/>
      <c r="V3" s="172"/>
      <c r="W3" s="1202"/>
      <c r="X3" s="1202"/>
      <c r="Y3" s="172"/>
      <c r="Z3" s="172"/>
      <c r="AA3" s="172"/>
      <c r="AB3" s="172"/>
      <c r="AC3" s="172"/>
      <c r="AD3" s="172"/>
      <c r="AE3" s="172"/>
      <c r="AF3" s="172"/>
      <c r="AG3" s="172"/>
      <c r="AH3" s="172"/>
      <c r="AI3" s="172"/>
      <c r="AJ3" s="172"/>
      <c r="AK3" s="172"/>
      <c r="AL3" s="172"/>
      <c r="AM3" s="172"/>
      <c r="AN3" s="172"/>
      <c r="AO3" s="172"/>
    </row>
    <row r="4" spans="1:41" s="306" customFormat="1" ht="21.95" customHeight="1">
      <c r="A4" s="1192" t="s">
        <v>156</v>
      </c>
      <c r="B4" s="1192"/>
      <c r="C4" s="1192"/>
      <c r="D4" s="1192"/>
      <c r="E4" s="1192"/>
      <c r="F4" s="1192"/>
      <c r="G4" s="178"/>
      <c r="H4" s="1"/>
      <c r="I4" s="1"/>
      <c r="J4" s="1"/>
      <c r="K4" s="4" t="s">
        <v>157</v>
      </c>
      <c r="L4" s="1"/>
      <c r="M4" s="288" t="e">
        <f>#REF!</f>
        <v>#REF!</v>
      </c>
      <c r="N4" s="1"/>
      <c r="O4" s="1"/>
      <c r="P4" s="1"/>
      <c r="Q4" s="1"/>
      <c r="R4" s="172"/>
      <c r="S4" s="172"/>
      <c r="T4" s="172"/>
      <c r="U4" s="172"/>
      <c r="V4" s="172"/>
      <c r="W4" s="172"/>
      <c r="X4" s="172"/>
      <c r="Y4" s="172"/>
      <c r="Z4" s="172"/>
      <c r="AA4" s="172"/>
      <c r="AB4" s="172"/>
      <c r="AC4" s="172"/>
      <c r="AD4" s="172"/>
      <c r="AE4" s="172"/>
      <c r="AF4" s="172"/>
      <c r="AG4" s="172"/>
      <c r="AH4" s="172"/>
      <c r="AI4" s="172"/>
      <c r="AJ4" s="172"/>
      <c r="AK4" s="172"/>
      <c r="AL4" s="1"/>
      <c r="AM4" s="1"/>
      <c r="AN4" s="1"/>
      <c r="AO4" s="1"/>
    </row>
    <row r="5" spans="1:41" s="306" customFormat="1" ht="15" customHeight="1">
      <c r="A5" s="865"/>
      <c r="B5" s="430"/>
      <c r="C5" s="3"/>
      <c r="D5" s="3"/>
      <c r="E5" s="3"/>
      <c r="F5" s="1"/>
      <c r="G5" s="172"/>
      <c r="H5" s="1"/>
      <c r="I5" s="1"/>
      <c r="J5" s="1"/>
      <c r="K5" s="4" t="s">
        <v>158</v>
      </c>
      <c r="L5" s="1"/>
      <c r="M5" s="288">
        <f>IF(ISERROR(#REF!/#REF!),0,#REF! /#REF!)</f>
        <v>0</v>
      </c>
      <c r="N5" s="1"/>
      <c r="O5" s="1"/>
      <c r="P5" s="1"/>
      <c r="Q5" s="1"/>
      <c r="R5" s="172"/>
      <c r="S5" s="172"/>
      <c r="T5" s="172"/>
      <c r="U5" s="172"/>
      <c r="V5" s="172"/>
      <c r="W5" s="172"/>
      <c r="X5" s="172"/>
      <c r="Y5" s="172"/>
      <c r="Z5" s="172"/>
      <c r="AA5" s="172"/>
      <c r="AB5" s="172"/>
      <c r="AC5" s="172"/>
      <c r="AD5" s="172"/>
      <c r="AE5" s="172"/>
      <c r="AF5" s="172"/>
      <c r="AG5" s="172"/>
      <c r="AH5" s="172"/>
      <c r="AI5" s="172"/>
      <c r="AJ5" s="172"/>
      <c r="AK5" s="172"/>
      <c r="AL5" s="1"/>
      <c r="AM5" s="1"/>
      <c r="AN5" s="1"/>
      <c r="AO5" s="1"/>
    </row>
    <row r="6" spans="1:41" s="306" customFormat="1" ht="18" customHeight="1">
      <c r="A6" s="29" t="str">
        <f>'Sch-1'!A7</f>
        <v>Bidder’s Name and Address (Bidder) :</v>
      </c>
      <c r="B6" s="30"/>
      <c r="C6" s="30"/>
      <c r="D6" s="30"/>
      <c r="E6" s="64" t="s">
        <v>79</v>
      </c>
      <c r="F6" s="1"/>
      <c r="G6" s="179"/>
      <c r="H6" s="1"/>
      <c r="I6" s="1"/>
      <c r="J6" s="1"/>
      <c r="K6" s="4" t="s">
        <v>159</v>
      </c>
      <c r="L6" s="1"/>
      <c r="M6" s="288" t="e">
        <f>#REF!</f>
        <v>#REF!</v>
      </c>
      <c r="N6" s="1"/>
      <c r="O6" s="1"/>
      <c r="P6" s="1"/>
      <c r="Q6" s="1"/>
      <c r="R6" s="172"/>
      <c r="S6" s="172"/>
      <c r="T6" s="172"/>
      <c r="U6" s="172"/>
      <c r="V6" s="172"/>
      <c r="W6" s="172"/>
      <c r="X6" s="172"/>
      <c r="Y6" s="172"/>
      <c r="Z6" s="172"/>
      <c r="AA6" s="172"/>
      <c r="AB6" s="172"/>
      <c r="AC6" s="172"/>
      <c r="AD6" s="172"/>
      <c r="AE6" s="172"/>
      <c r="AF6" s="172"/>
      <c r="AG6" s="172"/>
      <c r="AH6" s="172"/>
      <c r="AI6" s="172"/>
      <c r="AJ6" s="172"/>
      <c r="AK6" s="172"/>
      <c r="AL6" s="1"/>
      <c r="AM6" s="1"/>
      <c r="AN6" s="1"/>
      <c r="AO6" s="1"/>
    </row>
    <row r="7" spans="1:41" s="306" customFormat="1" ht="36" customHeight="1">
      <c r="A7" s="1203" t="str">
        <f>'Sch-1'!A8</f>
        <v/>
      </c>
      <c r="B7" s="1203"/>
      <c r="C7" s="1203"/>
      <c r="D7" s="1203"/>
      <c r="E7" s="286" t="str">
        <f>'Sch-1'!M8</f>
        <v>Sr.GM , Contracts &amp; Materials Department,</v>
      </c>
      <c r="F7" s="1"/>
      <c r="G7" s="179"/>
      <c r="H7" s="1"/>
      <c r="I7" s="1"/>
      <c r="J7" s="1"/>
      <c r="K7" s="4" t="s">
        <v>160</v>
      </c>
      <c r="L7" s="1"/>
      <c r="M7" s="288" t="e">
        <f>SUM(M3:M6)</f>
        <v>#REF!</v>
      </c>
      <c r="N7" s="1"/>
      <c r="O7" s="1"/>
      <c r="P7" s="1"/>
      <c r="Q7" s="1"/>
      <c r="R7" s="172"/>
      <c r="S7" s="172"/>
      <c r="T7" s="172"/>
      <c r="U7" s="172"/>
      <c r="V7" s="172"/>
      <c r="W7" s="172"/>
      <c r="X7" s="172"/>
      <c r="Y7" s="172"/>
      <c r="Z7" s="172"/>
      <c r="AA7" s="172"/>
      <c r="AB7" s="172"/>
      <c r="AC7" s="172"/>
      <c r="AD7" s="172"/>
      <c r="AE7" s="172"/>
      <c r="AF7" s="172"/>
      <c r="AG7" s="172"/>
      <c r="AH7" s="172"/>
      <c r="AI7" s="172"/>
      <c r="AJ7" s="172"/>
      <c r="AK7" s="172"/>
      <c r="AL7" s="1"/>
      <c r="AM7" s="1"/>
      <c r="AN7" s="1"/>
      <c r="AO7" s="1"/>
    </row>
    <row r="8" spans="1:41" s="306" customFormat="1" ht="18" customHeight="1">
      <c r="A8" s="29" t="s">
        <v>81</v>
      </c>
      <c r="B8" s="1204" t="str">
        <f>IF('Sch-1'!G9=0, "", 'Sch-1'!G9)</f>
        <v/>
      </c>
      <c r="C8" s="1204"/>
      <c r="D8" s="1204"/>
      <c r="E8" s="286" t="str">
        <f>'Sch-1'!M9</f>
        <v>Power Grid Corporation of India Ltd.,</v>
      </c>
      <c r="F8" s="1"/>
      <c r="G8" s="179"/>
      <c r="H8" s="1"/>
      <c r="I8" s="1"/>
      <c r="J8" s="1"/>
      <c r="K8" s="1"/>
      <c r="L8" s="1"/>
      <c r="M8" s="1"/>
      <c r="N8" s="1"/>
      <c r="O8" s="1"/>
      <c r="P8" s="1"/>
      <c r="Q8" s="1"/>
      <c r="R8" s="172"/>
      <c r="S8" s="172"/>
      <c r="T8" s="172"/>
      <c r="U8" s="172"/>
      <c r="V8" s="172"/>
      <c r="W8" s="172"/>
      <c r="X8" s="172"/>
      <c r="Y8" s="172"/>
      <c r="Z8" s="172"/>
      <c r="AA8" s="172"/>
      <c r="AB8" s="172"/>
      <c r="AC8" s="172"/>
      <c r="AD8" s="172"/>
      <c r="AE8" s="172"/>
      <c r="AF8" s="172"/>
      <c r="AG8" s="172"/>
      <c r="AH8" s="172"/>
      <c r="AI8" s="172"/>
      <c r="AJ8" s="172"/>
      <c r="AK8" s="172"/>
      <c r="AL8" s="1"/>
      <c r="AM8" s="1"/>
      <c r="AN8" s="1"/>
      <c r="AO8" s="1"/>
    </row>
    <row r="9" spans="1:41" s="306" customFormat="1" ht="18" customHeight="1">
      <c r="A9" s="29" t="s">
        <v>83</v>
      </c>
      <c r="B9" s="1204" t="str">
        <f>IF('Sch-1'!G10=0, "", 'Sch-1'!G10)</f>
        <v/>
      </c>
      <c r="C9" s="1204"/>
      <c r="D9" s="1204"/>
      <c r="E9" s="286" t="str">
        <f>'Sch-1'!M10</f>
        <v>SRTS-II, RHQ</v>
      </c>
      <c r="F9" s="1"/>
      <c r="G9" s="179"/>
      <c r="H9" s="1"/>
      <c r="I9" s="1"/>
      <c r="J9" s="1"/>
      <c r="K9" s="1"/>
      <c r="L9" s="1"/>
      <c r="M9" s="1"/>
      <c r="N9" s="1"/>
      <c r="O9" s="1"/>
      <c r="P9" s="1"/>
      <c r="Q9" s="1"/>
      <c r="R9" s="172"/>
      <c r="S9" s="172"/>
      <c r="T9" s="172"/>
      <c r="U9" s="172"/>
      <c r="V9" s="172"/>
      <c r="W9" s="172"/>
      <c r="X9" s="172"/>
      <c r="Y9" s="172"/>
      <c r="Z9" s="172"/>
      <c r="AA9" s="172"/>
      <c r="AB9" s="172"/>
      <c r="AC9" s="172"/>
      <c r="AD9" s="172"/>
      <c r="AE9" s="172"/>
      <c r="AF9" s="172"/>
      <c r="AG9" s="172"/>
      <c r="AH9" s="172"/>
      <c r="AI9" s="172"/>
      <c r="AJ9" s="172"/>
      <c r="AK9" s="172"/>
      <c r="AL9" s="1"/>
      <c r="AM9" s="1"/>
      <c r="AN9" s="1"/>
      <c r="AO9" s="1"/>
    </row>
    <row r="10" spans="1:41" s="306" customFormat="1" ht="18" customHeight="1">
      <c r="A10" s="30"/>
      <c r="B10" s="1204" t="str">
        <f>IF('Sch-1'!G11=0, "", 'Sch-1'!G11)</f>
        <v/>
      </c>
      <c r="C10" s="1204"/>
      <c r="D10" s="1204"/>
      <c r="E10" s="286" t="str">
        <f>'Sch-1'!M11</f>
        <v>Singanayakanahalli</v>
      </c>
      <c r="F10" s="1"/>
      <c r="G10" s="179"/>
      <c r="H10" s="1"/>
      <c r="I10" s="1"/>
      <c r="J10" s="1"/>
      <c r="K10" s="4" t="s">
        <v>161</v>
      </c>
      <c r="L10" s="1"/>
      <c r="M10" s="288" t="e">
        <f>'Sch-1'!#REF!</f>
        <v>#REF!</v>
      </c>
      <c r="N10" s="1"/>
      <c r="O10" s="1"/>
      <c r="P10" s="1"/>
      <c r="Q10" s="1"/>
      <c r="R10" s="172"/>
      <c r="S10" s="172"/>
      <c r="T10" s="172"/>
      <c r="U10" s="172"/>
      <c r="V10" s="172"/>
      <c r="W10" s="172"/>
      <c r="X10" s="172"/>
      <c r="Y10" s="172"/>
      <c r="Z10" s="172"/>
      <c r="AA10" s="172"/>
      <c r="AB10" s="172"/>
      <c r="AC10" s="172"/>
      <c r="AD10" s="172"/>
      <c r="AE10" s="172"/>
      <c r="AF10" s="172"/>
      <c r="AG10" s="172"/>
      <c r="AH10" s="172"/>
      <c r="AI10" s="172"/>
      <c r="AJ10" s="172"/>
      <c r="AK10" s="172"/>
      <c r="AL10" s="1"/>
      <c r="AM10" s="1"/>
      <c r="AN10" s="1"/>
      <c r="AO10" s="1"/>
    </row>
    <row r="11" spans="1:41" s="306" customFormat="1" ht="18" customHeight="1">
      <c r="A11" s="30"/>
      <c r="B11" s="1204" t="str">
        <f>IF('Sch-1'!G12=0, "", 'Sch-1'!G12)</f>
        <v/>
      </c>
      <c r="C11" s="1204"/>
      <c r="D11" s="1204"/>
      <c r="E11" s="286" t="str">
        <f>'Sch-1'!M12</f>
        <v>Bengaluru-560064</v>
      </c>
      <c r="F11" s="1"/>
      <c r="G11" s="179"/>
      <c r="H11" s="1"/>
      <c r="I11" s="1"/>
      <c r="J11" s="1"/>
      <c r="K11" s="4"/>
      <c r="L11" s="1"/>
      <c r="M11" s="288"/>
      <c r="N11" s="1"/>
      <c r="O11" s="1"/>
      <c r="P11" s="1"/>
      <c r="Q11" s="1"/>
      <c r="R11" s="172"/>
      <c r="S11" s="172"/>
      <c r="T11" s="172"/>
      <c r="U11" s="172"/>
      <c r="V11" s="172"/>
      <c r="W11" s="172"/>
      <c r="X11" s="172"/>
      <c r="Y11" s="172"/>
      <c r="Z11" s="172"/>
      <c r="AA11" s="172"/>
      <c r="AB11" s="172"/>
      <c r="AC11" s="172"/>
      <c r="AD11" s="172"/>
      <c r="AE11" s="172"/>
      <c r="AF11" s="172"/>
      <c r="AG11" s="172"/>
      <c r="AH11" s="172"/>
      <c r="AI11" s="172"/>
      <c r="AJ11" s="172"/>
      <c r="AK11" s="172"/>
      <c r="AL11" s="1"/>
      <c r="AM11" s="1"/>
      <c r="AN11" s="1"/>
      <c r="AO11" s="1"/>
    </row>
    <row r="12" spans="1:41" s="306" customFormat="1" ht="18" customHeight="1">
      <c r="A12" s="30"/>
      <c r="B12" s="792"/>
      <c r="C12" s="792"/>
      <c r="D12" s="792"/>
      <c r="E12" s="286"/>
      <c r="F12" s="1"/>
      <c r="G12" s="179"/>
      <c r="H12" s="1"/>
      <c r="I12" s="1"/>
      <c r="J12" s="1"/>
      <c r="K12" s="4"/>
      <c r="L12" s="1"/>
      <c r="M12" s="288"/>
      <c r="N12" s="1"/>
      <c r="O12" s="1"/>
      <c r="P12" s="1"/>
      <c r="Q12" s="1"/>
      <c r="R12" s="172"/>
      <c r="S12" s="172"/>
      <c r="T12" s="172"/>
      <c r="U12" s="172"/>
      <c r="V12" s="172"/>
      <c r="W12" s="172"/>
      <c r="X12" s="172"/>
      <c r="Y12" s="172"/>
      <c r="Z12" s="172"/>
      <c r="AA12" s="172"/>
      <c r="AB12" s="172"/>
      <c r="AC12" s="172"/>
      <c r="AD12" s="172"/>
      <c r="AE12" s="172"/>
      <c r="AF12" s="172"/>
      <c r="AG12" s="172"/>
      <c r="AH12" s="172"/>
      <c r="AI12" s="172"/>
      <c r="AJ12" s="172"/>
      <c r="AK12" s="172"/>
      <c r="AL12" s="1"/>
      <c r="AM12" s="1"/>
      <c r="AN12" s="1"/>
      <c r="AO12" s="1"/>
    </row>
    <row r="13" spans="1:41" s="306" customFormat="1" ht="18" customHeight="1">
      <c r="A13" s="30"/>
      <c r="B13" s="29"/>
      <c r="C13" s="29"/>
      <c r="D13" s="29"/>
      <c r="E13" s="29"/>
      <c r="F13" s="8" t="s">
        <v>88</v>
      </c>
      <c r="G13" s="180"/>
      <c r="H13" s="1"/>
      <c r="I13" s="1"/>
      <c r="J13" s="1"/>
      <c r="K13" s="1"/>
      <c r="L13" s="1182" t="s">
        <v>162</v>
      </c>
      <c r="M13" s="1182"/>
      <c r="N13" s="6" t="s">
        <v>142</v>
      </c>
      <c r="O13" s="1182" t="s">
        <v>163</v>
      </c>
      <c r="P13" s="1182"/>
      <c r="Q13" s="1"/>
      <c r="R13" s="172"/>
      <c r="S13" s="172"/>
      <c r="T13" s="172"/>
      <c r="U13" s="172"/>
      <c r="V13" s="172"/>
      <c r="W13" s="172"/>
      <c r="X13" s="172"/>
      <c r="Y13" s="172"/>
      <c r="Z13" s="172"/>
      <c r="AA13" s="172"/>
      <c r="AB13" s="172"/>
      <c r="AC13" s="172"/>
      <c r="AD13" s="172"/>
      <c r="AE13" s="172"/>
      <c r="AF13" s="172"/>
      <c r="AG13" s="172"/>
      <c r="AH13" s="172"/>
      <c r="AI13" s="172"/>
      <c r="AJ13" s="172"/>
      <c r="AK13" s="172"/>
      <c r="AL13" s="1"/>
      <c r="AM13" s="1"/>
      <c r="AN13" s="1"/>
      <c r="AO13" s="1"/>
    </row>
    <row r="14" spans="1:41" s="306" customFormat="1" ht="43.5" customHeight="1">
      <c r="A14" s="14" t="s">
        <v>89</v>
      </c>
      <c r="B14" s="14" t="s">
        <v>147</v>
      </c>
      <c r="C14" s="66" t="s">
        <v>99</v>
      </c>
      <c r="D14" s="66" t="s">
        <v>148</v>
      </c>
      <c r="E14" s="67" t="s">
        <v>164</v>
      </c>
      <c r="F14" s="67" t="s">
        <v>165</v>
      </c>
      <c r="G14" s="172"/>
      <c r="H14" s="1"/>
      <c r="I14" s="1"/>
      <c r="J14" s="1"/>
      <c r="K14" s="1"/>
      <c r="L14" s="285" t="s">
        <v>164</v>
      </c>
      <c r="M14" s="285" t="s">
        <v>165</v>
      </c>
      <c r="N14" s="6"/>
      <c r="O14" s="285" t="s">
        <v>164</v>
      </c>
      <c r="P14" s="285" t="s">
        <v>165</v>
      </c>
      <c r="Q14" s="1"/>
      <c r="R14" s="172"/>
      <c r="S14" s="172"/>
      <c r="T14" s="172"/>
      <c r="U14" s="172"/>
      <c r="V14" s="172"/>
      <c r="W14" s="172"/>
      <c r="X14" s="172"/>
      <c r="Y14" s="172"/>
      <c r="Z14" s="172"/>
      <c r="AA14" s="172"/>
      <c r="AB14" s="172"/>
      <c r="AC14" s="172"/>
      <c r="AD14" s="172"/>
      <c r="AE14" s="172"/>
      <c r="AF14" s="172"/>
      <c r="AG14" s="172"/>
      <c r="AH14" s="172"/>
      <c r="AI14" s="172"/>
      <c r="AJ14" s="172"/>
      <c r="AK14" s="172"/>
      <c r="AL14" s="1"/>
      <c r="AM14" s="1"/>
      <c r="AN14" s="1"/>
      <c r="AO14" s="1"/>
    </row>
    <row r="15" spans="1:41" s="306" customFormat="1" ht="18" customHeight="1">
      <c r="A15" s="9">
        <v>1</v>
      </c>
      <c r="B15" s="9">
        <v>2</v>
      </c>
      <c r="C15" s="9">
        <v>3</v>
      </c>
      <c r="D15" s="9">
        <v>4</v>
      </c>
      <c r="E15" s="9">
        <v>5</v>
      </c>
      <c r="F15" s="9" t="s">
        <v>136</v>
      </c>
      <c r="G15" s="182"/>
      <c r="H15" s="1"/>
      <c r="I15" s="1"/>
      <c r="J15" s="1"/>
      <c r="K15" s="1"/>
      <c r="L15" s="175">
        <v>5</v>
      </c>
      <c r="M15" s="175" t="s">
        <v>136</v>
      </c>
      <c r="N15" s="6"/>
      <c r="O15" s="175">
        <v>5</v>
      </c>
      <c r="P15" s="175" t="s">
        <v>136</v>
      </c>
      <c r="Q15" s="1"/>
      <c r="R15" s="172"/>
      <c r="S15" s="172"/>
      <c r="T15" s="172"/>
      <c r="U15" s="172"/>
      <c r="V15" s="172"/>
      <c r="W15" s="172"/>
      <c r="X15" s="172"/>
      <c r="Y15" s="172"/>
      <c r="Z15" s="172"/>
      <c r="AA15" s="172"/>
      <c r="AB15" s="172"/>
      <c r="AC15" s="172"/>
      <c r="AD15" s="172"/>
      <c r="AE15" s="172"/>
      <c r="AF15" s="172"/>
      <c r="AG15" s="172"/>
      <c r="AH15" s="172"/>
      <c r="AI15" s="172"/>
      <c r="AJ15" s="172"/>
      <c r="AK15" s="172"/>
      <c r="AL15" s="1"/>
      <c r="AM15" s="1"/>
      <c r="AN15" s="1"/>
      <c r="AO15" s="1"/>
    </row>
    <row r="16" spans="1:41" s="418" customFormat="1">
      <c r="A16" s="467" t="e">
        <f>'Sch-2'!#REF!</f>
        <v>#REF!</v>
      </c>
      <c r="B16" s="467" t="e">
        <f>'Sch-2'!#REF!</f>
        <v>#REF!</v>
      </c>
      <c r="C16" s="467"/>
      <c r="D16" s="467"/>
      <c r="E16" s="369"/>
      <c r="F16" s="369"/>
      <c r="G16" s="420"/>
    </row>
    <row r="17" spans="1:7" s="419" customFormat="1" ht="21" customHeight="1">
      <c r="A17" s="467" t="e">
        <f>'Sch-2'!#REF!</f>
        <v>#REF!</v>
      </c>
      <c r="B17" s="467" t="e">
        <f>'Sch-2'!#REF!</f>
        <v>#REF!</v>
      </c>
      <c r="C17" s="467" t="e">
        <f>'Sch-2'!#REF!</f>
        <v>#REF!</v>
      </c>
      <c r="D17" s="467" t="e">
        <f>'Sch-2'!#REF!</f>
        <v>#REF!</v>
      </c>
      <c r="E17" s="369" t="e">
        <f>'Sch-2'!#REF!</f>
        <v>#REF!</v>
      </c>
      <c r="F17" s="369" t="e">
        <f t="shared" ref="F17:F54" si="0">IF(E17=0, "Included", IF(ISERROR(D17*E17), E17, D17*E17))</f>
        <v>#REF!</v>
      </c>
      <c r="G17" s="421"/>
    </row>
    <row r="18" spans="1:7" s="419" customFormat="1" ht="21" customHeight="1">
      <c r="A18" s="467"/>
      <c r="B18" s="467"/>
      <c r="C18" s="467"/>
      <c r="D18" s="467"/>
      <c r="E18" s="369"/>
      <c r="F18" s="369"/>
      <c r="G18" s="421"/>
    </row>
    <row r="19" spans="1:7" s="419" customFormat="1" ht="21" customHeight="1">
      <c r="A19" s="467" t="e">
        <f>'Sch-2'!#REF!</f>
        <v>#REF!</v>
      </c>
      <c r="B19" s="467" t="e">
        <f>'Sch-2'!#REF!</f>
        <v>#REF!</v>
      </c>
      <c r="C19" s="467" t="e">
        <f>'Sch-2'!#REF!</f>
        <v>#REF!</v>
      </c>
      <c r="D19" s="467" t="e">
        <f>'Sch-2'!#REF!</f>
        <v>#REF!</v>
      </c>
      <c r="E19" s="369" t="e">
        <f>'Sch-2'!#REF!</f>
        <v>#REF!</v>
      </c>
      <c r="F19" s="369" t="e">
        <f t="shared" si="0"/>
        <v>#REF!</v>
      </c>
      <c r="G19" s="421"/>
    </row>
    <row r="20" spans="1:7" s="418" customFormat="1" ht="67.5" customHeight="1">
      <c r="A20" s="467"/>
      <c r="B20" s="467"/>
      <c r="C20" s="467"/>
      <c r="D20" s="467"/>
      <c r="E20" s="369"/>
      <c r="F20" s="369"/>
      <c r="G20" s="420"/>
    </row>
    <row r="21" spans="1:7" s="419" customFormat="1" ht="21" customHeight="1">
      <c r="A21" s="467" t="e">
        <f>'Sch-2'!#REF!</f>
        <v>#REF!</v>
      </c>
      <c r="B21" s="467" t="e">
        <f>'Sch-2'!#REF!</f>
        <v>#REF!</v>
      </c>
      <c r="C21" s="467"/>
      <c r="D21" s="467"/>
      <c r="E21" s="369"/>
      <c r="F21" s="369"/>
      <c r="G21" s="421"/>
    </row>
    <row r="22" spans="1:7" s="419" customFormat="1" ht="21" customHeight="1">
      <c r="A22" s="467" t="e">
        <f>'Sch-2'!#REF!</f>
        <v>#REF!</v>
      </c>
      <c r="B22" s="467" t="e">
        <f>'Sch-2'!#REF!</f>
        <v>#REF!</v>
      </c>
      <c r="C22" s="467" t="e">
        <f>'Sch-2'!#REF!</f>
        <v>#REF!</v>
      </c>
      <c r="D22" s="467" t="e">
        <f>'Sch-2'!#REF!</f>
        <v>#REF!</v>
      </c>
      <c r="E22" s="369" t="e">
        <f>'Sch-2'!#REF!</f>
        <v>#REF!</v>
      </c>
      <c r="F22" s="369" t="e">
        <f t="shared" si="0"/>
        <v>#REF!</v>
      </c>
      <c r="G22" s="421"/>
    </row>
    <row r="23" spans="1:7" s="419" customFormat="1" ht="21" customHeight="1">
      <c r="A23" s="467" t="e">
        <f>'Sch-2'!#REF!</f>
        <v>#REF!</v>
      </c>
      <c r="B23" s="467" t="e">
        <f>'Sch-2'!#REF!</f>
        <v>#REF!</v>
      </c>
      <c r="C23" s="467" t="e">
        <f>'Sch-2'!#REF!</f>
        <v>#REF!</v>
      </c>
      <c r="D23" s="467" t="e">
        <f>'Sch-2'!#REF!</f>
        <v>#REF!</v>
      </c>
      <c r="E23" s="369" t="e">
        <f>'Sch-2'!#REF!</f>
        <v>#REF!</v>
      </c>
      <c r="F23" s="369" t="e">
        <f t="shared" si="0"/>
        <v>#REF!</v>
      </c>
      <c r="G23" s="421"/>
    </row>
    <row r="24" spans="1:7" s="418" customFormat="1">
      <c r="A24" s="467"/>
      <c r="B24" s="467"/>
      <c r="C24" s="467"/>
      <c r="D24" s="467"/>
      <c r="E24" s="369"/>
      <c r="F24" s="369"/>
      <c r="G24" s="420"/>
    </row>
    <row r="25" spans="1:7" s="419" customFormat="1" ht="19.5" customHeight="1">
      <c r="A25" s="467" t="e">
        <f>'Sch-2'!#REF!</f>
        <v>#REF!</v>
      </c>
      <c r="B25" s="467" t="e">
        <f>'Sch-2'!#REF!</f>
        <v>#REF!</v>
      </c>
      <c r="C25" s="467"/>
      <c r="D25" s="467"/>
      <c r="E25" s="369"/>
      <c r="F25" s="369"/>
      <c r="G25" s="421"/>
    </row>
    <row r="26" spans="1:7" s="419" customFormat="1" ht="18.75" customHeight="1">
      <c r="A26" s="467" t="e">
        <f>'Sch-2'!#REF!</f>
        <v>#REF!</v>
      </c>
      <c r="B26" s="467" t="e">
        <f>'Sch-2'!#REF!</f>
        <v>#REF!</v>
      </c>
      <c r="C26" s="467" t="e">
        <f>'Sch-2'!#REF!</f>
        <v>#REF!</v>
      </c>
      <c r="D26" s="467" t="e">
        <f>'Sch-2'!#REF!</f>
        <v>#REF!</v>
      </c>
      <c r="E26" s="369" t="e">
        <f>'Sch-2'!#REF!</f>
        <v>#REF!</v>
      </c>
      <c r="F26" s="369" t="e">
        <f t="shared" si="0"/>
        <v>#REF!</v>
      </c>
      <c r="G26" s="421"/>
    </row>
    <row r="27" spans="1:7" s="418" customFormat="1" ht="21.75" customHeight="1">
      <c r="A27" s="467" t="e">
        <f>'Sch-2'!#REF!</f>
        <v>#REF!</v>
      </c>
      <c r="B27" s="467" t="e">
        <f>'Sch-2'!#REF!</f>
        <v>#REF!</v>
      </c>
      <c r="C27" s="467" t="e">
        <f>'Sch-2'!#REF!</f>
        <v>#REF!</v>
      </c>
      <c r="D27" s="467" t="e">
        <f>'Sch-2'!#REF!</f>
        <v>#REF!</v>
      </c>
      <c r="E27" s="369" t="e">
        <f>'Sch-2'!#REF!</f>
        <v>#REF!</v>
      </c>
      <c r="F27" s="369" t="e">
        <f t="shared" si="0"/>
        <v>#REF!</v>
      </c>
      <c r="G27" s="420"/>
    </row>
    <row r="28" spans="1:7" s="419" customFormat="1" ht="17.25" customHeight="1">
      <c r="A28" s="467" t="e">
        <f>'Sch-2'!#REF!</f>
        <v>#REF!</v>
      </c>
      <c r="B28" s="467" t="e">
        <f>'Sch-2'!#REF!</f>
        <v>#REF!</v>
      </c>
      <c r="C28" s="467" t="e">
        <f>'Sch-2'!#REF!</f>
        <v>#REF!</v>
      </c>
      <c r="D28" s="467" t="e">
        <f>'Sch-2'!#REF!</f>
        <v>#REF!</v>
      </c>
      <c r="E28" s="369" t="e">
        <f>'Sch-2'!#REF!</f>
        <v>#REF!</v>
      </c>
      <c r="F28" s="369" t="e">
        <f t="shared" si="0"/>
        <v>#REF!</v>
      </c>
      <c r="G28" s="421"/>
    </row>
    <row r="29" spans="1:7" s="419" customFormat="1" ht="17.25" customHeight="1">
      <c r="A29" s="467" t="e">
        <f>'Sch-2'!#REF!</f>
        <v>#REF!</v>
      </c>
      <c r="B29" s="467" t="e">
        <f>'Sch-2'!#REF!</f>
        <v>#REF!</v>
      </c>
      <c r="C29" s="467" t="e">
        <f>'Sch-2'!#REF!</f>
        <v>#REF!</v>
      </c>
      <c r="D29" s="467" t="e">
        <f>'Sch-2'!#REF!</f>
        <v>#REF!</v>
      </c>
      <c r="E29" s="369" t="e">
        <f>'Sch-2'!#REF!</f>
        <v>#REF!</v>
      </c>
      <c r="F29" s="369" t="e">
        <f t="shared" si="0"/>
        <v>#REF!</v>
      </c>
      <c r="G29" s="421"/>
    </row>
    <row r="30" spans="1:7" s="419" customFormat="1" ht="17.25" customHeight="1">
      <c r="A30" s="467" t="e">
        <f>'Sch-2'!#REF!</f>
        <v>#REF!</v>
      </c>
      <c r="B30" s="467" t="e">
        <f>'Sch-2'!#REF!</f>
        <v>#REF!</v>
      </c>
      <c r="C30" s="467" t="e">
        <f>'Sch-2'!#REF!</f>
        <v>#REF!</v>
      </c>
      <c r="D30" s="467" t="e">
        <f>'Sch-2'!#REF!</f>
        <v>#REF!</v>
      </c>
      <c r="E30" s="369" t="e">
        <f>'Sch-2'!#REF!</f>
        <v>#REF!</v>
      </c>
      <c r="F30" s="369" t="e">
        <f t="shared" si="0"/>
        <v>#REF!</v>
      </c>
      <c r="G30" s="421"/>
    </row>
    <row r="31" spans="1:7" s="419" customFormat="1" ht="17.25" customHeight="1">
      <c r="A31" s="467" t="e">
        <f>'Sch-2'!#REF!</f>
        <v>#REF!</v>
      </c>
      <c r="B31" s="467" t="e">
        <f>'Sch-2'!#REF!</f>
        <v>#REF!</v>
      </c>
      <c r="C31" s="467" t="e">
        <f>'Sch-2'!#REF!</f>
        <v>#REF!</v>
      </c>
      <c r="D31" s="467" t="e">
        <f>'Sch-2'!#REF!</f>
        <v>#REF!</v>
      </c>
      <c r="E31" s="369" t="e">
        <f>'Sch-2'!#REF!</f>
        <v>#REF!</v>
      </c>
      <c r="F31" s="369" t="e">
        <f t="shared" si="0"/>
        <v>#REF!</v>
      </c>
      <c r="G31" s="421"/>
    </row>
    <row r="32" spans="1:7" s="419" customFormat="1" ht="17.25" customHeight="1">
      <c r="A32" s="467"/>
      <c r="B32" s="467"/>
      <c r="C32" s="467"/>
      <c r="D32" s="467"/>
      <c r="E32" s="369"/>
      <c r="F32" s="369"/>
      <c r="G32" s="421"/>
    </row>
    <row r="33" spans="1:7" s="419" customFormat="1" ht="17.25" customHeight="1">
      <c r="A33" s="467" t="e">
        <f>'Sch-2'!#REF!</f>
        <v>#REF!</v>
      </c>
      <c r="B33" s="467" t="e">
        <f>'Sch-2'!#REF!</f>
        <v>#REF!</v>
      </c>
      <c r="C33" s="467"/>
      <c r="D33" s="467"/>
      <c r="E33" s="369"/>
      <c r="F33" s="369"/>
      <c r="G33" s="421"/>
    </row>
    <row r="34" spans="1:7" s="419" customFormat="1" ht="17.25" customHeight="1">
      <c r="A34" s="467" t="e">
        <f>'Sch-2'!#REF!</f>
        <v>#REF!</v>
      </c>
      <c r="B34" s="467" t="e">
        <f>'Sch-2'!#REF!</f>
        <v>#REF!</v>
      </c>
      <c r="C34" s="467" t="e">
        <f>'Sch-2'!#REF!</f>
        <v>#REF!</v>
      </c>
      <c r="D34" s="467" t="e">
        <f>'Sch-2'!#REF!</f>
        <v>#REF!</v>
      </c>
      <c r="E34" s="369" t="e">
        <f>'Sch-2'!#REF!</f>
        <v>#REF!</v>
      </c>
      <c r="F34" s="369" t="e">
        <f t="shared" si="0"/>
        <v>#REF!</v>
      </c>
      <c r="G34" s="421"/>
    </row>
    <row r="35" spans="1:7" s="419" customFormat="1" ht="17.25" customHeight="1">
      <c r="A35" s="467"/>
      <c r="B35" s="467"/>
      <c r="C35" s="467"/>
      <c r="D35" s="467"/>
      <c r="E35" s="369"/>
      <c r="F35" s="369"/>
      <c r="G35" s="421"/>
    </row>
    <row r="36" spans="1:7" s="419" customFormat="1" ht="17.25" customHeight="1">
      <c r="A36" s="467" t="e">
        <f>'Sch-2'!#REF!</f>
        <v>#REF!</v>
      </c>
      <c r="B36" s="467" t="e">
        <f>'Sch-2'!#REF!</f>
        <v>#REF!</v>
      </c>
      <c r="C36" s="467"/>
      <c r="D36" s="467"/>
      <c r="E36" s="369"/>
      <c r="F36" s="369"/>
      <c r="G36" s="421"/>
    </row>
    <row r="37" spans="1:7" s="419" customFormat="1" ht="17.25" customHeight="1">
      <c r="A37" s="467" t="e">
        <f>'Sch-2'!#REF!</f>
        <v>#REF!</v>
      </c>
      <c r="B37" s="467" t="e">
        <f>'Sch-2'!#REF!</f>
        <v>#REF!</v>
      </c>
      <c r="C37" s="467" t="e">
        <f>'Sch-2'!#REF!</f>
        <v>#REF!</v>
      </c>
      <c r="D37" s="467" t="e">
        <f>'Sch-2'!#REF!</f>
        <v>#REF!</v>
      </c>
      <c r="E37" s="369" t="e">
        <f>'Sch-2'!#REF!</f>
        <v>#REF!</v>
      </c>
      <c r="F37" s="369" t="e">
        <f t="shared" si="0"/>
        <v>#REF!</v>
      </c>
      <c r="G37" s="421"/>
    </row>
    <row r="38" spans="1:7" s="419" customFormat="1" ht="17.25" customHeight="1">
      <c r="A38" s="467" t="e">
        <f>'Sch-2'!#REF!</f>
        <v>#REF!</v>
      </c>
      <c r="B38" s="467" t="e">
        <f>'Sch-2'!#REF!</f>
        <v>#REF!</v>
      </c>
      <c r="C38" s="467" t="e">
        <f>'Sch-2'!#REF!</f>
        <v>#REF!</v>
      </c>
      <c r="D38" s="467" t="e">
        <f>'Sch-2'!#REF!</f>
        <v>#REF!</v>
      </c>
      <c r="E38" s="369" t="e">
        <f>'Sch-2'!#REF!</f>
        <v>#REF!</v>
      </c>
      <c r="F38" s="369" t="e">
        <f t="shared" si="0"/>
        <v>#REF!</v>
      </c>
      <c r="G38" s="421"/>
    </row>
    <row r="39" spans="1:7" s="419" customFormat="1" ht="17.25" customHeight="1">
      <c r="A39" s="467" t="e">
        <f>'Sch-2'!#REF!</f>
        <v>#REF!</v>
      </c>
      <c r="B39" s="467" t="e">
        <f>'Sch-2'!#REF!</f>
        <v>#REF!</v>
      </c>
      <c r="C39" s="467" t="e">
        <f>'Sch-2'!#REF!</f>
        <v>#REF!</v>
      </c>
      <c r="D39" s="467" t="e">
        <f>'Sch-2'!#REF!</f>
        <v>#REF!</v>
      </c>
      <c r="E39" s="369" t="e">
        <f>'Sch-2'!#REF!</f>
        <v>#REF!</v>
      </c>
      <c r="F39" s="369" t="e">
        <f t="shared" si="0"/>
        <v>#REF!</v>
      </c>
      <c r="G39" s="421"/>
    </row>
    <row r="40" spans="1:7" s="419" customFormat="1" ht="17.25" customHeight="1">
      <c r="A40" s="467" t="e">
        <f>'Sch-2'!#REF!</f>
        <v>#REF!</v>
      </c>
      <c r="B40" s="467" t="e">
        <f>'Sch-2'!#REF!</f>
        <v>#REF!</v>
      </c>
      <c r="C40" s="467" t="e">
        <f>'Sch-2'!#REF!</f>
        <v>#REF!</v>
      </c>
      <c r="D40" s="467" t="e">
        <f>'Sch-2'!#REF!</f>
        <v>#REF!</v>
      </c>
      <c r="E40" s="369" t="e">
        <f>'Sch-2'!#REF!</f>
        <v>#REF!</v>
      </c>
      <c r="F40" s="369" t="e">
        <f t="shared" si="0"/>
        <v>#REF!</v>
      </c>
      <c r="G40" s="421"/>
    </row>
    <row r="41" spans="1:7" s="419" customFormat="1" ht="17.25" customHeight="1">
      <c r="A41" s="467"/>
      <c r="B41" s="467"/>
      <c r="C41" s="467"/>
      <c r="D41" s="467"/>
      <c r="E41" s="369"/>
      <c r="F41" s="369"/>
      <c r="G41" s="421"/>
    </row>
    <row r="42" spans="1:7" s="419" customFormat="1" ht="17.25" customHeight="1">
      <c r="A42" s="467" t="e">
        <f>'Sch-2'!#REF!</f>
        <v>#REF!</v>
      </c>
      <c r="B42" s="467" t="e">
        <f>'Sch-2'!#REF!</f>
        <v>#REF!</v>
      </c>
      <c r="C42" s="467"/>
      <c r="D42" s="467"/>
      <c r="E42" s="369"/>
      <c r="F42" s="369"/>
      <c r="G42" s="421"/>
    </row>
    <row r="43" spans="1:7" s="419" customFormat="1" ht="17.25" customHeight="1">
      <c r="A43" s="467" t="e">
        <f>'Sch-2'!#REF!</f>
        <v>#REF!</v>
      </c>
      <c r="B43" s="467" t="e">
        <f>'Sch-2'!#REF!</f>
        <v>#REF!</v>
      </c>
      <c r="C43" s="467" t="e">
        <f>'Sch-2'!#REF!</f>
        <v>#REF!</v>
      </c>
      <c r="D43" s="467" t="e">
        <f>'Sch-2'!#REF!</f>
        <v>#REF!</v>
      </c>
      <c r="E43" s="369" t="e">
        <f>'Sch-2'!#REF!</f>
        <v>#REF!</v>
      </c>
      <c r="F43" s="369" t="e">
        <f t="shared" si="0"/>
        <v>#REF!</v>
      </c>
      <c r="G43" s="421"/>
    </row>
    <row r="44" spans="1:7" s="419" customFormat="1" ht="17.25" customHeight="1">
      <c r="A44" s="467" t="e">
        <f>'Sch-2'!#REF!</f>
        <v>#REF!</v>
      </c>
      <c r="B44" s="467" t="e">
        <f>'Sch-2'!#REF!</f>
        <v>#REF!</v>
      </c>
      <c r="C44" s="467" t="e">
        <f>'Sch-2'!#REF!</f>
        <v>#REF!</v>
      </c>
      <c r="D44" s="467" t="e">
        <f>'Sch-2'!#REF!</f>
        <v>#REF!</v>
      </c>
      <c r="E44" s="369" t="e">
        <f>'Sch-2'!#REF!</f>
        <v>#REF!</v>
      </c>
      <c r="F44" s="369" t="e">
        <f t="shared" si="0"/>
        <v>#REF!</v>
      </c>
      <c r="G44" s="421"/>
    </row>
    <row r="45" spans="1:7" s="419" customFormat="1" ht="17.25" customHeight="1">
      <c r="A45" s="467" t="e">
        <f>'Sch-2'!#REF!</f>
        <v>#REF!</v>
      </c>
      <c r="B45" s="467" t="e">
        <f>'Sch-2'!#REF!</f>
        <v>#REF!</v>
      </c>
      <c r="C45" s="467" t="e">
        <f>'Sch-2'!#REF!</f>
        <v>#REF!</v>
      </c>
      <c r="D45" s="467" t="e">
        <f>'Sch-2'!#REF!</f>
        <v>#REF!</v>
      </c>
      <c r="E45" s="369" t="e">
        <f>'Sch-2'!#REF!</f>
        <v>#REF!</v>
      </c>
      <c r="F45" s="369" t="e">
        <f t="shared" si="0"/>
        <v>#REF!</v>
      </c>
      <c r="G45" s="421"/>
    </row>
    <row r="46" spans="1:7" s="419" customFormat="1" ht="17.25" customHeight="1">
      <c r="A46" s="467" t="e">
        <f>'Sch-2'!#REF!</f>
        <v>#REF!</v>
      </c>
      <c r="B46" s="467" t="e">
        <f>'Sch-2'!#REF!</f>
        <v>#REF!</v>
      </c>
      <c r="C46" s="467" t="e">
        <f>'Sch-2'!#REF!</f>
        <v>#REF!</v>
      </c>
      <c r="D46" s="467" t="e">
        <f>'Sch-2'!#REF!</f>
        <v>#REF!</v>
      </c>
      <c r="E46" s="369" t="e">
        <f>'Sch-2'!#REF!</f>
        <v>#REF!</v>
      </c>
      <c r="F46" s="369" t="e">
        <f t="shared" si="0"/>
        <v>#REF!</v>
      </c>
      <c r="G46" s="421"/>
    </row>
    <row r="47" spans="1:7" s="419" customFormat="1" ht="17.25" customHeight="1">
      <c r="A47" s="467" t="e">
        <f>'Sch-2'!#REF!</f>
        <v>#REF!</v>
      </c>
      <c r="B47" s="467" t="e">
        <f>'Sch-2'!#REF!</f>
        <v>#REF!</v>
      </c>
      <c r="C47" s="467" t="e">
        <f>'Sch-2'!#REF!</f>
        <v>#REF!</v>
      </c>
      <c r="D47" s="467" t="e">
        <f>'Sch-2'!#REF!</f>
        <v>#REF!</v>
      </c>
      <c r="E47" s="369" t="e">
        <f>'Sch-2'!#REF!</f>
        <v>#REF!</v>
      </c>
      <c r="F47" s="369" t="e">
        <f t="shared" si="0"/>
        <v>#REF!</v>
      </c>
      <c r="G47" s="421"/>
    </row>
    <row r="48" spans="1:7" s="419" customFormat="1" ht="17.25" customHeight="1">
      <c r="A48" s="467" t="e">
        <f>'Sch-2'!#REF!</f>
        <v>#REF!</v>
      </c>
      <c r="B48" s="467" t="e">
        <f>'Sch-2'!#REF!</f>
        <v>#REF!</v>
      </c>
      <c r="C48" s="467" t="e">
        <f>'Sch-2'!#REF!</f>
        <v>#REF!</v>
      </c>
      <c r="D48" s="467" t="e">
        <f>'Sch-2'!#REF!</f>
        <v>#REF!</v>
      </c>
      <c r="E48" s="369" t="e">
        <f>'Sch-2'!#REF!</f>
        <v>#REF!</v>
      </c>
      <c r="F48" s="369" t="e">
        <f t="shared" si="0"/>
        <v>#REF!</v>
      </c>
      <c r="G48" s="421"/>
    </row>
    <row r="49" spans="1:7" s="419" customFormat="1" ht="17.25" customHeight="1">
      <c r="A49" s="467" t="e">
        <f>'Sch-2'!#REF!</f>
        <v>#REF!</v>
      </c>
      <c r="B49" s="467" t="e">
        <f>'Sch-2'!#REF!</f>
        <v>#REF!</v>
      </c>
      <c r="C49" s="467" t="e">
        <f>'Sch-2'!#REF!</f>
        <v>#REF!</v>
      </c>
      <c r="D49" s="467" t="e">
        <f>'Sch-2'!#REF!</f>
        <v>#REF!</v>
      </c>
      <c r="E49" s="369" t="e">
        <f>'Sch-2'!#REF!</f>
        <v>#REF!</v>
      </c>
      <c r="F49" s="369" t="e">
        <f t="shared" si="0"/>
        <v>#REF!</v>
      </c>
      <c r="G49" s="421"/>
    </row>
    <row r="50" spans="1:7" s="419" customFormat="1" ht="17.25" customHeight="1">
      <c r="A50" s="467" t="e">
        <f>'Sch-2'!#REF!</f>
        <v>#REF!</v>
      </c>
      <c r="B50" s="467" t="e">
        <f>'Sch-2'!#REF!</f>
        <v>#REF!</v>
      </c>
      <c r="C50" s="467" t="e">
        <f>'Sch-2'!#REF!</f>
        <v>#REF!</v>
      </c>
      <c r="D50" s="467" t="e">
        <f>'Sch-2'!#REF!</f>
        <v>#REF!</v>
      </c>
      <c r="E50" s="369" t="e">
        <f>'Sch-2'!#REF!</f>
        <v>#REF!</v>
      </c>
      <c r="F50" s="369" t="e">
        <f t="shared" si="0"/>
        <v>#REF!</v>
      </c>
      <c r="G50" s="421"/>
    </row>
    <row r="51" spans="1:7" s="419" customFormat="1" ht="17.25" customHeight="1">
      <c r="A51" s="467"/>
      <c r="B51" s="467"/>
      <c r="C51" s="467"/>
      <c r="D51" s="467"/>
      <c r="E51" s="369"/>
      <c r="F51" s="369"/>
      <c r="G51" s="421"/>
    </row>
    <row r="52" spans="1:7" s="419" customFormat="1" ht="17.25" customHeight="1">
      <c r="A52" s="467" t="e">
        <f>'Sch-2'!#REF!</f>
        <v>#REF!</v>
      </c>
      <c r="B52" s="467" t="e">
        <f>'Sch-2'!#REF!</f>
        <v>#REF!</v>
      </c>
      <c r="C52" s="467"/>
      <c r="D52" s="467"/>
      <c r="E52" s="369"/>
      <c r="F52" s="369"/>
      <c r="G52" s="421"/>
    </row>
    <row r="53" spans="1:7" s="419" customFormat="1" ht="17.25" customHeight="1">
      <c r="A53" s="467"/>
      <c r="B53" s="467" t="e">
        <f>'Sch-2'!#REF!</f>
        <v>#REF!</v>
      </c>
      <c r="C53" s="467" t="e">
        <f>'Sch-2'!#REF!</f>
        <v>#REF!</v>
      </c>
      <c r="D53" s="467" t="e">
        <f>'Sch-2'!#REF!</f>
        <v>#REF!</v>
      </c>
      <c r="E53" s="369" t="e">
        <f>'Sch-2'!#REF!</f>
        <v>#REF!</v>
      </c>
      <c r="F53" s="369" t="e">
        <f>IF(E53=0, "Included", IF(ISERROR(D53*E53), E53, D53*E53))</f>
        <v>#REF!</v>
      </c>
      <c r="G53" s="421"/>
    </row>
    <row r="54" spans="1:7" s="419" customFormat="1" ht="17.25" customHeight="1">
      <c r="A54" s="467" t="e">
        <f>'Sch-2'!#REF!</f>
        <v>#REF!</v>
      </c>
      <c r="B54" s="467" t="e">
        <f>'Sch-2'!#REF!</f>
        <v>#REF!</v>
      </c>
      <c r="C54" s="467" t="e">
        <f>'Sch-2'!#REF!</f>
        <v>#REF!</v>
      </c>
      <c r="D54" s="467" t="e">
        <f>'Sch-2'!#REF!</f>
        <v>#REF!</v>
      </c>
      <c r="E54" s="369" t="e">
        <f>'Sch-2'!#REF!</f>
        <v>#REF!</v>
      </c>
      <c r="F54" s="369" t="e">
        <f t="shared" si="0"/>
        <v>#REF!</v>
      </c>
      <c r="G54" s="421"/>
    </row>
    <row r="55" spans="1:7" s="419" customFormat="1" ht="17.25" customHeight="1">
      <c r="A55" s="467" t="e">
        <f>'Sch-2'!#REF!</f>
        <v>#REF!</v>
      </c>
      <c r="B55" s="467" t="e">
        <f>'Sch-2'!#REF!</f>
        <v>#REF!</v>
      </c>
      <c r="C55" s="467" t="e">
        <f>'Sch-2'!#REF!</f>
        <v>#REF!</v>
      </c>
      <c r="D55" s="467" t="e">
        <f>'Sch-2'!#REF!</f>
        <v>#REF!</v>
      </c>
      <c r="E55" s="369" t="e">
        <f>'Sch-2'!#REF!</f>
        <v>#REF!</v>
      </c>
      <c r="F55" s="369" t="e">
        <f>IF(E55=0, "Included", IF(ISERROR(D55*E55), E55, D55*E55))</f>
        <v>#REF!</v>
      </c>
      <c r="G55" s="421"/>
    </row>
    <row r="56" spans="1:7" ht="27.95" customHeight="1">
      <c r="A56" s="426"/>
      <c r="B56" s="381" t="s">
        <v>153</v>
      </c>
      <c r="C56" s="381"/>
      <c r="D56" s="381"/>
      <c r="E56" s="367"/>
      <c r="F56" s="367" t="e">
        <f>SUM(F16:F55)</f>
        <v>#REF!</v>
      </c>
    </row>
    <row r="57" spans="1:7" ht="27.95" customHeight="1">
      <c r="A57" s="866"/>
      <c r="B57" s="360"/>
      <c r="C57" s="360"/>
      <c r="D57" s="360"/>
      <c r="E57" s="361"/>
      <c r="F57" s="361"/>
    </row>
    <row r="58" spans="1:7" ht="27.95" customHeight="1">
      <c r="A58" s="865"/>
      <c r="B58" s="430"/>
      <c r="C58" s="3"/>
      <c r="D58" s="3"/>
      <c r="E58" s="3"/>
      <c r="F58" s="3"/>
    </row>
    <row r="59" spans="1:7" ht="27.95" customHeight="1">
      <c r="A59" s="33" t="s">
        <v>118</v>
      </c>
      <c r="B59" s="102" t="str">
        <f>'Sch-1'!F28</f>
        <v>--2025</v>
      </c>
      <c r="C59" s="12"/>
      <c r="D59" s="34"/>
      <c r="E59" s="1"/>
      <c r="F59" s="1"/>
    </row>
    <row r="60" spans="1:7" ht="27.95" customHeight="1">
      <c r="A60" s="33" t="s">
        <v>119</v>
      </c>
      <c r="B60" s="102" t="str">
        <f>'Sch-1'!F29</f>
        <v/>
      </c>
      <c r="C60" s="1"/>
      <c r="D60" s="34" t="s">
        <v>120</v>
      </c>
      <c r="E60" s="174" t="str">
        <f>'Sch-1'!M29</f>
        <v/>
      </c>
      <c r="F60" s="1"/>
    </row>
    <row r="61" spans="1:7" ht="27.95" customHeight="1">
      <c r="A61" s="187"/>
      <c r="B61" s="186"/>
      <c r="C61" s="180"/>
      <c r="D61" s="34" t="s">
        <v>121</v>
      </c>
      <c r="E61" s="174" t="str">
        <f>'Sch-1'!M30</f>
        <v/>
      </c>
      <c r="F61" s="180"/>
    </row>
    <row r="62" spans="1:7" ht="27.95" customHeight="1">
      <c r="A62" s="33"/>
      <c r="B62" s="102"/>
      <c r="C62" s="12"/>
      <c r="D62" s="34"/>
      <c r="E62" s="1"/>
      <c r="F62" s="1"/>
    </row>
    <row r="100" spans="1:41" s="172" customFormat="1">
      <c r="A100" s="867"/>
      <c r="B100" s="867"/>
      <c r="C100" s="867"/>
      <c r="D100" s="867"/>
      <c r="E100" s="867"/>
      <c r="F100" s="867"/>
      <c r="H100" s="35"/>
      <c r="I100" s="35"/>
      <c r="J100" s="35"/>
      <c r="K100" s="35"/>
      <c r="L100" s="35"/>
      <c r="M100" s="35"/>
      <c r="N100" s="1"/>
      <c r="O100" s="35"/>
      <c r="P100" s="35"/>
      <c r="Q100" s="35"/>
      <c r="R100" s="74"/>
      <c r="S100" s="74"/>
      <c r="T100" s="74"/>
      <c r="U100" s="74"/>
      <c r="V100" s="74"/>
      <c r="W100" s="74"/>
      <c r="X100" s="74"/>
      <c r="Y100" s="74"/>
      <c r="Z100" s="74"/>
      <c r="AA100" s="74"/>
      <c r="AB100" s="74"/>
      <c r="AC100" s="74"/>
      <c r="AD100" s="74"/>
      <c r="AE100" s="74"/>
      <c r="AF100" s="74"/>
      <c r="AG100" s="74"/>
      <c r="AH100" s="74"/>
      <c r="AI100" s="74"/>
      <c r="AJ100" s="74"/>
      <c r="AK100" s="74"/>
      <c r="AL100" s="35"/>
      <c r="AM100" s="35"/>
      <c r="AN100" s="35"/>
      <c r="AO100" s="35"/>
    </row>
    <row r="101" spans="1:41" s="172" customFormat="1">
      <c r="A101" s="867"/>
      <c r="B101" s="867"/>
      <c r="C101" s="867"/>
      <c r="D101" s="867"/>
      <c r="E101" s="867"/>
      <c r="F101" s="867"/>
      <c r="H101" s="35"/>
      <c r="I101" s="35"/>
      <c r="J101" s="35"/>
      <c r="K101" s="35"/>
      <c r="L101" s="35"/>
      <c r="M101" s="35"/>
      <c r="N101" s="1"/>
      <c r="O101" s="35"/>
      <c r="P101" s="35"/>
      <c r="Q101" s="35"/>
      <c r="R101" s="74"/>
      <c r="S101" s="74"/>
      <c r="T101" s="74"/>
      <c r="U101" s="74"/>
      <c r="V101" s="74"/>
      <c r="W101" s="74"/>
      <c r="X101" s="74"/>
      <c r="Y101" s="74"/>
      <c r="Z101" s="74"/>
      <c r="AA101" s="74"/>
      <c r="AB101" s="74"/>
      <c r="AC101" s="74"/>
      <c r="AD101" s="74"/>
      <c r="AE101" s="74"/>
      <c r="AF101" s="74"/>
      <c r="AG101" s="74"/>
      <c r="AH101" s="74"/>
      <c r="AI101" s="74"/>
      <c r="AJ101" s="74"/>
      <c r="AK101" s="74"/>
      <c r="AL101" s="35"/>
      <c r="AM101" s="35"/>
      <c r="AN101" s="35"/>
      <c r="AO101" s="35"/>
    </row>
    <row r="102" spans="1:41" s="172" customFormat="1">
      <c r="A102" s="867"/>
      <c r="B102" s="867"/>
      <c r="C102" s="867"/>
      <c r="D102" s="867"/>
      <c r="E102" s="867"/>
      <c r="F102" s="867"/>
      <c r="H102" s="35"/>
      <c r="I102" s="35"/>
      <c r="J102" s="35"/>
      <c r="K102" s="35"/>
      <c r="L102" s="35"/>
      <c r="M102" s="35"/>
      <c r="N102" s="1"/>
      <c r="O102" s="35"/>
      <c r="P102" s="35"/>
      <c r="Q102" s="35"/>
      <c r="R102" s="74"/>
      <c r="S102" s="74"/>
      <c r="T102" s="74"/>
      <c r="U102" s="74"/>
      <c r="V102" s="74"/>
      <c r="W102" s="74"/>
      <c r="X102" s="74"/>
      <c r="Y102" s="74"/>
      <c r="Z102" s="74"/>
      <c r="AA102" s="74"/>
      <c r="AB102" s="74"/>
      <c r="AC102" s="74"/>
      <c r="AD102" s="74"/>
      <c r="AE102" s="74"/>
      <c r="AF102" s="74"/>
      <c r="AG102" s="74"/>
      <c r="AH102" s="74"/>
      <c r="AI102" s="74"/>
      <c r="AJ102" s="74"/>
      <c r="AK102" s="74"/>
      <c r="AL102" s="35"/>
      <c r="AM102" s="35"/>
      <c r="AN102" s="35"/>
      <c r="AO102" s="35"/>
    </row>
    <row r="103" spans="1:41" s="172" customFormat="1">
      <c r="A103" s="867"/>
      <c r="B103" s="867"/>
      <c r="C103" s="867"/>
      <c r="D103" s="867"/>
      <c r="E103" s="867"/>
      <c r="F103" s="867"/>
      <c r="H103" s="35"/>
      <c r="I103" s="35"/>
      <c r="J103" s="35"/>
      <c r="K103" s="35"/>
      <c r="L103" s="35"/>
      <c r="M103" s="35"/>
      <c r="N103" s="1"/>
      <c r="O103" s="35"/>
      <c r="P103" s="35"/>
      <c r="Q103" s="35"/>
      <c r="R103" s="74"/>
      <c r="S103" s="74"/>
      <c r="T103" s="74"/>
      <c r="U103" s="74"/>
      <c r="V103" s="74"/>
      <c r="W103" s="74"/>
      <c r="X103" s="74"/>
      <c r="Y103" s="74"/>
      <c r="Z103" s="74"/>
      <c r="AA103" s="74"/>
      <c r="AB103" s="74"/>
      <c r="AC103" s="74"/>
      <c r="AD103" s="74"/>
      <c r="AE103" s="74"/>
      <c r="AF103" s="74"/>
      <c r="AG103" s="74"/>
      <c r="AH103" s="74"/>
      <c r="AI103" s="74"/>
      <c r="AJ103" s="74"/>
      <c r="AK103" s="74"/>
      <c r="AL103" s="35"/>
      <c r="AM103" s="35"/>
      <c r="AN103" s="35"/>
      <c r="AO103" s="35"/>
    </row>
    <row r="104" spans="1:41" s="172" customFormat="1">
      <c r="A104" s="867"/>
      <c r="B104" s="867"/>
      <c r="C104" s="867"/>
      <c r="D104" s="867"/>
      <c r="E104" s="867"/>
      <c r="F104" s="867"/>
      <c r="H104" s="35"/>
      <c r="I104" s="35"/>
      <c r="J104" s="35"/>
      <c r="K104" s="35"/>
      <c r="L104" s="35"/>
      <c r="M104" s="35"/>
      <c r="N104" s="1"/>
      <c r="O104" s="35"/>
      <c r="P104" s="35"/>
      <c r="Q104" s="35"/>
      <c r="R104" s="74"/>
      <c r="S104" s="74"/>
      <c r="T104" s="74"/>
      <c r="U104" s="74"/>
      <c r="V104" s="74"/>
      <c r="W104" s="74"/>
      <c r="X104" s="74"/>
      <c r="Y104" s="74"/>
      <c r="Z104" s="74"/>
      <c r="AA104" s="74"/>
      <c r="AB104" s="74"/>
      <c r="AC104" s="74"/>
      <c r="AD104" s="74"/>
      <c r="AE104" s="74"/>
      <c r="AF104" s="74"/>
      <c r="AG104" s="74"/>
      <c r="AH104" s="74"/>
      <c r="AI104" s="74"/>
      <c r="AJ104" s="74"/>
      <c r="AK104" s="74"/>
      <c r="AL104" s="35"/>
      <c r="AM104" s="35"/>
      <c r="AN104" s="35"/>
      <c r="AO104" s="35"/>
    </row>
    <row r="105" spans="1:41" s="172" customFormat="1">
      <c r="A105" s="867"/>
      <c r="B105" s="867"/>
      <c r="C105" s="867"/>
      <c r="D105" s="867"/>
      <c r="E105" s="867"/>
      <c r="F105" s="867"/>
      <c r="H105" s="35"/>
      <c r="I105" s="35"/>
      <c r="J105" s="35"/>
      <c r="K105" s="35"/>
      <c r="L105" s="35"/>
      <c r="M105" s="35"/>
      <c r="N105" s="1"/>
      <c r="O105" s="35"/>
      <c r="P105" s="35"/>
      <c r="Q105" s="35"/>
      <c r="R105" s="74"/>
      <c r="S105" s="74"/>
      <c r="T105" s="74"/>
      <c r="U105" s="74"/>
      <c r="V105" s="74"/>
      <c r="W105" s="74"/>
      <c r="X105" s="74"/>
      <c r="Y105" s="74"/>
      <c r="Z105" s="74"/>
      <c r="AA105" s="74"/>
      <c r="AB105" s="74"/>
      <c r="AC105" s="74"/>
      <c r="AD105" s="74"/>
      <c r="AE105" s="74"/>
      <c r="AF105" s="74"/>
      <c r="AG105" s="74"/>
      <c r="AH105" s="74"/>
      <c r="AI105" s="74"/>
      <c r="AJ105" s="74"/>
      <c r="AK105" s="74"/>
      <c r="AL105" s="35"/>
      <c r="AM105" s="35"/>
      <c r="AN105" s="35"/>
      <c r="AO105" s="35"/>
    </row>
    <row r="106" spans="1:41" s="172" customFormat="1">
      <c r="A106" s="867"/>
      <c r="B106" s="867"/>
      <c r="C106" s="867"/>
      <c r="D106" s="867"/>
      <c r="E106" s="867"/>
      <c r="F106" s="867"/>
      <c r="H106" s="35"/>
      <c r="I106" s="35"/>
      <c r="J106" s="35"/>
      <c r="K106" s="35"/>
      <c r="L106" s="35"/>
      <c r="M106" s="35"/>
      <c r="N106" s="1"/>
      <c r="O106" s="35"/>
      <c r="P106" s="35"/>
      <c r="Q106" s="35"/>
      <c r="R106" s="74"/>
      <c r="S106" s="74"/>
      <c r="T106" s="74"/>
      <c r="U106" s="74"/>
      <c r="V106" s="74"/>
      <c r="W106" s="74"/>
      <c r="X106" s="74"/>
      <c r="Y106" s="74"/>
      <c r="Z106" s="74"/>
      <c r="AA106" s="74"/>
      <c r="AB106" s="74"/>
      <c r="AC106" s="74"/>
      <c r="AD106" s="74"/>
      <c r="AE106" s="74"/>
      <c r="AF106" s="74"/>
      <c r="AG106" s="74"/>
      <c r="AH106" s="74"/>
      <c r="AI106" s="74"/>
      <c r="AJ106" s="74"/>
      <c r="AK106" s="74"/>
      <c r="AL106" s="35"/>
      <c r="AM106" s="35"/>
      <c r="AN106" s="35"/>
      <c r="AO106" s="35"/>
    </row>
    <row r="107" spans="1:41" s="172" customFormat="1">
      <c r="A107" s="867"/>
      <c r="B107" s="867"/>
      <c r="C107" s="867"/>
      <c r="D107" s="867"/>
      <c r="E107" s="867"/>
      <c r="F107" s="867"/>
      <c r="H107" s="35"/>
      <c r="I107" s="35"/>
      <c r="J107" s="35"/>
      <c r="K107" s="35"/>
      <c r="L107" s="35"/>
      <c r="M107" s="35"/>
      <c r="N107" s="1"/>
      <c r="O107" s="35"/>
      <c r="P107" s="35"/>
      <c r="Q107" s="35"/>
      <c r="R107" s="74"/>
      <c r="S107" s="74"/>
      <c r="T107" s="74"/>
      <c r="U107" s="74"/>
      <c r="V107" s="74"/>
      <c r="W107" s="74"/>
      <c r="X107" s="74"/>
      <c r="Y107" s="74"/>
      <c r="Z107" s="74"/>
      <c r="AA107" s="74"/>
      <c r="AB107" s="74"/>
      <c r="AC107" s="74"/>
      <c r="AD107" s="74"/>
      <c r="AE107" s="74"/>
      <c r="AF107" s="74"/>
      <c r="AG107" s="74"/>
      <c r="AH107" s="74"/>
      <c r="AI107" s="74"/>
      <c r="AJ107" s="74"/>
      <c r="AK107" s="74"/>
      <c r="AL107" s="35"/>
      <c r="AM107" s="35"/>
      <c r="AN107" s="35"/>
      <c r="AO107" s="35"/>
    </row>
    <row r="108" spans="1:41" s="172" customFormat="1">
      <c r="A108" s="867"/>
      <c r="B108" s="867"/>
      <c r="C108" s="867"/>
      <c r="D108" s="867"/>
      <c r="E108" s="867"/>
      <c r="F108" s="867"/>
      <c r="H108" s="35"/>
      <c r="I108" s="35"/>
      <c r="J108" s="35"/>
      <c r="K108" s="35"/>
      <c r="L108" s="35"/>
      <c r="M108" s="35"/>
      <c r="N108" s="1"/>
      <c r="O108" s="35"/>
      <c r="P108" s="35"/>
      <c r="Q108" s="35"/>
      <c r="R108" s="74"/>
      <c r="S108" s="74"/>
      <c r="T108" s="74"/>
      <c r="U108" s="74"/>
      <c r="V108" s="74"/>
      <c r="W108" s="74"/>
      <c r="X108" s="74"/>
      <c r="Y108" s="74"/>
      <c r="Z108" s="74"/>
      <c r="AA108" s="74"/>
      <c r="AB108" s="74"/>
      <c r="AC108" s="74"/>
      <c r="AD108" s="74"/>
      <c r="AE108" s="74"/>
      <c r="AF108" s="74"/>
      <c r="AG108" s="74"/>
      <c r="AH108" s="74"/>
      <c r="AI108" s="74"/>
      <c r="AJ108" s="74"/>
      <c r="AK108" s="74"/>
      <c r="AL108" s="35"/>
      <c r="AM108" s="35"/>
      <c r="AN108" s="35"/>
      <c r="AO108" s="35"/>
    </row>
    <row r="109" spans="1:41" s="172" customFormat="1">
      <c r="A109" s="867"/>
      <c r="B109" s="867"/>
      <c r="C109" s="867"/>
      <c r="D109" s="867"/>
      <c r="E109" s="867"/>
      <c r="F109" s="867"/>
      <c r="H109" s="35"/>
      <c r="I109" s="35"/>
      <c r="J109" s="35"/>
      <c r="K109" s="35"/>
      <c r="L109" s="35"/>
      <c r="M109" s="35"/>
      <c r="N109" s="1"/>
      <c r="O109" s="35"/>
      <c r="P109" s="35"/>
      <c r="Q109" s="35"/>
      <c r="R109" s="74"/>
      <c r="S109" s="74"/>
      <c r="T109" s="74"/>
      <c r="U109" s="74"/>
      <c r="V109" s="74"/>
      <c r="W109" s="74"/>
      <c r="X109" s="74"/>
      <c r="Y109" s="74"/>
      <c r="Z109" s="74"/>
      <c r="AA109" s="74"/>
      <c r="AB109" s="74"/>
      <c r="AC109" s="74"/>
      <c r="AD109" s="74"/>
      <c r="AE109" s="74"/>
      <c r="AF109" s="74"/>
      <c r="AG109" s="74"/>
      <c r="AH109" s="74"/>
      <c r="AI109" s="74"/>
      <c r="AJ109" s="74"/>
      <c r="AK109" s="74"/>
      <c r="AL109" s="35"/>
      <c r="AM109" s="35"/>
      <c r="AN109" s="35"/>
      <c r="AO109" s="35"/>
    </row>
    <row r="110" spans="1:41" s="172" customFormat="1">
      <c r="A110" s="867"/>
      <c r="B110" s="867"/>
      <c r="C110" s="867"/>
      <c r="D110" s="867"/>
      <c r="E110" s="867"/>
      <c r="F110" s="867"/>
      <c r="H110" s="35"/>
      <c r="I110" s="35"/>
      <c r="J110" s="35"/>
      <c r="K110" s="35"/>
      <c r="L110" s="35"/>
      <c r="M110" s="35"/>
      <c r="N110" s="1"/>
      <c r="O110" s="35"/>
      <c r="P110" s="35"/>
      <c r="Q110" s="35"/>
      <c r="R110" s="74"/>
      <c r="S110" s="74"/>
      <c r="T110" s="74"/>
      <c r="U110" s="74"/>
      <c r="V110" s="74"/>
      <c r="W110" s="74"/>
      <c r="X110" s="74"/>
      <c r="Y110" s="74"/>
      <c r="Z110" s="74"/>
      <c r="AA110" s="74"/>
      <c r="AB110" s="74"/>
      <c r="AC110" s="74"/>
      <c r="AD110" s="74"/>
      <c r="AE110" s="74"/>
      <c r="AF110" s="74"/>
      <c r="AG110" s="74"/>
      <c r="AH110" s="74"/>
      <c r="AI110" s="74"/>
      <c r="AJ110" s="74"/>
      <c r="AK110" s="74"/>
      <c r="AL110" s="35"/>
      <c r="AM110" s="35"/>
      <c r="AN110" s="35"/>
      <c r="AO110" s="35"/>
    </row>
    <row r="111" spans="1:41" s="172" customFormat="1">
      <c r="A111" s="867"/>
      <c r="B111" s="867"/>
      <c r="C111" s="867"/>
      <c r="D111" s="867"/>
      <c r="E111" s="867"/>
      <c r="F111" s="867"/>
      <c r="H111" s="35"/>
      <c r="I111" s="35"/>
      <c r="J111" s="35"/>
      <c r="K111" s="35"/>
      <c r="L111" s="35"/>
      <c r="M111" s="35"/>
      <c r="N111" s="1"/>
      <c r="O111" s="35"/>
      <c r="P111" s="35"/>
      <c r="Q111" s="35"/>
      <c r="R111" s="74"/>
      <c r="S111" s="74"/>
      <c r="T111" s="74"/>
      <c r="U111" s="74"/>
      <c r="V111" s="74"/>
      <c r="W111" s="74"/>
      <c r="X111" s="74"/>
      <c r="Y111" s="74"/>
      <c r="Z111" s="74"/>
      <c r="AA111" s="74"/>
      <c r="AB111" s="74"/>
      <c r="AC111" s="74"/>
      <c r="AD111" s="74"/>
      <c r="AE111" s="74"/>
      <c r="AF111" s="74"/>
      <c r="AG111" s="74"/>
      <c r="AH111" s="74"/>
      <c r="AI111" s="74"/>
      <c r="AJ111" s="74"/>
      <c r="AK111" s="74"/>
      <c r="AL111" s="35"/>
      <c r="AM111" s="35"/>
      <c r="AN111" s="35"/>
      <c r="AO111" s="35"/>
    </row>
    <row r="112" spans="1:41" s="172" customFormat="1">
      <c r="A112" s="867"/>
      <c r="B112" s="867"/>
      <c r="C112" s="867"/>
      <c r="D112" s="867"/>
      <c r="E112" s="867"/>
      <c r="F112" s="867"/>
      <c r="H112" s="35"/>
      <c r="I112" s="35"/>
      <c r="J112" s="35"/>
      <c r="K112" s="35"/>
      <c r="L112" s="35"/>
      <c r="M112" s="35"/>
      <c r="N112" s="1"/>
      <c r="O112" s="35"/>
      <c r="P112" s="35"/>
      <c r="Q112" s="35"/>
      <c r="R112" s="74"/>
      <c r="S112" s="74"/>
      <c r="T112" s="74"/>
      <c r="U112" s="74"/>
      <c r="V112" s="74"/>
      <c r="W112" s="74"/>
      <c r="X112" s="74"/>
      <c r="Y112" s="74"/>
      <c r="Z112" s="74"/>
      <c r="AA112" s="74"/>
      <c r="AB112" s="74"/>
      <c r="AC112" s="74"/>
      <c r="AD112" s="74"/>
      <c r="AE112" s="74"/>
      <c r="AF112" s="74"/>
      <c r="AG112" s="74"/>
      <c r="AH112" s="74"/>
      <c r="AI112" s="74"/>
      <c r="AJ112" s="74"/>
      <c r="AK112" s="74"/>
      <c r="AL112" s="35"/>
      <c r="AM112" s="35"/>
      <c r="AN112" s="35"/>
      <c r="AO112" s="35"/>
    </row>
    <row r="113" spans="1:41" s="172" customFormat="1">
      <c r="A113" s="867"/>
      <c r="B113" s="867"/>
      <c r="C113" s="867"/>
      <c r="D113" s="867"/>
      <c r="E113" s="867"/>
      <c r="F113" s="867"/>
      <c r="H113" s="35"/>
      <c r="I113" s="35"/>
      <c r="J113" s="35"/>
      <c r="K113" s="35"/>
      <c r="L113" s="35"/>
      <c r="M113" s="35"/>
      <c r="N113" s="1"/>
      <c r="O113" s="35"/>
      <c r="P113" s="35"/>
      <c r="Q113" s="35"/>
      <c r="R113" s="74"/>
      <c r="S113" s="74"/>
      <c r="T113" s="74"/>
      <c r="U113" s="74"/>
      <c r="V113" s="74"/>
      <c r="W113" s="74"/>
      <c r="X113" s="74"/>
      <c r="Y113" s="74"/>
      <c r="Z113" s="74"/>
      <c r="AA113" s="74"/>
      <c r="AB113" s="74"/>
      <c r="AC113" s="74"/>
      <c r="AD113" s="74"/>
      <c r="AE113" s="74"/>
      <c r="AF113" s="74"/>
      <c r="AG113" s="74"/>
      <c r="AH113" s="74"/>
      <c r="AI113" s="74"/>
      <c r="AJ113" s="74"/>
      <c r="AK113" s="74"/>
      <c r="AL113" s="35"/>
      <c r="AM113" s="35"/>
      <c r="AN113" s="35"/>
      <c r="AO113" s="35"/>
    </row>
    <row r="114" spans="1:41" s="172" customFormat="1">
      <c r="A114" s="867"/>
      <c r="B114" s="867"/>
      <c r="C114" s="867"/>
      <c r="D114" s="867"/>
      <c r="E114" s="867"/>
      <c r="F114" s="867"/>
      <c r="H114" s="35"/>
      <c r="I114" s="35"/>
      <c r="J114" s="35"/>
      <c r="K114" s="35"/>
      <c r="L114" s="35"/>
      <c r="M114" s="35"/>
      <c r="N114" s="1"/>
      <c r="O114" s="35"/>
      <c r="P114" s="35"/>
      <c r="Q114" s="35"/>
      <c r="R114" s="74"/>
      <c r="S114" s="74"/>
      <c r="T114" s="74"/>
      <c r="U114" s="74"/>
      <c r="V114" s="74"/>
      <c r="W114" s="74"/>
      <c r="X114" s="74"/>
      <c r="Y114" s="74"/>
      <c r="Z114" s="74"/>
      <c r="AA114" s="74"/>
      <c r="AB114" s="74"/>
      <c r="AC114" s="74"/>
      <c r="AD114" s="74"/>
      <c r="AE114" s="74"/>
      <c r="AF114" s="74"/>
      <c r="AG114" s="74"/>
      <c r="AH114" s="74"/>
      <c r="AI114" s="74"/>
      <c r="AJ114" s="74"/>
      <c r="AK114" s="74"/>
      <c r="AL114" s="35"/>
      <c r="AM114" s="35"/>
      <c r="AN114" s="35"/>
      <c r="AO114" s="35"/>
    </row>
    <row r="115" spans="1:41" s="172" customFormat="1">
      <c r="A115" s="867"/>
      <c r="B115" s="867"/>
      <c r="C115" s="867"/>
      <c r="D115" s="867"/>
      <c r="E115" s="867"/>
      <c r="F115" s="867"/>
      <c r="H115" s="35"/>
      <c r="I115" s="35"/>
      <c r="J115" s="35"/>
      <c r="K115" s="35"/>
      <c r="L115" s="35"/>
      <c r="M115" s="35"/>
      <c r="N115" s="1"/>
      <c r="O115" s="35"/>
      <c r="P115" s="35"/>
      <c r="Q115" s="35"/>
      <c r="R115" s="74"/>
      <c r="S115" s="74"/>
      <c r="T115" s="74"/>
      <c r="U115" s="74"/>
      <c r="V115" s="74"/>
      <c r="W115" s="74"/>
      <c r="X115" s="74"/>
      <c r="Y115" s="74"/>
      <c r="Z115" s="74"/>
      <c r="AA115" s="74"/>
      <c r="AB115" s="74"/>
      <c r="AC115" s="74"/>
      <c r="AD115" s="74"/>
      <c r="AE115" s="74"/>
      <c r="AF115" s="74"/>
      <c r="AG115" s="74"/>
      <c r="AH115" s="74"/>
      <c r="AI115" s="74"/>
      <c r="AJ115" s="74"/>
      <c r="AK115" s="74"/>
      <c r="AL115" s="35"/>
      <c r="AM115" s="35"/>
      <c r="AN115" s="35"/>
      <c r="AO115" s="35"/>
    </row>
    <row r="116" spans="1:41" s="172" customFormat="1">
      <c r="A116" s="867"/>
      <c r="B116" s="867"/>
      <c r="C116" s="867"/>
      <c r="D116" s="867"/>
      <c r="E116" s="867"/>
      <c r="F116" s="867"/>
      <c r="H116" s="35"/>
      <c r="I116" s="35"/>
      <c r="J116" s="35"/>
      <c r="K116" s="35"/>
      <c r="L116" s="35"/>
      <c r="M116" s="35"/>
      <c r="N116" s="1"/>
      <c r="O116" s="35"/>
      <c r="P116" s="35"/>
      <c r="Q116" s="35"/>
      <c r="R116" s="74"/>
      <c r="S116" s="74"/>
      <c r="T116" s="74"/>
      <c r="U116" s="74"/>
      <c r="V116" s="74"/>
      <c r="W116" s="74"/>
      <c r="X116" s="74"/>
      <c r="Y116" s="74"/>
      <c r="Z116" s="74"/>
      <c r="AA116" s="74"/>
      <c r="AB116" s="74"/>
      <c r="AC116" s="74"/>
      <c r="AD116" s="74"/>
      <c r="AE116" s="74"/>
      <c r="AF116" s="74"/>
      <c r="AG116" s="74"/>
      <c r="AH116" s="74"/>
      <c r="AI116" s="74"/>
      <c r="AJ116" s="74"/>
      <c r="AK116" s="74"/>
      <c r="AL116" s="35"/>
      <c r="AM116" s="35"/>
      <c r="AN116" s="35"/>
      <c r="AO116" s="35"/>
    </row>
    <row r="117" spans="1:41" s="172" customFormat="1">
      <c r="A117" s="867"/>
      <c r="B117" s="867"/>
      <c r="C117" s="867"/>
      <c r="D117" s="867"/>
      <c r="E117" s="867"/>
      <c r="F117" s="867"/>
      <c r="H117" s="35"/>
      <c r="I117" s="35"/>
      <c r="J117" s="35"/>
      <c r="K117" s="35"/>
      <c r="L117" s="35"/>
      <c r="M117" s="35"/>
      <c r="N117" s="1"/>
      <c r="O117" s="35"/>
      <c r="P117" s="35"/>
      <c r="Q117" s="35"/>
      <c r="R117" s="74"/>
      <c r="S117" s="74"/>
      <c r="T117" s="74"/>
      <c r="U117" s="74"/>
      <c r="V117" s="74"/>
      <c r="W117" s="74"/>
      <c r="X117" s="74"/>
      <c r="Y117" s="74"/>
      <c r="Z117" s="74"/>
      <c r="AA117" s="74"/>
      <c r="AB117" s="74"/>
      <c r="AC117" s="74"/>
      <c r="AD117" s="74"/>
      <c r="AE117" s="74"/>
      <c r="AF117" s="74"/>
      <c r="AG117" s="74"/>
      <c r="AH117" s="74"/>
      <c r="AI117" s="74"/>
      <c r="AJ117" s="74"/>
      <c r="AK117" s="74"/>
      <c r="AL117" s="35"/>
      <c r="AM117" s="35"/>
      <c r="AN117" s="35"/>
      <c r="AO117" s="35"/>
    </row>
    <row r="118" spans="1:41" s="172" customFormat="1">
      <c r="A118" s="867"/>
      <c r="B118" s="867"/>
      <c r="C118" s="867"/>
      <c r="D118" s="867"/>
      <c r="E118" s="867"/>
      <c r="F118" s="867"/>
      <c r="H118" s="35"/>
      <c r="I118" s="35"/>
      <c r="J118" s="35"/>
      <c r="K118" s="35"/>
      <c r="L118" s="35"/>
      <c r="M118" s="35"/>
      <c r="N118" s="1"/>
      <c r="O118" s="35"/>
      <c r="P118" s="35"/>
      <c r="Q118" s="35"/>
      <c r="R118" s="74"/>
      <c r="S118" s="74"/>
      <c r="T118" s="74"/>
      <c r="U118" s="74"/>
      <c r="V118" s="74"/>
      <c r="W118" s="74"/>
      <c r="X118" s="74"/>
      <c r="Y118" s="74"/>
      <c r="Z118" s="74"/>
      <c r="AA118" s="74"/>
      <c r="AB118" s="74"/>
      <c r="AC118" s="74"/>
      <c r="AD118" s="74"/>
      <c r="AE118" s="74"/>
      <c r="AF118" s="74"/>
      <c r="AG118" s="74"/>
      <c r="AH118" s="74"/>
      <c r="AI118" s="74"/>
      <c r="AJ118" s="74"/>
      <c r="AK118" s="74"/>
      <c r="AL118" s="35"/>
      <c r="AM118" s="35"/>
      <c r="AN118" s="35"/>
      <c r="AO118" s="35"/>
    </row>
    <row r="119" spans="1:41" s="172" customFormat="1">
      <c r="A119" s="867"/>
      <c r="B119" s="867"/>
      <c r="C119" s="867"/>
      <c r="D119" s="867"/>
      <c r="E119" s="867"/>
      <c r="F119" s="867"/>
      <c r="H119" s="35"/>
      <c r="I119" s="35"/>
      <c r="J119" s="35"/>
      <c r="K119" s="35"/>
      <c r="L119" s="35"/>
      <c r="M119" s="35"/>
      <c r="N119" s="1"/>
      <c r="O119" s="35"/>
      <c r="P119" s="35"/>
      <c r="Q119" s="35"/>
      <c r="R119" s="74"/>
      <c r="S119" s="74"/>
      <c r="T119" s="74"/>
      <c r="U119" s="74"/>
      <c r="V119" s="74"/>
      <c r="W119" s="74"/>
      <c r="X119" s="74"/>
      <c r="Y119" s="74"/>
      <c r="Z119" s="74"/>
      <c r="AA119" s="74"/>
      <c r="AB119" s="74"/>
      <c r="AC119" s="74"/>
      <c r="AD119" s="74"/>
      <c r="AE119" s="74"/>
      <c r="AF119" s="74"/>
      <c r="AG119" s="74"/>
      <c r="AH119" s="74"/>
      <c r="AI119" s="74"/>
      <c r="AJ119" s="74"/>
      <c r="AK119" s="74"/>
      <c r="AL119" s="35"/>
      <c r="AM119" s="35"/>
      <c r="AN119" s="35"/>
      <c r="AO119" s="35"/>
    </row>
    <row r="120" spans="1:41" s="172" customFormat="1">
      <c r="A120" s="867"/>
      <c r="B120" s="867"/>
      <c r="C120" s="867"/>
      <c r="D120" s="867"/>
      <c r="E120" s="867"/>
      <c r="F120" s="867"/>
      <c r="H120" s="35"/>
      <c r="I120" s="35"/>
      <c r="J120" s="35"/>
      <c r="K120" s="35"/>
      <c r="L120" s="35"/>
      <c r="M120" s="35"/>
      <c r="N120" s="1"/>
      <c r="O120" s="35"/>
      <c r="P120" s="35"/>
      <c r="Q120" s="35"/>
      <c r="R120" s="74"/>
      <c r="S120" s="74"/>
      <c r="T120" s="74"/>
      <c r="U120" s="74"/>
      <c r="V120" s="74"/>
      <c r="W120" s="74"/>
      <c r="X120" s="74"/>
      <c r="Y120" s="74"/>
      <c r="Z120" s="74"/>
      <c r="AA120" s="74"/>
      <c r="AB120" s="74"/>
      <c r="AC120" s="74"/>
      <c r="AD120" s="74"/>
      <c r="AE120" s="74"/>
      <c r="AF120" s="74"/>
      <c r="AG120" s="74"/>
      <c r="AH120" s="74"/>
      <c r="AI120" s="74"/>
      <c r="AJ120" s="74"/>
      <c r="AK120" s="74"/>
      <c r="AL120" s="35"/>
      <c r="AM120" s="35"/>
      <c r="AN120" s="35"/>
      <c r="AO120" s="35"/>
    </row>
    <row r="121" spans="1:41" s="172" customFormat="1">
      <c r="A121" s="867"/>
      <c r="B121" s="867"/>
      <c r="C121" s="867"/>
      <c r="D121" s="867"/>
      <c r="E121" s="867"/>
      <c r="F121" s="867"/>
      <c r="H121" s="35"/>
      <c r="I121" s="35"/>
      <c r="J121" s="35"/>
      <c r="K121" s="35"/>
      <c r="L121" s="35"/>
      <c r="M121" s="35"/>
      <c r="N121" s="1"/>
      <c r="O121" s="35"/>
      <c r="P121" s="35"/>
      <c r="Q121" s="35"/>
      <c r="R121" s="74"/>
      <c r="S121" s="74"/>
      <c r="T121" s="74"/>
      <c r="U121" s="74"/>
      <c r="V121" s="74"/>
      <c r="W121" s="74"/>
      <c r="X121" s="74"/>
      <c r="Y121" s="74"/>
      <c r="Z121" s="74"/>
      <c r="AA121" s="74"/>
      <c r="AB121" s="74"/>
      <c r="AC121" s="74"/>
      <c r="AD121" s="74"/>
      <c r="AE121" s="74"/>
      <c r="AF121" s="74"/>
      <c r="AG121" s="74"/>
      <c r="AH121" s="74"/>
      <c r="AI121" s="74"/>
      <c r="AJ121" s="74"/>
      <c r="AK121" s="74"/>
      <c r="AL121" s="35"/>
      <c r="AM121" s="35"/>
      <c r="AN121" s="35"/>
      <c r="AO121" s="35"/>
    </row>
    <row r="122" spans="1:41" s="172" customFormat="1">
      <c r="A122" s="867"/>
      <c r="B122" s="867"/>
      <c r="C122" s="867"/>
      <c r="D122" s="867"/>
      <c r="E122" s="867"/>
      <c r="F122" s="867"/>
      <c r="H122" s="35"/>
      <c r="I122" s="35"/>
      <c r="J122" s="35"/>
      <c r="K122" s="35"/>
      <c r="L122" s="35"/>
      <c r="M122" s="35"/>
      <c r="N122" s="1"/>
      <c r="O122" s="35"/>
      <c r="P122" s="35"/>
      <c r="Q122" s="35"/>
      <c r="R122" s="74"/>
      <c r="S122" s="74"/>
      <c r="T122" s="74"/>
      <c r="U122" s="74"/>
      <c r="V122" s="74"/>
      <c r="W122" s="74"/>
      <c r="X122" s="74"/>
      <c r="Y122" s="74"/>
      <c r="Z122" s="74"/>
      <c r="AA122" s="74"/>
      <c r="AB122" s="74"/>
      <c r="AC122" s="74"/>
      <c r="AD122" s="74"/>
      <c r="AE122" s="74"/>
      <c r="AF122" s="74"/>
      <c r="AG122" s="74"/>
      <c r="AH122" s="74"/>
      <c r="AI122" s="74"/>
      <c r="AJ122" s="74"/>
      <c r="AK122" s="74"/>
      <c r="AL122" s="35"/>
      <c r="AM122" s="35"/>
      <c r="AN122" s="35"/>
      <c r="AO122" s="35"/>
    </row>
    <row r="123" spans="1:41" s="172" customFormat="1">
      <c r="A123" s="867"/>
      <c r="B123" s="85"/>
      <c r="C123" s="84"/>
      <c r="D123" s="84"/>
      <c r="E123" s="84"/>
      <c r="F123" s="84"/>
      <c r="H123" s="35"/>
      <c r="I123" s="35"/>
      <c r="J123" s="35"/>
      <c r="K123" s="35"/>
      <c r="L123" s="35"/>
      <c r="M123" s="35"/>
      <c r="N123" s="1"/>
      <c r="O123" s="35"/>
      <c r="P123" s="35"/>
      <c r="Q123" s="35"/>
      <c r="R123" s="74"/>
      <c r="S123" s="74"/>
      <c r="T123" s="74"/>
      <c r="U123" s="74"/>
      <c r="V123" s="74"/>
      <c r="W123" s="74"/>
      <c r="X123" s="74"/>
      <c r="Y123" s="74"/>
      <c r="Z123" s="74"/>
      <c r="AA123" s="74"/>
      <c r="AB123" s="74"/>
      <c r="AC123" s="74"/>
      <c r="AD123" s="74"/>
      <c r="AE123" s="74"/>
      <c r="AF123" s="74"/>
      <c r="AG123" s="74"/>
      <c r="AH123" s="74"/>
      <c r="AI123" s="74"/>
      <c r="AJ123" s="74"/>
      <c r="AK123" s="74"/>
      <c r="AL123" s="35"/>
      <c r="AM123" s="35"/>
      <c r="AN123" s="35"/>
      <c r="AO123" s="35"/>
    </row>
    <row r="124" spans="1:41" s="172" customFormat="1">
      <c r="A124" s="867"/>
      <c r="B124" s="85"/>
      <c r="C124" s="84"/>
      <c r="D124" s="84"/>
      <c r="E124" s="84"/>
      <c r="F124" s="84"/>
      <c r="H124" s="35"/>
      <c r="I124" s="35"/>
      <c r="J124" s="35"/>
      <c r="K124" s="35"/>
      <c r="L124" s="35"/>
      <c r="M124" s="35"/>
      <c r="N124" s="1"/>
      <c r="O124" s="35"/>
      <c r="P124" s="35"/>
      <c r="Q124" s="35"/>
      <c r="R124" s="74"/>
      <c r="S124" s="74"/>
      <c r="T124" s="74"/>
      <c r="U124" s="74"/>
      <c r="V124" s="74"/>
      <c r="W124" s="74"/>
      <c r="X124" s="74"/>
      <c r="Y124" s="74"/>
      <c r="Z124" s="74"/>
      <c r="AA124" s="74"/>
      <c r="AB124" s="74"/>
      <c r="AC124" s="74"/>
      <c r="AD124" s="74"/>
      <c r="AE124" s="74"/>
      <c r="AF124" s="74"/>
      <c r="AG124" s="74"/>
      <c r="AH124" s="74"/>
      <c r="AI124" s="74"/>
      <c r="AJ124" s="74"/>
      <c r="AK124" s="74"/>
      <c r="AL124" s="35"/>
      <c r="AM124" s="35"/>
      <c r="AN124" s="35"/>
      <c r="AO124" s="35"/>
    </row>
    <row r="125" spans="1:41" s="172" customFormat="1">
      <c r="A125" s="867"/>
      <c r="B125" s="85"/>
      <c r="C125" s="84"/>
      <c r="D125" s="84"/>
      <c r="E125" s="84"/>
      <c r="F125" s="84"/>
      <c r="H125" s="35"/>
      <c r="I125" s="35"/>
      <c r="J125" s="35"/>
      <c r="K125" s="35"/>
      <c r="L125" s="35"/>
      <c r="M125" s="35"/>
      <c r="N125" s="1"/>
      <c r="O125" s="35"/>
      <c r="P125" s="35"/>
      <c r="Q125" s="35"/>
      <c r="R125" s="74"/>
      <c r="S125" s="74"/>
      <c r="T125" s="74"/>
      <c r="U125" s="74"/>
      <c r="V125" s="74"/>
      <c r="W125" s="74"/>
      <c r="X125" s="74"/>
      <c r="Y125" s="74"/>
      <c r="Z125" s="74"/>
      <c r="AA125" s="74"/>
      <c r="AB125" s="74"/>
      <c r="AC125" s="74"/>
      <c r="AD125" s="74"/>
      <c r="AE125" s="74"/>
      <c r="AF125" s="74"/>
      <c r="AG125" s="74"/>
      <c r="AH125" s="74"/>
      <c r="AI125" s="74"/>
      <c r="AJ125" s="74"/>
      <c r="AK125" s="74"/>
      <c r="AL125" s="35"/>
      <c r="AM125" s="35"/>
      <c r="AN125" s="35"/>
      <c r="AO125" s="35"/>
    </row>
    <row r="126" spans="1:41" s="172" customFormat="1">
      <c r="A126" s="867"/>
      <c r="B126" s="85"/>
      <c r="C126" s="84"/>
      <c r="D126" s="84"/>
      <c r="E126" s="84"/>
      <c r="F126" s="84"/>
      <c r="H126" s="35"/>
      <c r="I126" s="35"/>
      <c r="J126" s="35"/>
      <c r="K126" s="35"/>
      <c r="L126" s="35"/>
      <c r="M126" s="35"/>
      <c r="N126" s="1"/>
      <c r="O126" s="35"/>
      <c r="P126" s="35"/>
      <c r="Q126" s="35"/>
      <c r="R126" s="74"/>
      <c r="S126" s="74"/>
      <c r="T126" s="74"/>
      <c r="U126" s="74"/>
      <c r="V126" s="74"/>
      <c r="W126" s="74"/>
      <c r="X126" s="74"/>
      <c r="Y126" s="74"/>
      <c r="Z126" s="74"/>
      <c r="AA126" s="74"/>
      <c r="AB126" s="74"/>
      <c r="AC126" s="74"/>
      <c r="AD126" s="74"/>
      <c r="AE126" s="74"/>
      <c r="AF126" s="74"/>
      <c r="AG126" s="74"/>
      <c r="AH126" s="74"/>
      <c r="AI126" s="74"/>
      <c r="AJ126" s="74"/>
      <c r="AK126" s="74"/>
      <c r="AL126" s="35"/>
      <c r="AM126" s="35"/>
      <c r="AN126" s="35"/>
      <c r="AO126" s="35"/>
    </row>
    <row r="127" spans="1:41" s="172" customFormat="1">
      <c r="A127" s="867"/>
      <c r="B127" s="85"/>
      <c r="C127" s="84"/>
      <c r="D127" s="84"/>
      <c r="E127" s="84"/>
      <c r="F127" s="84"/>
      <c r="H127" s="35"/>
      <c r="I127" s="35"/>
      <c r="J127" s="35"/>
      <c r="K127" s="35"/>
      <c r="L127" s="35"/>
      <c r="M127" s="35"/>
      <c r="N127" s="1"/>
      <c r="O127" s="35"/>
      <c r="P127" s="35"/>
      <c r="Q127" s="35"/>
      <c r="R127" s="74"/>
      <c r="S127" s="74"/>
      <c r="T127" s="74"/>
      <c r="U127" s="74"/>
      <c r="V127" s="74"/>
      <c r="W127" s="74"/>
      <c r="X127" s="74"/>
      <c r="Y127" s="74"/>
      <c r="Z127" s="74"/>
      <c r="AA127" s="74"/>
      <c r="AB127" s="74"/>
      <c r="AC127" s="74"/>
      <c r="AD127" s="74"/>
      <c r="AE127" s="74"/>
      <c r="AF127" s="74"/>
      <c r="AG127" s="74"/>
      <c r="AH127" s="74"/>
      <c r="AI127" s="74"/>
      <c r="AJ127" s="74"/>
      <c r="AK127" s="74"/>
      <c r="AL127" s="35"/>
      <c r="AM127" s="35"/>
      <c r="AN127" s="35"/>
      <c r="AO127" s="35"/>
    </row>
    <row r="128" spans="1:41" s="172" customFormat="1">
      <c r="A128" s="867"/>
      <c r="B128" s="85"/>
      <c r="C128" s="84"/>
      <c r="D128" s="84"/>
      <c r="E128" s="84"/>
      <c r="F128" s="84"/>
      <c r="H128" s="35"/>
      <c r="I128" s="35"/>
      <c r="J128" s="35"/>
      <c r="K128" s="35"/>
      <c r="L128" s="35"/>
      <c r="M128" s="35"/>
      <c r="N128" s="1"/>
      <c r="O128" s="35"/>
      <c r="P128" s="35"/>
      <c r="Q128" s="35"/>
      <c r="R128" s="74"/>
      <c r="S128" s="74"/>
      <c r="T128" s="74"/>
      <c r="U128" s="74"/>
      <c r="V128" s="74"/>
      <c r="W128" s="74"/>
      <c r="X128" s="74"/>
      <c r="Y128" s="74"/>
      <c r="Z128" s="74"/>
      <c r="AA128" s="74"/>
      <c r="AB128" s="74"/>
      <c r="AC128" s="74"/>
      <c r="AD128" s="74"/>
      <c r="AE128" s="74"/>
      <c r="AF128" s="74"/>
      <c r="AG128" s="74"/>
      <c r="AH128" s="74"/>
      <c r="AI128" s="74"/>
      <c r="AJ128" s="74"/>
      <c r="AK128" s="74"/>
      <c r="AL128" s="35"/>
      <c r="AM128" s="35"/>
      <c r="AN128" s="35"/>
      <c r="AO128" s="35"/>
    </row>
    <row r="129" spans="1:41" s="172" customFormat="1">
      <c r="A129" s="867"/>
      <c r="B129" s="85"/>
      <c r="C129" s="84"/>
      <c r="D129" s="84"/>
      <c r="E129" s="84"/>
      <c r="F129" s="84"/>
      <c r="H129" s="35"/>
      <c r="I129" s="35"/>
      <c r="J129" s="35"/>
      <c r="K129" s="35"/>
      <c r="L129" s="35"/>
      <c r="M129" s="35"/>
      <c r="N129" s="1"/>
      <c r="O129" s="35"/>
      <c r="P129" s="35"/>
      <c r="Q129" s="35"/>
      <c r="R129" s="74"/>
      <c r="S129" s="74"/>
      <c r="T129" s="74"/>
      <c r="U129" s="74"/>
      <c r="V129" s="74"/>
      <c r="W129" s="74"/>
      <c r="X129" s="74"/>
      <c r="Y129" s="74"/>
      <c r="Z129" s="74"/>
      <c r="AA129" s="74"/>
      <c r="AB129" s="74"/>
      <c r="AC129" s="74"/>
      <c r="AD129" s="74"/>
      <c r="AE129" s="74"/>
      <c r="AF129" s="74"/>
      <c r="AG129" s="74"/>
      <c r="AH129" s="74"/>
      <c r="AI129" s="74"/>
      <c r="AJ129" s="74"/>
      <c r="AK129" s="74"/>
      <c r="AL129" s="35"/>
      <c r="AM129" s="35"/>
      <c r="AN129" s="35"/>
      <c r="AO129" s="35"/>
    </row>
    <row r="130" spans="1:41" s="172" customFormat="1">
      <c r="A130" s="867"/>
      <c r="B130" s="85"/>
      <c r="C130" s="84"/>
      <c r="D130" s="84"/>
      <c r="E130" s="84"/>
      <c r="F130" s="84"/>
      <c r="H130" s="35"/>
      <c r="I130" s="35"/>
      <c r="J130" s="35"/>
      <c r="K130" s="35"/>
      <c r="L130" s="35"/>
      <c r="M130" s="35"/>
      <c r="N130" s="1"/>
      <c r="O130" s="35"/>
      <c r="P130" s="35"/>
      <c r="Q130" s="35"/>
      <c r="R130" s="74"/>
      <c r="S130" s="74"/>
      <c r="T130" s="74"/>
      <c r="U130" s="74"/>
      <c r="V130" s="74"/>
      <c r="W130" s="74"/>
      <c r="X130" s="74"/>
      <c r="Y130" s="74"/>
      <c r="Z130" s="74"/>
      <c r="AA130" s="74"/>
      <c r="AB130" s="74"/>
      <c r="AC130" s="74"/>
      <c r="AD130" s="74"/>
      <c r="AE130" s="74"/>
      <c r="AF130" s="74"/>
      <c r="AG130" s="74"/>
      <c r="AH130" s="74"/>
      <c r="AI130" s="74"/>
      <c r="AJ130" s="74"/>
      <c r="AK130" s="74"/>
      <c r="AL130" s="35"/>
      <c r="AM130" s="35"/>
      <c r="AN130" s="35"/>
      <c r="AO130" s="35"/>
    </row>
    <row r="131" spans="1:41" s="172" customFormat="1">
      <c r="A131" s="867"/>
      <c r="B131" s="85"/>
      <c r="C131" s="84"/>
      <c r="D131" s="84"/>
      <c r="E131" s="84"/>
      <c r="F131" s="84"/>
      <c r="H131" s="35"/>
      <c r="I131" s="35"/>
      <c r="J131" s="35"/>
      <c r="K131" s="35"/>
      <c r="L131" s="35"/>
      <c r="M131" s="35"/>
      <c r="N131" s="1"/>
      <c r="O131" s="35"/>
      <c r="P131" s="35"/>
      <c r="Q131" s="35"/>
      <c r="R131" s="74"/>
      <c r="S131" s="74"/>
      <c r="T131" s="74"/>
      <c r="U131" s="74"/>
      <c r="V131" s="74"/>
      <c r="W131" s="74"/>
      <c r="X131" s="74"/>
      <c r="Y131" s="74"/>
      <c r="Z131" s="74"/>
      <c r="AA131" s="74"/>
      <c r="AB131" s="74"/>
      <c r="AC131" s="74"/>
      <c r="AD131" s="74"/>
      <c r="AE131" s="74"/>
      <c r="AF131" s="74"/>
      <c r="AG131" s="74"/>
      <c r="AH131" s="74"/>
      <c r="AI131" s="74"/>
      <c r="AJ131" s="74"/>
      <c r="AK131" s="74"/>
      <c r="AL131" s="35"/>
      <c r="AM131" s="35"/>
      <c r="AN131" s="35"/>
      <c r="AO131" s="35"/>
    </row>
    <row r="132" spans="1:41" s="172" customFormat="1">
      <c r="A132" s="867"/>
      <c r="B132" s="85"/>
      <c r="C132" s="84"/>
      <c r="D132" s="84"/>
      <c r="E132" s="84"/>
      <c r="F132" s="84"/>
      <c r="H132" s="35"/>
      <c r="I132" s="35"/>
      <c r="J132" s="35"/>
      <c r="K132" s="35"/>
      <c r="L132" s="35"/>
      <c r="M132" s="35"/>
      <c r="N132" s="1"/>
      <c r="O132" s="35"/>
      <c r="P132" s="35"/>
      <c r="Q132" s="35"/>
      <c r="R132" s="74"/>
      <c r="S132" s="74"/>
      <c r="T132" s="74"/>
      <c r="U132" s="74"/>
      <c r="V132" s="74"/>
      <c r="W132" s="74"/>
      <c r="X132" s="74"/>
      <c r="Y132" s="74"/>
      <c r="Z132" s="74"/>
      <c r="AA132" s="74"/>
      <c r="AB132" s="74"/>
      <c r="AC132" s="74"/>
      <c r="AD132" s="74"/>
      <c r="AE132" s="74"/>
      <c r="AF132" s="74"/>
      <c r="AG132" s="74"/>
      <c r="AH132" s="74"/>
      <c r="AI132" s="74"/>
      <c r="AJ132" s="74"/>
      <c r="AK132" s="74"/>
      <c r="AL132" s="35"/>
      <c r="AM132" s="35"/>
      <c r="AN132" s="35"/>
      <c r="AO132" s="35"/>
    </row>
    <row r="133" spans="1:41" s="172" customFormat="1">
      <c r="A133" s="867"/>
      <c r="B133" s="85"/>
      <c r="C133" s="84"/>
      <c r="D133" s="84"/>
      <c r="E133" s="84"/>
      <c r="F133" s="84"/>
      <c r="H133" s="35"/>
      <c r="I133" s="35"/>
      <c r="J133" s="35"/>
      <c r="K133" s="35"/>
      <c r="L133" s="35"/>
      <c r="M133" s="35"/>
      <c r="N133" s="1"/>
      <c r="O133" s="35"/>
      <c r="P133" s="35"/>
      <c r="Q133" s="35"/>
      <c r="R133" s="74"/>
      <c r="S133" s="74"/>
      <c r="T133" s="74"/>
      <c r="U133" s="74"/>
      <c r="V133" s="74"/>
      <c r="W133" s="74"/>
      <c r="X133" s="74"/>
      <c r="Y133" s="74"/>
      <c r="Z133" s="74"/>
      <c r="AA133" s="74"/>
      <c r="AB133" s="74"/>
      <c r="AC133" s="74"/>
      <c r="AD133" s="74"/>
      <c r="AE133" s="74"/>
      <c r="AF133" s="74"/>
      <c r="AG133" s="74"/>
      <c r="AH133" s="74"/>
      <c r="AI133" s="74"/>
      <c r="AJ133" s="74"/>
      <c r="AK133" s="74"/>
      <c r="AL133" s="35"/>
      <c r="AM133" s="35"/>
      <c r="AN133" s="35"/>
      <c r="AO133" s="35"/>
    </row>
    <row r="134" spans="1:41" s="172" customFormat="1">
      <c r="A134" s="867"/>
      <c r="B134" s="85"/>
      <c r="C134" s="84"/>
      <c r="D134" s="84"/>
      <c r="E134" s="84"/>
      <c r="F134" s="84"/>
      <c r="H134" s="35"/>
      <c r="I134" s="35"/>
      <c r="J134" s="35"/>
      <c r="K134" s="35"/>
      <c r="L134" s="35"/>
      <c r="M134" s="35"/>
      <c r="N134" s="1"/>
      <c r="O134" s="35"/>
      <c r="P134" s="35"/>
      <c r="Q134" s="35"/>
      <c r="R134" s="74"/>
      <c r="S134" s="74"/>
      <c r="T134" s="74"/>
      <c r="U134" s="74"/>
      <c r="V134" s="74"/>
      <c r="W134" s="74"/>
      <c r="X134" s="74"/>
      <c r="Y134" s="74"/>
      <c r="Z134" s="74"/>
      <c r="AA134" s="74"/>
      <c r="AB134" s="74"/>
      <c r="AC134" s="74"/>
      <c r="AD134" s="74"/>
      <c r="AE134" s="74"/>
      <c r="AF134" s="74"/>
      <c r="AG134" s="74"/>
      <c r="AH134" s="74"/>
      <c r="AI134" s="74"/>
      <c r="AJ134" s="74"/>
      <c r="AK134" s="74"/>
      <c r="AL134" s="35"/>
      <c r="AM134" s="35"/>
      <c r="AN134" s="35"/>
      <c r="AO134" s="35"/>
    </row>
    <row r="135" spans="1:41" s="172" customFormat="1">
      <c r="A135" s="867"/>
      <c r="B135" s="85"/>
      <c r="C135" s="84"/>
      <c r="D135" s="84"/>
      <c r="E135" s="84"/>
      <c r="F135" s="84"/>
      <c r="H135" s="35"/>
      <c r="I135" s="35"/>
      <c r="J135" s="35"/>
      <c r="K135" s="35"/>
      <c r="L135" s="35"/>
      <c r="M135" s="35"/>
      <c r="N135" s="1"/>
      <c r="O135" s="35"/>
      <c r="P135" s="35"/>
      <c r="Q135" s="35"/>
      <c r="R135" s="74"/>
      <c r="S135" s="74"/>
      <c r="T135" s="74"/>
      <c r="U135" s="74"/>
      <c r="V135" s="74"/>
      <c r="W135" s="74"/>
      <c r="X135" s="74"/>
      <c r="Y135" s="74"/>
      <c r="Z135" s="74"/>
      <c r="AA135" s="74"/>
      <c r="AB135" s="74"/>
      <c r="AC135" s="74"/>
      <c r="AD135" s="74"/>
      <c r="AE135" s="74"/>
      <c r="AF135" s="74"/>
      <c r="AG135" s="74"/>
      <c r="AH135" s="74"/>
      <c r="AI135" s="74"/>
      <c r="AJ135" s="74"/>
      <c r="AK135" s="74"/>
      <c r="AL135" s="35"/>
      <c r="AM135" s="35"/>
      <c r="AN135" s="35"/>
      <c r="AO135" s="35"/>
    </row>
    <row r="136" spans="1:41" s="172" customFormat="1">
      <c r="A136" s="867"/>
      <c r="B136" s="85"/>
      <c r="C136" s="84"/>
      <c r="D136" s="84"/>
      <c r="E136" s="84"/>
      <c r="F136" s="84"/>
      <c r="H136" s="35"/>
      <c r="I136" s="35"/>
      <c r="J136" s="35"/>
      <c r="K136" s="35"/>
      <c r="L136" s="35"/>
      <c r="M136" s="35"/>
      <c r="N136" s="1"/>
      <c r="O136" s="35"/>
      <c r="P136" s="35"/>
      <c r="Q136" s="35"/>
      <c r="R136" s="74"/>
      <c r="S136" s="74"/>
      <c r="T136" s="74"/>
      <c r="U136" s="74"/>
      <c r="V136" s="74"/>
      <c r="W136" s="74"/>
      <c r="X136" s="74"/>
      <c r="Y136" s="74"/>
      <c r="Z136" s="74"/>
      <c r="AA136" s="74"/>
      <c r="AB136" s="74"/>
      <c r="AC136" s="74"/>
      <c r="AD136" s="74"/>
      <c r="AE136" s="74"/>
      <c r="AF136" s="74"/>
      <c r="AG136" s="74"/>
      <c r="AH136" s="74"/>
      <c r="AI136" s="74"/>
      <c r="AJ136" s="74"/>
      <c r="AK136" s="74"/>
      <c r="AL136" s="35"/>
      <c r="AM136" s="35"/>
      <c r="AN136" s="35"/>
      <c r="AO136" s="35"/>
    </row>
    <row r="137" spans="1:41" s="172" customFormat="1">
      <c r="A137" s="867"/>
      <c r="B137" s="85"/>
      <c r="C137" s="84"/>
      <c r="D137" s="84"/>
      <c r="E137" s="84"/>
      <c r="F137" s="84"/>
      <c r="H137" s="35"/>
      <c r="I137" s="35"/>
      <c r="J137" s="35"/>
      <c r="K137" s="35"/>
      <c r="L137" s="35"/>
      <c r="M137" s="35"/>
      <c r="N137" s="1"/>
      <c r="O137" s="35"/>
      <c r="P137" s="35"/>
      <c r="Q137" s="35"/>
      <c r="R137" s="74"/>
      <c r="S137" s="74"/>
      <c r="T137" s="74"/>
      <c r="U137" s="74"/>
      <c r="V137" s="74"/>
      <c r="W137" s="74"/>
      <c r="X137" s="74"/>
      <c r="Y137" s="74"/>
      <c r="Z137" s="74"/>
      <c r="AA137" s="74"/>
      <c r="AB137" s="74"/>
      <c r="AC137" s="74"/>
      <c r="AD137" s="74"/>
      <c r="AE137" s="74"/>
      <c r="AF137" s="74"/>
      <c r="AG137" s="74"/>
      <c r="AH137" s="74"/>
      <c r="AI137" s="74"/>
      <c r="AJ137" s="74"/>
      <c r="AK137" s="74"/>
      <c r="AL137" s="35"/>
      <c r="AM137" s="35"/>
      <c r="AN137" s="35"/>
      <c r="AO137" s="35"/>
    </row>
    <row r="138" spans="1:41" s="172" customFormat="1">
      <c r="A138" s="867"/>
      <c r="B138" s="85"/>
      <c r="C138" s="84"/>
      <c r="D138" s="84"/>
      <c r="E138" s="84"/>
      <c r="F138" s="84"/>
      <c r="H138" s="35"/>
      <c r="I138" s="35"/>
      <c r="J138" s="35"/>
      <c r="K138" s="35"/>
      <c r="L138" s="35"/>
      <c r="M138" s="35"/>
      <c r="N138" s="1"/>
      <c r="O138" s="35"/>
      <c r="P138" s="35"/>
      <c r="Q138" s="35"/>
      <c r="R138" s="74"/>
      <c r="S138" s="74"/>
      <c r="T138" s="74"/>
      <c r="U138" s="74"/>
      <c r="V138" s="74"/>
      <c r="W138" s="74"/>
      <c r="X138" s="74"/>
      <c r="Y138" s="74"/>
      <c r="Z138" s="74"/>
      <c r="AA138" s="74"/>
      <c r="AB138" s="74"/>
      <c r="AC138" s="74"/>
      <c r="AD138" s="74"/>
      <c r="AE138" s="74"/>
      <c r="AF138" s="74"/>
      <c r="AG138" s="74"/>
      <c r="AH138" s="74"/>
      <c r="AI138" s="74"/>
      <c r="AJ138" s="74"/>
      <c r="AK138" s="74"/>
      <c r="AL138" s="35"/>
      <c r="AM138" s="35"/>
      <c r="AN138" s="35"/>
      <c r="AO138" s="35"/>
    </row>
    <row r="139" spans="1:41" s="172" customFormat="1">
      <c r="A139" s="867"/>
      <c r="B139" s="85"/>
      <c r="C139" s="84"/>
      <c r="D139" s="84"/>
      <c r="E139" s="84"/>
      <c r="F139" s="84"/>
      <c r="H139" s="35"/>
      <c r="I139" s="35"/>
      <c r="J139" s="35"/>
      <c r="K139" s="35"/>
      <c r="L139" s="35"/>
      <c r="M139" s="35"/>
      <c r="N139" s="1"/>
      <c r="O139" s="35"/>
      <c r="P139" s="35"/>
      <c r="Q139" s="35"/>
      <c r="R139" s="74"/>
      <c r="S139" s="74"/>
      <c r="T139" s="74"/>
      <c r="U139" s="74"/>
      <c r="V139" s="74"/>
      <c r="W139" s="74"/>
      <c r="X139" s="74"/>
      <c r="Y139" s="74"/>
      <c r="Z139" s="74"/>
      <c r="AA139" s="74"/>
      <c r="AB139" s="74"/>
      <c r="AC139" s="74"/>
      <c r="AD139" s="74"/>
      <c r="AE139" s="74"/>
      <c r="AF139" s="74"/>
      <c r="AG139" s="74"/>
      <c r="AH139" s="74"/>
      <c r="AI139" s="74"/>
      <c r="AJ139" s="74"/>
      <c r="AK139" s="74"/>
      <c r="AL139" s="35"/>
      <c r="AM139" s="35"/>
      <c r="AN139" s="35"/>
      <c r="AO139" s="35"/>
    </row>
    <row r="140" spans="1:41" s="172" customFormat="1">
      <c r="A140" s="867"/>
      <c r="B140" s="85"/>
      <c r="C140" s="84"/>
      <c r="D140" s="84"/>
      <c r="E140" s="84"/>
      <c r="F140" s="84"/>
      <c r="H140" s="35"/>
      <c r="I140" s="35"/>
      <c r="J140" s="35"/>
      <c r="K140" s="35"/>
      <c r="L140" s="35"/>
      <c r="M140" s="35"/>
      <c r="N140" s="1"/>
      <c r="O140" s="35"/>
      <c r="P140" s="35"/>
      <c r="Q140" s="35"/>
      <c r="R140" s="74"/>
      <c r="S140" s="74"/>
      <c r="T140" s="74"/>
      <c r="U140" s="74"/>
      <c r="V140" s="74"/>
      <c r="W140" s="74"/>
      <c r="X140" s="74"/>
      <c r="Y140" s="74"/>
      <c r="Z140" s="74"/>
      <c r="AA140" s="74"/>
      <c r="AB140" s="74"/>
      <c r="AC140" s="74"/>
      <c r="AD140" s="74"/>
      <c r="AE140" s="74"/>
      <c r="AF140" s="74"/>
      <c r="AG140" s="74"/>
      <c r="AH140" s="74"/>
      <c r="AI140" s="74"/>
      <c r="AJ140" s="74"/>
      <c r="AK140" s="74"/>
      <c r="AL140" s="35"/>
      <c r="AM140" s="35"/>
      <c r="AN140" s="35"/>
      <c r="AO140" s="35"/>
    </row>
  </sheetData>
  <customSheetViews>
    <customSheetView guid="{B48B8B4C-A880-453D-8729-90D004BEF0D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7043F04C-1FA3-449D-BEB8-4AC08DF68A5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E81F0721-C35D-4189-B675-E46A2133986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17F5C48B-526E-48D2-9F97-823D578F98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7F1A5DE7-1043-4C11-AB2C-CC6BC6A0F48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75D87FDD-0292-4E5A-8E8F-63018B00939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8" type="noConversion"/>
  <conditionalFormatting sqref="E16:E55">
    <cfRule type="expression" dxfId="18" priority="1" stopIfTrue="1">
      <formula>D16&gt;0</formula>
    </cfRule>
  </conditionalFormatting>
  <printOptions horizontalCentered="1"/>
  <pageMargins left="0.51181102362204722" right="0.26" top="0.4" bottom="0.44" header="0.25" footer="0.24"/>
  <pageSetup paperSize="9" orientation="portrait" horizontalDpi="300" verticalDpi="300" r:id="rId21"/>
  <headerFooter alignWithMargins="0">
    <oddHeader>&amp;C&amp;"Calibri"&amp;12&amp;KFF0000 डेटा वर्गीकरण : प्रतिबंधित/RESTRICTED&amp;1#_x000D_</oddHeader>
    <oddFooter>&amp;R&amp;"Book Antiqua,Bold"&amp;10Schedule-2/ Page &amp;P of &amp;N</oddFooter>
  </headerFooter>
  <colBreaks count="1" manualBreakCount="1">
    <brk id="6" max="1048575" man="1"/>
  </colBreaks>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51" zoomScale="80" zoomScaleNormal="80" zoomScaleSheetLayoutView="100" workbookViewId="0">
      <selection activeCell="F74" sqref="F74"/>
    </sheetView>
  </sheetViews>
  <sheetFormatPr defaultColWidth="9" defaultRowHeight="16.5"/>
  <cols>
    <col min="1" max="1" width="10.625" style="343" customWidth="1"/>
    <col min="2" max="2" width="42.25" style="344" customWidth="1"/>
    <col min="3" max="3" width="7.625" style="343" customWidth="1"/>
    <col min="4" max="4" width="9.125" style="343" customWidth="1"/>
    <col min="5" max="5" width="12.75" style="343" customWidth="1"/>
    <col min="6" max="6" width="14.625" style="343" customWidth="1"/>
    <col min="7" max="26" width="9" style="172"/>
    <col min="27" max="27" width="9" style="172" hidden="1" customWidth="1"/>
    <col min="28" max="29" width="17.625" style="172" hidden="1" customWidth="1"/>
    <col min="30" max="30" width="9" style="172" hidden="1" customWidth="1"/>
    <col min="31" max="31" width="15.5" style="172" hidden="1" customWidth="1"/>
    <col min="32" max="32" width="15.375" style="172" hidden="1" customWidth="1"/>
    <col min="33" max="44" width="9" style="172"/>
    <col min="45" max="16384" width="9" style="306"/>
  </cols>
  <sheetData>
    <row r="1" spans="1:32">
      <c r="A1" s="56" t="str">
        <f>Cover!B3</f>
        <v>NR3/NT/W-CIVIL/DOM/K00/25/09879 (Rfx No.5002004724)</v>
      </c>
      <c r="B1" s="57"/>
      <c r="C1" s="58"/>
      <c r="D1" s="58"/>
      <c r="E1" s="7"/>
      <c r="F1" s="8" t="s">
        <v>166</v>
      </c>
    </row>
    <row r="2" spans="1:32">
      <c r="A2" s="4"/>
      <c r="B2" s="13"/>
      <c r="C2" s="6"/>
      <c r="D2" s="6"/>
      <c r="E2" s="1"/>
      <c r="F2" s="1"/>
    </row>
    <row r="3" spans="1:32" ht="51.75" customHeight="1">
      <c r="A3" s="1191" t="str">
        <f>Cover!$B$2</f>
        <v>Extension of residential quarters 2 nos C type &amp; 2 nos B2 type quarters over the existing C type &amp; B2 type at 400/220 KV Shahjahanpur &amp; 765/400 KV Sohawal Substation</v>
      </c>
      <c r="B3" s="1191"/>
      <c r="C3" s="1191"/>
      <c r="D3" s="1191"/>
      <c r="E3" s="1191"/>
      <c r="F3" s="1191"/>
      <c r="AA3" s="176" t="s">
        <v>155</v>
      </c>
      <c r="AC3" s="177">
        <f>IF(ISERROR(#REF!/('Sch-3'!D14+'Sch-3'!D16+'Sch-3'!#REF!)),0,#REF!/( 'Sch-3'!D14+'Sch-3'!D16+'Sch-3'!#REF!))</f>
        <v>0</v>
      </c>
    </row>
    <row r="4" spans="1:32">
      <c r="A4" s="1192" t="s">
        <v>167</v>
      </c>
      <c r="B4" s="1192"/>
      <c r="C4" s="1192"/>
      <c r="D4" s="1192"/>
      <c r="E4" s="1192"/>
      <c r="F4" s="1192"/>
      <c r="AA4" s="176" t="s">
        <v>157</v>
      </c>
      <c r="AC4" s="177" t="e">
        <f>#REF!</f>
        <v>#REF!</v>
      </c>
    </row>
    <row r="5" spans="1:32">
      <c r="A5" s="3"/>
      <c r="B5" s="430"/>
      <c r="C5" s="3"/>
      <c r="D5" s="3"/>
      <c r="E5" s="3"/>
      <c r="F5" s="3"/>
      <c r="AA5" s="176" t="s">
        <v>168</v>
      </c>
      <c r="AC5" s="177">
        <f>IF(ISERROR(#REF!/#REF!),0,#REF! /#REF!)</f>
        <v>0</v>
      </c>
    </row>
    <row r="6" spans="1:32">
      <c r="A6" s="29" t="str">
        <f>'Sch-1'!A7</f>
        <v>Bidder’s Name and Address (Bidder) :</v>
      </c>
      <c r="B6" s="30"/>
      <c r="C6" s="30"/>
      <c r="D6" s="30"/>
      <c r="E6" s="64" t="s">
        <v>79</v>
      </c>
      <c r="F6" s="1"/>
      <c r="AA6" s="176" t="s">
        <v>169</v>
      </c>
      <c r="AC6" s="177" t="e">
        <f>#REF!</f>
        <v>#REF!</v>
      </c>
    </row>
    <row r="7" spans="1:32">
      <c r="A7" s="1203" t="str">
        <f>'Sch-1'!A8</f>
        <v/>
      </c>
      <c r="B7" s="1203"/>
      <c r="C7" s="1203"/>
      <c r="D7" s="1203"/>
      <c r="E7" s="286" t="str">
        <f>'Sch-1'!M8</f>
        <v>Sr.GM , Contracts &amp; Materials Department,</v>
      </c>
      <c r="F7" s="1"/>
      <c r="AA7" s="176" t="s">
        <v>160</v>
      </c>
      <c r="AC7" s="177" t="e">
        <f>SUM(AC3:AC6)</f>
        <v>#REF!</v>
      </c>
    </row>
    <row r="8" spans="1:32">
      <c r="A8" s="29" t="s">
        <v>81</v>
      </c>
      <c r="B8" s="1204" t="str">
        <f>IF('Sch-1'!G9=0, "", 'Sch-1'!G9)</f>
        <v/>
      </c>
      <c r="C8" s="1204"/>
      <c r="D8" s="1204"/>
      <c r="E8" s="286" t="str">
        <f>'Sch-1'!M9</f>
        <v>Power Grid Corporation of India Ltd.,</v>
      </c>
      <c r="F8" s="1"/>
    </row>
    <row r="9" spans="1:32">
      <c r="A9" s="29" t="s">
        <v>83</v>
      </c>
      <c r="B9" s="1204" t="str">
        <f>IF('Sch-1'!G10=0, "", 'Sch-1'!G10)</f>
        <v/>
      </c>
      <c r="C9" s="1204"/>
      <c r="D9" s="1204"/>
      <c r="E9" s="286" t="str">
        <f>'Sch-1'!M10</f>
        <v>SRTS-II, RHQ</v>
      </c>
      <c r="F9" s="1"/>
    </row>
    <row r="10" spans="1:32">
      <c r="A10" s="30"/>
      <c r="B10" s="1204" t="str">
        <f>IF('Sch-1'!G11=0, "", 'Sch-1'!G11)</f>
        <v/>
      </c>
      <c r="C10" s="1204"/>
      <c r="D10" s="1204"/>
      <c r="E10" s="286" t="str">
        <f>'Sch-1'!M11</f>
        <v>Singanayakanahalli</v>
      </c>
      <c r="F10" s="1"/>
      <c r="AA10" s="176" t="s">
        <v>170</v>
      </c>
      <c r="AC10" s="177" t="e">
        <f>'Sch-1'!#REF!</f>
        <v>#REF!</v>
      </c>
    </row>
    <row r="11" spans="1:32">
      <c r="A11" s="30"/>
      <c r="B11" s="1204" t="str">
        <f>IF('Sch-1'!G12=0, "", 'Sch-1'!G12)</f>
        <v/>
      </c>
      <c r="C11" s="1204"/>
      <c r="D11" s="1204"/>
      <c r="E11" s="286" t="str">
        <f>'Sch-1'!M12</f>
        <v>Bengaluru-560064</v>
      </c>
      <c r="F11" s="1"/>
      <c r="AA11" s="176"/>
      <c r="AC11" s="177"/>
    </row>
    <row r="12" spans="1:32">
      <c r="A12" s="30"/>
      <c r="B12" s="792"/>
      <c r="C12" s="792"/>
      <c r="D12" s="792"/>
      <c r="E12" s="286"/>
      <c r="F12" s="1"/>
      <c r="AA12" s="176"/>
      <c r="AC12" s="177"/>
    </row>
    <row r="13" spans="1:32">
      <c r="A13" s="30"/>
      <c r="B13" s="29"/>
      <c r="C13" s="29"/>
      <c r="D13" s="29"/>
      <c r="E13" s="29"/>
      <c r="F13" s="8" t="s">
        <v>88</v>
      </c>
      <c r="AB13" s="1179" t="s">
        <v>162</v>
      </c>
      <c r="AC13" s="1179"/>
      <c r="AD13" s="238" t="s">
        <v>142</v>
      </c>
      <c r="AE13" s="1179" t="s">
        <v>163</v>
      </c>
      <c r="AF13" s="1179"/>
    </row>
    <row r="14" spans="1:32" ht="30">
      <c r="A14" s="14" t="s">
        <v>89</v>
      </c>
      <c r="B14" s="14" t="s">
        <v>147</v>
      </c>
      <c r="C14" s="66" t="s">
        <v>99</v>
      </c>
      <c r="D14" s="66" t="s">
        <v>148</v>
      </c>
      <c r="E14" s="67" t="s">
        <v>171</v>
      </c>
      <c r="F14" s="67" t="s">
        <v>172</v>
      </c>
      <c r="AB14" s="181" t="s">
        <v>171</v>
      </c>
      <c r="AC14" s="181" t="s">
        <v>172</v>
      </c>
      <c r="AD14" s="238"/>
      <c r="AE14" s="181" t="s">
        <v>171</v>
      </c>
      <c r="AF14" s="181" t="s">
        <v>172</v>
      </c>
    </row>
    <row r="15" spans="1:32">
      <c r="A15" s="9">
        <v>1</v>
      </c>
      <c r="B15" s="9">
        <v>2</v>
      </c>
      <c r="C15" s="9">
        <v>3</v>
      </c>
      <c r="D15" s="9">
        <v>4</v>
      </c>
      <c r="E15" s="9">
        <v>5</v>
      </c>
      <c r="F15" s="9" t="s">
        <v>136</v>
      </c>
      <c r="AB15" s="183">
        <v>5</v>
      </c>
      <c r="AC15" s="183" t="s">
        <v>136</v>
      </c>
      <c r="AD15" s="238"/>
      <c r="AE15" s="183">
        <v>5</v>
      </c>
      <c r="AF15" s="183" t="s">
        <v>136</v>
      </c>
    </row>
    <row r="16" spans="1:32" s="409" customFormat="1">
      <c r="A16" s="431" t="e">
        <f>#REF!</f>
        <v>#REF!</v>
      </c>
      <c r="B16" s="431" t="e">
        <f>#REF!</f>
        <v>#REF!</v>
      </c>
      <c r="C16" s="431"/>
      <c r="D16" s="431"/>
      <c r="E16" s="359"/>
      <c r="F16" s="359"/>
      <c r="G16" s="422"/>
      <c r="H16" s="423"/>
      <c r="I16" s="423"/>
      <c r="J16" s="423"/>
      <c r="K16" s="423"/>
      <c r="L16" s="423"/>
    </row>
    <row r="17" spans="1:20" s="419" customFormat="1">
      <c r="A17" s="431" t="e">
        <f>#REF!</f>
        <v>#REF!</v>
      </c>
      <c r="B17" s="431" t="e">
        <f>#REF!</f>
        <v>#REF!</v>
      </c>
      <c r="C17" s="431"/>
      <c r="D17" s="431"/>
      <c r="E17" s="359"/>
      <c r="F17" s="359"/>
    </row>
    <row r="18" spans="1:20" s="419" customFormat="1">
      <c r="A18" s="431"/>
      <c r="B18" s="431" t="e">
        <f>#REF!</f>
        <v>#REF!</v>
      </c>
      <c r="C18" s="431" t="e">
        <f>#REF!</f>
        <v>#REF!</v>
      </c>
      <c r="D18" s="431" t="e">
        <f>#REF!</f>
        <v>#REF!</v>
      </c>
      <c r="E18" s="359" t="e">
        <f>#REF!</f>
        <v>#REF!</v>
      </c>
      <c r="F18" s="359" t="e">
        <f t="shared" ref="F18:F60" si="0">IF(E18=0, "Included", IF(ISERROR(D18*E18), E18, D18*E18))</f>
        <v>#REF!</v>
      </c>
    </row>
    <row r="19" spans="1:20" s="419" customFormat="1">
      <c r="A19" s="431"/>
      <c r="B19" s="431" t="e">
        <f>#REF!</f>
        <v>#REF!</v>
      </c>
      <c r="C19" s="431" t="e">
        <f>#REF!</f>
        <v>#REF!</v>
      </c>
      <c r="D19" s="431" t="e">
        <f>#REF!</f>
        <v>#REF!</v>
      </c>
      <c r="E19" s="359" t="e">
        <f>#REF!</f>
        <v>#REF!</v>
      </c>
      <c r="F19" s="359" t="e">
        <f t="shared" si="0"/>
        <v>#REF!</v>
      </c>
    </row>
    <row r="20" spans="1:20" s="419" customFormat="1">
      <c r="A20" s="431"/>
      <c r="B20" s="431"/>
      <c r="C20" s="431"/>
      <c r="D20" s="431"/>
      <c r="E20" s="359"/>
      <c r="F20" s="359"/>
    </row>
    <row r="21" spans="1:20" s="419" customFormat="1" ht="18.75" customHeight="1">
      <c r="A21" s="431" t="e">
        <f>#REF!</f>
        <v>#REF!</v>
      </c>
      <c r="B21" s="431" t="e">
        <f>#REF!</f>
        <v>#REF!</v>
      </c>
      <c r="C21" s="431"/>
      <c r="D21" s="431"/>
      <c r="E21" s="359"/>
      <c r="F21" s="359"/>
      <c r="S21" s="419" t="s">
        <v>173</v>
      </c>
      <c r="T21" s="424" t="s">
        <v>174</v>
      </c>
    </row>
    <row r="22" spans="1:20" s="419" customFormat="1" ht="18.75" customHeight="1">
      <c r="A22" s="431"/>
      <c r="B22" s="431" t="e">
        <f>#REF!</f>
        <v>#REF!</v>
      </c>
      <c r="C22" s="431" t="e">
        <f>#REF!</f>
        <v>#REF!</v>
      </c>
      <c r="D22" s="431" t="e">
        <f>#REF!</f>
        <v>#REF!</v>
      </c>
      <c r="E22" s="359" t="e">
        <f>#REF!</f>
        <v>#REF!</v>
      </c>
      <c r="F22" s="359" t="e">
        <f t="shared" si="0"/>
        <v>#REF!</v>
      </c>
      <c r="S22" s="419" t="s">
        <v>175</v>
      </c>
      <c r="T22" s="424" t="s">
        <v>176</v>
      </c>
    </row>
    <row r="23" spans="1:20" s="419" customFormat="1" ht="16.5" customHeight="1">
      <c r="A23" s="431"/>
      <c r="B23" s="431" t="e">
        <f>#REF!</f>
        <v>#REF!</v>
      </c>
      <c r="C23" s="431" t="e">
        <f>#REF!</f>
        <v>#REF!</v>
      </c>
      <c r="D23" s="431" t="e">
        <f>#REF!</f>
        <v>#REF!</v>
      </c>
      <c r="E23" s="359" t="e">
        <f>#REF!</f>
        <v>#REF!</v>
      </c>
      <c r="F23" s="359" t="e">
        <f t="shared" si="0"/>
        <v>#REF!</v>
      </c>
      <c r="S23" s="419" t="s">
        <v>177</v>
      </c>
      <c r="T23" s="424" t="s">
        <v>178</v>
      </c>
    </row>
    <row r="24" spans="1:20" s="419" customFormat="1">
      <c r="A24" s="431"/>
      <c r="B24" s="431" t="e">
        <f>#REF!</f>
        <v>#REF!</v>
      </c>
      <c r="C24" s="431" t="e">
        <f>#REF!</f>
        <v>#REF!</v>
      </c>
      <c r="D24" s="431" t="e">
        <f>#REF!</f>
        <v>#REF!</v>
      </c>
      <c r="E24" s="359" t="e">
        <f>#REF!</f>
        <v>#REF!</v>
      </c>
      <c r="F24" s="359" t="e">
        <f t="shared" si="0"/>
        <v>#REF!</v>
      </c>
      <c r="S24" s="419" t="s">
        <v>179</v>
      </c>
    </row>
    <row r="25" spans="1:20" s="419" customFormat="1">
      <c r="A25" s="431"/>
      <c r="B25" s="431"/>
      <c r="C25" s="431"/>
      <c r="D25" s="431"/>
      <c r="E25" s="359"/>
      <c r="F25" s="359"/>
    </row>
    <row r="26" spans="1:20" s="419" customFormat="1" ht="16.5" customHeight="1">
      <c r="A26" s="431"/>
      <c r="B26" s="431"/>
      <c r="C26" s="431"/>
      <c r="D26" s="431"/>
      <c r="E26" s="359"/>
      <c r="F26" s="359"/>
    </row>
    <row r="27" spans="1:20" s="419" customFormat="1">
      <c r="A27" s="431" t="e">
        <f>#REF!</f>
        <v>#REF!</v>
      </c>
      <c r="B27" s="431" t="e">
        <f>#REF!</f>
        <v>#REF!</v>
      </c>
      <c r="C27" s="431"/>
      <c r="D27" s="431"/>
      <c r="E27" s="359"/>
      <c r="F27" s="359"/>
    </row>
    <row r="28" spans="1:20" s="419" customFormat="1">
      <c r="A28" s="431"/>
      <c r="B28" s="431" t="e">
        <f>#REF!</f>
        <v>#REF!</v>
      </c>
      <c r="C28" s="431" t="e">
        <f>#REF!</f>
        <v>#REF!</v>
      </c>
      <c r="D28" s="431" t="e">
        <f>#REF!</f>
        <v>#REF!</v>
      </c>
      <c r="E28" s="359" t="e">
        <f>#REF!</f>
        <v>#REF!</v>
      </c>
      <c r="F28" s="359" t="e">
        <f>IF(E28=0, "Included", IF(ISERROR(D28*E28), E28, D28*E28))</f>
        <v>#REF!</v>
      </c>
    </row>
    <row r="29" spans="1:20" s="419" customFormat="1">
      <c r="A29" s="431"/>
      <c r="B29" s="431" t="e">
        <f>#REF!</f>
        <v>#REF!</v>
      </c>
      <c r="C29" s="431" t="e">
        <f>#REF!</f>
        <v>#REF!</v>
      </c>
      <c r="D29" s="431" t="e">
        <f>#REF!</f>
        <v>#REF!</v>
      </c>
      <c r="E29" s="359" t="e">
        <f>#REF!</f>
        <v>#REF!</v>
      </c>
      <c r="F29" s="359" t="e">
        <f t="shared" si="0"/>
        <v>#REF!</v>
      </c>
    </row>
    <row r="30" spans="1:20" s="419" customFormat="1">
      <c r="A30" s="431"/>
      <c r="B30" s="431" t="e">
        <f>#REF!</f>
        <v>#REF!</v>
      </c>
      <c r="C30" s="431" t="e">
        <f>#REF!</f>
        <v>#REF!</v>
      </c>
      <c r="D30" s="431" t="e">
        <f>#REF!</f>
        <v>#REF!</v>
      </c>
      <c r="E30" s="359" t="e">
        <f>#REF!</f>
        <v>#REF!</v>
      </c>
      <c r="F30" s="359" t="e">
        <f t="shared" si="0"/>
        <v>#REF!</v>
      </c>
      <c r="S30" s="411"/>
      <c r="T30" s="425"/>
    </row>
    <row r="31" spans="1:20" s="419" customFormat="1">
      <c r="A31" s="431"/>
      <c r="B31" s="431"/>
      <c r="C31" s="431"/>
      <c r="D31" s="431"/>
      <c r="E31" s="359"/>
      <c r="F31" s="359"/>
    </row>
    <row r="32" spans="1:20" s="419" customFormat="1">
      <c r="A32" s="431" t="e">
        <f>#REF!</f>
        <v>#REF!</v>
      </c>
      <c r="B32" s="431" t="e">
        <f>#REF!</f>
        <v>#REF!</v>
      </c>
      <c r="C32" s="431"/>
      <c r="D32" s="431"/>
      <c r="E32" s="359"/>
      <c r="F32" s="359"/>
    </row>
    <row r="33" spans="1:6" s="419" customFormat="1">
      <c r="A33" s="431" t="e">
        <f>#REF!</f>
        <v>#REF!</v>
      </c>
      <c r="B33" s="431" t="e">
        <f>#REF!</f>
        <v>#REF!</v>
      </c>
      <c r="C33" s="431"/>
      <c r="D33" s="431"/>
      <c r="E33" s="359"/>
      <c r="F33" s="359"/>
    </row>
    <row r="34" spans="1:6" s="419" customFormat="1">
      <c r="A34" s="431"/>
      <c r="B34" s="431" t="e">
        <f>#REF!</f>
        <v>#REF!</v>
      </c>
      <c r="C34" s="431" t="e">
        <f>#REF!</f>
        <v>#REF!</v>
      </c>
      <c r="D34" s="431" t="e">
        <f>#REF!</f>
        <v>#REF!</v>
      </c>
      <c r="E34" s="359" t="e">
        <f>#REF!</f>
        <v>#REF!</v>
      </c>
      <c r="F34" s="359" t="e">
        <f t="shared" si="0"/>
        <v>#REF!</v>
      </c>
    </row>
    <row r="35" spans="1:6" s="419" customFormat="1">
      <c r="A35" s="431"/>
      <c r="B35" s="431" t="e">
        <f>#REF!</f>
        <v>#REF!</v>
      </c>
      <c r="C35" s="431" t="e">
        <f>#REF!</f>
        <v>#REF!</v>
      </c>
      <c r="D35" s="431" t="e">
        <f>#REF!</f>
        <v>#REF!</v>
      </c>
      <c r="E35" s="359" t="e">
        <f>#REF!</f>
        <v>#REF!</v>
      </c>
      <c r="F35" s="359" t="e">
        <f t="shared" si="0"/>
        <v>#REF!</v>
      </c>
    </row>
    <row r="36" spans="1:6" s="419" customFormat="1">
      <c r="A36" s="431"/>
      <c r="B36" s="431" t="e">
        <f>#REF!</f>
        <v>#REF!</v>
      </c>
      <c r="C36" s="431" t="e">
        <f>#REF!</f>
        <v>#REF!</v>
      </c>
      <c r="D36" s="431" t="e">
        <f>#REF!</f>
        <v>#REF!</v>
      </c>
      <c r="E36" s="359" t="e">
        <f>#REF!</f>
        <v>#REF!</v>
      </c>
      <c r="F36" s="359" t="e">
        <f t="shared" si="0"/>
        <v>#REF!</v>
      </c>
    </row>
    <row r="37" spans="1:6" s="419" customFormat="1">
      <c r="A37" s="431"/>
      <c r="B37" s="431" t="e">
        <f>#REF!</f>
        <v>#REF!</v>
      </c>
      <c r="C37" s="431" t="e">
        <f>#REF!</f>
        <v>#REF!</v>
      </c>
      <c r="D37" s="431" t="e">
        <f>#REF!</f>
        <v>#REF!</v>
      </c>
      <c r="E37" s="359" t="e">
        <f>#REF!</f>
        <v>#REF!</v>
      </c>
      <c r="F37" s="359" t="e">
        <f t="shared" si="0"/>
        <v>#REF!</v>
      </c>
    </row>
    <row r="38" spans="1:6" s="419" customFormat="1" ht="20.25" customHeight="1">
      <c r="A38" s="431"/>
      <c r="B38" s="431" t="e">
        <f>#REF!</f>
        <v>#REF!</v>
      </c>
      <c r="C38" s="431" t="e">
        <f>#REF!</f>
        <v>#REF!</v>
      </c>
      <c r="D38" s="431" t="e">
        <f>#REF!</f>
        <v>#REF!</v>
      </c>
      <c r="E38" s="359" t="e">
        <f>#REF!</f>
        <v>#REF!</v>
      </c>
      <c r="F38" s="359" t="e">
        <f>IF(E38=0, "Included", IF(ISERROR(D38*E38), E38, D38*E38))</f>
        <v>#REF!</v>
      </c>
    </row>
    <row r="39" spans="1:6" s="419" customFormat="1">
      <c r="A39" s="431" t="e">
        <f>#REF!</f>
        <v>#REF!</v>
      </c>
      <c r="B39" s="431" t="e">
        <f>#REF!</f>
        <v>#REF!</v>
      </c>
      <c r="C39" s="431"/>
      <c r="D39" s="431"/>
      <c r="E39" s="359"/>
      <c r="F39" s="359"/>
    </row>
    <row r="40" spans="1:6" s="419" customFormat="1">
      <c r="A40" s="431"/>
      <c r="B40" s="431" t="e">
        <f>#REF!</f>
        <v>#REF!</v>
      </c>
      <c r="C40" s="431" t="e">
        <f>#REF!</f>
        <v>#REF!</v>
      </c>
      <c r="D40" s="431" t="e">
        <f>#REF!</f>
        <v>#REF!</v>
      </c>
      <c r="E40" s="359" t="e">
        <f>#REF!</f>
        <v>#REF!</v>
      </c>
      <c r="F40" s="359" t="e">
        <f t="shared" si="0"/>
        <v>#REF!</v>
      </c>
    </row>
    <row r="41" spans="1:6" s="419" customFormat="1">
      <c r="A41" s="431"/>
      <c r="B41" s="431" t="e">
        <f>#REF!</f>
        <v>#REF!</v>
      </c>
      <c r="C41" s="431" t="e">
        <f>#REF!</f>
        <v>#REF!</v>
      </c>
      <c r="D41" s="431" t="e">
        <f>#REF!</f>
        <v>#REF!</v>
      </c>
      <c r="E41" s="359" t="e">
        <f>#REF!</f>
        <v>#REF!</v>
      </c>
      <c r="F41" s="359" t="e">
        <f t="shared" si="0"/>
        <v>#REF!</v>
      </c>
    </row>
    <row r="42" spans="1:6" s="419" customFormat="1">
      <c r="A42" s="431"/>
      <c r="B42" s="431"/>
      <c r="C42" s="431"/>
      <c r="D42" s="431"/>
      <c r="E42" s="359"/>
      <c r="F42" s="359"/>
    </row>
    <row r="43" spans="1:6" s="419" customFormat="1">
      <c r="A43" s="431" t="e">
        <f>#REF!</f>
        <v>#REF!</v>
      </c>
      <c r="B43" s="431" t="e">
        <f>#REF!</f>
        <v>#REF!</v>
      </c>
      <c r="C43" s="431" t="e">
        <f>#REF!</f>
        <v>#REF!</v>
      </c>
      <c r="D43" s="431" t="e">
        <f>#REF!</f>
        <v>#REF!</v>
      </c>
      <c r="E43" s="359" t="e">
        <f>#REF!</f>
        <v>#REF!</v>
      </c>
      <c r="F43" s="359" t="e">
        <f t="shared" si="0"/>
        <v>#REF!</v>
      </c>
    </row>
    <row r="44" spans="1:6" s="419" customFormat="1">
      <c r="A44" s="431"/>
      <c r="B44" s="431"/>
      <c r="C44" s="431"/>
      <c r="D44" s="431"/>
      <c r="E44" s="359"/>
      <c r="F44" s="359"/>
    </row>
    <row r="45" spans="1:6" s="419" customFormat="1">
      <c r="A45" s="431" t="e">
        <f>#REF!</f>
        <v>#REF!</v>
      </c>
      <c r="B45" s="431" t="e">
        <f>#REF!</f>
        <v>#REF!</v>
      </c>
      <c r="C45" s="431" t="e">
        <f>#REF!</f>
        <v>#REF!</v>
      </c>
      <c r="D45" s="431" t="e">
        <f>#REF!</f>
        <v>#REF!</v>
      </c>
      <c r="E45" s="359" t="e">
        <f>#REF!</f>
        <v>#REF!</v>
      </c>
      <c r="F45" s="359" t="e">
        <f t="shared" si="0"/>
        <v>#REF!</v>
      </c>
    </row>
    <row r="46" spans="1:6" s="419" customFormat="1">
      <c r="A46" s="431"/>
      <c r="B46" s="431"/>
      <c r="C46" s="431"/>
      <c r="D46" s="431"/>
      <c r="E46" s="359"/>
      <c r="F46" s="359"/>
    </row>
    <row r="47" spans="1:6" s="419" customFormat="1">
      <c r="A47" s="431" t="e">
        <f>#REF!</f>
        <v>#REF!</v>
      </c>
      <c r="B47" s="431" t="e">
        <f>#REF!</f>
        <v>#REF!</v>
      </c>
      <c r="C47" s="431"/>
      <c r="D47" s="431"/>
      <c r="E47" s="359"/>
      <c r="F47" s="359"/>
    </row>
    <row r="48" spans="1:6" s="419" customFormat="1">
      <c r="A48" s="431"/>
      <c r="B48" s="431" t="e">
        <f>#REF!</f>
        <v>#REF!</v>
      </c>
      <c r="C48" s="431" t="e">
        <f>#REF!</f>
        <v>#REF!</v>
      </c>
      <c r="D48" s="431" t="e">
        <f>#REF!</f>
        <v>#REF!</v>
      </c>
      <c r="E48" s="359" t="e">
        <f>#REF!</f>
        <v>#REF!</v>
      </c>
      <c r="F48" s="359" t="e">
        <f t="shared" si="0"/>
        <v>#REF!</v>
      </c>
    </row>
    <row r="49" spans="1:6" s="419" customFormat="1">
      <c r="A49" s="431"/>
      <c r="B49" s="431"/>
      <c r="C49" s="431"/>
      <c r="D49" s="431"/>
      <c r="E49" s="359"/>
      <c r="F49" s="359"/>
    </row>
    <row r="50" spans="1:6" s="419" customFormat="1">
      <c r="A50" s="431" t="e">
        <f>#REF!</f>
        <v>#REF!</v>
      </c>
      <c r="B50" s="431" t="e">
        <f>#REF!</f>
        <v>#REF!</v>
      </c>
      <c r="C50" s="431"/>
      <c r="D50" s="431"/>
      <c r="E50" s="359"/>
      <c r="F50" s="359"/>
    </row>
    <row r="51" spans="1:6" s="419" customFormat="1">
      <c r="A51" s="431"/>
      <c r="B51" s="431" t="e">
        <f>#REF!</f>
        <v>#REF!</v>
      </c>
      <c r="C51" s="431" t="e">
        <f>#REF!</f>
        <v>#REF!</v>
      </c>
      <c r="D51" s="431" t="e">
        <f>#REF!</f>
        <v>#REF!</v>
      </c>
      <c r="E51" s="359" t="e">
        <f>#REF!</f>
        <v>#REF!</v>
      </c>
      <c r="F51" s="359" t="e">
        <f t="shared" si="0"/>
        <v>#REF!</v>
      </c>
    </row>
    <row r="52" spans="1:6" s="419" customFormat="1">
      <c r="A52" s="431"/>
      <c r="B52" s="431" t="e">
        <f>#REF!</f>
        <v>#REF!</v>
      </c>
      <c r="C52" s="431" t="e">
        <f>#REF!</f>
        <v>#REF!</v>
      </c>
      <c r="D52" s="431" t="e">
        <f>#REF!</f>
        <v>#REF!</v>
      </c>
      <c r="E52" s="359" t="e">
        <f>#REF!</f>
        <v>#REF!</v>
      </c>
      <c r="F52" s="359" t="e">
        <f t="shared" si="0"/>
        <v>#REF!</v>
      </c>
    </row>
    <row r="53" spans="1:6" s="419" customFormat="1">
      <c r="A53" s="431"/>
      <c r="B53" s="431"/>
      <c r="C53" s="431"/>
      <c r="D53" s="431"/>
      <c r="E53" s="359"/>
      <c r="F53" s="359"/>
    </row>
    <row r="54" spans="1:6" s="419" customFormat="1">
      <c r="A54" s="431" t="e">
        <f>#REF!</f>
        <v>#REF!</v>
      </c>
      <c r="B54" s="431" t="e">
        <f>#REF!</f>
        <v>#REF!</v>
      </c>
      <c r="C54" s="431"/>
      <c r="D54" s="431"/>
      <c r="E54" s="359"/>
      <c r="F54" s="359"/>
    </row>
    <row r="55" spans="1:6" s="419" customFormat="1">
      <c r="A55" s="431"/>
      <c r="B55" s="431" t="e">
        <f>#REF!</f>
        <v>#REF!</v>
      </c>
      <c r="C55" s="431" t="e">
        <f>#REF!</f>
        <v>#REF!</v>
      </c>
      <c r="D55" s="431" t="e">
        <f>#REF!</f>
        <v>#REF!</v>
      </c>
      <c r="E55" s="359" t="e">
        <f>#REF!</f>
        <v>#REF!</v>
      </c>
      <c r="F55" s="359" t="e">
        <f t="shared" si="0"/>
        <v>#REF!</v>
      </c>
    </row>
    <row r="56" spans="1:6" s="419" customFormat="1">
      <c r="A56" s="431"/>
      <c r="B56" s="431" t="e">
        <f>#REF!</f>
        <v>#REF!</v>
      </c>
      <c r="C56" s="431" t="e">
        <f>#REF!</f>
        <v>#REF!</v>
      </c>
      <c r="D56" s="431" t="e">
        <f>#REF!</f>
        <v>#REF!</v>
      </c>
      <c r="E56" s="359" t="e">
        <f>#REF!</f>
        <v>#REF!</v>
      </c>
      <c r="F56" s="359" t="e">
        <f t="shared" si="0"/>
        <v>#REF!</v>
      </c>
    </row>
    <row r="57" spans="1:6" s="419" customFormat="1">
      <c r="A57" s="431"/>
      <c r="B57" s="431" t="e">
        <f>#REF!</f>
        <v>#REF!</v>
      </c>
      <c r="C57" s="431" t="e">
        <f>#REF!</f>
        <v>#REF!</v>
      </c>
      <c r="D57" s="431" t="e">
        <f>#REF!</f>
        <v>#REF!</v>
      </c>
      <c r="E57" s="359" t="e">
        <f>#REF!</f>
        <v>#REF!</v>
      </c>
      <c r="F57" s="359" t="e">
        <f t="shared" si="0"/>
        <v>#REF!</v>
      </c>
    </row>
    <row r="58" spans="1:6" s="419" customFormat="1">
      <c r="A58" s="431"/>
      <c r="B58" s="431" t="e">
        <f>#REF!</f>
        <v>#REF!</v>
      </c>
      <c r="C58" s="431" t="e">
        <f>#REF!</f>
        <v>#REF!</v>
      </c>
      <c r="D58" s="431" t="e">
        <f>#REF!</f>
        <v>#REF!</v>
      </c>
      <c r="E58" s="359" t="e">
        <f>#REF!</f>
        <v>#REF!</v>
      </c>
      <c r="F58" s="359" t="e">
        <f t="shared" si="0"/>
        <v>#REF!</v>
      </c>
    </row>
    <row r="59" spans="1:6" s="419" customFormat="1">
      <c r="A59" s="431"/>
      <c r="B59" s="431" t="e">
        <f>#REF!</f>
        <v>#REF!</v>
      </c>
      <c r="C59" s="431" t="e">
        <f>#REF!</f>
        <v>#REF!</v>
      </c>
      <c r="D59" s="431" t="e">
        <f>#REF!</f>
        <v>#REF!</v>
      </c>
      <c r="E59" s="359" t="e">
        <f>#REF!</f>
        <v>#REF!</v>
      </c>
      <c r="F59" s="359" t="e">
        <f t="shared" si="0"/>
        <v>#REF!</v>
      </c>
    </row>
    <row r="60" spans="1:6" s="419" customFormat="1">
      <c r="A60" s="431"/>
      <c r="B60" s="431" t="e">
        <f>#REF!</f>
        <v>#REF!</v>
      </c>
      <c r="C60" s="431" t="e">
        <f>#REF!</f>
        <v>#REF!</v>
      </c>
      <c r="D60" s="431" t="e">
        <f>#REF!</f>
        <v>#REF!</v>
      </c>
      <c r="E60" s="359" t="e">
        <f>#REF!</f>
        <v>#REF!</v>
      </c>
      <c r="F60" s="359" t="e">
        <f t="shared" si="0"/>
        <v>#REF!</v>
      </c>
    </row>
    <row r="61" spans="1:6" s="419" customFormat="1">
      <c r="A61" s="431"/>
      <c r="B61" s="431"/>
      <c r="C61" s="431"/>
      <c r="D61" s="431"/>
      <c r="E61" s="359"/>
      <c r="F61" s="359"/>
    </row>
    <row r="62" spans="1:6" s="419" customFormat="1">
      <c r="A62" s="431"/>
      <c r="B62" s="431"/>
      <c r="C62" s="431"/>
      <c r="D62" s="431"/>
      <c r="E62" s="359"/>
      <c r="F62" s="359"/>
    </row>
    <row r="63" spans="1:6" s="419" customFormat="1">
      <c r="A63" s="431"/>
      <c r="B63" s="431" t="e">
        <f>#REF!</f>
        <v>#REF!</v>
      </c>
      <c r="C63" s="431"/>
      <c r="D63" s="431"/>
      <c r="E63" s="359"/>
      <c r="F63" s="359"/>
    </row>
    <row r="64" spans="1:6" s="419" customFormat="1">
      <c r="A64" s="431"/>
      <c r="B64" s="431" t="e">
        <f>#REF!</f>
        <v>#REF!</v>
      </c>
      <c r="C64" s="431" t="e">
        <f>#REF!</f>
        <v>#REF!</v>
      </c>
      <c r="D64" s="431" t="e">
        <f>#REF!</f>
        <v>#REF!</v>
      </c>
      <c r="E64" s="359" t="e">
        <f>#REF!</f>
        <v>#REF!</v>
      </c>
      <c r="F64" s="359" t="e">
        <f>IF(E64=0, "Included", IF(ISERROR(D64*E64), E64, D64*E64))</f>
        <v>#REF!</v>
      </c>
    </row>
    <row r="65" spans="1:6" s="419" customFormat="1">
      <c r="A65" s="431"/>
      <c r="B65" s="431" t="e">
        <f>#REF!</f>
        <v>#REF!</v>
      </c>
      <c r="C65" s="431" t="e">
        <f>#REF!</f>
        <v>#REF!</v>
      </c>
      <c r="D65" s="431" t="e">
        <f>#REF!</f>
        <v>#REF!</v>
      </c>
      <c r="E65" s="359" t="e">
        <f>#REF!</f>
        <v>#REF!</v>
      </c>
      <c r="F65" s="359" t="e">
        <f>IF(E65=0, "Included", IF(ISERROR(D65*E65), E65, D65*E65))</f>
        <v>#REF!</v>
      </c>
    </row>
    <row r="66" spans="1:6" s="419" customFormat="1">
      <c r="A66" s="431"/>
      <c r="B66" s="431" t="e">
        <f>#REF!</f>
        <v>#REF!</v>
      </c>
      <c r="C66" s="431" t="e">
        <f>#REF!</f>
        <v>#REF!</v>
      </c>
      <c r="D66" s="431" t="e">
        <f>#REF!</f>
        <v>#REF!</v>
      </c>
      <c r="E66" s="359" t="e">
        <f>#REF!</f>
        <v>#REF!</v>
      </c>
      <c r="F66" s="359" t="e">
        <f>IF(E66=0, "Included", IF(ISERROR(D66*E66), E66, D66*E66))</f>
        <v>#REF!</v>
      </c>
    </row>
    <row r="67" spans="1:6" s="419" customFormat="1">
      <c r="A67" s="431"/>
      <c r="B67" s="431" t="e">
        <f>#REF!</f>
        <v>#REF!</v>
      </c>
      <c r="C67" s="431" t="e">
        <f>#REF!</f>
        <v>#REF!</v>
      </c>
      <c r="D67" s="431" t="e">
        <f>#REF!</f>
        <v>#REF!</v>
      </c>
      <c r="E67" s="359" t="e">
        <f>#REF!</f>
        <v>#REF!</v>
      </c>
      <c r="F67" s="359" t="e">
        <f>IF(E67=0, "Included", IF(ISERROR(D67*E67), E67, D67*E67))</f>
        <v>#REF!</v>
      </c>
    </row>
    <row r="68" spans="1:6" s="419" customFormat="1">
      <c r="A68" s="431"/>
      <c r="B68" s="431"/>
      <c r="C68" s="431"/>
      <c r="D68" s="431"/>
      <c r="E68" s="359"/>
      <c r="F68" s="359"/>
    </row>
    <row r="69" spans="1:6" s="419" customFormat="1">
      <c r="A69" s="431" t="e">
        <f>#REF!</f>
        <v>#REF!</v>
      </c>
      <c r="B69" s="431" t="e">
        <f>#REF!</f>
        <v>#REF!</v>
      </c>
      <c r="C69" s="431"/>
      <c r="D69" s="431"/>
      <c r="E69" s="359"/>
      <c r="F69" s="359"/>
    </row>
    <row r="70" spans="1:6" s="419" customFormat="1">
      <c r="A70" s="431"/>
      <c r="B70" s="431" t="e">
        <f>#REF!</f>
        <v>#REF!</v>
      </c>
      <c r="C70" s="431"/>
      <c r="D70" s="431"/>
      <c r="E70" s="359"/>
      <c r="F70" s="359"/>
    </row>
    <row r="71" spans="1:6" s="419" customFormat="1">
      <c r="A71" s="431"/>
      <c r="B71" s="431" t="e">
        <f>#REF!</f>
        <v>#REF!</v>
      </c>
      <c r="C71" s="431" t="e">
        <f>#REF!</f>
        <v>#REF!</v>
      </c>
      <c r="D71" s="431" t="e">
        <f>#REF!</f>
        <v>#REF!</v>
      </c>
      <c r="E71" s="359" t="e">
        <f>#REF!</f>
        <v>#REF!</v>
      </c>
      <c r="F71" s="359" t="e">
        <f>IF(E71=0, "Included", IF(ISERROR(D71*E71), E71, D71*E71))</f>
        <v>#REF!</v>
      </c>
    </row>
    <row r="72" spans="1:6" s="419" customFormat="1">
      <c r="A72" s="431"/>
      <c r="B72" s="431"/>
      <c r="C72" s="431"/>
      <c r="D72" s="431"/>
      <c r="E72" s="359"/>
      <c r="F72" s="359"/>
    </row>
    <row r="73" spans="1:6" s="419" customFormat="1">
      <c r="A73" s="431" t="e">
        <f>#REF!</f>
        <v>#REF!</v>
      </c>
      <c r="B73" s="431" t="e">
        <f>#REF!</f>
        <v>#REF!</v>
      </c>
      <c r="C73" s="431"/>
      <c r="D73" s="431"/>
      <c r="E73" s="359"/>
      <c r="F73" s="359"/>
    </row>
    <row r="74" spans="1:6" s="419" customFormat="1">
      <c r="A74" s="431" t="e">
        <f>#REF!</f>
        <v>#REF!</v>
      </c>
      <c r="B74" s="431" t="e">
        <f>#REF!</f>
        <v>#REF!</v>
      </c>
      <c r="C74" s="431" t="e">
        <f>#REF!</f>
        <v>#REF!</v>
      </c>
      <c r="D74" s="431" t="e">
        <f>#REF!</f>
        <v>#REF!</v>
      </c>
      <c r="E74" s="359" t="e">
        <f>#REF!</f>
        <v>#REF!</v>
      </c>
      <c r="F74" s="359" t="e">
        <f>IF(E74=0, "Included", IF(ISERROR(D74*E74), E74, D74*E74))</f>
        <v>#REF!</v>
      </c>
    </row>
    <row r="75" spans="1:6" s="419" customFormat="1">
      <c r="A75" s="431" t="e">
        <f>#REF!</f>
        <v>#REF!</v>
      </c>
      <c r="B75" s="431" t="e">
        <f>#REF!</f>
        <v>#REF!</v>
      </c>
      <c r="C75" s="431"/>
      <c r="D75" s="431"/>
      <c r="E75" s="359"/>
      <c r="F75" s="359"/>
    </row>
    <row r="76" spans="1:6" s="419" customFormat="1">
      <c r="A76" s="431" t="e">
        <f>#REF!</f>
        <v>#REF!</v>
      </c>
      <c r="B76" s="431" t="e">
        <f>#REF!</f>
        <v>#REF!</v>
      </c>
      <c r="C76" s="431" t="e">
        <f>#REF!</f>
        <v>#REF!</v>
      </c>
      <c r="D76" s="431" t="e">
        <f>#REF!</f>
        <v>#REF!</v>
      </c>
      <c r="E76" s="359" t="e">
        <f>#REF!</f>
        <v>#REF!</v>
      </c>
      <c r="F76" s="359" t="e">
        <f>IF(E76=0, "Included", IF(ISERROR(D76*E76), E76, D76*E76))</f>
        <v>#REF!</v>
      </c>
    </row>
    <row r="77" spans="1:6" s="419" customFormat="1">
      <c r="A77" s="431" t="e">
        <f>#REF!</f>
        <v>#REF!</v>
      </c>
      <c r="B77" s="431" t="e">
        <f>#REF!</f>
        <v>#REF!</v>
      </c>
      <c r="C77" s="431" t="e">
        <f>#REF!</f>
        <v>#REF!</v>
      </c>
      <c r="D77" s="431" t="e">
        <f>#REF!</f>
        <v>#REF!</v>
      </c>
      <c r="E77" s="359" t="e">
        <f>#REF!</f>
        <v>#REF!</v>
      </c>
      <c r="F77" s="359" t="e">
        <f>IF(E77=0, "Included", IF(ISERROR(D77*E77), E77, D77*E77))</f>
        <v>#REF!</v>
      </c>
    </row>
    <row r="78" spans="1:6" s="419" customFormat="1">
      <c r="A78" s="431"/>
      <c r="B78" s="431"/>
      <c r="C78" s="431"/>
      <c r="D78" s="431"/>
      <c r="E78" s="359"/>
      <c r="F78" s="359"/>
    </row>
    <row r="79" spans="1:6" s="419" customFormat="1">
      <c r="A79" s="431" t="e">
        <f>#REF!</f>
        <v>#REF!</v>
      </c>
      <c r="B79" s="431" t="e">
        <f>#REF!</f>
        <v>#REF!</v>
      </c>
      <c r="C79" s="431"/>
      <c r="D79" s="431"/>
      <c r="E79" s="359"/>
      <c r="F79" s="359"/>
    </row>
    <row r="80" spans="1:6" s="419" customFormat="1">
      <c r="A80" s="431"/>
      <c r="B80" s="431" t="e">
        <f>#REF!</f>
        <v>#REF!</v>
      </c>
      <c r="C80" s="431" t="e">
        <f>#REF!</f>
        <v>#REF!</v>
      </c>
      <c r="D80" s="431" t="e">
        <f>#REF!</f>
        <v>#REF!</v>
      </c>
      <c r="E80" s="359" t="e">
        <f>#REF!</f>
        <v>#REF!</v>
      </c>
      <c r="F80" s="359" t="e">
        <f>IF(E80=0, "Included", IF(ISERROR(D80*E80), E80, D80*E80))</f>
        <v>#REF!</v>
      </c>
    </row>
    <row r="81" spans="1:6">
      <c r="A81" s="426"/>
      <c r="B81" s="381" t="s">
        <v>180</v>
      </c>
      <c r="C81" s="381"/>
      <c r="D81" s="381"/>
      <c r="E81" s="367"/>
      <c r="F81" s="367" t="e">
        <f>SUM(F17:F80)</f>
        <v>#REF!</v>
      </c>
    </row>
    <row r="82" spans="1:6">
      <c r="A82" s="427"/>
      <c r="B82" s="370"/>
      <c r="C82" s="370"/>
      <c r="D82" s="370"/>
      <c r="E82" s="371"/>
      <c r="F82" s="371"/>
    </row>
    <row r="83" spans="1:6">
      <c r="A83" s="428"/>
      <c r="B83" s="429"/>
      <c r="C83" s="428"/>
      <c r="D83" s="428"/>
      <c r="E83" s="428"/>
      <c r="F83" s="428"/>
    </row>
    <row r="84" spans="1:6" ht="30">
      <c r="A84" s="372" t="s">
        <v>118</v>
      </c>
      <c r="B84" s="373" t="str">
        <f>'Sch-1'!F28</f>
        <v>--2025</v>
      </c>
      <c r="C84" s="374"/>
      <c r="D84" s="375"/>
      <c r="E84" s="376"/>
      <c r="F84" s="376"/>
    </row>
    <row r="85" spans="1:6">
      <c r="A85" s="372" t="s">
        <v>119</v>
      </c>
      <c r="B85" s="373" t="str">
        <f>'Sch-1'!F29</f>
        <v/>
      </c>
      <c r="C85" s="376"/>
      <c r="D85" s="375" t="s">
        <v>120</v>
      </c>
      <c r="E85" s="377" t="str">
        <f>'Sch-1'!M29</f>
        <v/>
      </c>
      <c r="F85" s="376"/>
    </row>
    <row r="86" spans="1:6">
      <c r="A86" s="378"/>
      <c r="B86" s="379"/>
      <c r="C86" s="380"/>
      <c r="D86" s="375" t="s">
        <v>121</v>
      </c>
      <c r="E86" s="377" t="str">
        <f>'Sch-1'!M30</f>
        <v/>
      </c>
      <c r="F86" s="380"/>
    </row>
    <row r="87" spans="1:6">
      <c r="A87" s="372"/>
      <c r="B87" s="373"/>
      <c r="C87" s="374"/>
      <c r="D87" s="375"/>
      <c r="E87" s="376"/>
      <c r="F87" s="376"/>
    </row>
    <row r="88" spans="1:6">
      <c r="A88" s="3"/>
      <c r="B88" s="430"/>
      <c r="C88" s="3"/>
      <c r="D88" s="3"/>
      <c r="E88" s="3"/>
      <c r="F88" s="3"/>
    </row>
    <row r="100" spans="1:29" s="180" customFormat="1">
      <c r="A100" s="345"/>
      <c r="B100" s="346"/>
      <c r="C100" s="347"/>
      <c r="D100" s="348"/>
      <c r="E100" s="287"/>
      <c r="F100" s="287"/>
      <c r="AB100" s="350"/>
      <c r="AC100" s="350"/>
    </row>
    <row r="101" spans="1:29" s="180" customFormat="1">
      <c r="A101" s="345"/>
      <c r="B101" s="346"/>
      <c r="C101" s="347"/>
      <c r="D101" s="348"/>
      <c r="E101" s="287"/>
      <c r="F101" s="287"/>
      <c r="AB101" s="207"/>
      <c r="AC101" s="351"/>
    </row>
    <row r="102" spans="1:29" s="180" customFormat="1">
      <c r="A102" s="345"/>
      <c r="B102" s="346"/>
      <c r="C102" s="347"/>
      <c r="D102" s="348"/>
      <c r="E102" s="287"/>
      <c r="F102" s="287"/>
      <c r="AC102" s="227"/>
    </row>
    <row r="103" spans="1:29" s="180" customFormat="1">
      <c r="A103" s="188"/>
      <c r="B103" s="208"/>
      <c r="C103" s="188"/>
      <c r="D103" s="184"/>
      <c r="E103" s="207"/>
      <c r="F103" s="207"/>
    </row>
    <row r="104" spans="1:29">
      <c r="A104" s="188"/>
      <c r="B104" s="196"/>
      <c r="C104" s="188"/>
      <c r="D104" s="184"/>
      <c r="E104" s="207"/>
      <c r="F104" s="207"/>
    </row>
    <row r="105" spans="1:29">
      <c r="A105" s="84"/>
      <c r="B105" s="85"/>
      <c r="C105" s="84"/>
      <c r="D105" s="84"/>
      <c r="E105" s="84"/>
      <c r="F105" s="84"/>
    </row>
    <row r="106" spans="1:29">
      <c r="A106" s="84"/>
      <c r="B106" s="85"/>
      <c r="C106" s="84"/>
      <c r="D106" s="84"/>
      <c r="E106" s="84"/>
      <c r="F106" s="84"/>
    </row>
    <row r="107" spans="1:29">
      <c r="A107" s="173"/>
      <c r="B107" s="89"/>
      <c r="C107" s="175"/>
      <c r="D107" s="175"/>
      <c r="E107" s="174"/>
      <c r="F107" s="90"/>
    </row>
    <row r="108" spans="1:29">
      <c r="A108" s="84"/>
      <c r="B108" s="85"/>
      <c r="C108" s="84"/>
      <c r="D108" s="84"/>
      <c r="E108" s="84"/>
      <c r="F108" s="84"/>
    </row>
    <row r="109" spans="1:29">
      <c r="A109" s="84"/>
      <c r="B109" s="85"/>
      <c r="C109" s="84"/>
      <c r="D109" s="84"/>
      <c r="E109" s="84"/>
      <c r="F109" s="84"/>
    </row>
  </sheetData>
  <customSheetViews>
    <customSheetView guid="{B48B8B4C-A880-453D-8729-90D004BEF0D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7043F04C-1FA3-449D-BEB8-4AC08DF68A5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E81F0721-C35D-4189-B675-E46A2133986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17F5C48B-526E-48D2-9F97-823D578F98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7F1A5DE7-1043-4C11-AB2C-CC6BC6A0F48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75D87FDD-0292-4E5A-8E8F-63018B00939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8" type="noConversion"/>
  <conditionalFormatting sqref="E16:E80">
    <cfRule type="expression" dxfId="17"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1"/>
  <headerFooter alignWithMargins="0">
    <oddHeader>&amp;C&amp;"Calibri"&amp;12&amp;KFF0000 डेटा वर्गीकरण : प्रतिबंधित/RESTRICTED&amp;1#_x000D_</oddHeader>
    <oddFooter>&amp;R&amp;"Book Antiqua,Bold"&amp;10Schedule-3/ Page &amp;P of &amp;N</oddFooter>
  </headerFooter>
  <colBreaks count="1" manualBreakCount="1">
    <brk id="6" max="1048575" man="1"/>
  </colBreaks>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Basic</vt:lpstr>
      <vt:lpstr>Cover</vt:lpstr>
      <vt:lpstr>Instructions</vt:lpstr>
      <vt:lpstr>Names of Bidder</vt:lpstr>
      <vt:lpstr>Sch-1</vt:lpstr>
      <vt:lpstr>Sch-1 dis</vt:lpstr>
      <vt:lpstr>Sch-2</vt:lpstr>
      <vt:lpstr>Sch-2 Dis</vt:lpstr>
      <vt:lpstr>Sch-3 Dis</vt:lpstr>
      <vt:lpstr>Sch-4</vt:lpstr>
      <vt:lpstr>Sch-1  (2)</vt:lpstr>
      <vt:lpstr>Schedule-1</vt:lpstr>
      <vt:lpstr>Schedule-2</vt:lpstr>
      <vt:lpstr>Sch-5 Dis</vt:lpstr>
      <vt:lpstr>Sch-3</vt:lpstr>
      <vt:lpstr>Sch-7</vt:lpstr>
      <vt:lpstr>Sch-7 Dis</vt:lpstr>
      <vt:lpstr>Octroi</vt:lpstr>
      <vt:lpstr>Entry Tax</vt:lpstr>
      <vt:lpstr>Other Taxes &amp; Duties</vt:lpstr>
      <vt:lpstr>Bid Form </vt:lpstr>
      <vt:lpstr>Q &amp; C (2)</vt:lpstr>
      <vt:lpstr>Q &amp; C</vt:lpstr>
      <vt:lpstr>N to W</vt:lpstr>
      <vt:lpstr>Sheet1</vt:lpstr>
      <vt:lpstr>Sheet3</vt:lpstr>
      <vt:lpstr>'Bid Form '!Print_Area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(2)'!Print_Area</vt:lpstr>
      <vt:lpstr>'Sch-1 dis'!Print_Area</vt:lpstr>
      <vt:lpstr>'Sch-2'!Print_Area</vt:lpstr>
      <vt:lpstr>'Sch-2 Dis'!Print_Area</vt:lpstr>
      <vt:lpstr>'Sch-3'!Print_Area</vt:lpstr>
      <vt:lpstr>'Sch-3 Dis'!Print_Area</vt:lpstr>
      <vt:lpstr>'Sch-4'!Print_Area</vt:lpstr>
      <vt:lpstr>'Sch-5 Dis'!Print_Area</vt:lpstr>
      <vt:lpstr>'Sch-7'!Print_Area</vt:lpstr>
      <vt:lpstr>'Sch-7 Dis'!Print_Area</vt:lpstr>
      <vt:lpstr>'Schedule-1'!Print_Area</vt:lpstr>
      <vt:lpstr>'Schedule-2'!Print_Area</vt:lpstr>
      <vt:lpstr>'Sch-1'!Print_Titles</vt:lpstr>
      <vt:lpstr>'Sch-1  (2)'!Print_Titles</vt:lpstr>
      <vt:lpstr>'Sch-1 dis'!Print_Titles</vt:lpstr>
      <vt:lpstr>'Sch-2'!Print_Titles</vt:lpstr>
      <vt:lpstr>'Sch-2 Dis'!Print_Titles</vt:lpstr>
      <vt:lpstr>'Sch-3'!Print_Titles</vt:lpstr>
      <vt:lpstr>'Sch-3 Dis'!Print_Titles</vt:lpstr>
      <vt:lpstr>'Sch-5 Dis'!Print_Titles</vt:lpstr>
      <vt:lpstr>'Sch-7'!Print_Titles</vt:lpstr>
      <vt:lpstr>'Sch-7 Dis'!Print_Titles</vt:lpstr>
      <vt:lpstr>'Schedule-2'!Print_Titles</vt:lpstr>
    </vt:vector>
  </TitlesOfParts>
  <Manager/>
  <Company>POWERGRID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Pallavi Mishra {पल्लवी मिश्रा}</cp:lastModifiedBy>
  <cp:revision/>
  <dcterms:created xsi:type="dcterms:W3CDTF">2001-07-26T10:23:15Z</dcterms:created>
  <dcterms:modified xsi:type="dcterms:W3CDTF">2025-08-28T06:52:46Z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5961ef-6ad8-4ebf-ac83-5a6f539b3711_Enabled">
    <vt:lpwstr>true</vt:lpwstr>
  </property>
  <property fmtid="{D5CDD505-2E9C-101B-9397-08002B2CF9AE}" pid="3" name="MSIP_Label_1e5961ef-6ad8-4ebf-ac83-5a6f539b3711_SetDate">
    <vt:lpwstr>2025-08-21T11:51:38Z</vt:lpwstr>
  </property>
  <property fmtid="{D5CDD505-2E9C-101B-9397-08002B2CF9AE}" pid="4" name="MSIP_Label_1e5961ef-6ad8-4ebf-ac83-5a6f539b3711_Method">
    <vt:lpwstr>Privileged</vt:lpwstr>
  </property>
  <property fmtid="{D5CDD505-2E9C-101B-9397-08002B2CF9AE}" pid="5" name="MSIP_Label_1e5961ef-6ad8-4ebf-ac83-5a6f539b3711_Name">
    <vt:lpwstr>Restricted-IT</vt:lpwstr>
  </property>
  <property fmtid="{D5CDD505-2E9C-101B-9397-08002B2CF9AE}" pid="6" name="MSIP_Label_1e5961ef-6ad8-4ebf-ac83-5a6f539b3711_SiteId">
    <vt:lpwstr>7048075c-52c2-4a40-8e7c-5c5a5573c87f</vt:lpwstr>
  </property>
  <property fmtid="{D5CDD505-2E9C-101B-9397-08002B2CF9AE}" pid="7" name="MSIP_Label_1e5961ef-6ad8-4ebf-ac83-5a6f539b3711_ActionId">
    <vt:lpwstr>ebc5a041-6a4b-4b58-814d-b0a09a8098d3</vt:lpwstr>
  </property>
  <property fmtid="{D5CDD505-2E9C-101B-9397-08002B2CF9AE}" pid="8" name="MSIP_Label_1e5961ef-6ad8-4ebf-ac83-5a6f539b3711_ContentBits">
    <vt:lpwstr>1</vt:lpwstr>
  </property>
  <property fmtid="{D5CDD505-2E9C-101B-9397-08002B2CF9AE}" pid="9" name="MSIP_Label_1e5961ef-6ad8-4ebf-ac83-5a6f539b3711_Tag">
    <vt:lpwstr>10, 0, 1, 1</vt:lpwstr>
  </property>
</Properties>
</file>